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80BC17D2-513D-4C37-A2BA-CE892551F1C1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" i="1" l="1" a="1"/>
  <c r="O15" i="1" l="1"/>
  <c r="O7" i="1" a="1"/>
  <c r="O7" i="1" l="1"/>
  <c r="O9" i="1" a="1"/>
  <c r="O9" i="1" l="1"/>
  <c r="O5" i="1" a="1"/>
  <c r="O5" i="1" l="1"/>
  <c r="O4" i="1" a="1"/>
  <c r="O4" i="1" l="1"/>
  <c r="O3" i="1" a="1"/>
  <c r="G17" i="57" a="1"/>
  <c r="D14" i="57" a="1"/>
  <c r="G14" i="57" a="1"/>
  <c r="D13" i="57" a="1"/>
  <c r="G13" i="57" a="1"/>
  <c r="D12" i="57" a="1"/>
  <c r="G12" i="57" a="1"/>
  <c r="D11" i="57" a="1"/>
  <c r="G11" i="57" a="1"/>
  <c r="D10" i="57" a="1"/>
  <c r="G10" i="57" a="1"/>
  <c r="D9" i="57" a="1"/>
  <c r="G9" i="57" a="1"/>
  <c r="D8" i="57" a="1"/>
  <c r="G8" i="57" a="1"/>
  <c r="D7" i="57" a="1"/>
  <c r="G7" i="57" a="1"/>
  <c r="D6" i="57" a="1"/>
  <c r="G6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O3" i="1" l="1"/>
  <c r="D17" i="57"/>
  <c r="E17" i="57"/>
  <c r="B17" i="57"/>
  <c r="G2" i="57"/>
  <c r="D2" i="57"/>
  <c r="G3" i="57"/>
  <c r="D3" i="57"/>
  <c r="G4" i="57"/>
  <c r="D4" i="57"/>
  <c r="G5" i="57"/>
  <c r="D5" i="57"/>
  <c r="G6" i="57"/>
  <c r="D6" i="57"/>
  <c r="G7" i="57"/>
  <c r="D7" i="57"/>
  <c r="G8" i="57"/>
  <c r="D8" i="57"/>
  <c r="G9" i="57"/>
  <c r="D9" i="57"/>
  <c r="G10" i="57"/>
  <c r="D10" i="57"/>
  <c r="G11" i="57"/>
  <c r="D11" i="57"/>
  <c r="G12" i="57"/>
  <c r="D12" i="57"/>
  <c r="G13" i="57"/>
  <c r="D13" i="57"/>
  <c r="G14" i="57"/>
  <c r="D14" i="57"/>
  <c r="G17" i="57"/>
  <c r="M16" i="48" a="1"/>
  <c r="M13" i="48" a="1"/>
  <c r="M11" i="48" a="1"/>
  <c r="M6" i="48" a="1"/>
  <c r="M5" i="48" a="1"/>
  <c r="M14" i="48" a="1"/>
  <c r="M8" i="48" a="1"/>
  <c r="M10" i="48" a="1"/>
  <c r="M7" i="48" a="1"/>
  <c r="M12" i="48" a="1"/>
  <c r="M12" i="48" l="1"/>
  <c r="M7" i="48"/>
  <c r="M10" i="48"/>
  <c r="M8" i="48"/>
  <c r="M14" i="48"/>
  <c r="M5" i="48"/>
  <c r="M6" i="48"/>
  <c r="M11" i="48"/>
  <c r="M13" i="48"/>
  <c r="M16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S12" i="12" a="1"/>
  <c r="L11" i="12" a="1"/>
  <c r="J20" i="48" a="1"/>
  <c r="M2" i="38" a="1"/>
  <c r="AK4" i="9" a="1"/>
  <c r="U4" i="9" a="1"/>
  <c r="E4" i="9" a="1"/>
  <c r="I20" i="1" a="1"/>
  <c r="L12" i="1" a="1"/>
  <c r="J10" i="1" a="1"/>
  <c r="H8" i="1" a="1"/>
  <c r="K3" i="1" a="1"/>
  <c r="C6" i="1" a="1"/>
  <c r="C16" i="40" a="1"/>
  <c r="G11" i="60" a="1"/>
  <c r="G7" i="60" a="1"/>
  <c r="G3" i="60" a="1"/>
  <c r="P23" i="12" a="1"/>
  <c r="R21" i="12" a="1"/>
  <c r="M18" i="12" a="1"/>
  <c r="E21" i="12" a="1"/>
  <c r="G13" i="12" a="1"/>
  <c r="F8" i="12" a="1"/>
  <c r="E3" i="12" a="1"/>
  <c r="F6" i="39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11" i="52" a="1"/>
  <c r="J9" i="52" a="1"/>
  <c r="J7" i="52" a="1"/>
  <c r="J5" i="52" a="1"/>
  <c r="J3" i="52" a="1"/>
  <c r="V15" i="56" a="1"/>
  <c r="V11" i="56" a="1"/>
  <c r="V7" i="56" a="1"/>
  <c r="J16" i="56" a="1"/>
  <c r="J12" i="56" a="1"/>
  <c r="J8" i="56" a="1"/>
  <c r="C26" i="56" a="1"/>
  <c r="B5" i="56" a="1"/>
  <c r="Q23" i="12" a="1"/>
  <c r="S21" i="12" a="1"/>
  <c r="L20" i="12" a="1"/>
  <c r="N18" i="12" a="1"/>
  <c r="P14" i="12" a="1"/>
  <c r="R12" i="12" a="1"/>
  <c r="K11" i="12" a="1"/>
  <c r="M9" i="12" a="1"/>
  <c r="O7" i="12" a="1"/>
  <c r="Q5" i="12" a="1"/>
  <c r="S3" i="12" a="1"/>
  <c r="F21" i="12" a="1"/>
  <c r="E14" i="12" a="1"/>
  <c r="G8" i="12" a="1"/>
  <c r="F3" i="12" a="1"/>
  <c r="J13" i="39" a="1"/>
  <c r="H10" i="39" a="1"/>
  <c r="F7" i="39" a="1"/>
  <c r="C4" i="39" a="1"/>
  <c r="L11" i="28" a="1"/>
  <c r="K6" i="28" a="1"/>
  <c r="H12" i="28" a="1"/>
  <c r="H4" i="28" a="1"/>
  <c r="E10" i="28" a="1"/>
  <c r="G15" i="1" a="1"/>
  <c r="F6" i="1" a="1"/>
  <c r="D4" i="49" a="1"/>
  <c r="O14" i="12" a="1"/>
  <c r="Q12" i="12" a="1"/>
  <c r="L9" i="12" a="1"/>
  <c r="P5" i="12" a="1"/>
  <c r="H9" i="39" a="1"/>
  <c r="J19" i="48" a="1"/>
  <c r="L2" i="38" a="1"/>
  <c r="AJ4" i="9" a="1"/>
  <c r="T4" i="9" a="1"/>
  <c r="D4" i="9" a="1"/>
  <c r="S10" i="12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K2" i="7" a="1"/>
  <c r="I2" i="47" a="1"/>
  <c r="G2" i="46" a="1"/>
  <c r="I11" i="52" a="1"/>
  <c r="I9" i="52" a="1"/>
  <c r="I7" i="52" a="1"/>
  <c r="I5" i="52" a="1"/>
  <c r="I3" i="52" a="1"/>
  <c r="U15" i="56" a="1"/>
  <c r="U11" i="56" a="1"/>
  <c r="U7" i="56" a="1"/>
  <c r="I16" i="56" a="1"/>
  <c r="I12" i="56" a="1"/>
  <c r="I8" i="56" a="1"/>
  <c r="C25" i="56" a="1"/>
  <c r="C16" i="13" a="1"/>
  <c r="K20" i="12" a="1"/>
  <c r="N7" i="12" a="1"/>
  <c r="R3" i="12" a="1"/>
  <c r="J12" i="39" a="1"/>
  <c r="J16" i="48" a="1"/>
  <c r="K2" i="38" a="1"/>
  <c r="AI4" i="9" a="1"/>
  <c r="S4" i="9" a="1"/>
  <c r="C4" i="9" a="1"/>
  <c r="C2" i="39" a="1"/>
  <c r="L5" i="28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F2" i="46" a="1"/>
  <c r="H11" i="52" a="1"/>
  <c r="H9" i="52" a="1"/>
  <c r="H7" i="52" a="1"/>
  <c r="H5" i="52" a="1"/>
  <c r="H3" i="52" a="1"/>
  <c r="T15" i="56" a="1"/>
  <c r="T11" i="56" a="1"/>
  <c r="T7" i="56" a="1"/>
  <c r="H16" i="56" a="1"/>
  <c r="H12" i="56" a="1"/>
  <c r="H8" i="56" a="1"/>
  <c r="C24" i="56" a="1"/>
  <c r="C15" i="13" a="1"/>
  <c r="O23" i="12" a="1"/>
  <c r="Q21" i="12" a="1"/>
  <c r="S19" i="12" a="1"/>
  <c r="L18" i="12" a="1"/>
  <c r="N14" i="12" a="1"/>
  <c r="P12" i="12" a="1"/>
  <c r="R10" i="12" a="1"/>
  <c r="K9" i="12" a="1"/>
  <c r="M7" i="12" a="1"/>
  <c r="O5" i="12" a="1"/>
  <c r="Q3" i="12" a="1"/>
  <c r="G20" i="12" a="1"/>
  <c r="F13" i="12" a="1"/>
  <c r="E8" i="12" a="1"/>
  <c r="B15" i="12" a="1"/>
  <c r="J11" i="39" a="1"/>
  <c r="H8" i="39" a="1"/>
  <c r="F5" i="39" a="1"/>
  <c r="M10" i="28" a="1"/>
  <c r="J15" i="48" a="1"/>
  <c r="J2" i="38" a="1"/>
  <c r="AH4" i="9" a="1"/>
  <c r="R4" i="9" a="1"/>
  <c r="B4" i="9" a="1"/>
  <c r="H10" i="43" a="1"/>
  <c r="C11" i="43" a="1"/>
  <c r="C15" i="42" a="1"/>
  <c r="C13" i="42" a="1"/>
  <c r="C11" i="42" a="1"/>
  <c r="C9" i="42" a="1"/>
  <c r="C7" i="42" a="1"/>
  <c r="C5" i="42" a="1"/>
  <c r="C3" i="42" a="1"/>
  <c r="M2" i="15" a="1"/>
  <c r="K2" i="5" a="1"/>
  <c r="G2" i="47" a="1"/>
  <c r="E2" i="46" a="1"/>
  <c r="I2" i="7" a="1"/>
  <c r="G11" i="52" a="1"/>
  <c r="J14" i="48" a="1"/>
  <c r="I2" i="38" a="1"/>
  <c r="AG4" i="9" a="1"/>
  <c r="Q4" i="9" a="1"/>
  <c r="G10" i="43" a="1"/>
  <c r="C10" i="43" a="1"/>
  <c r="J14" i="42" a="1"/>
  <c r="J12" i="42" a="1"/>
  <c r="J8" i="42" a="1"/>
  <c r="J13" i="48" a="1"/>
  <c r="H2" i="38" a="1"/>
  <c r="AF4" i="9" a="1"/>
  <c r="P4" i="9" a="1"/>
  <c r="H9" i="43" a="1"/>
  <c r="C9" i="43" a="1"/>
  <c r="I14" i="42" a="1"/>
  <c r="I12" i="42" a="1"/>
  <c r="I10" i="42" a="1"/>
  <c r="I8" i="42" a="1"/>
  <c r="I6" i="42" a="1"/>
  <c r="I4" i="42" a="1"/>
  <c r="M2" i="18" a="1"/>
  <c r="K2" i="15" a="1"/>
  <c r="J12" i="48" a="1"/>
  <c r="G2" i="38" a="1"/>
  <c r="AE4" i="9" a="1"/>
  <c r="O4" i="9" a="1"/>
  <c r="G9" i="43" a="1"/>
  <c r="C8" i="43" a="1"/>
  <c r="H14" i="42" a="1"/>
  <c r="H12" i="42" a="1"/>
  <c r="H10" i="42" a="1"/>
  <c r="H8" i="42" a="1"/>
  <c r="H6" i="42" a="1"/>
  <c r="H4" i="42" a="1"/>
  <c r="L2" i="18" a="1"/>
  <c r="J2" i="15" a="1"/>
  <c r="H2" i="5" a="1"/>
  <c r="F2" i="7" a="1"/>
  <c r="D2" i="47" a="1"/>
  <c r="B2" i="46" a="1"/>
  <c r="D11" i="52" a="1"/>
  <c r="D9" i="52" a="1"/>
  <c r="D7" i="52" a="1"/>
  <c r="D5" i="52" a="1"/>
  <c r="D3" i="52" a="1"/>
  <c r="T14" i="56" a="1"/>
  <c r="T10" i="56" a="1"/>
  <c r="T6" i="56" a="1"/>
  <c r="H15" i="56" a="1"/>
  <c r="J11" i="48" a="1"/>
  <c r="F2" i="38" a="1"/>
  <c r="AD4" i="9" a="1"/>
  <c r="N4" i="9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U13" i="56" a="1"/>
  <c r="U9" i="56" a="1"/>
  <c r="U5" i="56" a="1"/>
  <c r="I14" i="56" a="1"/>
  <c r="I10" i="56" a="1"/>
  <c r="I6" i="56" a="1"/>
  <c r="B12" i="56" a="1"/>
  <c r="C8" i="13" a="1"/>
  <c r="J5" i="48" a="1"/>
  <c r="AN4" i="9" a="1"/>
  <c r="X4" i="9" a="1"/>
  <c r="H4" i="9" a="1"/>
  <c r="G13" i="43" a="1"/>
  <c r="G5" i="43" a="1"/>
  <c r="H15" i="42" a="1"/>
  <c r="H13" i="42" a="1"/>
  <c r="H11" i="42" a="1"/>
  <c r="H9" i="42" a="1"/>
  <c r="H7" i="42" a="1"/>
  <c r="H5" i="42" a="1"/>
  <c r="H3" i="42" a="1"/>
  <c r="D2" i="18" a="1"/>
  <c r="B2" i="15" a="1"/>
  <c r="Z4" i="9" a="1"/>
  <c r="J5" i="42" a="1"/>
  <c r="N2" i="7" a="1"/>
  <c r="K2" i="46" a="1"/>
  <c r="C3" i="52" a="1"/>
  <c r="S11" i="56" a="1"/>
  <c r="I17" i="56" a="1"/>
  <c r="H10" i="56" a="1"/>
  <c r="S23" i="12" a="1"/>
  <c r="P8" i="12" a="1"/>
  <c r="K4" i="12" a="1"/>
  <c r="G18" i="12" a="1"/>
  <c r="J3" i="39" a="1"/>
  <c r="L14" i="28" a="1"/>
  <c r="M7" i="28" a="1"/>
  <c r="G13" i="28" a="1"/>
  <c r="E15" i="28" a="1"/>
  <c r="L20" i="1" a="1"/>
  <c r="K14" i="1" a="1"/>
  <c r="F9" i="1" a="1"/>
  <c r="D11" i="49" a="1"/>
  <c r="E11" i="60" a="1"/>
  <c r="H5" i="60" a="1"/>
  <c r="P3" i="12" a="1"/>
  <c r="G9" i="12" a="1"/>
  <c r="B11" i="12" a="1"/>
  <c r="F8" i="39" a="1"/>
  <c r="G12" i="28" a="1"/>
  <c r="E5" i="28" a="1"/>
  <c r="J14" i="1" a="1"/>
  <c r="K11" i="1" a="1"/>
  <c r="G6" i="1" a="1"/>
  <c r="D23" i="1" a="1"/>
  <c r="F10" i="60" a="1"/>
  <c r="G22" i="12" a="1"/>
  <c r="F12" i="60" a="1"/>
  <c r="J10" i="48" a="1"/>
  <c r="H8" i="43" a="1"/>
  <c r="C10" i="42" a="1"/>
  <c r="I5" i="42" a="1"/>
  <c r="F10" i="52" a="1"/>
  <c r="H6" i="52" a="1"/>
  <c r="V10" i="56" a="1"/>
  <c r="B14" i="56" a="1"/>
  <c r="S20" i="12" a="1"/>
  <c r="P18" i="12" a="1"/>
  <c r="Q13" i="12" a="1"/>
  <c r="N11" i="12" a="1"/>
  <c r="M6" i="12" a="1"/>
  <c r="C9" i="55" a="1"/>
  <c r="H10" i="60" a="1"/>
  <c r="D5" i="28" a="1"/>
  <c r="K5" i="1" a="1"/>
  <c r="C18" i="40" a="1"/>
  <c r="G14" i="1" a="1"/>
  <c r="J8" i="1" a="1"/>
  <c r="H5" i="1" a="1"/>
  <c r="E5" i="60" a="1"/>
  <c r="C13" i="40" a="1"/>
  <c r="H6" i="39" a="1"/>
  <c r="L12" i="28" a="1"/>
  <c r="O14" i="1" a="1"/>
  <c r="C10" i="40" a="1"/>
  <c r="F14" i="12" a="1"/>
  <c r="E6" i="12" a="1"/>
  <c r="K4" i="1" a="1"/>
  <c r="H7" i="28" a="1"/>
  <c r="Y4" i="9" a="1"/>
  <c r="D14" i="42" a="1"/>
  <c r="L2" i="15" a="1"/>
  <c r="H2" i="7" a="1"/>
  <c r="J2" i="46" a="1"/>
  <c r="E10" i="52" a="1"/>
  <c r="V17" i="56" a="1"/>
  <c r="U10" i="56" a="1"/>
  <c r="H17" i="56" a="1"/>
  <c r="G10" i="56" a="1"/>
  <c r="N23" i="12" a="1"/>
  <c r="O8" i="12" a="1"/>
  <c r="O3" i="12" a="1"/>
  <c r="F18" i="12" a="1"/>
  <c r="J2" i="39" a="1"/>
  <c r="F4" i="39" a="1"/>
  <c r="K14" i="28" a="1"/>
  <c r="L7" i="28" a="1"/>
  <c r="H11" i="28" a="1"/>
  <c r="D15" i="28" a="1"/>
  <c r="K20" i="1" a="1"/>
  <c r="I14" i="1" a="1"/>
  <c r="L8" i="1" a="1"/>
  <c r="L5" i="1" a="1"/>
  <c r="D10" i="49" a="1"/>
  <c r="G10" i="60" a="1"/>
  <c r="G5" i="60" a="1"/>
  <c r="G6" i="52" a="1"/>
  <c r="B13" i="56" a="1"/>
  <c r="M23" i="12" a="1"/>
  <c r="R20" i="12" a="1"/>
  <c r="K18" i="12" a="1"/>
  <c r="P13" i="12" a="1"/>
  <c r="M11" i="12" a="1"/>
  <c r="L6" i="12" a="1"/>
  <c r="N3" i="12" a="1"/>
  <c r="F9" i="12" a="1"/>
  <c r="C15" i="1" a="1"/>
  <c r="L13" i="28" a="1"/>
  <c r="C11" i="40" a="1"/>
  <c r="L4" i="28" a="1"/>
  <c r="K7" i="1" a="1"/>
  <c r="L4" i="1" a="1"/>
  <c r="D5" i="49" a="1"/>
  <c r="C10" i="39" a="1"/>
  <c r="I13" i="1" a="1"/>
  <c r="H3" i="60" a="1"/>
  <c r="B3" i="12" a="1"/>
  <c r="E11" i="52" a="1"/>
  <c r="H11" i="60" a="1"/>
  <c r="F11" i="60" a="1"/>
  <c r="J9" i="48" a="1"/>
  <c r="G8" i="43" a="1"/>
  <c r="J9" i="42" a="1"/>
  <c r="G2" i="7" a="1"/>
  <c r="B10" i="12" a="1"/>
  <c r="F3" i="39" a="1"/>
  <c r="G11" i="28" a="1"/>
  <c r="J11" i="1" a="1"/>
  <c r="M6" i="28" a="1"/>
  <c r="C15" i="40" a="1"/>
  <c r="C18" i="55" a="1"/>
  <c r="G19" i="1" a="1"/>
  <c r="G12" i="60" a="1"/>
  <c r="G5" i="28" a="1"/>
  <c r="F15" i="1" a="1"/>
  <c r="R13" i="12" a="1"/>
  <c r="N6" i="12" a="1"/>
  <c r="H6" i="1" a="1"/>
  <c r="J8" i="48" a="1"/>
  <c r="C14" i="42" a="1"/>
  <c r="I9" i="42" a="1"/>
  <c r="J4" i="42" a="1"/>
  <c r="I2" i="15" a="1"/>
  <c r="D2" i="46" a="1"/>
  <c r="D10" i="52" a="1"/>
  <c r="S10" i="56" a="1"/>
  <c r="G16" i="56" a="1"/>
  <c r="J9" i="56" a="1"/>
  <c r="L23" i="12" a="1"/>
  <c r="S15" i="12" a="1"/>
  <c r="N8" i="12" a="1"/>
  <c r="E18" i="12" a="1"/>
  <c r="H14" i="39" a="1"/>
  <c r="F2" i="39" a="1"/>
  <c r="M13" i="28" a="1"/>
  <c r="K7" i="28" a="1"/>
  <c r="H10" i="28" a="1"/>
  <c r="E14" i="28" a="1"/>
  <c r="J20" i="1" a="1"/>
  <c r="H14" i="1" a="1"/>
  <c r="K8" i="1" a="1"/>
  <c r="J5" i="1" a="1"/>
  <c r="D9" i="49" a="1"/>
  <c r="F5" i="60" a="1"/>
  <c r="I11" i="1" a="1"/>
  <c r="I5" i="1" a="1"/>
  <c r="C14" i="1" a="1"/>
  <c r="C17" i="40" a="1"/>
  <c r="M8" i="12" a="1"/>
  <c r="G15" i="12" a="1"/>
  <c r="H13" i="39" a="1"/>
  <c r="C14" i="39" a="1"/>
  <c r="H4" i="60" a="1"/>
  <c r="F5" i="1" a="1"/>
  <c r="D6" i="49" a="1"/>
  <c r="G4" i="60" a="1"/>
  <c r="O10" i="1" a="1"/>
  <c r="S9" i="12" a="1"/>
  <c r="P4" i="12" a="1"/>
  <c r="F13" i="1" a="1"/>
  <c r="K9" i="1" a="1"/>
  <c r="G4" i="1" a="1"/>
  <c r="E4" i="52" a="1"/>
  <c r="V5" i="56" a="1"/>
  <c r="W4" i="9" a="1"/>
  <c r="E2" i="7" a="1"/>
  <c r="C2" i="46" a="1"/>
  <c r="F6" i="52" a="1"/>
  <c r="T17" i="56" a="1"/>
  <c r="J15" i="56" a="1"/>
  <c r="I9" i="56" a="1"/>
  <c r="Q20" i="12" a="1"/>
  <c r="R15" i="12" a="1"/>
  <c r="O13" i="12" a="1"/>
  <c r="Q10" i="12" a="1"/>
  <c r="K6" i="12" a="1"/>
  <c r="M3" i="12" a="1"/>
  <c r="E9" i="12" a="1"/>
  <c r="B9" i="12" a="1"/>
  <c r="G10" i="28" a="1"/>
  <c r="E4" i="28" a="1"/>
  <c r="H20" i="1" a="1"/>
  <c r="E10" i="60" a="1"/>
  <c r="K23" i="12" a="1"/>
  <c r="P10" i="12" a="1"/>
  <c r="G7" i="12" a="1"/>
  <c r="D14" i="28" a="1"/>
  <c r="G20" i="1" a="1"/>
  <c r="D8" i="49" a="1"/>
  <c r="K13" i="1" a="1"/>
  <c r="F4" i="60" a="1"/>
  <c r="G8" i="60" a="1"/>
  <c r="F2" i="5" a="1"/>
  <c r="D8" i="52" a="1"/>
  <c r="G4" i="12" a="1"/>
  <c r="H15" i="28" a="1"/>
  <c r="C11" i="52" a="1"/>
  <c r="J7" i="39" a="1"/>
  <c r="F4" i="1" a="1"/>
  <c r="N4" i="12" a="1"/>
  <c r="J6" i="39" a="1"/>
  <c r="G9" i="1" a="1"/>
  <c r="K21" i="12" a="1"/>
  <c r="O11" i="12" a="1"/>
  <c r="L14" i="1" a="1"/>
  <c r="J7" i="48" a="1"/>
  <c r="V4" i="9" a="1"/>
  <c r="G7" i="43" a="1"/>
  <c r="J13" i="42" a="1"/>
  <c r="G4" i="42" a="1"/>
  <c r="H2" i="15" a="1"/>
  <c r="G9" i="52" a="1"/>
  <c r="E6" i="52" a="1"/>
  <c r="V9" i="56" a="1"/>
  <c r="I15" i="56" a="1"/>
  <c r="B11" i="56" a="1"/>
  <c r="I13" i="42" a="1"/>
  <c r="D2" i="7" a="1"/>
  <c r="A2" i="46" a="1"/>
  <c r="F9" i="52" a="1"/>
  <c r="S17" i="56" a="1"/>
  <c r="H9" i="56" a="1"/>
  <c r="P20" i="12" a="1"/>
  <c r="Q15" i="12" a="1"/>
  <c r="N13" i="12" a="1"/>
  <c r="O10" i="12" a="1"/>
  <c r="S5" i="12" a="1"/>
  <c r="L3" i="12" a="1"/>
  <c r="F7" i="12" a="1"/>
  <c r="B8" i="12" a="1"/>
  <c r="H9" i="28" a="1"/>
  <c r="D4" i="28" a="1"/>
  <c r="F20" i="1" a="1"/>
  <c r="H11" i="1" a="1"/>
  <c r="C13" i="1" a="1"/>
  <c r="C14" i="40" a="1"/>
  <c r="H9" i="60" a="1"/>
  <c r="K13" i="28" a="1"/>
  <c r="L6" i="28" a="1"/>
  <c r="E13" i="28" a="1"/>
  <c r="L19" i="1" a="1"/>
  <c r="I8" i="1" a="1"/>
  <c r="G5" i="1" a="1"/>
  <c r="D7" i="49" a="1"/>
  <c r="M11" i="28" a="1"/>
  <c r="J6" i="48" a="1"/>
  <c r="M4" i="9" a="1"/>
  <c r="H6" i="43" a="1"/>
  <c r="G8" i="42" a="1"/>
  <c r="F4" i="42" a="1"/>
  <c r="E9" i="52" a="1"/>
  <c r="D6" i="52" a="1"/>
  <c r="G15" i="56" a="1"/>
  <c r="B10" i="56" a="1"/>
  <c r="S22" i="12" a="1"/>
  <c r="L8" i="12" a="1"/>
  <c r="F15" i="12" a="1"/>
  <c r="E7" i="12" a="1"/>
  <c r="H12" i="39" a="1"/>
  <c r="C13" i="39" a="1"/>
  <c r="F14" i="1" a="1"/>
  <c r="J10" i="42" a="1"/>
  <c r="F12" i="39" a="1"/>
  <c r="D12" i="49" a="1"/>
  <c r="Q18" i="12" a="1"/>
  <c r="E10" i="12" a="1"/>
  <c r="F3" i="1" a="1"/>
  <c r="F2" i="15" a="1"/>
  <c r="J12" i="52" a="1"/>
  <c r="V16" i="56" a="1"/>
  <c r="T9" i="56" a="1"/>
  <c r="G8" i="56" a="1"/>
  <c r="O20" i="12" a="1"/>
  <c r="P15" i="12" a="1"/>
  <c r="M13" i="12" a="1"/>
  <c r="N10" i="12" a="1"/>
  <c r="R5" i="12" a="1"/>
  <c r="K3" i="12" a="1"/>
  <c r="B7" i="12" a="1"/>
  <c r="M5" i="28" a="1"/>
  <c r="G9" i="28" a="1"/>
  <c r="E3" i="28" a="1"/>
  <c r="K19" i="1" a="1"/>
  <c r="G11" i="1" a="1"/>
  <c r="G8" i="1" a="1"/>
  <c r="C12" i="1" a="1"/>
  <c r="C12" i="40" a="1"/>
  <c r="G9" i="60" a="1"/>
  <c r="C9" i="40" a="1"/>
  <c r="H19" i="1" a="1"/>
  <c r="K10" i="1" a="1"/>
  <c r="C9" i="1" a="1"/>
  <c r="C19" i="55" a="1"/>
  <c r="M3" i="28" a="1"/>
  <c r="M12" i="12" a="1"/>
  <c r="C8" i="1" a="1"/>
  <c r="F3" i="60" a="1"/>
  <c r="S6" i="56" a="1"/>
  <c r="C9" i="13" a="1"/>
  <c r="C6" i="39" a="1"/>
  <c r="C3" i="1" a="1"/>
  <c r="I5" i="56" a="1"/>
  <c r="O4" i="12" a="1"/>
  <c r="F20" i="12" a="1"/>
  <c r="G15" i="28" a="1"/>
  <c r="D15" i="49" a="1"/>
  <c r="C3" i="39" a="1"/>
  <c r="E7" i="28" a="1"/>
  <c r="E7" i="60" a="1"/>
  <c r="H12" i="1" a="1"/>
  <c r="L3" i="1" a="1"/>
  <c r="H13" i="28" a="1"/>
  <c r="D10" i="42" a="1"/>
  <c r="C10" i="55" a="1"/>
  <c r="L4" i="9" a="1"/>
  <c r="G6" i="43" a="1"/>
  <c r="F8" i="42" a="1"/>
  <c r="B2" i="7" a="1"/>
  <c r="C9" i="52" a="1"/>
  <c r="G5" i="52" a="1"/>
  <c r="U16" i="56" a="1"/>
  <c r="J14" i="56" a="1"/>
  <c r="J7" i="56" a="1"/>
  <c r="B9" i="56" a="1"/>
  <c r="R22" i="12" a="1"/>
  <c r="K8" i="12" a="1"/>
  <c r="N5" i="12" a="1"/>
  <c r="E15" i="12" a="1"/>
  <c r="G6" i="12" a="1"/>
  <c r="H11" i="39" a="1"/>
  <c r="C12" i="39" a="1"/>
  <c r="M12" i="28" a="1"/>
  <c r="K5" i="28" a="1"/>
  <c r="D13" i="28" a="1"/>
  <c r="L13" i="1" a="1"/>
  <c r="F8" i="1" a="1"/>
  <c r="H5" i="56" a="1"/>
  <c r="G3" i="1" a="1"/>
  <c r="J4" i="48" a="1"/>
  <c r="K4" i="9" a="1"/>
  <c r="H5" i="43" a="1"/>
  <c r="G12" i="42" a="1"/>
  <c r="D4" i="42" a="1"/>
  <c r="E2" i="15" a="1"/>
  <c r="F5" i="52" a="1"/>
  <c r="S9" i="56" a="1"/>
  <c r="I7" i="56" a="1"/>
  <c r="B8" i="56" a="1"/>
  <c r="N20" i="12" a="1"/>
  <c r="O15" i="12" a="1"/>
  <c r="L13" i="12" a="1"/>
  <c r="M10" i="12" a="1"/>
  <c r="M5" i="12" a="1"/>
  <c r="G23" i="12" a="1"/>
  <c r="B6" i="12" a="1"/>
  <c r="H7" i="39" a="1"/>
  <c r="M4" i="28" a="1"/>
  <c r="H8" i="28" a="1"/>
  <c r="D3" i="28" a="1"/>
  <c r="J19" i="1" a="1"/>
  <c r="F11" i="1" a="1"/>
  <c r="L7" i="1" a="1"/>
  <c r="C11" i="1" a="1"/>
  <c r="F9" i="60" a="1"/>
  <c r="C11" i="39" a="1"/>
  <c r="E12" i="28" a="1"/>
  <c r="J4" i="1" a="1"/>
  <c r="G7" i="28" a="1"/>
  <c r="H12" i="60" a="1"/>
  <c r="B2" i="47" a="1"/>
  <c r="M8" i="28" a="1"/>
  <c r="F14" i="42" a="1"/>
  <c r="J17" i="56" a="1"/>
  <c r="B12" i="12" a="1"/>
  <c r="N2" i="38" a="1"/>
  <c r="A2" i="7" a="1"/>
  <c r="H12" i="52" a="1"/>
  <c r="J8" i="52" a="1"/>
  <c r="E5" i="52" a="1"/>
  <c r="T16" i="56" a="1"/>
  <c r="H7" i="56" a="1"/>
  <c r="Q22" i="12" a="1"/>
  <c r="S7" i="12" a="1"/>
  <c r="L5" i="12" a="1"/>
  <c r="G14" i="12" a="1"/>
  <c r="F6" i="12" a="1"/>
  <c r="H7" i="1" a="1"/>
  <c r="C17" i="55" a="1"/>
  <c r="E8" i="60" a="1"/>
  <c r="E8" i="28" a="1"/>
  <c r="H14" i="28" a="1"/>
  <c r="I9" i="1" a="1"/>
  <c r="J4" i="9" a="1"/>
  <c r="F12" i="42" a="1"/>
  <c r="D8" i="42" a="1"/>
  <c r="C4" i="42" a="1"/>
  <c r="D2" i="15" a="1"/>
  <c r="V8" i="56" a="1"/>
  <c r="H14" i="56" a="1"/>
  <c r="B7" i="56" a="1"/>
  <c r="R19" i="12" a="1"/>
  <c r="N15" i="12" a="1"/>
  <c r="K13" i="12" a="1"/>
  <c r="L10" i="12" a="1"/>
  <c r="F23" i="12" a="1"/>
  <c r="B5" i="12" a="1"/>
  <c r="H5" i="39" a="1"/>
  <c r="G8" i="28" a="1"/>
  <c r="O13" i="1" a="1"/>
  <c r="I19" i="1" a="1"/>
  <c r="L10" i="1" a="1"/>
  <c r="J7" i="1" a="1"/>
  <c r="C10" i="1" a="1"/>
  <c r="C21" i="55" a="1"/>
  <c r="E9" i="60" a="1"/>
  <c r="N2" i="47" a="1"/>
  <c r="G12" i="52" a="1"/>
  <c r="C5" i="52" a="1"/>
  <c r="S15" i="56" a="1"/>
  <c r="U8" i="56" a="1"/>
  <c r="G7" i="56" a="1"/>
  <c r="P22" i="12" a="1"/>
  <c r="Q19" i="12" a="1"/>
  <c r="R7" i="12" a="1"/>
  <c r="K5" i="12" a="1"/>
  <c r="K12" i="28" a="1"/>
  <c r="K4" i="28" a="1"/>
  <c r="D12" i="28" a="1"/>
  <c r="O12" i="1" a="1"/>
  <c r="J13" i="1" a="1"/>
  <c r="C20" i="55" a="1"/>
  <c r="E4" i="60" a="1"/>
  <c r="I7" i="1" a="1"/>
  <c r="H8" i="60" a="1"/>
  <c r="I10" i="1" a="1"/>
  <c r="L15" i="12" a="1"/>
  <c r="F12" i="12" a="1"/>
  <c r="C5" i="39" a="1"/>
  <c r="O6" i="1" a="1"/>
  <c r="F7" i="60" a="1"/>
  <c r="Q6" i="12" a="1"/>
  <c r="K6" i="1" a="1"/>
  <c r="C13" i="55" a="1"/>
  <c r="E2" i="38" a="1"/>
  <c r="C2" i="15" a="1"/>
  <c r="H3" i="39" a="1"/>
  <c r="I4" i="9" a="1"/>
  <c r="C7" i="43" a="1"/>
  <c r="C8" i="42" a="1"/>
  <c r="J3" i="42" a="1"/>
  <c r="M2" i="47" a="1"/>
  <c r="H8" i="52" a="1"/>
  <c r="V14" i="56" a="1"/>
  <c r="G14" i="56" a="1"/>
  <c r="C14" i="13" a="1"/>
  <c r="P19" i="12" a="1"/>
  <c r="M15" i="12" a="1"/>
  <c r="O12" i="12" a="1"/>
  <c r="K10" i="12" a="1"/>
  <c r="E23" i="12" a="1"/>
  <c r="E13" i="12" a="1"/>
  <c r="B4" i="12" a="1"/>
  <c r="H4" i="39" a="1"/>
  <c r="O11" i="1" a="1"/>
  <c r="C9" i="39" a="1"/>
  <c r="E11" i="28" a="1"/>
  <c r="L9" i="28" a="1"/>
  <c r="G7" i="52" a="1"/>
  <c r="O21" i="12" a="1"/>
  <c r="J12" i="1" a="1"/>
  <c r="E11" i="12" a="1"/>
  <c r="J15" i="1" a="1"/>
  <c r="E4" i="12" a="1"/>
  <c r="M15" i="28" a="1"/>
  <c r="D14" i="49" a="1"/>
  <c r="L11" i="1" a="1"/>
  <c r="D2" i="38" a="1"/>
  <c r="D12" i="42" a="1"/>
  <c r="I3" i="42" a="1"/>
  <c r="F12" i="52" a="1"/>
  <c r="J4" i="52" a="1"/>
  <c r="U14" i="56" a="1"/>
  <c r="T8" i="56" a="1"/>
  <c r="J6" i="56" a="1"/>
  <c r="C13" i="13" a="1"/>
  <c r="O22" i="12" a="1"/>
  <c r="N12" i="12" a="1"/>
  <c r="Q7" i="12" a="1"/>
  <c r="S4" i="12" a="1"/>
  <c r="G12" i="12" a="1"/>
  <c r="G5" i="12" a="1"/>
  <c r="C8" i="40" a="1"/>
  <c r="O19" i="12" a="1"/>
  <c r="G12" i="56" a="1"/>
  <c r="C2" i="38" a="1"/>
  <c r="C6" i="43" a="1"/>
  <c r="J7" i="42" a="1"/>
  <c r="J2" i="5" a="1"/>
  <c r="L2" i="47" a="1"/>
  <c r="E12" i="52" a="1"/>
  <c r="G8" i="52" a="1"/>
  <c r="J13" i="56" a="1"/>
  <c r="C12" i="13" a="1"/>
  <c r="K11" i="28" a="1"/>
  <c r="H10" i="1" a="1"/>
  <c r="K9" i="28" a="1"/>
  <c r="G4" i="9" a="1"/>
  <c r="C12" i="42" a="1"/>
  <c r="I7" i="42" a="1"/>
  <c r="I2" i="5" a="1"/>
  <c r="S14" i="56" a="1"/>
  <c r="S7" i="56" a="1"/>
  <c r="I13" i="56" a="1"/>
  <c r="C11" i="13" a="1"/>
  <c r="N22" i="12" a="1"/>
  <c r="P7" i="12" a="1"/>
  <c r="R4" i="12" a="1"/>
  <c r="F5" i="12" a="1"/>
  <c r="C8" i="39" a="1"/>
  <c r="L10" i="28" a="1"/>
  <c r="L3" i="28" a="1"/>
  <c r="D11" i="28" a="1"/>
  <c r="H13" i="1" a="1"/>
  <c r="G10" i="1" a="1"/>
  <c r="I4" i="1" a="1"/>
  <c r="C7" i="40" a="1"/>
  <c r="E3" i="60" a="1"/>
  <c r="F19" i="1" a="1"/>
  <c r="F10" i="1" a="1"/>
  <c r="G7" i="1" a="1"/>
  <c r="C7" i="1" a="1"/>
  <c r="C16" i="55" a="1"/>
  <c r="J9" i="39" a="1"/>
  <c r="F7" i="1" a="1"/>
  <c r="C4" i="1" a="1"/>
  <c r="C15" i="55" a="1"/>
  <c r="C2" i="47" a="1"/>
  <c r="J8" i="39" a="1"/>
  <c r="G19" i="12" a="1"/>
  <c r="G4" i="28" a="1"/>
  <c r="H6" i="60" a="1"/>
  <c r="D18" i="28" a="1"/>
  <c r="F9" i="39" a="1"/>
  <c r="B2" i="38" a="1"/>
  <c r="F4" i="9" a="1"/>
  <c r="N2" i="18" a="1"/>
  <c r="F2" i="47" a="1"/>
  <c r="D12" i="52" a="1"/>
  <c r="F8" i="52" a="1"/>
  <c r="H4" i="52" a="1"/>
  <c r="V6" i="56" a="1"/>
  <c r="H6" i="56" a="1"/>
  <c r="M22" i="12" a="1"/>
  <c r="N19" i="12" a="1"/>
  <c r="K15" i="12" a="1"/>
  <c r="L12" i="12" a="1"/>
  <c r="R9" i="12" a="1"/>
  <c r="L7" i="12" a="1"/>
  <c r="F22" i="12" a="1"/>
  <c r="E12" i="12" a="1"/>
  <c r="J14" i="39" a="1"/>
  <c r="H2" i="39" a="1"/>
  <c r="K10" i="28" a="1"/>
  <c r="H6" i="28" a="1"/>
  <c r="D10" i="28" a="1"/>
  <c r="F8" i="60" a="1"/>
  <c r="G6" i="28" a="1"/>
  <c r="D9" i="28" a="1"/>
  <c r="L15" i="1" a="1"/>
  <c r="J9" i="1" a="1"/>
  <c r="C4" i="43" a="1"/>
  <c r="J11" i="42" a="1"/>
  <c r="G2" i="5" a="1"/>
  <c r="E2" i="47" a="1"/>
  <c r="E8" i="52" a="1"/>
  <c r="V13" i="56" a="1"/>
  <c r="U6" i="56" a="1"/>
  <c r="H13" i="56" a="1"/>
  <c r="C10" i="13" a="1"/>
  <c r="K7" i="12" a="1"/>
  <c r="Q4" i="12" a="1"/>
  <c r="E5" i="12" a="1"/>
  <c r="J10" i="39" a="1"/>
  <c r="C7" i="39" a="1"/>
  <c r="M9" i="28" a="1"/>
  <c r="K3" i="28" a="1"/>
  <c r="E9" i="28" a="1"/>
  <c r="O8" i="1" a="1"/>
  <c r="G13" i="1" a="1"/>
  <c r="L9" i="1" a="1"/>
  <c r="H4" i="1" a="1"/>
  <c r="C5" i="1" a="1"/>
  <c r="C6" i="40" a="1"/>
  <c r="A2" i="38" a="1"/>
  <c r="I11" i="42" a="1"/>
  <c r="J6" i="42" a="1"/>
  <c r="K2" i="18" a="1"/>
  <c r="F11" i="52" a="1"/>
  <c r="G4" i="52" a="1"/>
  <c r="G6" i="56" a="1"/>
  <c r="L22" i="12" a="1"/>
  <c r="M19" i="12" a="1"/>
  <c r="S14" i="12" a="1"/>
  <c r="K12" i="12" a="1"/>
  <c r="Q9" i="12" a="1"/>
  <c r="S6" i="12" a="1"/>
  <c r="E22" i="12" a="1"/>
  <c r="G11" i="12" a="1"/>
  <c r="F14" i="39" a="1"/>
  <c r="I11" i="56" a="1"/>
  <c r="F4" i="12" a="1"/>
  <c r="E2" i="18" a="1"/>
  <c r="A4" i="9" a="1"/>
  <c r="C3" i="43" a="1"/>
  <c r="G6" i="42" a="1"/>
  <c r="J2" i="18" a="1"/>
  <c r="F4" i="52" a="1"/>
  <c r="T13" i="56" a="1"/>
  <c r="J11" i="56" a="1"/>
  <c r="J5" i="56" a="1"/>
  <c r="P21" i="12" a="1"/>
  <c r="L19" i="12" a="1"/>
  <c r="R14" i="12" a="1"/>
  <c r="S11" i="12" a="1"/>
  <c r="P9" i="12" a="1"/>
  <c r="R6" i="12" a="1"/>
  <c r="G21" i="12" a="1"/>
  <c r="F11" i="12" a="1"/>
  <c r="F13" i="39" a="1"/>
  <c r="H5" i="28" a="1"/>
  <c r="D8" i="28" a="1"/>
  <c r="K15" i="1" a="1"/>
  <c r="K12" i="1" a="1"/>
  <c r="L6" i="1" a="1"/>
  <c r="D16" i="49" a="1"/>
  <c r="C14" i="55" a="1"/>
  <c r="H7" i="60" a="1"/>
  <c r="J15" i="42" a="1"/>
  <c r="AM4" i="9" a="1"/>
  <c r="AL4" i="9" a="1"/>
  <c r="G15" i="43" a="1"/>
  <c r="I15" i="42" a="1"/>
  <c r="F6" i="42" a="1"/>
  <c r="D2" i="5" a="1"/>
  <c r="F7" i="52" a="1"/>
  <c r="S13" i="56" a="1"/>
  <c r="H11" i="56" a="1"/>
  <c r="C7" i="13" a="1"/>
  <c r="N21" i="12" a="1"/>
  <c r="K19" i="12" a="1"/>
  <c r="M14" i="12" a="1"/>
  <c r="R11" i="12" a="1"/>
  <c r="O9" i="12" a="1"/>
  <c r="E20" i="12" a="1"/>
  <c r="I12" i="1" a="1"/>
  <c r="D4" i="52" a="1"/>
  <c r="G10" i="42" a="1"/>
  <c r="H2" i="18" a="1"/>
  <c r="J10" i="52" a="1"/>
  <c r="E7" i="52" a="1"/>
  <c r="L14" i="12" a="1"/>
  <c r="E6" i="60" a="1"/>
  <c r="G10" i="52" a="1"/>
  <c r="AC4" i="9" a="1"/>
  <c r="H14" i="43" a="1"/>
  <c r="C2" i="5" a="1"/>
  <c r="N2" i="46" a="1"/>
  <c r="V12" i="56" a="1"/>
  <c r="T5" i="56" a="1"/>
  <c r="G11" i="56" a="1"/>
  <c r="C6" i="13" a="1"/>
  <c r="M21" i="12" a="1"/>
  <c r="S18" i="12" a="1"/>
  <c r="K14" i="12" a="1"/>
  <c r="Q11" i="12" a="1"/>
  <c r="N9" i="12" a="1"/>
  <c r="P6" i="12" a="1"/>
  <c r="G10" i="12" a="1"/>
  <c r="F11" i="39" a="1"/>
  <c r="L15" i="28" a="1"/>
  <c r="H3" i="28" a="1"/>
  <c r="D7" i="28" a="1"/>
  <c r="I15" i="1" a="1"/>
  <c r="G12" i="1" a="1"/>
  <c r="J6" i="1" a="1"/>
  <c r="J3" i="1" a="1"/>
  <c r="C12" i="55" a="1"/>
  <c r="G6" i="60" a="1"/>
  <c r="G3" i="52" a="1"/>
  <c r="S8" i="12" a="1"/>
  <c r="M4" i="12" a="1"/>
  <c r="F6" i="60" a="1"/>
  <c r="F10" i="39" a="1"/>
  <c r="E6" i="28" a="1"/>
  <c r="H15" i="1" a="1"/>
  <c r="K8" i="28" a="1"/>
  <c r="D6" i="28" a="1"/>
  <c r="F10" i="42" a="1"/>
  <c r="D6" i="42" a="1"/>
  <c r="G2" i="18" a="1"/>
  <c r="C7" i="52" a="1"/>
  <c r="U12" i="56" a="1"/>
  <c r="C23" i="56" a="1"/>
  <c r="F19" i="12" a="1"/>
  <c r="G3" i="12" a="1"/>
  <c r="J5" i="39" a="1"/>
  <c r="K15" i="28" a="1"/>
  <c r="L8" i="28" a="1"/>
  <c r="G14" i="28" a="1"/>
  <c r="G3" i="28" a="1"/>
  <c r="H9" i="1" a="1"/>
  <c r="I3" i="1" a="1"/>
  <c r="D13" i="49" a="1"/>
  <c r="E12" i="60" a="1"/>
  <c r="F12" i="1" a="1"/>
  <c r="I6" i="1" a="1"/>
  <c r="H3" i="1" a="1"/>
  <c r="C11" i="55" a="1"/>
  <c r="L2" i="46" a="1"/>
  <c r="B15" i="56" a="1"/>
  <c r="AB4" i="9" a="1"/>
  <c r="G14" i="43" a="1"/>
  <c r="G14" i="42" a="1"/>
  <c r="B2" i="5" a="1"/>
  <c r="M2" i="46" a="1"/>
  <c r="H10" i="52" a="1"/>
  <c r="F3" i="52" a="1"/>
  <c r="S5" i="56" a="1"/>
  <c r="J10" i="56" a="1"/>
  <c r="B17" i="56" a="1"/>
  <c r="C5" i="13" a="1"/>
  <c r="L21" i="12" a="1"/>
  <c r="R18" i="12" a="1"/>
  <c r="S13" i="12" a="1"/>
  <c r="P11" i="12" a="1"/>
  <c r="R8" i="12" a="1"/>
  <c r="O6" i="12" a="1"/>
  <c r="F10" i="12" a="1"/>
  <c r="B14" i="12" a="1"/>
  <c r="E18" i="28" a="1"/>
  <c r="AA4" i="9" a="1"/>
  <c r="H13" i="43" a="1"/>
  <c r="C6" i="42" a="1"/>
  <c r="F2" i="18" a="1"/>
  <c r="A2" i="5" a="1"/>
  <c r="J6" i="52" a="1"/>
  <c r="E3" i="52" a="1"/>
  <c r="T12" i="56" a="1"/>
  <c r="B16" i="56" a="1"/>
  <c r="C4" i="13" a="1"/>
  <c r="Q8" i="12" a="1"/>
  <c r="L4" i="12" a="1"/>
  <c r="E19" i="12" a="1"/>
  <c r="B13" i="12" a="1"/>
  <c r="J4" i="39" a="1"/>
  <c r="M14" i="28" a="1"/>
  <c r="M14" i="28" l="1"/>
  <c r="J4" i="39"/>
  <c r="B13" i="12"/>
  <c r="E19" i="12"/>
  <c r="L4" i="12"/>
  <c r="Q8" i="12"/>
  <c r="C4" i="13"/>
  <c r="B16" i="56"/>
  <c r="T12" i="56"/>
  <c r="E3" i="52"/>
  <c r="J6" i="52"/>
  <c r="A2" i="5"/>
  <c r="F2" i="18"/>
  <c r="C6" i="42"/>
  <c r="H13" i="43"/>
  <c r="AA4" i="9"/>
  <c r="E18" i="28"/>
  <c r="B14" i="12"/>
  <c r="F10" i="12"/>
  <c r="O6" i="12"/>
  <c r="R8" i="12"/>
  <c r="P11" i="12"/>
  <c r="S13" i="12"/>
  <c r="R18" i="12"/>
  <c r="L21" i="12"/>
  <c r="C5" i="13"/>
  <c r="B17" i="56"/>
  <c r="J10" i="56"/>
  <c r="S5" i="56"/>
  <c r="F3" i="52"/>
  <c r="H10" i="52"/>
  <c r="M2" i="46"/>
  <c r="B2" i="5"/>
  <c r="G14" i="42"/>
  <c r="G14" i="43"/>
  <c r="AB4" i="9"/>
  <c r="B15" i="56"/>
  <c r="L2" i="46"/>
  <c r="C11" i="55"/>
  <c r="H3" i="1"/>
  <c r="I6" i="1"/>
  <c r="F12" i="1"/>
  <c r="E12" i="60"/>
  <c r="D13" i="49"/>
  <c r="I3" i="1"/>
  <c r="H9" i="1"/>
  <c r="G3" i="28"/>
  <c r="G14" i="28"/>
  <c r="L8" i="28"/>
  <c r="K15" i="28"/>
  <c r="J5" i="39"/>
  <c r="G3" i="12"/>
  <c r="F19" i="12"/>
  <c r="C23" i="56"/>
  <c r="U12" i="56"/>
  <c r="C7" i="52"/>
  <c r="G2" i="18"/>
  <c r="D6" i="42"/>
  <c r="F10" i="42"/>
  <c r="D6" i="28"/>
  <c r="K8" i="28"/>
  <c r="H15" i="1"/>
  <c r="E6" i="28"/>
  <c r="F10" i="39"/>
  <c r="F6" i="60"/>
  <c r="M4" i="12"/>
  <c r="S8" i="12"/>
  <c r="G3" i="52"/>
  <c r="G6" i="60"/>
  <c r="C12" i="55"/>
  <c r="J3" i="1"/>
  <c r="J6" i="1"/>
  <c r="G12" i="1"/>
  <c r="I15" i="1"/>
  <c r="D7" i="28"/>
  <c r="H3" i="28"/>
  <c r="L15" i="28"/>
  <c r="F11" i="39"/>
  <c r="G10" i="12"/>
  <c r="P6" i="12"/>
  <c r="N9" i="12"/>
  <c r="Q11" i="12"/>
  <c r="K14" i="12"/>
  <c r="S18" i="12"/>
  <c r="M21" i="12"/>
  <c r="C6" i="13"/>
  <c r="G11" i="56"/>
  <c r="T5" i="56"/>
  <c r="V12" i="56"/>
  <c r="N2" i="46"/>
  <c r="C2" i="5"/>
  <c r="H14" i="43"/>
  <c r="AC4" i="9"/>
  <c r="G10" i="52"/>
  <c r="E6" i="60"/>
  <c r="L14" i="12"/>
  <c r="E7" i="52"/>
  <c r="J10" i="52"/>
  <c r="H2" i="18"/>
  <c r="G10" i="42"/>
  <c r="D4" i="52"/>
  <c r="I12" i="1"/>
  <c r="E20" i="12"/>
  <c r="O9" i="12"/>
  <c r="R11" i="12"/>
  <c r="M14" i="12"/>
  <c r="K19" i="12"/>
  <c r="N21" i="12"/>
  <c r="C7" i="13"/>
  <c r="H11" i="56"/>
  <c r="S13" i="56"/>
  <c r="F7" i="52"/>
  <c r="D2" i="5"/>
  <c r="F6" i="42"/>
  <c r="I15" i="42"/>
  <c r="G15" i="43"/>
  <c r="AL4" i="9"/>
  <c r="AM4" i="9"/>
  <c r="J15" i="42"/>
  <c r="H7" i="60"/>
  <c r="C14" i="55"/>
  <c r="D16" i="49"/>
  <c r="L6" i="1"/>
  <c r="K12" i="1"/>
  <c r="K15" i="1"/>
  <c r="D8" i="28"/>
  <c r="H5" i="28"/>
  <c r="F13" i="39"/>
  <c r="F11" i="12"/>
  <c r="G21" i="12"/>
  <c r="R6" i="12"/>
  <c r="P9" i="12"/>
  <c r="S11" i="12"/>
  <c r="R14" i="12"/>
  <c r="L19" i="12"/>
  <c r="P21" i="12"/>
  <c r="J5" i="56"/>
  <c r="J11" i="56"/>
  <c r="T13" i="56"/>
  <c r="F4" i="52"/>
  <c r="J2" i="18"/>
  <c r="G6" i="42"/>
  <c r="C3" i="43"/>
  <c r="A13" i="9"/>
  <c r="A12" i="9"/>
  <c r="A11" i="9"/>
  <c r="A10" i="9"/>
  <c r="A9" i="9"/>
  <c r="A8" i="9"/>
  <c r="A7" i="9"/>
  <c r="A6" i="9"/>
  <c r="A5" i="9"/>
  <c r="A4" i="9"/>
  <c r="E2" i="18"/>
  <c r="F4" i="12"/>
  <c r="I11" i="56"/>
  <c r="F14" i="39"/>
  <c r="G11" i="12"/>
  <c r="E22" i="12"/>
  <c r="S6" i="12"/>
  <c r="Q9" i="12"/>
  <c r="K12" i="12"/>
  <c r="S14" i="12"/>
  <c r="M19" i="12"/>
  <c r="L22" i="12"/>
  <c r="G6" i="56"/>
  <c r="G4" i="52"/>
  <c r="F11" i="52"/>
  <c r="K2" i="18"/>
  <c r="J6" i="42"/>
  <c r="I11" i="42"/>
  <c r="A2" i="38"/>
  <c r="C6" i="40"/>
  <c r="C5" i="1"/>
  <c r="H4" i="1"/>
  <c r="L9" i="1"/>
  <c r="G13" i="1"/>
  <c r="O8" i="1"/>
  <c r="E9" i="28"/>
  <c r="K3" i="28"/>
  <c r="M9" i="28"/>
  <c r="C7" i="39"/>
  <c r="J10" i="39"/>
  <c r="E5" i="12"/>
  <c r="Q4" i="12"/>
  <c r="K7" i="12"/>
  <c r="C10" i="13"/>
  <c r="H13" i="56"/>
  <c r="U6" i="56"/>
  <c r="V13" i="56"/>
  <c r="E8" i="52"/>
  <c r="E2" i="47"/>
  <c r="G2" i="5"/>
  <c r="J11" i="42"/>
  <c r="C4" i="43"/>
  <c r="J9" i="1"/>
  <c r="L15" i="1"/>
  <c r="D9" i="28"/>
  <c r="G6" i="28"/>
  <c r="F8" i="60"/>
  <c r="D10" i="28"/>
  <c r="H6" i="28"/>
  <c r="K10" i="28"/>
  <c r="H2" i="39"/>
  <c r="J14" i="39"/>
  <c r="E12" i="12"/>
  <c r="F22" i="12"/>
  <c r="L7" i="12"/>
  <c r="R9" i="12"/>
  <c r="L12" i="12"/>
  <c r="K15" i="12"/>
  <c r="N19" i="12"/>
  <c r="M22" i="12"/>
  <c r="H6" i="56"/>
  <c r="V6" i="56"/>
  <c r="H4" i="52"/>
  <c r="F8" i="52"/>
  <c r="D12" i="52"/>
  <c r="F2" i="47"/>
  <c r="N2" i="18"/>
  <c r="F4" i="9"/>
  <c r="B2" i="38"/>
  <c r="F9" i="39"/>
  <c r="D18" i="28"/>
  <c r="H6" i="60"/>
  <c r="G4" i="28"/>
  <c r="G19" i="12"/>
  <c r="J8" i="39"/>
  <c r="C2" i="47"/>
  <c r="C15" i="55"/>
  <c r="C4" i="1"/>
  <c r="F7" i="1"/>
  <c r="J9" i="39"/>
  <c r="C16" i="55"/>
  <c r="C7" i="1"/>
  <c r="G7" i="1"/>
  <c r="F10" i="1"/>
  <c r="F19" i="1"/>
  <c r="E3" i="60"/>
  <c r="C7" i="40"/>
  <c r="I4" i="1"/>
  <c r="G10" i="1"/>
  <c r="H13" i="1"/>
  <c r="D11" i="28"/>
  <c r="L3" i="28"/>
  <c r="L10" i="28"/>
  <c r="C8" i="39"/>
  <c r="F5" i="12"/>
  <c r="R4" i="12"/>
  <c r="P7" i="12"/>
  <c r="N22" i="12"/>
  <c r="C11" i="13"/>
  <c r="I13" i="56"/>
  <c r="S7" i="56"/>
  <c r="S14" i="56"/>
  <c r="I2" i="5"/>
  <c r="I7" i="42"/>
  <c r="C12" i="42"/>
  <c r="G4" i="9"/>
  <c r="K9" i="28"/>
  <c r="H10" i="1"/>
  <c r="K11" i="28"/>
  <c r="C12" i="13"/>
  <c r="J13" i="56"/>
  <c r="G8" i="52"/>
  <c r="E12" i="52"/>
  <c r="L2" i="47"/>
  <c r="J2" i="5"/>
  <c r="J7" i="42"/>
  <c r="C6" i="43"/>
  <c r="C2" i="38"/>
  <c r="G12" i="56"/>
  <c r="O19" i="12"/>
  <c r="C8" i="40"/>
  <c r="G5" i="12"/>
  <c r="G12" i="12"/>
  <c r="S4" i="12"/>
  <c r="Q7" i="12"/>
  <c r="N12" i="12"/>
  <c r="O22" i="12"/>
  <c r="C13" i="13"/>
  <c r="J6" i="56"/>
  <c r="T8" i="56"/>
  <c r="U14" i="56"/>
  <c r="J4" i="52"/>
  <c r="F12" i="52"/>
  <c r="I3" i="42"/>
  <c r="D12" i="42"/>
  <c r="D2" i="38"/>
  <c r="L11" i="1"/>
  <c r="D14" i="49"/>
  <c r="M15" i="28"/>
  <c r="E4" i="12"/>
  <c r="J15" i="1"/>
  <c r="E11" i="12"/>
  <c r="J12" i="1"/>
  <c r="O21" i="12"/>
  <c r="G7" i="52"/>
  <c r="L9" i="28"/>
  <c r="E11" i="28"/>
  <c r="C9" i="39"/>
  <c r="O11" i="1"/>
  <c r="H4" i="39"/>
  <c r="B4" i="12"/>
  <c r="E13" i="12"/>
  <c r="E23" i="12"/>
  <c r="K10" i="12"/>
  <c r="O12" i="12"/>
  <c r="M15" i="12"/>
  <c r="P19" i="12"/>
  <c r="C14" i="13"/>
  <c r="G14" i="56"/>
  <c r="V14" i="56"/>
  <c r="H8" i="52"/>
  <c r="M2" i="47"/>
  <c r="J3" i="42"/>
  <c r="C8" i="42"/>
  <c r="C7" i="43"/>
  <c r="I4" i="9"/>
  <c r="H3" i="39"/>
  <c r="C2" i="15"/>
  <c r="E2" i="38"/>
  <c r="C13" i="55"/>
  <c r="K6" i="1"/>
  <c r="Q6" i="12"/>
  <c r="F7" i="60"/>
  <c r="O6" i="1"/>
  <c r="C5" i="39"/>
  <c r="F12" i="12"/>
  <c r="L15" i="12"/>
  <c r="I10" i="1"/>
  <c r="H8" i="60"/>
  <c r="I7" i="1"/>
  <c r="E4" i="60"/>
  <c r="C20" i="55"/>
  <c r="J13" i="1"/>
  <c r="O12" i="1"/>
  <c r="D12" i="28"/>
  <c r="K4" i="28"/>
  <c r="K12" i="28"/>
  <c r="K5" i="12"/>
  <c r="R7" i="12"/>
  <c r="Q19" i="12"/>
  <c r="P22" i="12"/>
  <c r="G7" i="56"/>
  <c r="U8" i="56"/>
  <c r="S15" i="56"/>
  <c r="C5" i="52"/>
  <c r="G12" i="52"/>
  <c r="N2" i="47"/>
  <c r="E9" i="60"/>
  <c r="C21" i="55"/>
  <c r="C10" i="1"/>
  <c r="J7" i="1"/>
  <c r="L10" i="1"/>
  <c r="I19" i="1"/>
  <c r="O13" i="1"/>
  <c r="G8" i="28"/>
  <c r="H5" i="39"/>
  <c r="B5" i="12"/>
  <c r="F23" i="12"/>
  <c r="L10" i="12"/>
  <c r="K13" i="12"/>
  <c r="N15" i="12"/>
  <c r="R19" i="12"/>
  <c r="B7" i="56"/>
  <c r="H14" i="56"/>
  <c r="V8" i="56"/>
  <c r="D2" i="15"/>
  <c r="C4" i="42"/>
  <c r="D8" i="42"/>
  <c r="F12" i="42"/>
  <c r="J4" i="9"/>
  <c r="I9" i="1"/>
  <c r="H14" i="28"/>
  <c r="E8" i="28"/>
  <c r="E8" i="60"/>
  <c r="C17" i="55"/>
  <c r="H7" i="1"/>
  <c r="F6" i="12"/>
  <c r="G14" i="12"/>
  <c r="L5" i="12"/>
  <c r="S7" i="12"/>
  <c r="Q22" i="12"/>
  <c r="H7" i="56"/>
  <c r="T16" i="56"/>
  <c r="E5" i="52"/>
  <c r="J8" i="52"/>
  <c r="H12" i="52"/>
  <c r="A2" i="7"/>
  <c r="N2" i="38"/>
  <c r="B12" i="12"/>
  <c r="J17" i="56"/>
  <c r="F14" i="42"/>
  <c r="M8" i="28"/>
  <c r="B2" i="47"/>
  <c r="H12" i="60"/>
  <c r="G7" i="28"/>
  <c r="J4" i="1"/>
  <c r="E12" i="28"/>
  <c r="C11" i="39"/>
  <c r="F9" i="60"/>
  <c r="C11" i="1"/>
  <c r="L7" i="1"/>
  <c r="F11" i="1"/>
  <c r="J19" i="1"/>
  <c r="D3" i="28"/>
  <c r="H8" i="28"/>
  <c r="M4" i="28"/>
  <c r="H7" i="39"/>
  <c r="B6" i="12"/>
  <c r="G23" i="12"/>
  <c r="M5" i="12"/>
  <c r="M10" i="12"/>
  <c r="L13" i="12"/>
  <c r="O15" i="12"/>
  <c r="N20" i="12"/>
  <c r="B8" i="56"/>
  <c r="I7" i="56"/>
  <c r="S9" i="56"/>
  <c r="F5" i="52"/>
  <c r="E2" i="15"/>
  <c r="D4" i="42"/>
  <c r="G12" i="42"/>
  <c r="H5" i="43"/>
  <c r="K4" i="9"/>
  <c r="J4" i="48"/>
  <c r="G3" i="1"/>
  <c r="H5" i="56"/>
  <c r="F8" i="1"/>
  <c r="L13" i="1"/>
  <c r="D13" i="28"/>
  <c r="K5" i="28"/>
  <c r="M12" i="28"/>
  <c r="C12" i="39"/>
  <c r="H11" i="39"/>
  <c r="G6" i="12"/>
  <c r="E15" i="12"/>
  <c r="N5" i="12"/>
  <c r="K8" i="12"/>
  <c r="R22" i="12"/>
  <c r="B9" i="56"/>
  <c r="J7" i="56"/>
  <c r="J14" i="56"/>
  <c r="U16" i="56"/>
  <c r="G5" i="52"/>
  <c r="C9" i="52"/>
  <c r="B2" i="7"/>
  <c r="F8" i="42"/>
  <c r="G6" i="43"/>
  <c r="L4" i="9"/>
  <c r="C10" i="55"/>
  <c r="D10" i="42"/>
  <c r="H13" i="28"/>
  <c r="L3" i="1"/>
  <c r="H12" i="1"/>
  <c r="E7" i="60"/>
  <c r="E7" i="28"/>
  <c r="C3" i="39"/>
  <c r="D15" i="49"/>
  <c r="G15" i="28"/>
  <c r="F20" i="12"/>
  <c r="O4" i="12"/>
  <c r="I5" i="56"/>
  <c r="C3" i="1"/>
  <c r="C6" i="39"/>
  <c r="C9" i="13"/>
  <c r="S6" i="56"/>
  <c r="F3" i="60"/>
  <c r="C8" i="1"/>
  <c r="M12" i="12"/>
  <c r="M3" i="28"/>
  <c r="C19" i="55"/>
  <c r="C9" i="1"/>
  <c r="K10" i="1"/>
  <c r="H19" i="1"/>
  <c r="C9" i="40"/>
  <c r="G9" i="60"/>
  <c r="C12" i="40"/>
  <c r="C12" i="1"/>
  <c r="G8" i="1"/>
  <c r="G11" i="1"/>
  <c r="K19" i="1"/>
  <c r="E3" i="28"/>
  <c r="G9" i="28"/>
  <c r="M5" i="28"/>
  <c r="B7" i="12"/>
  <c r="K3" i="12"/>
  <c r="R5" i="12"/>
  <c r="N10" i="12"/>
  <c r="M13" i="12"/>
  <c r="P15" i="12"/>
  <c r="O20" i="12"/>
  <c r="G8" i="56"/>
  <c r="T9" i="56"/>
  <c r="V16" i="56"/>
  <c r="J12" i="52"/>
  <c r="F2" i="15"/>
  <c r="F3" i="1"/>
  <c r="E10" i="12"/>
  <c r="Q18" i="12"/>
  <c r="D12" i="49"/>
  <c r="F12" i="39"/>
  <c r="J10" i="42"/>
  <c r="F14" i="1"/>
  <c r="C13" i="39"/>
  <c r="H12" i="39"/>
  <c r="E7" i="12"/>
  <c r="F15" i="12"/>
  <c r="L8" i="12"/>
  <c r="S22" i="12"/>
  <c r="B10" i="56"/>
  <c r="G15" i="56"/>
  <c r="D6" i="52"/>
  <c r="E9" i="52"/>
  <c r="F4" i="42"/>
  <c r="G8" i="42"/>
  <c r="H6" i="43"/>
  <c r="M4" i="9"/>
  <c r="J6" i="48"/>
  <c r="M11" i="28"/>
  <c r="D7" i="49"/>
  <c r="G5" i="1"/>
  <c r="I8" i="1"/>
  <c r="L19" i="1"/>
  <c r="E13" i="28"/>
  <c r="L6" i="28"/>
  <c r="K13" i="28"/>
  <c r="H9" i="60"/>
  <c r="C14" i="40"/>
  <c r="C13" i="1"/>
  <c r="H11" i="1"/>
  <c r="F20" i="1"/>
  <c r="D4" i="28"/>
  <c r="H9" i="28"/>
  <c r="B8" i="12"/>
  <c r="F7" i="12"/>
  <c r="L3" i="12"/>
  <c r="S5" i="12"/>
  <c r="O10" i="12"/>
  <c r="N13" i="12"/>
  <c r="Q15" i="12"/>
  <c r="P20" i="12"/>
  <c r="H9" i="56"/>
  <c r="S17" i="56"/>
  <c r="F9" i="52"/>
  <c r="A2" i="46"/>
  <c r="D2" i="7"/>
  <c r="I13" i="42"/>
  <c r="B11" i="56"/>
  <c r="I15" i="56"/>
  <c r="V9" i="56"/>
  <c r="E6" i="52"/>
  <c r="G9" i="52"/>
  <c r="H2" i="15"/>
  <c r="G4" i="42"/>
  <c r="J13" i="42"/>
  <c r="G7" i="43"/>
  <c r="V4" i="9"/>
  <c r="J7" i="48"/>
  <c r="L14" i="1"/>
  <c r="O11" i="12"/>
  <c r="K21" i="12"/>
  <c r="G9" i="1"/>
  <c r="J6" i="39"/>
  <c r="N4" i="12"/>
  <c r="F4" i="1"/>
  <c r="J7" i="39"/>
  <c r="C11" i="52"/>
  <c r="H15" i="28"/>
  <c r="G4" i="12"/>
  <c r="D8" i="52"/>
  <c r="F2" i="5"/>
  <c r="G8" i="60"/>
  <c r="F4" i="60"/>
  <c r="K13" i="1"/>
  <c r="D8" i="49"/>
  <c r="G20" i="1"/>
  <c r="D14" i="28"/>
  <c r="G7" i="12"/>
  <c r="P10" i="12"/>
  <c r="K23" i="12"/>
  <c r="E10" i="60"/>
  <c r="H20" i="1"/>
  <c r="E4" i="28"/>
  <c r="G10" i="28"/>
  <c r="B9" i="12"/>
  <c r="E9" i="12"/>
  <c r="M3" i="12"/>
  <c r="K6" i="12"/>
  <c r="Q10" i="12"/>
  <c r="O13" i="12"/>
  <c r="R15" i="12"/>
  <c r="Q20" i="12"/>
  <c r="I9" i="56"/>
  <c r="J15" i="56"/>
  <c r="T17" i="56"/>
  <c r="F6" i="52"/>
  <c r="C2" i="46"/>
  <c r="E2" i="7"/>
  <c r="W4" i="9"/>
  <c r="V5" i="56"/>
  <c r="E4" i="52"/>
  <c r="G4" i="1"/>
  <c r="K9" i="1"/>
  <c r="F13" i="1"/>
  <c r="P4" i="12"/>
  <c r="S9" i="12"/>
  <c r="O10" i="1"/>
  <c r="G4" i="60"/>
  <c r="D6" i="49"/>
  <c r="F5" i="1"/>
  <c r="H4" i="60"/>
  <c r="C14" i="39"/>
  <c r="H13" i="39"/>
  <c r="G15" i="12"/>
  <c r="M8" i="12"/>
  <c r="C17" i="40"/>
  <c r="C14" i="1"/>
  <c r="I5" i="1"/>
  <c r="I11" i="1"/>
  <c r="F5" i="60"/>
  <c r="D9" i="49"/>
  <c r="J5" i="1"/>
  <c r="K8" i="1"/>
  <c r="H14" i="1"/>
  <c r="J20" i="1"/>
  <c r="E14" i="28"/>
  <c r="H10" i="28"/>
  <c r="K7" i="28"/>
  <c r="M13" i="28"/>
  <c r="F2" i="39"/>
  <c r="H14" i="39"/>
  <c r="E18" i="12"/>
  <c r="N8" i="12"/>
  <c r="S15" i="12"/>
  <c r="L23" i="12"/>
  <c r="J9" i="56"/>
  <c r="G16" i="56"/>
  <c r="S10" i="56"/>
  <c r="D10" i="52"/>
  <c r="D2" i="46"/>
  <c r="I2" i="15"/>
  <c r="J4" i="42"/>
  <c r="I9" i="42"/>
  <c r="C14" i="42"/>
  <c r="J8" i="48"/>
  <c r="H6" i="1"/>
  <c r="N6" i="12"/>
  <c r="R13" i="12"/>
  <c r="F15" i="1"/>
  <c r="G5" i="28"/>
  <c r="G12" i="60"/>
  <c r="G19" i="1"/>
  <c r="C18" i="55"/>
  <c r="C15" i="40"/>
  <c r="M6" i="28"/>
  <c r="J11" i="1"/>
  <c r="G11" i="28"/>
  <c r="F3" i="39"/>
  <c r="B10" i="12"/>
  <c r="G2" i="7"/>
  <c r="J9" i="42"/>
  <c r="G8" i="43"/>
  <c r="J9" i="48"/>
  <c r="F11" i="60"/>
  <c r="H11" i="60"/>
  <c r="E11" i="52"/>
  <c r="B3" i="12"/>
  <c r="H3" i="60"/>
  <c r="I13" i="1"/>
  <c r="C10" i="39"/>
  <c r="D5" i="49"/>
  <c r="L4" i="1"/>
  <c r="K7" i="1"/>
  <c r="L4" i="28"/>
  <c r="C11" i="40"/>
  <c r="L13" i="28"/>
  <c r="C15" i="1"/>
  <c r="F9" i="12"/>
  <c r="N3" i="12"/>
  <c r="L6" i="12"/>
  <c r="M11" i="12"/>
  <c r="P13" i="12"/>
  <c r="K18" i="12"/>
  <c r="R20" i="12"/>
  <c r="M23" i="12"/>
  <c r="B13" i="56"/>
  <c r="G6" i="52"/>
  <c r="G5" i="60"/>
  <c r="G10" i="60"/>
  <c r="D10" i="49"/>
  <c r="L5" i="1"/>
  <c r="L8" i="1"/>
  <c r="I14" i="1"/>
  <c r="K20" i="1"/>
  <c r="D15" i="28"/>
  <c r="H11" i="28"/>
  <c r="L7" i="28"/>
  <c r="K14" i="28"/>
  <c r="F4" i="39"/>
  <c r="J2" i="39"/>
  <c r="F18" i="12"/>
  <c r="O3" i="12"/>
  <c r="O8" i="12"/>
  <c r="N23" i="12"/>
  <c r="G10" i="56"/>
  <c r="H17" i="56"/>
  <c r="U10" i="56"/>
  <c r="V17" i="56"/>
  <c r="E10" i="52"/>
  <c r="J2" i="46"/>
  <c r="H2" i="7"/>
  <c r="L2" i="15"/>
  <c r="D14" i="42"/>
  <c r="Y4" i="9"/>
  <c r="H7" i="28"/>
  <c r="K4" i="1"/>
  <c r="E6" i="12"/>
  <c r="F14" i="12"/>
  <c r="C10" i="40"/>
  <c r="O14" i="1"/>
  <c r="L12" i="28"/>
  <c r="H6" i="39"/>
  <c r="C13" i="40"/>
  <c r="E5" i="60"/>
  <c r="H5" i="1"/>
  <c r="J8" i="1"/>
  <c r="G14" i="1"/>
  <c r="C18" i="40"/>
  <c r="K5" i="1"/>
  <c r="D5" i="28"/>
  <c r="H10" i="60"/>
  <c r="C9" i="55"/>
  <c r="M6" i="12"/>
  <c r="N11" i="12"/>
  <c r="Q13" i="12"/>
  <c r="P18" i="12"/>
  <c r="S20" i="12"/>
  <c r="B14" i="56"/>
  <c r="V10" i="56"/>
  <c r="H6" i="52"/>
  <c r="F10" i="52"/>
  <c r="I5" i="42"/>
  <c r="C10" i="42"/>
  <c r="H8" i="43"/>
  <c r="J10" i="48"/>
  <c r="F12" i="60"/>
  <c r="G22" i="12"/>
  <c r="F10" i="60"/>
  <c r="D23" i="1"/>
  <c r="G6" i="1"/>
  <c r="K11" i="1"/>
  <c r="J14" i="1"/>
  <c r="E5" i="28"/>
  <c r="G12" i="28"/>
  <c r="F8" i="39"/>
  <c r="B11" i="12"/>
  <c r="G9" i="12"/>
  <c r="P3" i="12"/>
  <c r="H5" i="60"/>
  <c r="E11" i="60"/>
  <c r="D11" i="49"/>
  <c r="F9" i="1"/>
  <c r="K14" i="1"/>
  <c r="L20" i="1"/>
  <c r="E15" i="28"/>
  <c r="G13" i="28"/>
  <c r="M7" i="28"/>
  <c r="L14" i="28"/>
  <c r="J3" i="39"/>
  <c r="G18" i="12"/>
  <c r="K4" i="12"/>
  <c r="P8" i="12"/>
  <c r="S23" i="12"/>
  <c r="H10" i="56"/>
  <c r="I17" i="56"/>
  <c r="S11" i="56"/>
  <c r="C3" i="52"/>
  <c r="K2" i="46"/>
  <c r="N2" i="7"/>
  <c r="J5" i="42"/>
  <c r="Z4" i="9"/>
  <c r="B2" i="15"/>
  <c r="D2" i="18"/>
  <c r="H3" i="42"/>
  <c r="H5" i="42"/>
  <c r="H7" i="42"/>
  <c r="H9" i="42"/>
  <c r="H11" i="42"/>
  <c r="H13" i="42"/>
  <c r="H15" i="42"/>
  <c r="G5" i="43"/>
  <c r="G13" i="43"/>
  <c r="H4" i="9"/>
  <c r="X4" i="9"/>
  <c r="AN4" i="9"/>
  <c r="J5" i="48"/>
  <c r="C8" i="13"/>
  <c r="B12" i="56"/>
  <c r="I6" i="56"/>
  <c r="I10" i="56"/>
  <c r="I14" i="56"/>
  <c r="U5" i="56"/>
  <c r="U9" i="56"/>
  <c r="U13" i="56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N4" i="9"/>
  <c r="AD4" i="9"/>
  <c r="F2" i="38"/>
  <c r="J11" i="48"/>
  <c r="H15" i="56"/>
  <c r="T6" i="56"/>
  <c r="T10" i="56"/>
  <c r="T14" i="56"/>
  <c r="D3" i="52"/>
  <c r="D5" i="52"/>
  <c r="D7" i="52"/>
  <c r="D9" i="52"/>
  <c r="D11" i="52"/>
  <c r="B2" i="46"/>
  <c r="D2" i="47"/>
  <c r="F2" i="7"/>
  <c r="H2" i="5"/>
  <c r="J2" i="15"/>
  <c r="L2" i="18"/>
  <c r="H4" i="42"/>
  <c r="H6" i="42"/>
  <c r="H8" i="42"/>
  <c r="H10" i="42"/>
  <c r="H12" i="42"/>
  <c r="H14" i="42"/>
  <c r="C8" i="43"/>
  <c r="G9" i="43"/>
  <c r="O4" i="9"/>
  <c r="AE4" i="9"/>
  <c r="G2" i="38"/>
  <c r="J12" i="48"/>
  <c r="K2" i="15"/>
  <c r="M2" i="18"/>
  <c r="I4" i="42"/>
  <c r="I6" i="42"/>
  <c r="I8" i="42"/>
  <c r="I10" i="42"/>
  <c r="I12" i="42"/>
  <c r="I14" i="42"/>
  <c r="C9" i="43"/>
  <c r="H9" i="43"/>
  <c r="P4" i="9"/>
  <c r="AF4" i="9"/>
  <c r="H2" i="38"/>
  <c r="J13" i="48"/>
  <c r="J8" i="42"/>
  <c r="J12" i="42"/>
  <c r="J14" i="42"/>
  <c r="C10" i="43"/>
  <c r="G10" i="43"/>
  <c r="Q4" i="9"/>
  <c r="AG4" i="9"/>
  <c r="I2" i="38"/>
  <c r="J14" i="48"/>
  <c r="G11" i="52"/>
  <c r="I2" i="7"/>
  <c r="E2" i="46"/>
  <c r="G2" i="47"/>
  <c r="K2" i="5"/>
  <c r="M2" i="15"/>
  <c r="C3" i="42"/>
  <c r="C5" i="42"/>
  <c r="C7" i="42"/>
  <c r="C9" i="42"/>
  <c r="C11" i="42"/>
  <c r="C13" i="42"/>
  <c r="C15" i="42"/>
  <c r="C11" i="43"/>
  <c r="H10" i="43"/>
  <c r="B4" i="9"/>
  <c r="R4" i="9"/>
  <c r="AH4" i="9"/>
  <c r="J2" i="38"/>
  <c r="J15" i="48"/>
  <c r="M10" i="28"/>
  <c r="F5" i="39"/>
  <c r="H8" i="39"/>
  <c r="J11" i="39"/>
  <c r="B15" i="12"/>
  <c r="E8" i="12"/>
  <c r="F13" i="12"/>
  <c r="G20" i="12"/>
  <c r="Q3" i="12"/>
  <c r="O5" i="12"/>
  <c r="M7" i="12"/>
  <c r="K9" i="12"/>
  <c r="R10" i="12"/>
  <c r="P12" i="12"/>
  <c r="N14" i="12"/>
  <c r="L18" i="12"/>
  <c r="S19" i="12"/>
  <c r="Q21" i="12"/>
  <c r="O23" i="12"/>
  <c r="C15" i="13"/>
  <c r="C24" i="56"/>
  <c r="H8" i="56"/>
  <c r="H12" i="56"/>
  <c r="H16" i="56"/>
  <c r="T7" i="56"/>
  <c r="T11" i="56"/>
  <c r="T15" i="56"/>
  <c r="H3" i="52"/>
  <c r="H5" i="52"/>
  <c r="H7" i="52"/>
  <c r="H9" i="52"/>
  <c r="H11" i="52"/>
  <c r="F2" i="46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L5" i="28"/>
  <c r="C2" i="39"/>
  <c r="C4" i="9"/>
  <c r="S4" i="9"/>
  <c r="AI4" i="9"/>
  <c r="K2" i="38"/>
  <c r="J16" i="48"/>
  <c r="J12" i="39"/>
  <c r="R3" i="12"/>
  <c r="N7" i="12"/>
  <c r="K20" i="12"/>
  <c r="C16" i="13"/>
  <c r="C25" i="56"/>
  <c r="I8" i="56"/>
  <c r="I12" i="56"/>
  <c r="I16" i="56"/>
  <c r="U7" i="56"/>
  <c r="U11" i="56"/>
  <c r="U15" i="56"/>
  <c r="I3" i="52"/>
  <c r="I5" i="52"/>
  <c r="I7" i="52"/>
  <c r="I9" i="52"/>
  <c r="I11" i="52"/>
  <c r="G2" i="46"/>
  <c r="I2" i="47"/>
  <c r="K2" i="7"/>
  <c r="M2" i="5"/>
  <c r="A2" i="18"/>
  <c r="E3" i="42"/>
  <c r="E5" i="42"/>
  <c r="E7" i="42"/>
  <c r="E9" i="42"/>
  <c r="E11" i="42"/>
  <c r="E13" i="42"/>
  <c r="E15" i="42"/>
  <c r="H3" i="43"/>
  <c r="H11" i="43"/>
  <c r="S10" i="12"/>
  <c r="D4" i="9"/>
  <c r="T4" i="9"/>
  <c r="AJ4" i="9"/>
  <c r="L2" i="38"/>
  <c r="J19" i="48"/>
  <c r="H9" i="39"/>
  <c r="P5" i="12"/>
  <c r="L9" i="12"/>
  <c r="Q12" i="12"/>
  <c r="O14" i="12"/>
  <c r="D4" i="49"/>
  <c r="F6" i="1"/>
  <c r="G15" i="1"/>
  <c r="E10" i="28"/>
  <c r="H4" i="28"/>
  <c r="H12" i="28"/>
  <c r="K6" i="28"/>
  <c r="L11" i="28"/>
  <c r="C4" i="39"/>
  <c r="F7" i="39"/>
  <c r="H10" i="39"/>
  <c r="J13" i="39"/>
  <c r="F3" i="12"/>
  <c r="G8" i="12"/>
  <c r="E14" i="12"/>
  <c r="F21" i="12"/>
  <c r="S3" i="12"/>
  <c r="Y13" i="12" s="1" a="1"/>
  <c r="Y13" i="12" s="1"/>
  <c r="Q5" i="12"/>
  <c r="O7" i="12"/>
  <c r="M9" i="12"/>
  <c r="K11" i="12"/>
  <c r="R12" i="12"/>
  <c r="P14" i="12"/>
  <c r="N18" i="12"/>
  <c r="L20" i="12"/>
  <c r="S21" i="12"/>
  <c r="Q23" i="12"/>
  <c r="B5" i="56"/>
  <c r="C26" i="56"/>
  <c r="J8" i="56"/>
  <c r="J12" i="56"/>
  <c r="J16" i="56"/>
  <c r="V7" i="56"/>
  <c r="V11" i="56"/>
  <c r="V15" i="56"/>
  <c r="J3" i="52"/>
  <c r="J5" i="52"/>
  <c r="J7" i="52"/>
  <c r="J9" i="52"/>
  <c r="J11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F6" i="39"/>
  <c r="E3" i="12"/>
  <c r="F8" i="12"/>
  <c r="G13" i="12"/>
  <c r="E21" i="12"/>
  <c r="M18" i="12"/>
  <c r="R21" i="12"/>
  <c r="P23" i="12"/>
  <c r="G3" i="60"/>
  <c r="G7" i="60"/>
  <c r="G11" i="60"/>
  <c r="C16" i="40"/>
  <c r="C6" i="1"/>
  <c r="K3" i="1"/>
  <c r="H8" i="1"/>
  <c r="J10" i="1"/>
  <c r="L12" i="1"/>
  <c r="I20" i="1"/>
  <c r="E4" i="9"/>
  <c r="U4" i="9"/>
  <c r="AK4" i="9"/>
  <c r="M2" i="38"/>
  <c r="J20" i="48"/>
  <c r="L11" i="12"/>
  <c r="S12" i="12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AG2" i="12"/>
  <c r="AF2" i="12"/>
  <c r="AE2" i="12"/>
  <c r="M4" i="48" a="1"/>
  <c r="M15" i="48" a="1"/>
  <c r="M9" i="48" a="1"/>
  <c r="M9" i="48" l="1"/>
  <c r="M15" i="48"/>
  <c r="M4" i="48"/>
  <c r="Y11" i="12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6" i="48" l="1"/>
  <c r="N15" i="48"/>
  <c r="N14" i="48"/>
  <c r="N13" i="48"/>
  <c r="N12" i="48"/>
  <c r="N11" i="48"/>
  <c r="N10" i="48"/>
  <c r="N9" i="48"/>
  <c r="N8" i="48"/>
  <c r="N7" i="48"/>
  <c r="N6" i="48"/>
  <c r="N5" i="48"/>
  <c r="N4" i="48"/>
  <c r="L20" i="48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7" i="13" l="1"/>
  <c r="K6" i="13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J14" i="49" l="1"/>
  <c r="M16" i="40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S14" i="55" s="1"/>
  <c r="K19" i="55"/>
  <c r="R19" i="55" s="1"/>
  <c r="S10" i="55" l="1"/>
  <c r="S20" i="55"/>
  <c r="S16" i="55"/>
  <c r="S19" i="55"/>
  <c r="S12" i="55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E9668A8F-E78F-4C42-AE58-52055C04FF06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Timestamp="1722580486"&gt;&lt;FQL&gt;&lt;Q&gt;FC0000ZA^FG_MCAP_IDX(0,,,USD)&lt;/Q&gt;&lt;R&gt;1&lt;/R&gt;&lt;C&gt;1&lt;/C&gt;&lt;D xsi:type="xsd:double"&gt;339252.22&lt;/D&gt;&lt;/FQL&gt;&lt;FQL&gt;&lt;Q&gt;EWI^FREF_MARKET_VALUE_COMPANY(0,,,USD,,0,,"LEGACY")&lt;/Q&gt;&lt;R&gt;1&lt;/R&gt;&lt;C&gt;1&lt;/C&gt;&lt;D xsi:type="xsd:double"&gt;443.415&lt;/D&gt;&lt;/FQL&gt;&lt;FQL&gt;&lt;Q&gt;FC0000IT^FMA_MCAP(0,,,USD,"PORTAGG")&lt;/Q&gt;&lt;R&gt;1&lt;/R&gt;&lt;C&gt;1&lt;/C&gt;&lt;D xsi:type="xsd:double"&gt;844337.1&lt;/D&gt;&lt;/FQL&gt;&lt;FQL&gt;&lt;Q&gt;EWD^FREF_MARKET_VALUE_COMPANY(0,,,USD,,0,,"LEGACY")&lt;/Q&gt;&lt;R&gt;1&lt;/R&gt;&lt;C&gt;1&lt;/C&gt;&lt;D xsi:type="xsd:double"&gt;300.492&lt;/D&gt;&lt;/FQL&gt;&lt;FQL&gt;&lt;Q&gt;FC0000SE^FMA_MCAP(0,,,USD,"PORTAGG")&lt;/Q&gt;&lt;R&gt;1&lt;/R&gt;&lt;C&gt;1&lt;/C&gt;&lt;D xsi:type="xsd:double"&gt;1009498.56&lt;/D&gt;&lt;/FQL&gt;&lt;FQL&gt;&lt;Q&gt;EWN^FREF_MARKET_VALUE_COMPANY(0,,,USD,,0,,"LEGACY")&lt;/Q&gt;&lt;R&gt;1&lt;/R&gt;&lt;C&gt;1&lt;/C&gt;&lt;D xsi:type="xsd:double"&gt;251.265&lt;/D&gt;&lt;/FQL&gt;&lt;FQL&gt;&lt;Q&gt;FC0000NL^FMA_MCAP(0,,,USD,"PORTAGG")&lt;/Q&gt;&lt;R&gt;1&lt;/R&gt;&lt;C&gt;1&lt;/C&gt;&lt;D xsi:type="xsd:double"&gt;1086852.8&lt;/D&gt;&lt;/FQL&gt;&lt;FQL&gt;&lt;Q&gt;EWQ^FREF_MARKET_VALUE_COMPANY(0,,,USD,,0,,"LEGACY")&lt;/Q&gt;&lt;R&gt;1&lt;/R&gt;&lt;C&gt;1&lt;/C&gt;&lt;D xsi:type="xsd:double"&gt;628.992&lt;/D&gt;&lt;/FQL&gt;&lt;FQL&gt;&lt;Q&gt;FC0000FR^FMA_MCAP(0,,,USD,"PORTAGG")&lt;/Q&gt;&lt;R&gt;1&lt;/R&gt;&lt;C&gt;1&lt;/C&gt;&lt;D xsi:type="xsd:double"&gt;3071635.5&lt;/D&gt;&lt;/FQL&gt;&lt;FQL&gt;&lt;Q&gt;SPY^FREF_MARKET_VALUE_COMPANY(0,,,USD,,0,,"LEGACY")&lt;/Q&gt;&lt;R&gt;1&lt;/R&gt;&lt;C&gt;1&lt;/C&gt;&lt;D xsi:type="xsd:double"&gt;554783.597121&lt;/D&gt;&lt;/FQL&gt;&lt;FQL&gt;&lt;Q&gt;FC0000US^FMA_MCAP(0,,,USD,"PORTAGG")&lt;/Q&gt;&lt;R&gt;1&lt;/R&gt;&lt;C&gt;1&lt;/C&gt;&lt;D xsi:type="xsd:double"&gt;56622704&lt;/D&gt;&lt;/FQL&gt;&lt;FQL&gt;&lt;Q&gt;QQQ^FREF_MARKET_VALUE_COMPANY(0,,,USD,,0,,"LEGACY")&lt;/Q&gt;&lt;R&gt;1&lt;/R&gt;&lt;C&gt;1&lt;/C&gt;&lt;D xsi:type="xsd:double"&gt;277979.385&lt;/D&gt;&lt;/FQL&gt;&lt;FQL&gt;&lt;Q&gt;EWU^FREF_MARKET_VALUE_COMPANY(0,,,USD,,0,,"LEGACY")&lt;/Q&gt;&lt;R&gt;1&lt;/R&gt;&lt;C&gt;1&lt;/C&gt;&lt;D xsi:type="xsd:double"&gt;3006.138&lt;/D&gt;&lt;/FQL&gt;&lt;FQL&gt;&lt;Q&gt;FC0000GB^FMA_MCAP(0,,,USD,"PORTAGG")&lt;/Q&gt;&lt;R&gt;1&lt;/R&gt;&lt;C&gt;1&lt;/C&gt;&lt;D xsi:type="xsd:double"&gt;3293544.3&lt;/D&gt;&lt;/FQL&gt;&lt;FQL&gt;&lt;Q&gt;EWL^FREF_MARKET_VALUE_COMPANY(0,,,USD,,0,,"LEGACY")&lt;/Q&gt;&lt;R&gt;1&lt;/R&gt;&lt;C&gt;1&lt;/C&gt;&lt;D xsi:type="xsd:double"&gt;1227.45&lt;/D&gt;&lt;/FQL&gt;&lt;FQL&gt;&lt;Q&gt;FC0000CH^FMA_MCAP(0,,,USD,"PORTAGG")&lt;/Q&gt;&lt;R&gt;1&lt;/R&gt;&lt;C&gt;1&lt;/C&gt;&lt;D xsi:type="xsd:double"&gt;2286576.5&lt;/D&gt;&lt;/FQL&gt;&lt;FQL&gt;&lt;Q&gt;EWJ^FREF_MARKET_VALUE_COMPANY(0,,,USD,,0,,"LEGACY")&lt;/Q&gt;&lt;R&gt;1&lt;/R&gt;&lt;C&gt;1&lt;/C&gt;&lt;D xsi:type="xsd:double"&gt;15522.99&lt;/D&gt;&lt;/FQL&gt;&lt;FQL&gt;&lt;Q&gt;FC0000JP^FMA_MCAP(0,,,USD,"PORTAGG")&lt;/Q&gt;&lt;R&gt;1&lt;/R&gt;&lt;C&gt;1&lt;/C&gt;&lt;D xsi:type="xsd:double"&gt;6543836&lt;/D&gt;&lt;/FQL&gt;&lt;FQL&gt;&lt;Q&gt;EWG^FREF_MARKET_VALUE_COMPANY(0,,,USD,,0,,"LEGACY")&lt;/Q&gt;&lt;R&gt;1&lt;/R&gt;&lt;C&gt;1&lt;/C&gt;&lt;D xsi:type="xsd:double"&gt;937.815&lt;/D&gt;&lt;/FQL&gt;&lt;FQL&gt;&lt;Q&gt;FC0000DE^FMA_MCAP(0,,,USD,"PORTAGG")&lt;/Q&gt;&lt;R&gt;1&lt;/R&gt;&lt;C&gt;1&lt;/C&gt;&lt;D xsi:type="xsd:double"&gt;2207710&lt;/D&gt;&lt;/FQL&gt;&lt;FQL&gt;&lt;Q&gt;EWC^FREF_MARKET_VALUE_COMPANY(0,,,USD,,0,,"LEGACY")&lt;/Q&gt;&lt;R&gt;1&lt;/R&gt;&lt;C&gt;1&lt;/C&gt;&lt;D xsi:type="xsd:double"&gt;2465.64&lt;/D&gt;&lt;/FQL&gt;&lt;FQL&gt;&lt;Q&gt;FC0000CA^FMA_MCAP(0,,,USD,"PORTAGG")&lt;/Q&gt;&lt;R&gt;1&lt;/R&gt;&lt;C&gt;1&lt;/C&gt;&lt;D xsi:type="xsd:double"&gt;2767319.8&lt;/D&gt;&lt;/FQL&gt;&lt;FQL&gt;&lt;Q&gt;EWA^FREF_MARKET_VALUE_COMPANY(0,,,USD,,0,,"LEGACY")&lt;/Q&gt;&lt;R&gt;1&lt;/R&gt;&lt;C&gt;1&lt;/C&gt;&lt;D xsi:type="xsd:double"&gt;1446.256&lt;/D&gt;&lt;/FQL&gt;&lt;FQL&gt;&lt;Q&gt;FC0000AU^FMA_MCAP(0,,,USD,"PORTAGG")&lt;/Q&gt;&lt;R&gt;1&lt;/R&gt;&lt;C&gt;1&lt;/C&gt;&lt;D xsi:type="xsd:double"&gt;1726282.3&lt;/D&gt;&lt;/FQL&gt;&lt;FQL&gt;&lt;Q&gt;ENZL^FREF_MARKET_VALUE_COMPANY(0,,,USD,,0,,"LEGACY")&lt;/Q&gt;&lt;R&gt;1&lt;/R&gt;&lt;C&gt;1&lt;/C&gt;&lt;D xsi:type="xsd:double"&gt;84.7855&lt;/D&gt;&lt;/FQL&gt;&lt;FQL&gt;&lt;Q&gt;FC0000NZ^FMA_MCAP(0,,,USD,"PORTAGG")&lt;/Q&gt;&lt;R&gt;1&lt;/R&gt;&lt;C&gt;1&lt;/C&gt;&lt;D xsi:type="xsd:double"&gt;95215.4&lt;/D&gt;&lt;/FQL&gt;&lt;FQL&gt;&lt;Q&gt;NQG00809^FG_COMPANY_NAME&lt;/Q&gt;&lt;R&gt;1&lt;/R&gt;&lt;C&gt;1&lt;/C&gt;&lt;D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Africa&lt;/D&gt;&lt;/FQL&gt;&lt;FQL&gt;&lt;Q&gt;NQG00809^FMA_MCAP(0,,,USD,"PORTAGG")&lt;/Q&gt;&lt;R&gt;0&lt;/R&gt;&lt;C&gt;0&lt;/C&gt;&lt;/FQL&gt;&lt;FQL&gt;&lt;Q&gt;DUMMY^ECON_EXPR_DATA('FDS_ECON[NTCPMIMFGSA@IT]',,,M)&lt;/Q&gt;&lt;R&gt;1&lt;/R&gt;&lt;C&gt;1&lt;/C&gt;&lt;D xsi:type="xsd:double"&gt;47.399715&lt;/D&gt;&lt;/FQL&gt;&lt;FQL&gt;&lt;Q&gt;DUMMY^ECON_EXPR_DATA('FDS_ECON[NTCPMIMFGSA@FR]',,,M)&lt;/Q&gt;&lt;R&gt;1&lt;/R&gt;&lt;C&gt;1&lt;/C&gt;&lt;D xsi:type="xsd:double"&gt;44.00542&lt;/D&gt;&lt;/FQL&gt;&lt;FQL&gt;&lt;Q&gt;DUMMY^ECON_EXPR_DATA('FDS_ECON[NTCPMIMFGMESA@US]',,,M)&lt;/Q&gt;&lt;R&gt;1&lt;/R&gt;&lt;C&gt;1&lt;/C&gt;&lt;D xsi:type="xsd:double"&gt;49.629135&lt;/D&gt;&lt;/FQL&gt;&lt;FQL&gt;&lt;Q&gt;DUMMY^ECON_EXPR_DATA('FDS_ECON[NTCPMIMFGSA@CH]',,,M)&lt;/Q&gt;&lt;R&gt;0&lt;/R&gt;&lt;C&gt;0&lt;/C&gt;&lt;/FQL&gt;&lt;FQL&gt;&lt;Q&gt;DUMMY^ECON_EXPR_DATA('FDS_ECON[NTCPMIMFGSA@CA]',,,M)&lt;/Q&gt;&lt;R&gt;1&lt;/R&gt;&lt;C&gt;1&lt;/C&gt;&lt;D xsi:type="xsd:double"&gt;47.763653&lt;/D&gt;&lt;/FQL&gt;&lt;FQL&gt;&lt;Q&gt;DUMMY^ECON_EXPR_DATA('FDS_ECON[NTCPMIMFGSA@AU]',,,M)&lt;/Q&gt;&lt;R&gt;1&lt;/R&gt;&lt;C&gt;1&lt;/C&gt;&lt;D xsi:type="xsd:double"&gt;47.461594&lt;/D&gt;&lt;/FQL&gt;&lt;FQL&gt;&lt;Q&gt;DUMMY^ECON_EXPR_DATA('FDS_ECON[NTCPMIMFGSA@NL]',,,M)&lt;/Q&gt;&lt;R&gt;1&lt;/R&gt;&lt;C&gt;1&lt;/C&gt;&lt;D xsi:type="xsd:double"&gt;49.181965&lt;/D&gt;&lt;/FQL&gt;&lt;FQL&gt;&lt;Q&gt;DUMMY^ECON_EXPR_DATA('FDS_ECON[NTCPMIMFGSA@JP]',,,M)&lt;/Q&gt;&lt;R&gt;1&lt;/R&gt;&lt;C&gt;1&lt;/C&gt;&lt;D xsi:type="xsd:double"&gt;49.104828&lt;/D&gt;&lt;/FQL&gt;&lt;FQL&gt;&lt;Q&gt;DUMMY^ECON_EXPR_DATA('FDS_ECON[]',,,M)&lt;/Q&gt;&lt;R&gt;0&lt;/R&gt;&lt;C&gt;0&lt;/C&gt;&lt;/FQL&gt;&lt;FQL&gt;&lt;Q&gt;DUMMY^ECON_EXPR_DATA('FDS_ECON[NTCPMIMFGSA@GB]',,,M)&lt;/Q&gt;&lt;R&gt;1&lt;/R&gt;&lt;C&gt;1&lt;/C&gt;&lt;D xsi:type="xsd:double"&gt;52.11154&lt;/D&gt;&lt;/FQL&gt;&lt;FQL&gt;&lt;Q&gt;DUMMY^ECON_EXPR_DATA('FDS_ECON[NTCPMIMFGSA@DE]',,,M)&lt;/Q&gt;&lt;R&gt;1&lt;/R&gt;&lt;C&gt;1&lt;/C&gt;&lt;D xsi:type="xsd:double"&gt;43.19687&lt;/D&gt;&lt;/FQL&gt;&lt;FQL&gt;&lt;Q&gt;DUMMY^ECON_EXPR_DATA('FDS_ECON[NTCPMIMFGSA@NZ]',,,M)&lt;/Q&gt;&lt;R&gt;0&lt;/R&gt;&lt;C&gt;0&lt;/C&gt;&lt;/FQL&gt;&lt;FQL&gt;&lt;Q&gt;CAGDPY@FR^EE_ACTUAL_ANNUAL(MED,+1)&lt;/Q&gt;&lt;R&gt;1&lt;/R&gt;&lt;C&gt;1&lt;/C&gt;&lt;D xsi:type="xsd:double"&gt;-0.45&lt;/D&gt;&lt;/FQL&gt;&lt;FQL&gt;&lt;Q&gt;CAGDPY@AU^EE_ACTUAL_ANNUAL(MED,+1)&lt;/Q&gt;&lt;R&gt;1&lt;/R&gt;&lt;C&gt;1&lt;/C&gt;&lt;D xsi:type="xsd:double"&gt;-0.5&lt;/D&gt;&lt;/FQL&gt;&lt;FQL&gt;&lt;Q&gt;USDITL^FG_PRICE_CHANGE(0,-3AM)&lt;/Q&gt;&lt;R&gt;1&lt;/R&gt;&lt;C&gt;1&lt;/C&gt;&lt;D xsi:type="xsd:double"&gt;-1.009959&lt;/D&gt;&lt;/FQL&gt;&lt;FQL&gt;&lt;Q&gt;USDANG^FG_PRICE_CHANGE(0,-3AM)&lt;/Q&gt;&lt;R&gt;1&lt;/R&gt;&lt;C&gt;1&lt;/C&gt;&lt;D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xsi:type="xsd:double"&gt;-2.3412108&lt;/D&gt;&lt;/FQL&gt;&lt;FQL&gt;&lt;Q&gt;USDJPY^FG_PRICE_CHANGE(0,-3AM)&lt;/Q&gt;&lt;R&gt;1&lt;/R&gt;&lt;C&gt;1&lt;/C&gt;&lt;D xsi:type="xsd:double"&gt;-4.811132&lt;/D&gt;&lt;/FQL&gt;&lt;FQL&gt;&lt;Q&gt;USDCAD^FG_PRICE_CHANGE(0,-3AM)&lt;/Q&gt;&lt;R&gt;1&lt;/R&gt;&lt;C&gt;1&lt;/C&gt;&lt;D xsi:type="xsd:double"&gt;0.51938295&lt;/D&gt;&lt;/FQL&gt;&lt;FQL&gt;&lt;Q&gt;USDNZD^FG_PRICE_CHANGE(0,-3AM)&lt;/Q&gt;&lt;R&gt;1&lt;/R&gt;&lt;C&gt;1&lt;/C&gt;&lt;D xsi:type="xsd:double"&gt;-0.9730756&lt;/D&gt;&lt;/FQL&gt;&lt;FQL&gt;&lt;Q&gt;EWA^FMA_EPS(NTMA,-20AY,0,CY,,"PORTAGG","MEANR")&lt;/Q&gt;&lt;R&gt;20&lt;/R&gt;&lt;C&gt;1&lt;/C&gt;&lt;D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xsi:type="xsd:long"&gt;41852&lt;/D&gt;&lt;D xsi:type="xsd:long"&gt;41880&lt;/D&gt;&lt;D xsi:type="xsd:long"&gt;41913&lt;/D&gt;&lt;D xsi:type="xsd:long"&gt;41943&lt;/D&gt;&lt;D xsi:type="xsd:long"&gt;41974&lt;/D&gt;&lt;D xsi:type="xsd:long"&gt;42004&lt;/D&gt;&lt;D xsi:type="xsd:long"&gt;42034&lt;/D&gt;&lt;D xsi:type="xsd:long"&gt;42062&lt;/D&gt;&lt;D xsi:type="xsd:long"&gt;42095&lt;/D&gt;&lt;D xsi:type="xsd:long"&gt;42125&lt;/D&gt;&lt;D xsi:type="xsd:long"&gt;42156&lt;/D&gt;&lt;D xsi:type="xsd:long"&gt;42186&lt;/D&gt;&lt;D xsi:type="xsd:long"&gt;42216&lt;/D&gt;&lt;D xsi:type="xsd:long"&gt;42248&lt;/D&gt;&lt;D xsi:type="xsd:long"&gt;42278&lt;/D&gt;&lt;D xsi:type="xsd:long"&gt;42307&lt;/D&gt;&lt;D xsi:type="xsd:long"&gt;42339&lt;/D&gt;&lt;D xsi:type="xsd:long"&gt;42369&lt;/D&gt;&lt;D xsi:type="xsd:long"&gt;42401&lt;/D&gt;&lt;D xsi:type="xsd:long"&gt;42430&lt;/D&gt;&lt;D xsi:type="xsd:long"&gt;42461&lt;/D&gt;&lt;D xsi:type="xsd:long"&gt;42489&lt;/D&gt;&lt;D xsi:type="xsd:long"&gt;42522&lt;/D&gt;&lt;D xsi:type="xsd:long"&gt;42552&lt;/D&gt;&lt;D xsi:type="xsd:long"&gt;42583&lt;/D&gt;&lt;D xsi:type="xsd:long"&gt;42614&lt;/D&gt;&lt;D xsi:type="xsd:long"&gt;42643&lt;/D&gt;&lt;D xsi:type="xsd:long"&gt;42675&lt;/D&gt;&lt;D xsi:type="xsd:long"&gt;42705&lt;/D&gt;&lt;D xsi:type="xsd:long"&gt;42734&lt;/D&gt;&lt;D xsi:type="xsd:long"&gt;42767&lt;/D&gt;&lt;D xsi:type="xsd:long"&gt;42795&lt;/D&gt;&lt;D xsi:type="xsd:long"&gt;42825&lt;/D&gt;&lt;D xsi:type="xsd:long"&gt;42856&lt;/D&gt;&lt;D xsi:type="xsd:long"&gt;42887&lt;/D&gt;&lt;D xsi:type="xsd:long"&gt;42916&lt;/D&gt;&lt;D xsi:type="xsd:long"&gt;42948&lt;/D&gt;&lt;D xsi:type="xsd:long"&gt;42979&lt;/D&gt;&lt;D xsi:type="xsd:long"&gt;43007&lt;/D&gt;&lt;D xsi:type="xsd:long"&gt;43040&lt;/D&gt;&lt;D xsi:type="xsd:long"&gt;43070&lt;/D&gt;&lt;D xsi:type="xsd:long"&gt;43098&lt;/D&gt;&lt;D xsi:type="xsd:long"&gt;43132&lt;/D&gt;&lt;D xsi:type="xsd:long"&gt;43160&lt;/D&gt;&lt;D xsi:type="xsd:long"&gt;43188&lt;/D&gt;&lt;D xsi:type="xsd:long"&gt;43221&lt;/D&gt;&lt;D xsi:type="xsd:long"&gt;43252&lt;/D&gt;&lt;D xsi:type="xsd:long"&gt;43280&lt;/D&gt;&lt;D xsi:type="xsd:long"&gt;43313&lt;/D&gt;&lt;D xsi:type="xsd:long"&gt;43343&lt;/D&gt;&lt;D xsi:type="xsd:long"&gt;43374&lt;/D&gt;&lt;D xsi:type="xsd:long"&gt;43405&lt;/D&gt;&lt;D xsi:type="xsd:long"&gt;43434&lt;/D&gt;&lt;D xsi:type="xsd:long"&gt;43465&lt;/D&gt;&lt;D xsi:type="xsd:long"&gt;43497&lt;/D&gt;&lt;D xsi:type="xsd:long"&gt;43525&lt;/D&gt;&lt;D xsi:type="xsd:long"&gt;43556&lt;/D&gt;&lt;D xsi:type="xsd:long"&gt;43586&lt;/D&gt;&lt;D xsi:type="xsd:long"&gt;43616&lt;/D&gt;&lt;D xsi:type="xsd:long"&gt;43647&lt;/D&gt;&lt;D xsi:type="xsd:long"&gt;43678&lt;/D&gt;&lt;D xsi:type="xsd:long"&gt;43707&lt;/D&gt;&lt;D xsi:type="xsd:long"&gt;43739&lt;/D&gt;&lt;D xsi:type="xsd:long"&gt;43770&lt;/D&gt;&lt;D xsi:type="xsd:long"&gt;43798&lt;/D&gt;&lt;D xsi:type="xsd:long"&gt;43830&lt;/D&gt;&lt;D xsi:type="xsd:long"&gt;43861&lt;/D&gt;&lt;D xsi:type="xsd:long"&gt;43889&lt;/D&gt;&lt;D xsi:type="xsd:long"&gt;43922&lt;/D&gt;&lt;D xsi:type="xsd:long"&gt;43952&lt;/D&gt;&lt;D xsi:type="xsd:long"&gt;43983&lt;/D&gt;&lt;D xsi:type="xsd:long"&gt;44013&lt;/D&gt;&lt;D xsi:type="xsd:long"&gt;44043&lt;/D&gt;&lt;D xsi:type="xsd:long"&gt;44075&lt;/D&gt;&lt;D xsi:type="xsd:long"&gt;44105&lt;/D&gt;&lt;D xsi:type="xsd:long"&gt;44134&lt;/D&gt;&lt;D xsi:type="xsd:long"&gt;44166&lt;/D&gt;&lt;D xsi:type="xsd:long"&gt;44196&lt;/D&gt;&lt;D xsi:type="xsd:long"&gt;44228&lt;/D&gt;&lt;D xsi:type="xsd:long"&gt;44256&lt;/D&gt;&lt;D xsi:type="xsd:long"&gt;44287&lt;/D&gt;&lt;D xsi:type="xsd:long"&gt;44316&lt;/D&gt;&lt;D xsi:type="xsd:long"&gt;44348&lt;/D&gt;&lt;D xsi:type="xsd:long"&gt;44378&lt;/D&gt;&lt;D xsi:type="xsd:long"&gt;44407&lt;/D&gt;&lt;D xsi:type="xsd:long"&gt;44440&lt;/D&gt;&lt;D xsi:type="xsd:long"&gt;44470&lt;/D&gt;&lt;D xsi:type="xsd:long"&gt;44501&lt;/D&gt;&lt;D xsi:type="xsd:long"&gt;44531&lt;/D&gt;&lt;D xsi:type="xsd:long"&gt;44561&lt;/D&gt;&lt;D xsi:type="xsd:long"&gt;44593&lt;/D&gt;&lt;D xsi:type="xsd:long"&gt;44621&lt;/D&gt;&lt;D xsi:type="xsd:long"&gt;44652&lt;/D&gt;&lt;D xsi:type="xsd:long"&gt;44680&lt;/D&gt;&lt;D xsi:type="xsd:long"&gt;44713&lt;/D&gt;&lt;D xsi:type="xsd:long"&gt;44743&lt;/D&gt;&lt;D xsi:type="xsd:long"&gt;44774&lt;/D&gt;&lt;D xsi:type="xsd:long"&gt;44805&lt;/D&gt;&lt;D xsi:type="xsd:long"&gt;44834&lt;/D&gt;&lt;D xsi:type="xsd:long"&gt;44866&lt;/D&gt;&lt;D xsi:type="xsd:long"&gt;44896&lt;/D&gt;&lt;D xsi:type="xsd:long"&gt;44925&lt;/D&gt;&lt;D xsi:type="xsd:long"&gt;44958&lt;/D&gt;&lt;D xsi:type="xsd:long"&gt;44986&lt;/D&gt;&lt;D xsi:type="xsd:long"&gt;45016&lt;/D&gt;&lt;D xsi:type="xsd:long"&gt;45047&lt;/D&gt;&lt;D xsi:type="xsd:long"&gt;45078&lt;/D&gt;&lt;D xsi:type="xsd:long"&gt;45107&lt;/D&gt;&lt;D xsi:type="xsd:long"&gt;45139&lt;/D&gt;&lt;D xsi:type="xsd:long"&gt;45170&lt;/D&gt;&lt;D xsi:type="xsd:long"&gt;45198&lt;/D&gt;&lt;D xsi:type="xsd:long"&gt;45231&lt;/D&gt;&lt;D xsi:type="xsd:long"&gt;45261&lt;/D&gt;&lt;D xsi:type="xsd:long"&gt;45289&lt;/D&gt;&lt;D xsi:type="xsd:long"&gt;45323&lt;/D&gt;&lt;D xsi:type="xsd:long"&gt;45352&lt;/D&gt;&lt;D xsi:type="xsd:long"&gt;45383&lt;/D&gt;&lt;D xsi:type="xsd:long"&gt;45413&lt;/D&gt;&lt;D xsi:type="xsd:long"&gt;45443&lt;/D&gt;&lt;D xsi:type="xsd:long"&gt;45474&lt;/D&gt;&lt;D xsi:type="xsd:long"&gt;45505&lt;/D&gt;&lt;/FQL&gt;&lt;FQL&gt;&lt;Q&gt;EWD^FMA_DIV_YLD(NTMA,-10AY,0,AM,"PORTAGG","MEANR")&lt;/Q&gt;&lt;R&gt;121&lt;/R&gt;&lt;C&gt;1&lt;/C&gt;&lt;D xsi:type="xsd:double"&gt;4.2837949674725&lt;/D&gt;&lt;D xsi:type="xsd:double"&gt;4.21684436152782&lt;/D&gt;&lt;D xsi:type="xsd:double"&gt;4.26923328936899&lt;/D&gt;&lt;D xsi:type="xsd:double"&gt;4.17581124548666&lt;/D&gt;&lt;D xsi:type="xsd:double"&gt;4.10712349020382&lt;/D&gt;&lt;D xsi:type="xsd:double"&gt;4.09244209913544&lt;/D&gt;&lt;D xsi:type="xsd:double"&gt;3.84971001423877&lt;/D&gt;&lt;D xsi:type="xsd:double"&gt;3.59445421457265&lt;/D&gt;&lt;D xsi:type="xsd:double"&gt;3.67235034087362&lt;/D&gt;&lt;D xsi:type="xsd:double"&gt;3.79829888810221&lt;/D&gt;&lt;D xsi:type="xsd:double"&gt;3.78602998110605&lt;/D&gt;&lt;D xsi:type="xsd:double"&gt;3.98722223312556&lt;/D&gt;&lt;D xsi:type="xsd:double"&gt;3.95540930877743&lt;/D&gt;&lt;D xsi:type="xsd:double"&gt;4.39047990078425&lt;/D&gt;&lt;D xsi:type="xsd:double"&gt;4.60541267253986&lt;/D&gt;&lt;D xsi:type="xsd:double"&gt;4.20417517764823&lt;/D&gt;&lt;D xsi:type="xsd:double"&gt;4.10049929425773&lt;/D&gt;&lt;D xsi:type="xsd:double"&gt;4.31327587806828&lt;/D&gt;&lt;D xsi:type="xsd:double"&gt;4.49489461978705&lt;/D&gt;&lt;D xsi:type="xsd:double"&gt;4.3113429070189&lt;/D&gt;&lt;D xsi:type="xsd:double"&gt;4.40734178071996&lt;/D&gt;&lt;D xsi:type="xsd:double"&gt;4.36143114167431&lt;/D&gt;&lt;D xsi:type="xsd:double"&gt;4.4162277409439&lt;/D&gt;&lt;D xsi:type="xsd:double"&gt;4.45984828805178&lt;/D&gt;&lt;D xsi:type="xsd:double"&gt;4.32505929855876&lt;/D&gt;&lt;D xsi:type="xsd:double"&gt;4.23048914409821&lt;/D&gt;&lt;D xsi:type="xsd:double"&gt;4.18832765952657&lt;/D&gt;&lt;D xsi:type="xsd:double"&gt;4.17301119083253&lt;/D&gt;&lt;D xsi:type="xsd:double"&gt;4.00476823429794&lt;/D&gt;&lt;D xsi:type="xsd:double"&gt;3.90395724923268&lt;/D&gt;&lt;D xsi:type="xsd:double"&gt;3.69847758440895&lt;/D&gt;&lt;D xsi:type="xsd:double"&gt;3.6146838718491&lt;/D&gt;&lt;D xsi:type="xsd:double"&gt;3.63049849076176&lt;/D&gt;&lt;D xsi:type="xsd:double"&gt;3.54095637161628&lt;/D&gt;&lt;D xsi:type="xsd:double"&gt;3.37298016006886&lt;/D&gt;&lt;D xsi:type="xsd:double"&gt;3.60866009285285&lt;/D&gt;&lt;D xsi:type="xsd:double"&gt;3.69485241990258&lt;/D&gt;&lt;D xsi:type="xsd:double"&gt;3.74100517530846&lt;/D&gt;&lt;D xsi:type="xsd:double"&gt;3.55487277913198&lt;/D&gt;&lt;D xsi:type="xsd:double"&gt;3.51814806956643&lt;/D&gt;&lt;D xsi:type="xsd:double"&gt;3.71480855788289&lt;/D&gt;&lt;D xsi:type="xsd:double"&gt;3.77433533207484&lt;/D&gt;&lt;D xsi:type="xsd:double"&gt;3.76763183180495&lt;/D&gt;&lt;D xsi:type="xsd:double"&gt;3.89598135697243&lt;/D&gt;&lt;D xsi:type="xsd:double"&gt;4.03733643537522&lt;/D&gt;&lt;D xsi:type="xsd:double"&gt;4.04330612867686&lt;/D&gt;&lt;D xsi:type="xsd:double"&gt;4.08219953725919&lt;/D&gt;&lt;D xsi:type="xsd:double"&gt;4.13224540751474&lt;/D&gt;&lt;D xsi:type="xsd:double"&gt;4.08566944168399&lt;/D&gt;&lt;D xsi:type="xsd:double"&gt;4.01946392634289&lt;/D&gt;&lt;D xsi:type="xsd:double"&gt;4.01397515484689&lt;/D&gt;&lt;D xsi:type="xsd:double"&gt;4.36465666590436&lt;/D&gt;&lt;D xsi:type="xsd:double"&gt;4.46122081358196&lt;/D&gt;&lt;D xsi:type="xsd:double"&gt;4.73856562537439&lt;/D&gt;&lt;D xsi:type="xsd:double"&gt;4.31460243160613&lt;/D&gt;&lt;D xsi:type="xsd:double"&gt;4.14542734539885&lt;/D&gt;&lt;D xsi:type="xsd:double"&gt;4.15728926185468&lt;/D&gt;&lt;D xsi:type="xsd:double"&gt;4.01500923612463&lt;/D&gt;&lt;D xsi:type="xsd:double"&gt;4.44006874496555&lt;/D&gt;&lt;D xsi:type="xsd:double"&gt;4.12021202125902&lt;/D&gt;&lt;D xsi:type="xsd:double"&gt;4.03415706170239&lt;/D&gt;&lt;D xsi:type="xsd:double"&gt;4.21810088531349&lt;/D&gt;&lt;D xsi:type="xsd:double"&gt;3.93779699610044&lt;/D&gt;&lt;D xsi:type="xsd:double"&gt;3.72747315673289&lt;/D&gt;&lt;D xsi:type="xsd:double"&gt;3.71438287249447&lt;/D&gt;&lt;D xsi:type="xsd:double"&gt;3.62646329948458&lt;/D&gt;&lt;D xsi:type="xsd:double"&gt;3.62911496742294&lt;/D&gt;&lt;D xsi:type="xsd:double"&gt;3.83184335373668&lt;/D&gt;&lt;D xsi:type="xsd:double"&gt;4.16416577527919&lt;/D&gt;&lt;D xsi:type="xsd:double"&gt;3.29514658547268&lt;/D&gt;&lt;D xsi:type="xsd:double"&gt;3.04108606001076&lt;/D&gt;&lt;D xsi:type="xsd:double"&gt;3.05097417455685&lt;/D&gt;&lt;D xsi:type="xsd:double"&gt;3.07720203938084&lt;/D&gt;&lt;D xsi:type="xsd:double"&gt;3.01649547229115&lt;/D&gt;&lt;D xsi:type="xsd:double"&gt;3.01368654958753&lt;/D&gt;&lt;D xsi:type="xsd:double"&gt;3.33006982371879&lt;/D&gt;&lt;D xsi:type="xsd:double"&gt;3.00785418618903&lt;/D&gt;&lt;D xsi:type="xsd:double"&gt;3.10729782337201&lt;/D&gt;&lt;D xsi:type="xsd:double"&gt;3.00493826720284&lt;/D&gt;&lt;D xsi:type="xsd:double"&gt;2.9095969896279&lt;/D&gt;&lt;D xsi:type="xsd:double"&gt;2.75477930334971&lt;/D&gt;&lt;D xsi:type="xsd:double"&gt;2.83925900079951&lt;/D&gt;&lt;D xsi:type="xsd:double"&gt;2.67915105898704&lt;/D&gt;&lt;D xsi:type="xsd:double"&gt;2.71364884397388&lt;/D&gt;&lt;D xsi:type="xsd:double"&gt;2.73377226526125&lt;/D&gt;&lt;D xsi:type="xsd:double"&gt;2.73400099071257&lt;/D&gt;&lt;D xsi:type="xsd:double"&gt;2.90119716333823&lt;/D&gt;&lt;D xsi:type="xsd:double"&gt;3.02662417746807&lt;/D&gt;&lt;D xsi:type="xsd:double"&gt;2.95407816126829&lt;/D&gt;&lt;D xsi:type="xsd:double"&gt;2.83243607321917&lt;/D&gt;&lt;D xsi:type="xsd:double"&gt;2.83999374359421&lt;/D&gt;&lt;D xsi:type="xsd:double"&gt;3.22889255595884&lt;/D&gt;&lt;D xsi:type="xsd:double"&gt;3.09699512884962&lt;/D&gt;&lt;D xsi:type="xsd:double"&gt;3.27519893641676&lt;/D&gt;&lt;D xsi:type="xsd:double"&gt;3.28021779740852&lt;/D&gt;&lt;D xsi:type="xsd:double"&gt;3.63852903670848&lt;/D&gt;&lt;D xsi:type="xsd:double"&gt;3.47062433675318&lt;/D&gt;&lt;D xsi:type="xsd:double"&gt;3.81759278897611&lt;/D&gt;&lt;D xsi:type="xsd:double"&gt;3.79156443937652&lt;/D&gt;&lt;D xsi:type="xsd:double"&gt;3.73988668002865&lt;/D&gt;&lt;D xsi:type="xsd:double"&gt;3.56129664493713&lt;/D&gt;&lt;D xsi:type="xsd:double"&gt;3.76345877162313&lt;/D&gt;&lt;D xsi:type="xsd:double"&gt;3.56511917479496&lt;/D&gt;&lt;D xsi:type="xsd:double"&gt;3.56299807151668&lt;/D&gt;&lt;D xsi:type="xsd:double"&gt;3.63055477297283&lt;/D&gt;&lt;D xsi:type="xsd:double"&gt;3.63684954127634&lt;/D&gt;&lt;D xsi:type="xsd:double"&gt;3.78013258581534&lt;/D&gt;&lt;D xsi:type="xsd:double"&gt;3.71222591361017&lt;/D&gt;&lt;D xsi:type="xsd:double"&gt;3.80119242174369&lt;/D&gt;&lt;D xsi:type="xsd:double"&gt;3.95389923996707&lt;/D&gt;&lt;D xsi:type="xsd:double"&gt;4.00795290468536&lt;/D&gt;&lt;D xsi:type="xsd:double"&gt;3.98468419500372&lt;/D&gt;&lt;D xsi:type="xsd:double"&gt;3.14355201516501&lt;/D&gt;&lt;D xsi:type="xsd:double"&gt;2.92065549436807&lt;/D&gt;&lt;D xsi:type="xsd:double"&gt;3.32718541847292&lt;/D&gt;&lt;D xsi:type="xsd:double"&gt;3.28045791199652&lt;/D&gt;&lt;D xsi:type="xsd:double"&gt;3.23181103308743&lt;/D&gt;&lt;D xsi:type="xsd:double"&gt;3.28501893125181&lt;/D&gt;&lt;D xsi:type="xsd:double"&gt;3.20152735266218&lt;/D&gt;&lt;D xsi:type="xsd:double"&gt;3.21303307649593&lt;/D&gt;&lt;D xsi:type="xsd:double"&gt;3.22436381294799&lt;/D&gt;&lt;/FQL&gt;&lt;FQL&gt;&lt;Q&gt;EWQ^FMA_PE(NTMA,-10AY,0,AM,"PORTAGG","MEANR")&lt;/Q&gt;&lt;R&gt;121&lt;/R&gt;&lt;C&gt;1&lt;/C&gt;&lt;D xsi:type="xsd:double"&gt;13.2550003021884&lt;/D&gt;&lt;D xsi:type="xsd:double"&gt;13.6611265422643&lt;/D&gt;&lt;D xsi:type="xsd:double"&gt;13.4740220575702&lt;/D&gt;&lt;D xsi:type="xsd:double"&gt;13.2064043588754&lt;/D&gt;&lt;D xsi:type="xsd:double"&gt;13.9108430065891&lt;/D&gt;&lt;D xsi:type="xsd:double"&gt;13.7780667903218&lt;/D&gt;&lt;D xsi:type="xsd:double"&gt;15.2955982571255&lt;/D&gt;&lt;D xsi:type="xsd:double"&gt;16.3806904032679&lt;/D&gt;&lt;D xsi:type="xsd:double"&gt;16.5495469267437&lt;/D&gt;&lt;D xsi:type="xsd:double"&gt;16.3096469232353&lt;/D&gt;&lt;D xsi:type="xsd:double"&gt;16.1233580077704&lt;/D&gt;&lt;D xsi:type="xsd:double"&gt;15.4788532996993&lt;/D&gt;&lt;D xsi:type="xsd:double"&gt;15.7846630693225&lt;/D&gt;&lt;D xsi:type="xsd:double"&gt;14.0094798811561&lt;/D&gt;&lt;D xsi:type="xsd:double"&gt;13.7644435892861&lt;/D&gt;&lt;D xsi:type="xsd:double"&gt;15.1709503017873&lt;/D&gt;&lt;D xsi:type="xsd:double"&gt;15.3099906780282&lt;/D&gt;&lt;D xsi:type="xsd:double"&gt;14.5525026687196&lt;/D&gt;&lt;D xsi:type="xsd:double"&gt;14.1966976262086&lt;/D&gt;&lt;D xsi:type="xsd:double"&gt;14.3854905696001&lt;/D&gt;&lt;D xsi:type="xsd:double"&gt;14.184321111574&lt;/D&gt;&lt;D xsi:type="xsd:double"&gt;14.4793950055038&lt;/D&gt;&lt;D xsi:type="xsd:double"&gt;14.469431357827&lt;/D&gt;&lt;D xsi:type="xsd:double"&gt;13.6982287872212&lt;/D&gt;&lt;D xsi:type="xsd:double"&gt;14.0409083898382&lt;/D&gt;&lt;D xsi:type="xsd:double"&gt;13.9661110911611&lt;/D&gt;&lt;D xsi:type="xsd:double"&gt;13.8718181444197&lt;/D&gt;&lt;D xsi:type="xsd:double"&gt;13.8163107415195&lt;/D&gt;&lt;D xsi:type="xsd:double"&gt;13.8338228772437&lt;/D&gt;&lt;D xsi:type="xsd:double"&gt;14.5703388121852&lt;/D&gt;&lt;D xsi:type="xsd:double"&gt;14.2642425668268&lt;/D&gt;&lt;D xsi:type="xsd:double"&gt;14.4567036245952&lt;/D&gt;&lt;D xsi:type="xsd:double"&gt;14.9122561126064&lt;/D&gt;&lt;D xsi:type="xsd:double"&gt;15.2007218905598&lt;/D&gt;&lt;D xsi:type="xsd:double"&gt;15.1938364563026&lt;/D&gt;&lt;D xsi:type="xsd:double"&gt;14.5439537287869&lt;/D&gt;&lt;D xsi:type="xsd:double"&gt;14.5824937189424&lt;/D&gt;&lt;D xsi:type="xsd:double"&gt;14.5510852693452&lt;/D&gt;&lt;D xsi:type="xsd:double"&gt;15.1352822443408&lt;/D&gt;&lt;D xsi:type="xsd:double"&gt;15.4318316635539&lt;/D&gt;&lt;D xsi:type="xsd:double"&gt;14.8890691457655&lt;/D&gt;&lt;D xsi:type="xsd:double"&gt;14.8031492764166&lt;/D&gt;&lt;D xsi:type="xsd:double"&gt;15.1334666099803&lt;/D&gt;&lt;D xsi:type="xsd:double"&gt;14.4766125337113&lt;/D&gt;&lt;D xsi:type="xsd:double"&gt;14.1993168392958&lt;/D&gt;&lt;D xsi:type="xsd:double"&gt;14.8053386216356&lt;/D&gt;&lt;D xsi:type="xsd:double"&gt;14.4415011211086&lt;/D&gt;&lt;D xsi:type="xsd:double"&gt;13.9729637950702&lt;/D&gt;&lt;D xsi:type="xsd:double"&gt;14.1608735939384&lt;/D&gt;&lt;D xsi:type="xsd:double"&gt;13.7846595155505&lt;/D&gt;&lt;D xsi:type="xsd:double"&gt;13.8760921133225&lt;/D&gt;&lt;D xsi:type="xsd:double"&gt;12.7834896410633&lt;/D&gt;&lt;D xsi:type="xsd:double"&gt;12.5043562104057&lt;/D&gt;&lt;D xsi:type="xsd:double"&gt;11.8840659032109&lt;/D&gt;&lt;D xsi:type="xsd:double"&gt;12.9237369222963&lt;/D&gt;&lt;D xsi:type="xsd:double"&gt;13.5461494041884&lt;/D&gt;&lt;D xsi:type="xsd:double"&gt;13.7377205680083&lt;/D&gt;&lt;D xsi:type="xsd:double"&gt;14.1395870613758&lt;/D&gt;&lt;D xsi:type="xsd:double"&gt;13.1707166827115&lt;/D&gt;&lt;D xsi:type="xsd:double"&gt;13.9557388918218&lt;/D&gt;&lt;D xsi:type="xsd:double"&gt;14.0608283160389&lt;/D&gt;&lt;D xsi:type="xsd:double"&gt;13.7897920151803&lt;/D&gt;&lt;D xsi:type="xsd:double"&gt;13.9993680762349&lt;/D&gt;&lt;D xsi:type="xsd:double"&gt;14.5228116972747&lt;/D&gt;&lt;D xsi:type="xsd:double"&gt;14.7433178453827&lt;/D&gt;&lt;D xsi:type="xsd:double"&gt;14.8880796901228&lt;/D&gt;&lt;D xsi:type="xsd:double"&gt;14.5204036744806&lt;/D&gt;&lt;D xsi:type="xsd:double"&gt;13.4531981354815&lt;/D&gt;&lt;D xsi:type="xsd:double"&gt;12.3572244485167&lt;/D&gt;&lt;D xsi:type="xsd:double"&gt;16.54403128126&lt;/D&gt;&lt;D xsi:type="xsd:double"&gt;17.9875170696514&lt;/D&gt;&lt;D xsi:type="xsd:double"&gt;18.8066290731286&lt;/D&gt;&lt;D xsi:type="xsd:double"&gt;19.2534713941739&lt;/D&gt;&lt;D xsi:type="xsd:double"&gt;19.1899329790306&lt;/D&gt;&lt;D xsi:type="xsd:double"&gt;18.077124381791&lt;/D&gt;&lt;D xsi:type="xsd:double"&gt;16.5600245152721&lt;/D&gt;&lt;D xsi:type="xsd:double"&gt;19.0958292507371&lt;/D&gt;&lt;D xsi:type="xsd:double"&gt;17.9677191069312&lt;/D&gt;&lt;D xsi:type="xsd:double"&gt;17.422321169952&lt;/D&gt;&lt;D xsi:type="xsd:double"&gt;17.9848436205278&lt;/D&gt;&lt;D xsi:type="xsd:double"&gt;18.3013203868011&lt;/D&gt;&lt;D xsi:type="xsd:double"&gt;17.945334529854&lt;/D&gt;&lt;D xsi:type="xsd:double"&gt;17.9167332857361&lt;/D&gt;&lt;D xsi:type="xsd:double"&gt;17.4782056849577&lt;/D&gt;&lt;D xsi:type="xsd:double"&gt;16.7021484642865&lt;/D&gt;&lt;D xsi:type="xsd:double"&gt;16.5047160078581&lt;/D&gt;&lt;D xsi:type="xsd:double"&gt;15.5264043209252&lt;/D&gt;&lt;D xsi:type="xsd:double"&gt;15.7961039836922&lt;/D&gt;&lt;D xsi:type="xsd:double"&gt;15.5100234886721&lt;/D&gt;&lt;D xsi:type="xsd:double"&gt;15.799627643016&lt;/D&gt;&lt;D xsi:type="xsd:double"&gt;15.1121848624005&lt;/D&gt;&lt;D xsi:type="xsd:double"&gt;13.3636406155808&lt;/D&gt;&lt;D xsi:type="xsd:double"&gt;13.5781266823896&lt;/D&gt;&lt;D xsi:type="xsd:double"&gt;12.8610043081871&lt;/D&gt;&lt;D xsi:type="xsd:double"&gt;12.2809443590308&lt;/D&gt;&lt;D xsi:type="xsd:double"&gt;11.1854920622389&lt;/D&gt;&lt;D xsi:type="xsd:double"&gt;11.6973524295269&lt;/D&gt;&lt;D xsi:type="xsd:double"&gt;10.89842123621&lt;/D&gt;&lt;D xsi:type="xsd:double"&gt;10.2198600502701&lt;/D&gt;&lt;D xsi:type="xsd:double"&gt;11.2798536113945&lt;/D&gt;&lt;D xsi:type="xsd:double"&gt;12.1882631397033&lt;/D&gt;&lt;D xsi:type="xsd:double"&gt;11.8173445843088&lt;/D&gt;&lt;D xsi:type="xsd:double"&gt;13.1651827973037&lt;/D&gt;&lt;D xsi:type="xsd:double"&gt;13.1539033454137&lt;/D&gt;&lt;D xsi:type="xsd:double"&gt;13.2882328428333&lt;/D&gt;&lt;D xsi:type="xsd:double"&gt;13.7125880051327&lt;/D&gt;&lt;D xsi:type="xsd:double"&gt;12.9124027850887&lt;/D&gt;&lt;D xsi:type="xsd:double"&gt;13.2879666796134&lt;/D&gt;&lt;D xsi:type="xsd:double"&gt;13.2080553079917&lt;/D&gt;&lt;D xsi:type="xsd:double"&gt;12.9499650015817&lt;/D&gt;&lt;D xsi:type="xsd:double"&gt;12.4800075279259&lt;/D&gt;&lt;D xsi:type="xsd:double"&gt;12.1797733546572&lt;/D&gt;&lt;D xsi:type="xsd:double"&gt;13.0055804538944&lt;/D&gt;&lt;D xsi:type="xsd:double"&gt;13.4147515249339&lt;/D&gt;&lt;D xsi:type="xsd:double"&gt;13.6454320074965&lt;/D&gt;&lt;D xsi:type="xsd:double"&gt;14.3276725915482&lt;/D&gt;&lt;D xsi:type="xsd:double"&gt;14.670875740167&lt;/D&gt;&lt;D xsi:type="xsd:double"&gt;14.3762525591624&lt;/D&gt;&lt;D xsi:type="xsd:double"&gt;14.2764037688898&lt;/D&gt;&lt;D xsi:type="xsd:double"&gt;13.5283860807075&lt;/D&gt;&lt;D xsi:type="xsd:double"&gt;13.5012279936373&lt;/D&gt;&lt;/FQL&gt;&lt;FQL&gt;&lt;Q&gt;QQQ^FMA_PE(LTMA,-10AY,0,AM,"PORTAGG","MEANR")&lt;/Q&gt;&lt;R&gt;121&lt;/R&gt;&lt;C&gt;1&lt;/C&gt;&lt;D xsi:type="xsd:double"&gt;18.9045897607361&lt;/D&gt;&lt;D xsi:type="xsd:double"&gt;19.4608535100563&lt;/D&gt;&lt;D xsi:type="xsd:double"&gt;19.0972589659605&lt;/D&gt;&lt;D xsi:type="xsd:double"&gt;19.7109218244523&lt;/D&gt;&lt;D xsi:type="xsd:double"&gt;20.3264035807506&lt;/D&gt;&lt;D xsi:type="xsd:double"&gt;20.1096275394862&lt;/D&gt;&lt;D xsi:type="xsd:double"&gt;19.4513791235403&lt;/D&gt;&lt;D xsi:type="xsd:double"&gt;20.7927523096553&lt;/D&gt;&lt;D xsi:type="xsd:double"&gt;20.4585877421876&lt;/D&gt;&lt;D xsi:type="xsd:double"&gt;20.3971550159239&lt;/D&gt;&lt;D xsi:type="xsd:double"&gt;20.2751041548604&lt;/D&gt;&lt;D xsi:type="xsd:double"&gt;19.9470151474793&lt;/D&gt;&lt;D xsi:type="xsd:double"&gt;20.4269856102997&lt;/D&gt;&lt;D xsi:type="xsd:double"&gt;19.0649857939592&lt;/D&gt;&lt;D xsi:type="xsd:double"&gt;19.0161038064491&lt;/D&gt;&lt;D xsi:type="xsd:double"&gt;20.2749133493708&lt;/D&gt;&lt;D xsi:type="xsd:double"&gt;20.6147852403525&lt;/D&gt;&lt;D xsi:type="xsd:double"&gt;20.3489696602954&lt;/D&gt;&lt;D xsi:type="xsd:double"&gt;18.8483493977997&lt;/D&gt;&lt;D xsi:type="xsd:double"&gt;18.2619688656383&lt;/D&gt;&lt;D xsi:type="xsd:double"&gt;18.444790260331&lt;/D&gt;&lt;D xsi:type="xsd:double"&gt;18.3157234271995&lt;/D&gt;&lt;D xsi:type="xsd:double"&gt;18.6336832435267&lt;/D&gt;&lt;D xsi:type="xsd:double"&gt;18.6440457276687&lt;/D&gt;&lt;D xsi:type="xsd:double"&gt;19.4244182440056&lt;/D&gt;&lt;D xsi:type="xsd:double"&gt;19.5647881505591&lt;/D&gt;&lt;D xsi:type="xsd:double"&gt;19.971558870215&lt;/D&gt;&lt;D xsi:type="xsd:double"&gt;19.6405927877489&lt;/D&gt;&lt;D xsi:type="xsd:double"&gt;19.603984554529&lt;/D&gt;&lt;D xsi:type="xsd:double"&gt;20.2941205773802&lt;/D&gt;&lt;D xsi:type="xsd:double"&gt;21.2460181733969&lt;/D&gt;&lt;D xsi:type="xsd:double"&gt;21.7444324847298&lt;/D&gt;&lt;D xsi:type="xsd:double"&gt;21.6628465067159&lt;/D&gt;&lt;D xsi:type="xsd:double"&gt;21.7517573073049&lt;/D&gt;&lt;D xsi:type="xsd:double"&gt;22.0101130857121&lt;/D&gt;&lt;D xsi:type="xsd:double"&gt;21.6377295866646&lt;/D&gt;&lt;D xsi:type="xsd:double"&gt;22.1244818960982&lt;/D&gt;&lt;D xsi:type="xsd:double"&gt;22.3062549192523&lt;/D&gt;&lt;D xsi:type="xsd:double"&gt;22.3042785946712&lt;/D&gt;&lt;D xsi:type="xsd:double"&gt;22.8912840070656&lt;/D&gt;&lt;D xsi:type="xsd:double"&gt;23.0806527278178&lt;/D&gt;&lt;D xsi:type="xsd:double"&gt;23.5271162523326&lt;/D&gt;&lt;D xsi:type="xsd:double"&gt;24.8521242356111&lt;/D&gt;&lt;D xsi:type="xsd:double"&gt;24.0564794339268&lt;/D&gt;&lt;D xsi:type="xsd:double"&gt;23.6415291626979&lt;/D&gt;&lt;D xsi:type="xsd:double"&gt;23.2195380192647&lt;/D&gt;&lt;D xsi:type="xsd:double"&gt;23.2953884689179&lt;/D&gt;&lt;D xsi:type="xsd:double"&gt;22.9760281305682&lt;/D&gt;&lt;D xsi:type="xsd:double"&gt;22.938790781014&lt;/D&gt;&lt;D xsi:type="xsd:double"&gt;23.4622072819795&lt;/D&gt;&lt;D xsi:type="xsd:double"&gt;23.2961327129892&lt;/D&gt;&lt;D xsi:type="xsd:double"&gt;21.391572162301&lt;/D&gt;&lt;D xsi:type="xsd:double"&gt;20.7527256929268&lt;/D&gt;&lt;D xsi:type="xsd:double"&gt;18.6396623122827&lt;/D&gt;&lt;D xsi:type="xsd:double"&gt;20.3044071419649&lt;/D&gt;&lt;D xsi:type="xsd:double"&gt;20.9219133925075&lt;/D&gt;&lt;D xsi:type="xsd:double"&gt;21.0994135958811&lt;/D&gt;&lt;D xsi:type="xsd:double"&gt;21.4115574712153&lt;/D&gt;&lt;D xsi:type="xsd:double"&gt;20.7919206066475&lt;/D&gt;&lt;D xsi:type="xsd:double"&gt;21.7566859875649&lt;/D&gt;&lt;D xsi:type="xsd:double"&gt;21.9190876422114&lt;/D&gt;&lt;D xsi:type="xsd:double"&gt;21.8368739308208&lt;/D&gt;&lt;D xsi:type="xsd:double"&gt;21.9701948213063&lt;/D&gt;&lt;D xsi:type="xsd:double"&gt;23.1364508923354&lt;/D&gt;&lt;D xsi:type="xsd:double"&gt;24.162228206776&lt;/D&gt;&lt;D xsi:type="xsd:double"&gt;25.4709465468865&lt;/D&gt;&lt;D xsi:type="xsd:double"&gt;25.5797299806911&lt;/D&gt;&lt;D xsi:type="xsd:double"&gt;23.8036531420065&lt;/D&gt;&lt;D xsi:type="xsd:double"&gt;23.2990287511416&lt;/D&gt;&lt;D xsi:type="xsd:double"&gt;24.9386389392027&lt;/D&gt;&lt;D xsi:type="xsd:double"&gt;26.5801860552755&lt;/D&gt;&lt;D xsi:type="xsd:double"&gt;27.8659865407826&lt;/D&gt;&lt;D xsi:type="xsd:double"&gt;28.7176938433232&lt;/D&gt;&lt;D xsi:type="xsd:double"&gt;31.9029810866722&lt;/D&gt;&lt;D xsi:type="xsd:double"&gt;31.2312423112243&lt;/D&gt;&lt;D xsi:type="xsd:double"&gt;29.7425470628742&lt;/D&gt;&lt;D xsi:type="xsd:double"&gt;33.6428122327131&lt;/D&gt;&lt;D xsi:type="xsd:double"&gt;35.2372737765586&lt;/D&gt;&lt;D xsi:type="xsd:double"&gt;34.9231731015993&lt;/D&gt;&lt;D xsi:type="xsd:double"&gt;33.034680053156&lt;/D&gt;&lt;D xsi:type="xsd:double"&gt;32.6716433165575&lt;/D&gt;&lt;D xsi:type="xsd:double"&gt;32.1483462592022&lt;/D&gt;&lt;D xsi:type="xsd:double"&gt;31.4202497156856&lt;/D&gt;&lt;D xsi:type="xsd:double"&gt;31.8528767342327&lt;/D&gt;&lt;D xsi:type="xsd:double"&gt;31.4117273424579&lt;/D&gt;&lt;D xsi:type="xsd:double"&gt;31.7811020866282&lt;/D&gt;&lt;D xsi:type="xsd:double"&gt;30.3830951148143&lt;/D&gt;&lt;D xsi:type="xsd:double"&gt;31.5193139395084&lt;/D&gt;&lt;D xsi:type="xsd:double"&gt;31.1619272860563&lt;/D&gt;&lt;D xsi:type="xsd:double"&gt;31.9012291478925&lt;/D&gt;&lt;D xsi:type="xsd:double"&gt;28.8560041323207&lt;/D&gt;&lt;D xsi:type="xsd:double"&gt;26.6339356439319&lt;/D&gt;&lt;D xsi:type="xsd:double"&gt;26.8365690473038&lt;/D&gt;&lt;D xsi:type="xsd:double"&gt;25.8249989751868&lt;/D&gt;&lt;D xsi:type="xsd:double"&gt;25.2600990885062&lt;/D&gt;&lt;D xsi:type="xsd:double"&gt;24.1734814362425&lt;/D&gt;&lt;D xsi:type="xsd:double"&gt;25.6341209798005&lt;/D&gt;&lt;D xsi:type="xsd:double"&gt;24.7356766317634&lt;/D&gt;&lt;D xsi:type="xsd:double"&gt;22.6957009951689&lt;/D&gt;&lt;D xsi:type="xsd:double"&gt;23.0710743335979&lt;/D&gt;&lt;D xsi:type="xsd:double"&gt;24.1171529274349&lt;/D&gt;&lt;D xsi:type="xsd:double"&gt;22.730734026583&lt;/D&gt;&lt;D xsi:type="xsd:double"&gt;25.6302752699739&lt;/D&gt;&lt;D xsi:type="xsd:double"&gt;25.2048214723178&lt;/D&gt;&lt;D xsi:type="xsd:double"&gt;25.6827595112123&lt;/D&gt;&lt;D xsi:type="xsd:double"&gt;25.6620141469344&lt;/D&gt;&lt;D xsi:type="xsd:double"&gt;26.4885100180419&lt;/D&gt;&lt;D xsi:type="xsd:double"&gt;27.2777331947725&lt;/D&gt;&lt;D xsi:type="xsd:double"&gt;27.1120555580652&lt;/D&gt;&lt;D xsi:type="xsd:double"&gt;26.7888554555436&lt;/D&gt;&lt;D xsi:type="xsd:double"&gt;25.949909251699&lt;/D&gt;&lt;D xsi:type="xsd:double"&gt;25.6813402096346&lt;/D&gt;&lt;D xsi:type="xsd:double"&gt;27.7276252747721&lt;/D&gt;&lt;D xsi:type="xsd:double"&gt;29.1637516378953&lt;/D&gt;&lt;D xsi:type="xsd:double"&gt;29.6055601390737&lt;/D&gt;&lt;D xsi:type="xsd:double"&gt;30.3744409942953&lt;/D&gt;&lt;D xsi:type="xsd:double"&gt;30.0490729703592&lt;/D&gt;&lt;D xsi:type="xsd:double"&gt;29.293357230156&lt;/D&gt;&lt;D xsi:type="xsd:double"&gt;29.5498110158936&lt;/D&gt;&lt;D xsi:type="xsd:double"&gt;30.2160284639567&lt;/D&gt;&lt;D xsi:type="xsd:double"&gt;29.7101169948215&lt;/D&gt;&lt;/FQL&gt;&lt;FQL&gt;&lt;Q&gt;DDR3512M-FDS^FG_PRICE(0)&lt;/Q&gt;&lt;R&gt;1&lt;/R&gt;&lt;C&gt;1&lt;/C&gt;&lt;D xsi:type="xsd:double"&gt;0.9074227&lt;/D&gt;&lt;/FQL&gt;&lt;FQL&gt;&lt;Q&gt;PASP-FDS^FG_PRICE(0)&lt;/Q&gt;&lt;R&gt;1&lt;/R&gt;&lt;C&gt;1&lt;/C&gt;&lt;D xsi:type="xsd:double"&gt;935&lt;/D&gt;&lt;/FQL&gt;&lt;FQL&gt;&lt;Q&gt;PLATI-FDS^FG_PRICE(0)&lt;/Q&gt;&lt;R&gt;1&lt;/R&gt;&lt;C&gt;1&lt;/C&gt;&lt;D xsi:type="xsd:double"&gt;978&lt;/D&gt;&lt;/FQL&gt;&lt;FQL&gt;&lt;Q&gt;W-FDS^FG_PRICE(0)&lt;/Q&gt;&lt;R&gt;1&lt;/R&gt;&lt;C&gt;1&lt;/C&gt;&lt;D xsi:type="xsd:double"&gt;5.32&lt;/D&gt;&lt;/FQL&gt;&lt;FQL&gt;&lt;Q&gt;COPP-FDS^FG_PRICE(0)&lt;/Q&gt;&lt;R&gt;1&lt;/R&gt;&lt;C&gt;1&lt;/C&gt;&lt;D xsi:type="xsd:double"&gt;4.0665&lt;/D&gt;&lt;/FQL&gt;&lt;FQL&gt;&lt;Q&gt;FC0000US^FG_PRICE(0)&lt;/Q&gt;&lt;R&gt;1&lt;/R&gt;&lt;C&gt;1&lt;/C&gt;&lt;D xsi:type="xsd:double"&gt;408.25015&lt;/D&gt;&lt;/FQL&gt;&lt;FQL&gt;&lt;Q&gt;FC0000GR^FG_PRICE(0)&lt;/Q&gt;&lt;R&gt;1&lt;/R&gt;&lt;C&gt;1&lt;/C&gt;&lt;D xsi:type="xsd:double"&gt;9.8583145&lt;/D&gt;&lt;/FQL&gt;&lt;FQL&gt;&lt;Q&gt;EWI^FG_PRICE(0)&lt;/Q&gt;&lt;R&gt;1&lt;/R&gt;&lt;C&gt;1&lt;/C&gt;&lt;D xsi:type="xsd:double"&gt;36.05&lt;/D&gt;&lt;/FQL&gt;&lt;FQL&gt;&lt;Q&gt;SPY^FG_PRICE(0)&lt;/Q&gt;&lt;R&gt;1&lt;/R&gt;&lt;C&gt;1&lt;/C&gt;&lt;D xsi:type="xsd:double"&gt;543.01&lt;/D&gt;&lt;/FQL&gt;&lt;FQL&gt;&lt;Q&gt;EWJ^FG_PRICE(0)&lt;/Q&gt;&lt;R&gt;1&lt;/R&gt;&lt;C&gt;1&lt;/C&gt;&lt;D xsi:type="xsd:double"&gt;67.55&lt;/D&gt;&lt;/FQL&gt;&lt;FQL&gt;&lt;Q&gt;ENZL^FG_PRICE(0)&lt;/Q&gt;&lt;R&gt;1&lt;/R&gt;&lt;C&gt;1&lt;/C&gt;&lt;D xsi:type="xsd:double"&gt;45.83&lt;/D&gt;&lt;/FQL&gt;&lt;FQL&gt;&lt;Q&gt;EWA^FG_COMPANY_NAME&lt;/Q&gt;&lt;R&gt;1&lt;/R&gt;&lt;C&gt;1&lt;/C&gt;&lt;D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xsi:type="xsd:double"&gt;0.21380627&lt;/D&gt;&lt;/FQL&gt;&lt;FQL&gt;&lt;Q&gt;SPY^FMA_PCT_ABOVE_MAVG(200,0,,,,"PORTAGG")&lt;/Q&gt;&lt;R&gt;1&lt;/R&gt;&lt;C&gt;1&lt;/C&gt;&lt;D xsi:type="xsd:double"&gt;75.0499001996008&lt;/D&gt;&lt;/FQL&gt;&lt;FQL&gt;&lt;Q&gt;URTH^PERCENT_CHANGE(FMA_EPS(+1,0,,,,"PORTAGG","MEAN"),FMA_EPS(+1,-3AM,,,,"PORTAGG","MEAN"))&lt;/Q&gt;&lt;R&gt;1&lt;/R&gt;&lt;C&gt;1&lt;/C&gt;&lt;D xsi:type="xsd:double"&gt;0.0599564227040829&lt;/D&gt;&lt;/FQL&gt;&lt;FQL&gt;&lt;Q&gt;VGK^FG_TOTAL_RETURNC(0,-3AM)&lt;/Q&gt;&lt;R&gt;1&lt;/R&gt;&lt;C&gt;1&lt;/C&gt;&lt;D xsi:type="xsd:double"&gt;3.862369&lt;/D&gt;&lt;/FQL&gt;&lt;FQL&gt;&lt;Q&gt;EWD^P_PRICE(0)/P_PRICE_HIGH_PR(0,,,,,,"PRICE","INTRA","52W")&lt;/Q&gt;&lt;R&gt;1&lt;/R&gt;&lt;C&gt;1&lt;/C&gt;&lt;D xsi:type="xsd:double"&gt;0.9209847&lt;/D&gt;&lt;/FQL&gt;&lt;FQL&gt;&lt;Q&gt;EWQ^FG_TOTAL_RETURNC(0,-12AM)&lt;/Q&gt;&lt;R&gt;1&lt;/R&gt;&lt;C&gt;1&lt;/C&gt;&lt;D xsi:type="xsd:double"&gt;-0.26054382&lt;/D&gt;&lt;/FQL&gt;&lt;FQL&gt;&lt;Q&gt;SPY^PERCENT_CHANGE(FMA_EPS(+1,0,,,,"PORTAGG","MEAN"),FMA_EPS(+1,-1AM,,,,"PORTAGG","MEAN"))&lt;/Q&gt;&lt;R&gt;1&lt;/R&gt;&lt;C&gt;1&lt;/C&gt;&lt;D xsi:type="xsd:double"&gt;-0.0338223531782067&lt;/D&gt;&lt;/FQL&gt;&lt;FQL&gt;&lt;Q&gt;DUMMY^ECON_EXPR_DATA('FDS_ECON[NTCPMIMFGSA@EME]',,,M)&lt;/Q&gt;&lt;R&gt;1&lt;/R&gt;&lt;C&gt;1&lt;/C&gt;&lt;D xsi:type="xsd:double"&gt;50.6699&lt;/D&gt;&lt;/FQL&gt;&lt;FQL&gt;&lt;Q&gt;EWD^FMA_ROE(NTMA,-20AY,NOW,FY,"PORTAGG","MEANR")&lt;/Q&gt;&lt;R&gt;20&lt;/R&gt;&lt;C&gt;1&lt;/C&gt;&lt;D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xsi:type="xsd:double"&gt;13.4117967495928&lt;/D&gt;&lt;D xsi:type="xsd:double"&gt;11.9085678484881&lt;/D&gt;&lt;D xsi:type="xsd:double"&gt;15.3602779609384&lt;/D&gt;&lt;D xsi:type="xsd:double"&gt;14.6915673510105&lt;/D&gt;&lt;D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C_IT^IMF_IFS_RCPI_Q(0)&lt;/Q&gt;&lt;R&gt;0&lt;/R&gt;&lt;C&gt;0&lt;/C&gt;&lt;/FQL&gt;&lt;FQL&gt;&lt;Q&gt;VWO^FMA_DIV_YLD(NTMA,NOW,NOW,M,"PORTAGG","MEANR")&lt;/Q&gt;&lt;R&gt;1&lt;/R&gt;&lt;C&gt;1&lt;/C&gt;&lt;D xsi:type="xsd:double"&gt;2.97331853722452&lt;/D&gt;&lt;/FQL&gt;&lt;FQL&gt;&lt;Q&gt;EWQ^FMA_EVAL_EBIT(LTMA,NOW,NOW,M,"PORTAGG","MEANR")&lt;/Q&gt;&lt;R&gt;1&lt;/R&gt;&lt;C&gt;1&lt;/C&gt;&lt;D xsi:type="xsd:double"&gt;13.0737003727421&lt;/D&gt;&lt;/FQL&gt;&lt;FQL&gt;&lt;Q&gt;QQQ^FG_FCF_YIELD_NTM(0)&lt;/Q&gt;&lt;R&gt;1&lt;/R&gt;&lt;C&gt;1&lt;/C&gt;&lt;D xsi:type="xsd:double"&gt;3.58749447349296&lt;/D&gt;&lt;/FQL&gt;&lt;FQL&gt;&lt;Q&gt;EWL^FMA_PE(NTMA,0,,,"PORTAGG","MEANR")&lt;/Q&gt;&lt;R&gt;1&lt;/R&gt;&lt;C&gt;1&lt;/C&gt;&lt;D xsi:type="xsd:double"&gt;17.3232210028434&lt;/D&gt;&lt;/FQL&gt;&lt;FQL&gt;&lt;Q&gt;ENZL^FMA_EVAL_EBITDA(NTMA,0,,,"PORTAGG","MEANR")&lt;/Q&gt;&lt;R&gt;1&lt;/R&gt;&lt;C&gt;1&lt;/C&gt;&lt;D xsi:type="xsd:double"&gt;12.1728897632796&lt;/D&gt;&lt;/FQL&gt;&lt;FQL&gt;&lt;Q&gt;EWG^FG_COMPANY_NAME&lt;/Q&gt;&lt;R&gt;1&lt;/R&gt;&lt;C&gt;1&lt;/C&gt;&lt;D xsi:type="xsd:string"&gt;iShares MSCI Germany ETF&lt;/D&gt;&lt;/FQL&gt;&lt;FQL&gt;&lt;Q&gt;EWN^FG_COMPANY_NAME&lt;/Q&gt;&lt;R&gt;1&lt;/R&gt;&lt;C&gt;1&lt;/C&gt;&lt;D xsi:type="xsd:string"&gt;iShares MSCI Netherlands ETF&lt;/D&gt;&lt;/FQL&gt;&lt;FQL&gt;&lt;Q&gt;VGK^FG_TOTAL_RETURNC(0,-6AM)&lt;/Q&gt;&lt;R&gt;1&lt;/R&gt;&lt;C&gt;1&lt;/C&gt;&lt;D xsi:type="xsd:double"&gt;6.420195&lt;/D&gt;&lt;/FQL&gt;&lt;FQL&gt;&lt;Q&gt;QQQ^FG_TOTAL_RETURNC(0,-6AM)&lt;/Q&gt;&lt;R&gt;1&lt;/R&gt;&lt;C&gt;1&lt;/C&gt;&lt;D xsi:type="xsd:double"&gt;9.273267&lt;/D&gt;&lt;/FQL&gt;&lt;FQL&gt;&lt;Q&gt;VWO^FG_TOTAL_RETURNC(0,-6AM)&lt;/Q&gt;&lt;R&gt;1&lt;/R&gt;&lt;C&gt;1&lt;/C&gt;&lt;D xsi:type="xsd:double"&gt;9.670162&lt;/D&gt;&lt;/FQL&gt;&lt;FQL&gt;&lt;Q&gt;FXI^FG_TOTAL_RETURNC(0,-6AM)&lt;/Q&gt;&lt;R&gt;1&lt;/R&gt;&lt;C&gt;1&lt;/C&gt;&lt;D xsi:type="xsd:double"&gt;16.199064&lt;/D&gt;</t>
        </r>
      </text>
    </comment>
    <comment ref="A2" authorId="0" shapeId="0" xr:uid="{EC08D31D-8ED6-45C3-B885-CA6693F26104}">
      <text>
        <r>
          <rPr>
            <b/>
            <sz val="9"/>
            <color indexed="81"/>
            <rFont val="Tahoma"/>
            <charset val="1"/>
          </rPr>
          <t>&lt;/FQL&gt;&lt;FQL&gt;&lt;Q&gt;EWJ^P_PRICE(0)/P_PRICE_LOW_PR(0,,,,,,"PRICE","INTRA","52W")-1&lt;/Q&gt;&lt;R&gt;1&lt;/R&gt;&lt;C&gt;1&lt;/C&gt;&lt;D xsi:type="xsd:double"&gt;0.18094409&lt;/D&gt;&lt;/FQL&gt;&lt;FQL&gt;&lt;Q&gt;VGK^PERCENT_CHANGE(FMA_EPS(+1,0,,,,"PORTAGG","MEAN"),FMA_EPS(+1,-3AM,,,,"PORTAGG","MEAN"))&lt;/Q&gt;&lt;R&gt;1&lt;/R&gt;&lt;C&gt;1&lt;/C&gt;&lt;D xsi:type="xsd:double"&gt;1.27956338868288&lt;/D&gt;&lt;/FQL&gt;&lt;FQL&gt;&lt;Q&gt;EWJ^FMA_COS_UP("EPS","1M",+1,0,,,"PORTAGG","MEANR")&lt;/Q&gt;&lt;R&gt;1&lt;/R&gt;&lt;C&gt;1&lt;/C&gt;&lt;D xsi:type="xsd:double"&gt;96&lt;/D&gt;&lt;/FQL&gt;&lt;FQL&gt;&lt;Q&gt;EWN^SIZE(FG_CONSTITUENTS)&lt;/Q&gt;&lt;R&gt;1&lt;/R&gt;&lt;C&gt;1&lt;/C&gt;&lt;D xsi:type="xsd:long"&gt;53&lt;/D&gt;&lt;/FQL&gt;&lt;FQL&gt;&lt;Q&gt;EWL^FMA_COS_DOWN("EPS","1M",+1,0,,,"PORTAGG","MEANR")&lt;/Q&gt;&lt;R&gt;1&lt;/R&gt;&lt;C&gt;1&lt;/C&gt;&lt;D xsi:type="xsd:double"&gt;19&lt;/D&gt;&lt;/FQL&gt;&lt;FQL&gt;&lt;Q&gt;ENZL^FMA_COS_UP("EPS","1M",+1,0,,,"PORTAGG","MEANR")&lt;/Q&gt;&lt;R&gt;1&lt;/R&gt;&lt;C&gt;1&lt;/C&gt;&lt;D xsi:type="xsd:double"&gt;3&lt;/D&gt;&lt;/FQL&gt;&lt;FQL&gt;&lt;Q&gt;TRYJP10Y-FDS^FG_YIELD_NAME&lt;/Q&gt;&lt;R&gt;1&lt;/R&gt;&lt;C&gt;1&lt;/C&gt;&lt;D xsi:type="xsd:string"&gt;Japan Benchmark Bond - 10 Year&lt;/D&gt;&lt;/FQL&gt;&lt;FQL&gt;&lt;Q&gt;CAGDPY@FR^EE_ACTUAL_ANNUAL(MED,0)&lt;/Q&gt;&lt;R&gt;1&lt;/R&gt;&lt;C&gt;1&lt;/C&gt;&lt;D xsi:type="xsd:double"&gt;-1.02144178613266&lt;/D&gt;&lt;/FQL&gt;&lt;FQL&gt;&lt;Q&gt;CAGDPY@AU^EE_ACTUAL_ANNUAL(MED,0)&lt;/Q&gt;&lt;R&gt;1&lt;/R&gt;&lt;C&gt;1&lt;/C&gt;&lt;D xsi:type="xsd:double"&gt;0.275776825503169&lt;/D&gt;&lt;/FQL&gt;&lt;FQL&gt;&lt;Q&gt;USDITL^FG_PRICE_CHANGE(0,-1AM)&lt;/Q&gt;&lt;R&gt;1&lt;/R&gt;&lt;C&gt;1&lt;/C&gt;&lt;D xsi:type="xsd:double"&gt;-0.5837381&lt;/D&gt;&lt;/FQL&gt;&lt;FQL&gt;&lt;Q&gt;USDANG^FG_PRICE_CHANGE(0,-1AM)&lt;/Q&gt;&lt;R&gt;1&lt;/R&gt;&lt;C&gt;1&lt;/C&gt;&lt;D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xsi:type="xsd:double"&gt;-1.1569202&lt;/D&gt;&lt;/FQL&gt;&lt;FQL&gt;&lt;Q&gt;USDJPY^FG_PRICE_CHANGE(0,-1AM)&lt;/Q&gt;&lt;R&gt;1&lt;/R&gt;&lt;C&gt;1&lt;/C&gt;&lt;D xsi:type="xsd:double"&gt;-7.175106&lt;/D&gt;&lt;/FQL&gt;&lt;FQL&gt;&lt;Q&gt;USDCAD^FG_PRICE_CHANGE(0,-1AM)&lt;/Q&gt;&lt;R&gt;1&lt;/R&gt;&lt;C&gt;1&lt;/C&gt;&lt;D xsi:type="xsd:double"&gt;0.77558756&lt;/D&gt;&lt;/FQL&gt;&lt;FQL&gt;&lt;Q&gt;USDNZD^FG_PRICE_CHANGE(0,-1AM)&lt;/Q&gt;&lt;R&gt;1&lt;/R&gt;&lt;C&gt;1&lt;/C&gt;&lt;D xsi:type="xsd:double"&gt;1.8454909&lt;/D&gt;&lt;/FQL&gt;&lt;FQL&gt;&lt;Q&gt;ENZL^FMA_EPS(NTMA,-20AY,0,CY,,"PORTAGG","MEANR")&lt;/Q&gt;&lt;R&gt;20&lt;/R&gt;&lt;C&gt;1&lt;/C&gt;&lt;D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xsi:type="xsd:double"&gt;-7.8320146&lt;/D&gt;&lt;D xsi:type="xsd:double"&gt;-1.6625583&lt;/D&gt;&lt;D xsi:type="xsd:double"&gt;-3.0682564&lt;/D&gt;&lt;D xsi:type="xsd:double"&gt;-3.7467718&lt;/D&gt;&lt;D xsi:type="xsd:double"&gt;-1.1073828&lt;/D&gt;&lt;D xsi:type="xsd:double"&gt;-7.0612907&lt;/D&gt;&lt;D xsi:type="xsd:double"&gt;0.8088231&lt;/D&gt;&lt;D xsi:type="xsd:double"&gt;8.533918&lt;/D&gt;&lt;D xsi:type="xsd:double"&gt;0.73924065&lt;/D&gt;&lt;D xsi:type="xsd:double"&gt;3.402269&lt;/D&gt;&lt;D xsi:type="xsd:double"&gt;0&lt;/D&gt;&lt;D xsi:type="xsd:double"&gt;-0.92998743&lt;/D&gt;&lt;D xsi:type="xsd:double"&gt;2.5844932&lt;/D&gt;&lt;D xsi:type="xsd:double"&gt;-6.847543&lt;/D&gt;&lt;D xsi:type="xsd:double"&gt;-1.0402203&lt;/D&gt;&lt;D xsi:type="xsd:double"&gt;3.7841678&lt;/D&gt;&lt;D xsi:type="xsd:double"&gt;-2.633357&lt;/D&gt;&lt;D xsi:type="xsd:double"&gt;-4.4277487&lt;/D&gt;&lt;D xsi:type="xsd:double"&gt;-12.445414&lt;/D&gt;&lt;D xsi:type="xsd:double"&gt;-2.9093862&lt;/D&gt;&lt;D xsi:type="xsd:double"&gt;3.082192&lt;/D&gt;&lt;D xsi:type="xsd:double"&gt;5.564785&lt;/D&gt;&lt;D xsi:type="xsd:double"&gt;-4.956728&lt;/D&gt;&lt;D xsi:type="xsd:double"&gt;-7.878476&lt;/D&gt;&lt;D xsi:type="xsd:double"&gt;1.1090517&lt;/D&gt;&lt;D xsi:type="xsd:double"&gt;3.930533&lt;/D&gt;&lt;D xsi:type="xsd:double"&gt;-3.07827&lt;/D&gt;&lt;D xsi:type="xsd:double"&gt;1.3611555&lt;/D&gt;&lt;D xsi:type="xsd:double"&gt;-1.6114593&lt;/D&gt;&lt;D xsi:type="xsd:double"&gt;11.161923&lt;/D&gt;&lt;D xsi:type="xsd:double"&gt;-1.9826472&lt;/D&gt;&lt;D xsi:type="xsd:double"&gt;1.2642264&lt;/D&gt;&lt;D xsi:type="xsd:double"&gt;7.116103&lt;/D&gt;&lt;D xsi:type="xsd:double"&gt;3.2245517&lt;/D&gt;&lt;D xsi:type="xsd:double"&gt;6.285286&lt;/D&gt;&lt;D xsi:type="xsd:double"&gt;0.23365021&lt;/D&gt;&lt;D xsi:type="xsd:double"&gt;7.5179815&lt;/D&gt;&lt;D xsi:type="xsd:double"&gt;1.8066287&lt;/D&gt;&lt;D xsi:type="xsd:double"&gt;3.0561924&lt;/D&gt;&lt;D xsi:type="xsd:double"&gt;-0.73342323&lt;/D&gt;&lt;D xsi:type="xsd:double"&gt;-0.86732507&lt;/D&gt;&lt;D xsi:type="xsd:double"&gt;-0.81677437&lt;/D&gt;&lt;D xsi:type="xsd:double"&gt;12.253607&lt;/D&gt;&lt;D xsi:type="xsd:double"&gt;-7.550478&lt;/D&gt;&lt;D xsi:type="xsd:double"&gt;1.7727137&lt;/D&gt;&lt;D xsi:type="xsd:double"&gt;3.9502263&lt;/D&gt;&lt;D xsi:type="xsd:double"&gt;-9.156185&lt;/D&gt;&lt;D xsi:type="xsd:double"&gt;-2.1754026&lt;/D&gt;&lt;D xsi:type="xsd:double"&gt;1.280725&lt;/D&gt;&lt;D xsi:type="xsd:double"&gt;-7.3820887&lt;/D&gt;&lt;D xsi:type="xsd:double"&gt;1.4391065&lt;/D&gt;&lt;D xsi:type="xsd:double"&gt;-7.093483&lt;/D&gt;&lt;D xsi:type="xsd:double"&gt;-0.5873203&lt;/D&gt;&lt;D xsi:type="xsd:double"&gt;-3.4290433&lt;/D&gt;&lt;D xsi:type="xsd:double"&gt;7.228422&lt;/D&gt;&lt;D xsi:type="xsd:double"&gt;5.238831&lt;/D&gt;&lt;D xsi:type="xsd:double"&gt;2.7086377&lt;/D&gt;&lt;D xsi:type="xsd:double"&gt;0&lt;/D&gt;&lt;D xsi:type="xsd:double"&gt;-7.5552344&lt;/D&gt;&lt;D xsi:type="xsd:double"&gt;9.184467&lt;/D&gt;&lt;D xsi:type="xsd:double"&gt;-1.6076028&lt;/D&gt;&lt;D xsi:type="xsd:double"&gt;-0.07426739&lt;/D&gt;&lt;D xsi:type="xsd:double"&gt;1.4121175&lt;/D&gt;&lt;D xsi:type="xsd:double"&gt;7.0721865&lt;/D&gt;&lt;D xsi:type="xsd:double"&gt;-1.129365&lt;/D&gt;&lt;D xsi:type="xsd:double"&gt;2.8223991&lt;/D&gt;&lt;D xsi:type="xsd:double"&gt;-2.440673&lt;/D&gt;&lt;D xsi:type="xsd:double"&gt;-5.3509417&lt;/D&gt;&lt;D xsi:type="xsd:double"&gt;-27.055794&lt;/D&gt;&lt;D xsi:type="xsd:double"&gt;4.2778015&lt;/D&gt;&lt;D xsi:type="xsd:double"&gt;11.245179&lt;/D&gt;&lt;D xsi:type="xsd:double"&gt;5.4738164&lt;/D&gt;&lt;D xsi:type="xsd:double"&gt;2.7847052&lt;/D&gt;&lt;D xsi:type="xsd:double"&gt;3.8010478&lt;/D&gt;&lt;D xsi:type="xsd:double"&gt;-4.5968056&lt;/D&gt;&lt;D xsi:type="xsd:double"&gt;-6.8599463&lt;/D&gt;&lt;D xsi:type="xsd:double"&gt;27.4441&lt;/D&gt;&lt;D xsi:type="xsd:double"&gt;2.1092534&lt;/D&gt;&lt;D xsi:type="xsd:double"&gt;-2.445656&lt;/D&gt;&lt;D xsi:type="xsd:double"&gt;6.1281323&lt;/D&gt;&lt;D xsi:type="xsd:double"&gt;4.3963313&lt;/D&gt;&lt;D xsi:type="xsd:double"&gt;-0.6599605&lt;/D&gt;&lt;D xsi:type="xsd:double"&gt;7.149625&lt;/D&gt;&lt;D xsi:type="xsd:double"&gt;-2.7254999&lt;/D&gt;&lt;D xsi:type="xsd:double"&gt;-0.1843214&lt;/D&gt;&lt;D xsi:type="xsd:double"&gt;2.185285&lt;/D&gt;&lt;D xsi:type="xsd:double"&gt;-3.9156675&lt;/D&gt;&lt;D xsi:type="xsd:double"&gt;6.614411&lt;/D&gt;&lt;D xsi:type="xsd:double"&gt;-7.9682407&lt;/D&gt;&lt;D xsi:type="xsd:double"&gt;6.3168883&lt;/D&gt;&lt;D xsi:type="xsd:double"&gt;0.15238523&lt;/D&gt;&lt;D xsi:type="xsd:double"&gt;-11.65551&lt;/D&gt;&lt;D xsi:type="xsd:double"&gt;3.2380223&lt;/D&gt;&lt;D xsi:type="xsd:double"&gt;-8.475137&lt;/D&gt;&lt;D xsi:type="xsd:double"&gt;3.2446146&lt;/D&gt;&lt;D xsi:type="xsd:double"&gt;-11.888731&lt;/D&gt;&lt;D xsi:type="xsd:double"&gt;1.776123&lt;/D&gt;&lt;D xsi:type="xsd:double"&gt;-6.899345&lt;/D&gt;&lt;D xsi:type="xsd:double"&gt;-6.2772455&lt;/D&gt;&lt;D xsi:type="xsd:double"&gt;12.976753&lt;/D&gt;&lt;D xsi:type="xsd:double"&gt;15.232599&lt;/D&gt;&lt;D xsi:type="xsd:double"&gt;-2.3040473&lt;/D&gt;&lt;D xsi:type="xsd:double"&gt;13.734221&lt;/D&gt;&lt;D xsi:type="xsd:double"&gt;-1.631856&lt;/D&gt;&lt;D xsi:type="xsd:double"&gt;0.96217394&lt;/D&gt;&lt;D xsi:type="xsd:double"&gt;4.173517&lt;/D&gt;&lt;D xsi:type="xsd:double"&gt;-4.16404&lt;/D&gt;&lt;D xsi:type="xsd:double"&gt;7.3437214&lt;/D&gt;&lt;D xsi:type="xsd:double"&gt;3.9271235&lt;/D&gt;&lt;D xsi:type="xsd:double"&gt;-3.7484944&lt;/D&gt;&lt;D xsi:type="xsd:double"&gt;-4.4597983&lt;/D&gt;&lt;D xsi:type="xsd:double"&gt;-0.82182884&lt;/D&gt;&lt;D xsi:type="xsd:double"&gt;9.877372&lt;/D&gt;&lt;D xsi:type="xsd:double"&gt;3.644228&lt;/D&gt;&lt;D xsi:type="xsd:double"&gt;-0.058948994&lt;/D&gt;&lt;D xsi:type="xsd:double"&gt;5.897963&lt;/D&gt;&lt;D xsi:type="xsd:double"&gt;4.8454523&lt;/D&gt;&lt;D xsi:type="xsd:double"&gt;-3.0013323&lt;/D&gt;&lt;D xsi:type="xsd:double"&gt;6.3253045&lt;/D&gt;&lt;D xsi:type="xsd:double"&gt;-3.7781596&lt;/D&gt;&lt;D xsi:type="xsd:double"&gt;-1.1245191&lt;/D&gt;&lt;/FQL&gt;&lt;FQL&gt;&lt;Q&gt;EWN^FMA_DIV_YLD(NTMA,-10AY,0,AM,"PORTAGG","MEANR")&lt;/Q&gt;&lt;R&gt;121&lt;/R&gt;&lt;C&gt;1&lt;/C&gt;&lt;D xsi:type="xsd:double"&gt;2.99646276175281&lt;/D&gt;&lt;D xsi:type="xsd:double"&gt;2.9875368558412&lt;/D&gt;&lt;D xsi:type="xsd:double"&gt;3.02727389347525&lt;/D&gt;&lt;D xsi:type="xsd:double"&gt;3.10167786383842&lt;/D&gt;&lt;D xsi:type="xsd:double"&gt;3.00350671522889&lt;/D&gt;&lt;D xsi:type="xsd:double"&gt;3.07635052922722&lt;/D&gt;&lt;D xsi:type="xsd:double"&gt;2.90003273270605&lt;/D&gt;&lt;D xsi:type="xsd:double"&gt;2.71372282178949&lt;/D&gt;&lt;D xsi:type="xsd:double"&gt;2.67536841821691&lt;/D&gt;&lt;D xsi:type="xsd:double"&gt;2.7461343999879&lt;/D&gt;&lt;D xsi:type="xsd:double"&gt;2.83231376674112&lt;/D&gt;&lt;D xsi:type="xsd:double"&gt;2.90953951022614&lt;/D&gt;&lt;D xsi:type="xsd:double"&gt;2.8900662201743&lt;/D&gt;&lt;D xsi:type="xsd:double"&gt;3.46125880002886&lt;/D&gt;&lt;D xsi:type="xsd:double"&gt;3.61662705888789&lt;/D&gt;&lt;D xsi:type="xsd:double"&gt;3.25748940178752&lt;/D&gt;&lt;D xsi:type="xsd:double"&gt;3.12926368110632&lt;/D&gt;&lt;D xsi:type="xsd:double"&gt;3.15784476268672&lt;/D&gt;&lt;D xsi:type="xsd:double"&gt;3.22640793920231&lt;/D&gt;&lt;D xsi:type="xsd:double"&gt;3.27008045651828&lt;/D&gt;&lt;D xsi:type="xsd:double"&gt;3.33589768325509&lt;/D&gt;&lt;D xsi:type="xsd:double"&gt;3.3707402030184&lt;/D&gt;&lt;D xsi:type="xsd:double"&gt;3.15055568485444&lt;/D&gt;&lt;D xsi:type="xsd:double"&gt;3.32961459433652&lt;/D&gt;&lt;D xsi:type="xsd:double"&gt;3.21684998474071&lt;/D&gt;&lt;D xsi:type="xsd:double"&gt;3.14829843784298&lt;/D&gt;&lt;D xsi:type="xsd:double"&gt;3.11899711258538&lt;/D&gt;&lt;D xsi:type="xsd:double"&gt;3.16024032194357&lt;/D&gt;&lt;D xsi:type="xsd:double"&gt;3.14430383207192&lt;/D&gt;&lt;D xsi:type="xsd:double"&gt;2.9618206119659&lt;/D&gt;&lt;D xsi:type="xsd:double"&gt;2.98465629743622&lt;/D&gt;&lt;D xsi:type="xsd:double"&gt;2.82630196579232&lt;/D&gt;&lt;D xsi:type="xsd:double"&gt;2.75918279903228&lt;/D&gt;&lt;D xsi:type="xsd:double"&gt;2.74024482623613&lt;/D&gt;&lt;D xsi:type="xsd:double"&gt;2.70250922477626&lt;/D&gt;&lt;D xsi:type="xsd:double"&gt;2.81837747248312&lt;/D&gt;&lt;D xsi:type="xsd:double"&gt;2.76002243303874&lt;/D&gt;&lt;D xsi:type="xsd:double"&gt;2.86919605885253&lt;/D&gt;&lt;D xsi:type="xsd:double"&gt;2.78837444839308&lt;/D&gt;&lt;D xsi:type="xsd:double"&gt;2.73323278089816&lt;/D&gt;&lt;D xsi:type="xsd:double"&gt;2.87240875502282&lt;/D&gt;&lt;D xsi:type="xsd:double"&gt;2.85753484013009&lt;/D&gt;&lt;D xsi:type="xsd:double"&gt;2.81643035857471&lt;/D&gt;&lt;D xsi:type="xsd:double"&gt;2.96150824524108&lt;/D&gt;&lt;D xsi:type="xsd:double"&gt;2.98611007049026&lt;/D&gt;&lt;D xsi:type="xsd:double"&gt;2.93326127438737&lt;/D&gt;&lt;D xsi:type="xsd:double"&gt;2.88192081467549&lt;/D&gt;&lt;D xsi:type="xsd:double"&gt;2.95013587037403&lt;/D&gt;&lt;D xsi:type="xsd:double"&gt;2.84744218671044&lt;/D&gt;&lt;D xsi:type="xsd:double"&gt;2.9031838112027&lt;/D&gt;&lt;D xsi:type="xsd:double"&gt;3.00631067177376&lt;/D&gt;&lt;D xsi:type="xsd:double"&gt;3.21519540186523&lt;/D&gt;&lt;D xsi:type="xsd:double"&gt;3.22587547233236&lt;/D&gt;&lt;D xsi:type="xsd:double"&gt;3.46137940498857&lt;/D&gt;&lt;D xsi:type="xsd:double"&gt;3.26422453828259&lt;/D&gt;&lt;D xsi:type="xsd:double"&gt;3.10551316904025&lt;/D&gt;&lt;D xsi:type="xsd:double"&gt;3.02346848122615&lt;/D&gt;&lt;D xsi:type="xsd:double"&gt;2.94679912733084&lt;/D&gt;&lt;D xsi:type="xsd:double"&gt;3.17470130173706&lt;/D&gt;&lt;D xsi:type="xsd:double"&gt;2.9750492275163&lt;/D&gt;&lt;D xsi:type="xsd:double"&gt;2.88505346438191&lt;/D&gt;&lt;D xsi:type="xsd:double"&gt;2.96896497406514&lt;/D&gt;&lt;D xsi:type="xsd:double"&gt;2.77584318482173&lt;/D&gt;&lt;D xsi:type="xsd:double"&gt;2.72748033360936&lt;/D&gt;&lt;D xsi:type="xsd:double"&gt;2.65154040471967&lt;/D&gt;&lt;D xsi:type="xsd:double"&gt;2.60018118577366&lt;/D&gt;&lt;D xsi:type="xsd:double"&gt;2.68424222919515&lt;/D&gt;&lt;D xsi:type="xsd:double"&gt;2.87032197535569&lt;/D&gt;&lt;D xsi:type="xsd:double"&gt;3.290805228903&lt;/D&gt;&lt;D xsi:type="xsd:double"&gt;2.70522584837752&lt;/D&gt;&lt;D xsi:type="xsd:double"&gt;2.47342161302946&lt;/D&gt;&lt;D xsi:type="xsd:double"&gt;2.37460885644278&lt;/D&gt;&lt;D xsi:type="xsd:double"&gt;2.42043405901877&lt;/D&gt;&lt;D xsi:type="xsd:double"&gt;2.29112185949224&lt;/D&gt;&lt;D xsi:type="xsd:double"&gt;2.33341503616353&lt;/D&gt;&lt;D xsi:type="xsd:double"&gt;2.41361595395544&lt;/D&gt;&lt;D xsi:type="xsd:double"&gt;2.06575704985209&lt;/D&gt;&lt;D xsi:type="xsd:double"&gt;1.96818147987341&lt;/D&gt;&lt;D xsi:type="xsd:double"&gt;1.98254365455708&lt;/D&gt;&lt;D xsi:type="xsd:double"&gt;2.04488038136392&lt;/D&gt;&lt;D xsi:type="xsd:double"&gt;1.91768257939403&lt;/D&gt;&lt;D xsi:type="xsd:double"&gt;1.96312560242582&lt;/D&gt;&lt;D xsi:type="xsd:double"&gt;2.00160238676687&lt;/D&gt;&lt;D xsi:type="xsd:double"&gt;2.01355838232064&lt;/D&gt;&lt;D xsi:type="xsd:double"&gt;1.94889365224805&lt;/D&gt;&lt;D xsi:type="xsd:double"&gt;1.83235129174898&lt;/D&gt;&lt;D xsi:type="xsd:double"&gt;1.97422166671737&lt;/D&gt;&lt;D xsi:type="xsd:double"&gt;1.9050742867253&lt;/D&gt;&lt;D xsi:type="xsd:double"&gt;1.94104004253809&lt;/D&gt;&lt;D xsi:type="xsd:double"&gt;1.93656613675911&lt;/D&gt;&lt;D xsi:type="xsd:double"&gt;2.16274848453768&lt;/D&gt;&lt;D xsi:type="xsd:double"&gt;2.33701064910707&lt;/D&gt;&lt;D xsi:type="xsd:double"&gt;2.23773474627326&lt;/D&gt;&lt;D xsi:type="xsd:double"&gt;2.38687997099843&lt;/D&gt;&lt;D xsi:type="xsd:double"&gt;2.55096615863927&lt;/D&gt;&lt;D xsi:type="xsd:double"&gt;3.48420352083584&lt;/D&gt;&lt;D xsi:type="xsd:double"&gt;3.04694851204894&lt;/D&gt;&lt;D xsi:type="xsd:double"&gt;3.87745060204745&lt;/D&gt;&lt;D xsi:type="xsd:double"&gt;3.07908632764243&lt;/D&gt;&lt;D xsi:type="xsd:double"&gt;2.92617231497063&lt;/D&gt;&lt;D xsi:type="xsd:double"&gt;2.63413029149984&lt;/D&gt;&lt;D xsi:type="xsd:double"&gt;2.81744297013829&lt;/D&gt;&lt;D xsi:type="xsd:double"&gt;2.53736821644177&lt;/D&gt;&lt;D xsi:type="xsd:double"&gt;2.68075452209928&lt;/D&gt;&lt;D xsi:type="xsd:double"&gt;2.63452481607788&lt;/D&gt;&lt;D xsi:type="xsd:double"&gt;2.68855290331912&lt;/D&gt;&lt;D xsi:type="xsd:double"&gt;2.71568871823129&lt;/D&gt;&lt;D xsi:type="xsd:double"&gt;2.69580855444124&lt;/D&gt;&lt;D xsi:type="xsd:double"&gt;2.656119343971&lt;/D&gt;&lt;D xsi:type="xsd:double"&gt;2.88342966685643&lt;/D&gt;&lt;D xsi:type="xsd:double"&gt;3.03618246704263&lt;/D&gt;&lt;D xsi:type="xsd:double"&gt;3.07351732871084&lt;/D&gt;&lt;D xsi:type="xsd:double"&gt;2.80176725768945&lt;/D&gt;&lt;D xsi:type="xsd:double"&gt;2.68322512018671&lt;/D&gt;&lt;D xsi:type="xsd:double"&gt;2.58202596580532&lt;/D&gt;&lt;D xsi:type="xsd:double"&gt;2.58267407287806&lt;/D&gt;&lt;D xsi:type="xsd:double"&gt;2.5160916776691&lt;/D&gt;&lt;D xsi:type="xsd:double"&gt;2.59945100664747&lt;/D&gt;&lt;D xsi:type="xsd:double"&gt;2.51508626008829&lt;/D&gt;&lt;D xsi:type="xsd:double"&gt;2.50750911361281&lt;/D&gt;&lt;D xsi:type="xsd:double"&gt;2.59603241445544&lt;/D&gt;&lt;/FQL&gt;&lt;FQL&gt;&lt;Q&gt;SPY^FMA_PE(NTMA,-10AY,0,AM,"PORTAGG","MEANR")&lt;/Q&gt;&lt;R&gt;121&lt;/R&gt;&lt;C&gt;1&lt;/C&gt;&lt;D xsi:type="xsd:double"&gt;14.8567439167192&lt;/D&gt;&lt;D xsi:type="xsd:double"&gt;15.3577342548639&lt;/D&gt;&lt;D xsi:type="xsd:double"&gt;14.8204719533268&lt;/D&gt;&lt;D xsi:type="xsd:double"&gt;15.4981269408046&lt;/D&gt;&lt;D xsi:type="xsd:double"&gt;15.7655384438058&lt;/D&gt;&lt;D xsi:type="xsd:double"&gt;15.9714623301085&lt;/D&gt;&lt;D xsi:type="xsd:double"&gt;16.0390602016943&lt;/D&gt;&lt;D xsi:type="xsd:double"&gt;16.9007316344402&lt;/D&gt;&lt;D xsi:type="xsd:double"&gt;16.4128301285687&lt;/D&gt;&lt;D xsi:type="xsd:double"&gt;16.7045817863234&lt;/D&gt;&lt;D xsi:type="xsd:double"&gt;16.5643068033529&lt;/D&gt;&lt;D xsi:type="xsd:double"&gt;16.2216881942834&lt;/D&gt;&lt;D xsi:type="xsd:double"&gt;16.4284707165386&lt;/D&gt;&lt;D xsi:type="xsd:double"&gt;14.8956655091951&lt;/D&gt;&lt;D xsi:type="xsd:double"&gt;14.9865071908557&lt;/D&gt;&lt;D xsi:type="xsd:double"&gt;16.2707714578122&lt;/D&gt;&lt;D xsi:type="xsd:double"&gt;16.4279054651883&lt;/D&gt;&lt;D xsi:type="xsd:double"&gt;15.991430392029&lt;/D&gt;&lt;D xsi:type="xsd:double"&gt;15.5099438140132&lt;/D&gt;&lt;D xsi:type="xsd:double"&gt;15.5167363536305&lt;/D&gt;&lt;D xsi:type="xsd:double"&gt;16.5004635460184&lt;/D&gt;&lt;D xsi:type="xsd:double"&gt;16.5226770167304&lt;/D&gt;&lt;D xsi:type="xsd:double"&gt;16.6059000589168&lt;/D&gt;&lt;D xsi:type="xsd:double"&gt;16.5274762929012&lt;/D&gt;&lt;D xsi:type="xsd:double"&gt;16.9341536604021&lt;/D&gt;&lt;D xsi:type="xsd:double"&gt;16.7704748392619&lt;/D&gt;&lt;D xsi:type="xsd:double"&gt;16.6490222435307&lt;/D&gt;&lt;D xsi:type="xsd:double"&gt;16.1373931855738&lt;/D&gt;&lt;D xsi:type="xsd:double"&gt;16.6803383684596&lt;/D&gt;&lt;D xsi:type="xsd:double"&gt;16.8042774932923&lt;/D&gt;&lt;D xsi:type="xsd:double"&gt;17.0594342961112&lt;/D&gt;&lt;D xsi:type="xsd:double"&gt;17.8945610797958&lt;/D&gt;&lt;D xsi:type="xsd:double"&gt;17.5096202630589&lt;/D&gt;&lt;D xsi:type="xsd:double"&gt;17.4558133434224&lt;/D&gt;&lt;D xsi:type="xsd:double"&gt;17.6117382808921&lt;/D&gt;&lt;D xsi:type="xsd:double"&gt;17.4139594236772&lt;/D&gt;&lt;D xsi:type="xsd:double"&gt;17.6706973306684&lt;/D&gt;&lt;D xsi:type="xsd:double"&gt;17.5139583604644&lt;/D&gt;&lt;D xsi:type="xsd:double"&gt;17.7326589226952&lt;/D&gt;&lt;D xsi:type="xsd:double"&gt;17.9559535506214&lt;/D&gt;&lt;D xsi:type="xsd:double"&gt;18.1962903724008&lt;/D&gt;&lt;D xsi:type="xsd:double"&gt;18.1253195758661&lt;/D&gt;&lt;D xsi:type="xsd:double"&gt;17.8798395494924&lt;/D&gt;&lt;D xsi:type="xsd:double"&gt;16.6426327224729&lt;/D&gt;&lt;D xsi:type="xsd:double"&gt;16.3326334585674&lt;/D&gt;&lt;D xsi:type="xsd:double"&gt;16.1077056887203&lt;/D&gt;&lt;D xsi:type="xsd:double"&gt;16.3485048016767&lt;/D&gt;&lt;D xsi:type="xsd:double"&gt;16.1229719405181&lt;/D&gt;&lt;D xsi:type="xsd:double"&gt;16.4315150472589&lt;/D&gt;&lt;D xsi:type="xsd:double"&gt;16.8103827441345&lt;/D&gt;&lt;D xsi:type="xsd:double"&gt;16.8310041094407&lt;/D&gt;&lt;D xsi:type="xsd:double"&gt;15.6519022888552&lt;/D&gt;&lt;D xsi:type="xsd:double"&gt;15.7392730597703&lt;/D&gt;&lt;D xsi:type="xsd:double"&gt;14.3997586310989&lt;/D&gt;&lt;D xsi:type="xsd:double"&gt;15.782974885227&lt;/D&gt;&lt;D xsi:type="xsd:double"&gt;16.3320836374113&lt;/D&gt;&lt;D xsi:type="xsd:double"&gt;16.6061531613259&lt;/D&gt;&lt;D xsi:type="xsd:double"&gt;16.7836188766194&lt;/D&gt;&lt;D xsi:type="xsd:double"&gt;15.6848930281418&lt;/D&gt;&lt;D xsi:type="xsd:double"&gt;16.8637481285954&lt;/D&gt;&lt;D xsi:type="xsd:double"&gt;16.7829187366842&lt;/D&gt;&lt;D xsi:type="xsd:double"&gt;16.5612797304876&lt;/D&gt;&lt;D xsi:type="xsd:double"&gt;16.5923338809815&lt;/D&gt;&lt;D xsi:type="xsd:double"&gt;17.3374648120434&lt;/D&gt;&lt;D xsi:type="xsd:double"&gt;17.7141977946727&lt;/D&gt;&lt;D xsi:type="xsd:double"&gt;18.1539903546951&lt;/D&gt;&lt;D xsi:type="xsd:double"&gt;18.0535864848798&lt;/D&gt;&lt;D xsi:type="xsd:double"&gt;16.5763463062246&lt;/D&gt;&lt;D xsi:type="xsd:double"&gt;14.9749867362055&lt;/D&gt;&lt;D xsi:type="xsd:double"&gt;19.8915743658308&lt;/D&gt;&lt;D xsi:type="xsd:double"&gt;21.7058426921742&lt;/D&gt;&lt;D xsi:type="xsd:double"&gt;21.7672119586389&lt;/D&gt;&lt;D xsi:type="xsd:double"&gt;21.9340536152809&lt;/D&gt;&lt;D xsi:type="xsd:double"&gt;23.0258632853506&lt;/D&gt;&lt;D xsi:type="xsd:double"&gt;21.6211599332762&lt;/D&gt;&lt;D xsi:type="xsd:double"&gt;20.2298039959559&lt;/D&gt;&lt;D xsi:type="xsd:double"&gt;22.0028144576715&lt;/D&gt;&lt;D xsi:type="xsd:double"&gt;22.4393922504995&lt;/D&gt;&lt;D xsi:type="xsd:double"&gt;21.614464425914&lt;/D&gt;&lt;D xsi:type="xsd:double"&gt;21.8621062163505&lt;/D&gt;&lt;D xsi:type="xsd:double"&gt;22.0538828612461&lt;/D&gt;&lt;D xsi:type="xsd:double"&gt;21.6513602573048&lt;/D&gt;&lt;D xsi:type="xsd:double"&gt;21.2179294849346&lt;/D&gt;&lt;D xsi:type="xsd:double"&gt;21.4387541689414&lt;/D&gt;&lt;D xsi:type="xsd:double"&gt;20.9654683088453&lt;/D&gt;&lt;D xsi:type="xsd:double"&gt;21.2246618902198&lt;/D&gt;&lt;D xsi:type="xsd:double"&gt;20.3383473593253&lt;/D&gt;&lt;D xsi:type="xsd:double"&gt;21.1784587641844&lt;/D&gt;&lt;D xsi:type="xsd:double"&gt;20.4364391428262&lt;/D&gt;&lt;D xsi:type="xsd:double"&gt;21.3209246675395&lt;/D&gt;&lt;D xsi:type="xsd:double"&gt;20.0517378469318&lt;/D&gt;&lt;D xsi:type="xsd:double"&gt;18.7882426590091&lt;/D&gt;&lt;D xsi:type="xsd:double"&gt;19.4955293713394&lt;/D&gt;&lt;D xsi:type="xsd:double"&gt;17.5400420992857&lt;/D&gt;&lt;D xsi:type="xsd:double"&gt;17.2220307474195&lt;/D&gt;&lt;D xsi:type="xsd:double"&gt;15.98413450488&lt;/D&gt;&lt;D xsi:type="xsd:double"&gt;17.3710243677729&lt;/D&gt;&lt;D xsi:type="xsd:double"&gt;16.6933746782159&lt;/D&gt;&lt;D xsi:type="xsd:double"&gt;15.1562945006325&lt;/D&gt;&lt;D xsi:type="xsd:double"&gt;16.6261820519467&lt;/D&gt;&lt;D xsi:type="xsd:double"&gt;17.6110139959989&lt;/D&gt;&lt;D xsi:type="xsd:double"&gt;16.650131244223&lt;/D&gt;&lt;D xsi:type="xsd:double"&gt;18.1681849148735&lt;/D&gt;&lt;D xsi:type="xsd:double"&gt;17.4059208626294&lt;/D&gt;&lt;D xsi:type="xsd:double"&gt;18.0597010828104&lt;/D&gt;&lt;D xsi:type="xsd:double"&gt;18.1481047653307&lt;/D&gt;&lt;D xsi:type="xsd:double"&gt;18.2090219769318&lt;/D&gt;&lt;D xsi:type="xsd:double"&gt;19.1396512697757&lt;/D&gt;&lt;D xsi:type="xsd:double"&gt;19.4931245951586&lt;/D&gt;&lt;D xsi:type="xsd:double"&gt;18.8907124949682&lt;/D&gt;&lt;D xsi:type="xsd:double"&gt;17.8412646830105&lt;/D&gt;&lt;D xsi:type="xsd:double"&gt;17.5326213139255&lt;/D&gt;&lt;D xsi:type="xsd:double"&gt;18.8291600857706&lt;/D&gt;&lt;D xsi:type="xsd:double"&gt;19.5251873471914&lt;/D&gt;&lt;D xsi:type="xsd:double"&gt;20.0151763635317&lt;/D&gt;&lt;D xsi:type="xsd:double"&gt;20.6326324984862&lt;/D&gt;&lt;D xsi:type="xsd:double"&gt;20.8959236749828&lt;/D&gt;&lt;D xsi:type="xsd:double"&gt;19.7483519516529&lt;/D&gt;&lt;D xsi:type="xsd:double"&gt;20.4719610069707&lt;/D&gt;&lt;D xsi:type="xsd:double"&gt;21.0425591039322&lt;/D&gt;&lt;D xsi:type="xsd:double"&gt;20.6871366245101&lt;/D&gt;&lt;/FQL&gt;&lt;FQL&gt;&lt;Q&gt;EWU^FMA_PE(LTMA,-10AY,0,AM,"PORTAGG","MEANR")&lt;/Q&gt;&lt;R&gt;121&lt;/R&gt;&lt;C&gt;1&lt;/C&gt;&lt;D xsi:type="xsd:double"&gt;14.2264618859393&lt;/D&gt;&lt;D xsi:type="xsd:double"&gt;14.2925925149719&lt;/D&gt;&lt;D xsi:type="xsd:double"&gt;13.8028118460047&lt;/D&gt;&lt;D xsi:type="xsd:double"&gt;13.7939795690512&lt;/D&gt;&lt;D xsi:type="xsd:double"&gt;13.9157042138849&lt;/D&gt;&lt;D xsi:type="xsd:double"&gt;13.7928204998699&lt;/D&gt;&lt;D xsi:type="xsd:double"&gt;14.1767710880989&lt;/D&gt;&lt;D xsi:type="xsd:double"&gt;15.1831166741616&lt;/D&gt;&lt;D xsi:type="xsd:double"&gt;15.2458413384497&lt;/D&gt;&lt;D xsi:type="xsd:double"&gt;15.568486125708&lt;/D&gt;&lt;D xsi:type="xsd:double"&gt;15.7075770815072&lt;/D&gt;&lt;D xsi:type="xsd:double"&gt;15.4978750791711&lt;/D&gt;&lt;D xsi:type="xsd:double"&gt;15.7515100816941&lt;/D&gt;&lt;D xsi:type="xsd:double"&gt;14.8360590107934&lt;/D&gt;&lt;D xsi:type="xsd:double"&gt;14.9659598980754&lt;/D&gt;&lt;D xsi:type="xsd:double"&gt;15.8152124711938&lt;/D&gt;&lt;D xsi:type="xsd:double"&gt;16.0620706102686&lt;/D&gt;&lt;D xsi:type="xsd:double"&gt;15.6728845885555&lt;/D&gt;&lt;D xsi:type="xsd:double"&gt;15.2733273444423&lt;/D&gt;&lt;D xsi:type="xsd:double"&gt;15.5387681290171&lt;/D&gt;&lt;D xsi:type="xsd:double"&gt;15.7247270423721&lt;/D&gt;&lt;D xsi:type="xsd:double"&gt;15.9506779249857&lt;/D&gt;&lt;D xsi:type="xsd:double"&gt;15.9554399834539&lt;/D&gt;&lt;D xsi:type="xsd:double"&gt;16.3512579053777&lt;/D&gt;&lt;D xsi:type="xsd:double"&gt;16.6607308268316&lt;/D&gt;&lt;D xsi:type="xsd:double"&gt;16.8843871660056&lt;/D&gt;&lt;D xsi:type="xsd:double"&gt;17.073490822109&lt;/D&gt;&lt;D xsi:type="xsd:double"&gt;16.6186024960595&lt;/D&gt;&lt;D xsi:type="xsd:double"&gt;16.4154808997894&lt;/D&gt;&lt;D xsi:type="xsd:double"&gt;17.2050718769924&lt;/D&gt;&lt;D xsi:type="xsd:double"&gt;16.9625041346627&lt;/D&gt;&lt;D xsi:type="xsd:double"&gt;17.3889426414863&lt;/D&gt;&lt;D xsi:type="xsd:double"&gt;17.1205694382888&lt;/D&gt;&lt;D xsi:type="xsd:double"&gt;16.8386371196582&lt;/D&gt;&lt;D xsi:type="xsd:double"&gt;16.8053583426967&lt;/D&gt;&lt;D xsi:type="xsd:double"&gt;16.4216199612828&lt;/D&gt;&lt;D xsi:type="xsd:double"&gt;16.4326977797334&lt;/D&gt;&lt;D xsi:type="xsd:double"&gt;16.103619870065&lt;/D&gt;&lt;D xsi:type="xsd:double"&gt;15.8458154642555&lt;/D&gt;&lt;D xsi:type="xsd:double"&gt;15.6126592059331&lt;/D&gt;&lt;D xsi:type="xsd:double"&gt;15.0729034916162&lt;/D&gt;&lt;D xsi:type="xsd:double"&gt;15.5492985215324&lt;/D&gt;&lt;D xsi:type="xsd:double"&gt;15.2762812116739&lt;/D&gt;&lt;D xsi:type="xsd:double"&gt;13.8875130164915&lt;/D&gt;&lt;D xsi:type="xsd:double"&gt;13.8898657312745&lt;/D&gt;&lt;D xsi:type="xsd:double"&gt;14.0284776242945&lt;/D&gt;&lt;D xsi:type="xsd:double"&gt;13.9999159097642&lt;/D&gt;&lt;D xsi:type="xsd:double"&gt;13.848330194823&lt;/D&gt;&lt;D xsi:type="xsd:double"&gt;13.8888311761969&lt;/D&gt;&lt;D xsi:type="xsd:double"&gt;13.5125453110635&lt;/D&gt;&lt;D xsi:type="xsd:double"&gt;13.598814344213&lt;/D&gt;&lt;D xsi:type="xsd:double"&gt;12.900146232547&lt;/D&gt;&lt;D xsi:type="xsd:double"&gt;12.5509714836934&lt;/D&gt;&lt;D xsi:type="xsd:double"&gt;11.9434339120145&lt;/D&gt;&lt;D xsi:type="xsd:double"&gt;12.6629991530125&lt;/D&gt;&lt;D xsi:type="xsd:double"&gt;12.9360870157105&lt;/D&gt;&lt;D xsi:type="xsd:double"&gt;12.9795117265313&lt;/D&gt;&lt;D xsi:type="xsd:double"&gt;13.0056531140849&lt;/D&gt;&lt;D xsi:type="xsd:double"&gt;12.8170105442727&lt;/D&gt;&lt;D xsi:type="xsd:double"&gt;13.1013609730655&lt;/D&gt;&lt;D xsi:type="xsd:double"&gt;13.1473928750942&lt;/D&gt;&lt;D xsi:type="xsd:double"&gt;12.7891325764254&lt;/D&gt;&lt;D xsi:type="xsd:double"&gt;13.0825197439613&lt;/D&gt;&lt;D xsi:type="xsd:double"&gt;13.3077223693837&lt;/D&gt;&lt;D xsi:type="xsd:double"&gt;13.537079612263&lt;/D&gt;&lt;D xsi:type="xsd:double"&gt;14.1321151829608&lt;/D&gt;&lt;D xsi:type="xsd:double"&gt;13.7734172994256&lt;/D&gt;&lt;D xsi:type="xsd:double"&gt;12.3306364448541&lt;/D&gt;&lt;D xsi:type="xsd:double"&gt;12.3461841407809&lt;/D&gt;&lt;D xsi:type="xsd:double"&gt;13.5271376753918&lt;/D&gt;&lt;D xsi:type="xsd:double"&gt;14.67589058333&lt;/D&gt;&lt;D xsi:type="xsd:double"&gt;15.1546604158654&lt;/D&gt;&lt;D xsi:type="xsd:double"&gt;15.4176210862083&lt;/D&gt;&lt;D xsi:type="xsd:double"&gt;16.4846946581893&lt;/D&gt;&lt;D xsi:type="xsd:double"&gt;16.7301990840702&lt;/D&gt;&lt;D xsi:type="xsd:double"&gt;15.7180574115523&lt;/D&gt;&lt;D xsi:type="xsd:double"&gt;18.7515387852737&lt;/D&gt;&lt;D xsi:type="xsd:double"&gt;19.7320534162666&lt;/D&gt;&lt;D xsi:type="xsd:double"&gt;19.1110485362195&lt;/D&gt;&lt;D xsi:type="xsd:double"&gt;18.8017358689389&lt;/D&gt;&lt;D xsi:type="xsd:double"&gt;18.215396206829&lt;/D&gt;&lt;D xsi:type="xsd:double"&gt;17.6665425674924&lt;/D&gt;&lt;D xsi:type="xsd:double"&gt;17.1356644810908&lt;/D&gt;&lt;D xsi:type="xsd:double"&gt;16.3750259163439&lt;/D&gt;&lt;D xsi:type="xsd:double"&gt;15.4564049182565&lt;/D&gt;&lt;D xsi:type="xsd:double"&gt;14.7750064711614&lt;/D&gt;&lt;D xsi:type="xsd:double"&gt;13.8615424085904&lt;/D&gt;&lt;D xsi:type="xsd:double"&gt;13.5993137593347&lt;/D&gt;&lt;D xsi:type="xsd:double"&gt;12.6463410421703&lt;/D&gt;&lt;D xsi:type="xsd:double"&gt;12.3879421269286&lt;/D&gt;&lt;D xsi:type="xsd:double"&gt;12.7319573263833&lt;/D&gt;&lt;D xsi:type="xsd:double"&gt;12.5175941570984&lt;/D&gt;&lt;D xsi:type="xsd:double"&gt;12.3043941310113&lt;/D&gt;&lt;D xsi:type="xsd:double"&gt;12.0619436134442&lt;/D&gt;&lt;D xsi:type="xsd:double"&gt;11.7065159070191&lt;/D&gt;&lt;D xsi:type="xsd:double"&gt;11.1000349882365&lt;/D&gt;&lt;D xsi:type="xsd:double"&gt;11.0072822380247&lt;/D&gt;&lt;D xsi:type="xsd:double"&gt;10.1572414670139&lt;/D&gt;&lt;D xsi:type="xsd:double"&gt;9.48625581130796&lt;/D&gt;&lt;D xsi:type="xsd:double"&gt;9.56573837534614&lt;/D&gt;&lt;D xsi:type="xsd:double"&gt;10.0168415489886&lt;/D&gt;&lt;D xsi:type="xsd:double"&gt;9.56383301800295&lt;/D&gt;&lt;D xsi:type="xsd:double"&gt;10.126079752468&lt;/D&gt;&lt;D xsi:type="xsd:double"&gt;10.2578744091861&lt;/D&gt;&lt;D xsi:type="xsd:double"&gt;10.2535018046448&lt;/D&gt;&lt;D xsi:type="xsd:double"&gt;10.4394301465565&lt;/D&gt;&lt;D xsi:type="xsd:double"&gt;10.2393423683517&lt;/D&gt;&lt;D xsi:type="xsd:double"&gt;10.3685613895827&lt;/D&gt;&lt;D xsi:type="xsd:double"&gt;10.6543760009728&lt;/D&gt;&lt;D xsi:type="xsd:double"&gt;10.5156486733515&lt;/D&gt;&lt;D xsi:type="xsd:double"&gt;10.6042420070963&lt;/D&gt;&lt;D xsi:type="xsd:double"&gt;10.3256816265076&lt;/D&gt;&lt;D xsi:type="xsd:double"&gt;10.930682188119&lt;/D&gt;&lt;D xsi:type="xsd:double"&gt;11.3205885332922&lt;/D&gt;&lt;D xsi:type="xsd:double"&gt;11.2862853586913&lt;/D&gt;&lt;D xsi:type="xsd:double"&gt;11.4498759420562&lt;/D&gt;&lt;D xsi:type="xsd:double"&gt;11.5336876691685&lt;/D&gt;&lt;D xsi:type="xsd:double"&gt;11.6014465604216&lt;/D&gt;&lt;D xsi:type="xsd:double"&gt;11.7172413012918&lt;/D&gt;&lt;D xsi:type="xsd:double"&gt;11.6348678856071&lt;/D&gt;&lt;D xsi:type="xsd:double"&gt;11.8837152994427&lt;/D&gt;&lt;/FQL&gt;&lt;FQL&gt;&lt;Q&gt;WL-FDS^MAX(FG_PRICE(0,-5AY))&lt;/Q&gt;&lt;R&gt;1&lt;/R&gt;&lt;C&gt;1&lt;/C&gt;&lt;D xsi:type="xsd:double"&gt;763.4&lt;/D&gt;&lt;/FQL&gt;&lt;FQL&gt;&lt;Q&gt;NI-FDS^MAX(FG_PRICE(0,-5AY))&lt;/Q&gt;&lt;R&gt;1&lt;/R&gt;&lt;C&gt;1&lt;/C&gt;&lt;D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xsi:type="xsd:double"&gt;219.77&lt;/D&gt;&lt;/FQL&gt;&lt;FQL&gt;&lt;Q&gt;FC0000GB^FG_PRICE(0)&lt;/Q&gt;&lt;R&gt;1&lt;/R&gt;&lt;C&gt;1&lt;/C&gt;&lt;D xsi:type="xsd:double"&gt;130.23045&lt;/D&gt;&lt;/FQL&gt;&lt;FQL&gt;&lt;Q&gt;FC0000CA^FG_PRICE(0)&lt;/Q&gt;&lt;R&gt;1&lt;/R&gt;&lt;C&gt;1&lt;/C&gt;&lt;D xsi:type="xsd:double"&gt;294.70615&lt;/D&gt;&lt;/FQL&gt;&lt;FQL&gt;&lt;Q&gt;EWD^FG_PRICE_MAVG(0,,,,200)&lt;/Q&gt;&lt;R&gt;1&lt;/R&gt;&lt;C&gt;1&lt;/C&gt;&lt;D xsi:type="xsd:double"&gt;38.509524999999996&lt;/D&gt;&lt;/FQL&gt;&lt;FQL&gt;&lt;Q&gt;QQQ^FG_PRICE_MAVG(0,,,,200)&lt;/Q&gt;&lt;R&gt;1&lt;/R&gt;&lt;C&gt;1&lt;/C&gt;&lt;D xsi:type="xsd:double"&gt;429.16306&lt;/D&gt;&lt;/FQL&gt;&lt;FQL&gt;&lt;Q&gt;EWG^FG_PRICE_MAVG(0,,,,200)&lt;/Q&gt;&lt;R&gt;1&lt;/R&gt;&lt;C&gt;1&lt;/C&gt;&lt;D xsi:type="xsd:double"&gt;29.86305&lt;/D&gt;&lt;/FQL&gt;&lt;FQL&gt;&lt;Q&gt;EWI^FG_COMPANY_NAME&lt;/Q&gt;&lt;R&gt;1&lt;/R&gt;&lt;C&gt;1&lt;/C&gt;&lt;D xsi:type="xsd:string"&gt;iShares MSCI Italy ETF&lt;/D&gt;&lt;/FQL&gt;&lt;FQL&gt;&lt;Q&gt;ENZL^FG_COMPANY_NAME&lt;/Q&gt;&lt;R&gt;1&lt;/R&gt;&lt;C&gt;1&lt;/C&gt;&lt;D xsi:type="xsd:string"&gt;iShares MSCI New Zealand ETF&lt;/D&gt;&lt;/FQL&gt;&lt;FQL&gt;&lt;Q&gt;FXI^P_PRICE(0)/P_PRICE_HIGH_PR(0,,,,,,"PRICE","INTRA","52W")&lt;/Q&gt;&lt;R&gt;1&lt;/R&gt;&lt;C&gt;1&lt;/C&gt;&lt;D xsi:type="xsd:double"&gt;0.85367495&lt;/D&gt;&lt;/FQL&gt;&lt;FQL&gt;&lt;Q&gt;EWJ^FG_TOTAL_RETURNC(0,-12AM)&lt;/Q&gt;&lt;R&gt;1&lt;/R&gt;&lt;C&gt;1&lt;/C&gt;&lt;D xsi:type="xsd:double"&gt;10.122978&lt;/D&gt;&lt;/FQL&gt;&lt;FQL&gt;&lt;Q&gt;URTH^PERCENT_CHANGE(FMA_EPS(+1,0,,,,"PORTAGG","MEAN"),FMA_EPS(+1,-1AM,,,,"PORTAGG","MEAN"))&lt;/Q&gt;&lt;R&gt;1&lt;/R&gt;&lt;C&gt;1&lt;/C&gt;&lt;D xsi:type="xsd:double"&gt;0.180768803535861&lt;/D&gt;&lt;/FQL&gt;&lt;FQL&gt;&lt;Q&gt;VGK^FG_TOTAL_RETURNC(0,-1AM)&lt;/Q&gt;&lt;R&gt;1&lt;/R&gt;&lt;C&gt;1&lt;/C&gt;&lt;D xsi:type="xsd:double"&gt;-0.19353628&lt;/D&gt;&lt;/FQL&gt;&lt;FQL&gt;&lt;Q&gt;EWD^FG_TOTAL_RETURNC(0,-6AM)&lt;/Q&gt;&lt;R&gt;1&lt;/R&gt;&lt;C&gt;1&lt;/C&gt;&lt;D xsi:type="xsd:double"&gt;5.338967&lt;/D&gt;&lt;/FQL&gt;&lt;FQL&gt;&lt;Q&gt;EWQ^P_PRICE(0)/P_PRICE_LOW_PR(0,,,,,,"PRICE","INTRA","52W")-1&lt;/Q&gt;&lt;R&gt;1&lt;/R&gt;&lt;C&gt;1&lt;/C&gt;&lt;D xsi:type="xsd:double"&gt;0.11229944&lt;/D&gt;&lt;/FQL&gt;&lt;FQL&gt;&lt;Q&gt;EWU^PERCENT_CHANGE(FMA_EPS(+1,0,,,,"PORTAGG","MEAN"),FMA_EPS(+1,-3AM,,,,"PORTAGG","MEAN"))&lt;/Q&gt;&lt;R&gt;1&lt;/R&gt;&lt;C&gt;1&lt;/C&gt;&lt;D xsi:type="xsd:double"&gt;1.07546919091885&lt;/D&gt;&lt;/FQL&gt;&lt;FQL&gt;&lt;Q&gt;EWJ^FG_TOTAL_RETURNC(0,-3AM)&lt;/Q&gt;&lt;R&gt;1&lt;/R&gt;&lt;C&gt;1&lt;/C&gt;&lt;D xsi:type="xsd:double"&gt;1.4079094&lt;/D&gt;&lt;/FQL&gt;&lt;FQL&gt;&lt;Q&gt;EWC^P_PRICE(0)/P_PRICE_HIGH_PR(0,,,,,,"PRICE","INTRA","52W")&lt;/Q&gt;&lt;R&gt;1&lt;/R&gt;&lt;C&gt;1&lt;/C&gt;&lt;D xsi:type="xsd:double"&gt;0.9722755&lt;/D&gt;&lt;/FQL&gt;&lt;FQL&gt;&lt;Q&gt;ENZL^FG_TOTAL_RETURNC(0,-12AM)&lt;/Q&gt;&lt;R&gt;1&lt;/R&gt;&lt;C&gt;1&lt;/C&gt;&lt;D xsi:type="xsd:double"&gt;-3.6734462&lt;/D&gt;&lt;/FQL&gt;&lt;FQL&gt;&lt;Q&gt;EWJ^FMA_COS_DOWN("EPS","1M",+1,0,,,"PORTAGG","MEANR")&lt;/Q&gt;&lt;R&gt;1&lt;/R&gt;&lt;C&gt;1&lt;/C&gt;&lt;D xsi:type="xsd:double"&gt;56&lt;/D&gt;&lt;/FQL&gt;&lt;FQL&gt;&lt;Q&gt;EWD^FMA_COS_UP("EPS","1M",+1,0,,,"PORTAGG","MEANR")&lt;/Q&gt;&lt;R&gt;1&lt;/R&gt;&lt;C&gt;1&lt;/C&gt;&lt;D xsi:type="xsd:double"&gt;11&lt;/D&gt;&lt;/FQL&gt;&lt;FQL&gt;&lt;Q&gt;EWL^SIZE(FG_CONSTITUENTS)&lt;/Q&gt;&lt;R&gt;1&lt;/R&gt;&lt;C&gt;1&lt;/C&gt;&lt;D xsi:type="xsd:long"&gt;46&lt;/D&gt;&lt;/FQL&gt;&lt;FQL&gt;&lt;Q&gt;ENZL^FMA_COS_DOWN("EPS","1M",+1,0,,,"PORTAGG","MEANR")&lt;/Q&gt;&lt;R&gt;1&lt;/R&gt;&lt;C&gt;1&lt;/C&gt;&lt;D xsi:type="xsd:double"&gt;5&lt;/D&gt;&lt;/FQL&gt;&lt;FQL&gt;&lt;Q&gt;EWD^FMA_RBICS_REV_CURRENT(30, LOC, "PORTAGG")&lt;/Q&gt;&lt;R&gt;1&lt;/R&gt;&lt;C&gt;1&lt;/C&gt;&lt;D xsi:type="xsd:double"&gt;26.6826894897005&lt;/D&gt;&lt;/FQL&gt;&lt;FQL&gt;&lt;Q&gt;SPY^FG_ROE(0)&lt;/Q&gt;&lt;R&gt;1&lt;/R&gt;&lt;C&gt;1&lt;/C&gt;&lt;D xsi:type="xsd:double"&gt;18.7012630612106&lt;/D&gt;&lt;/FQL&gt;&lt;FQL&gt;&lt;Q&gt;TRYCH10Y-FDS^FG_YIELD_NAME&lt;/Q&gt;&lt;R&gt;1&lt;/R&gt;&lt;C&gt;1&lt;/C&gt;&lt;D xsi:type="xsd:string"&gt;Treasury - Switzerland Benchmark Bond 10Y&lt;/D&gt;&lt;/FQL&gt;&lt;FQL&gt;&lt;Q&gt;EWC^FG_COMPANY_NAME&lt;/Q&gt;&lt;R&gt;1&lt;/R&gt;&lt;C&gt;1&lt;/C&gt;&lt;D xsi:type="xsd:string"&gt;iShares MSCI Canada ETF&lt;/D&gt;&lt;/FQL&gt;&lt;FQL&gt;&lt;Q&gt;REFFFUND-FDS^FG_YIELD(NOW,,,0)&lt;/Q&gt;&lt;R&gt;1&lt;/R&gt;&lt;C&gt;1&lt;/C&gt;&lt;D xsi:type="xsd:double"&gt;5.5&lt;/D&gt;&lt;/FQL&gt;&lt;FQL&gt;&lt;Q&gt;REFEUREFI-FDS^PROPER_NAME(0,,,"SECURITY","NAME")&lt;/Q&gt;&lt;R&gt;1&lt;/R&gt;&lt;C&gt;1&lt;/C&gt;&lt;D xsi:type="xsd:string"&gt;Eurozone Main Refinancing Operations Minimum Bid Rate&lt;/D&gt;&lt;/FQL&gt;&lt;FQL&gt;&lt;Q&gt;TRYFR10Y-FDS^PCTCHG(FG_YIELD(0,,,,"YTM"),FG_YIELD(-3AM,,,,"YTM"))&lt;/Q&gt;&lt;R&gt;1&lt;/R&gt;&lt;C&gt;1&lt;/C&gt;&lt;D xsi:type="xsd:double"&gt;-2.784148&lt;/D&gt;&lt;/FQL&gt;&lt;FQL&gt;&lt;Q&gt;TRYAU10Y-FDS^PCTCHG(FG_YIELD(0,,,,"YTM"),FG_YIELD(-3AM,,,,"YTM"))&lt;/Q&gt;&lt;R&gt;1&lt;/R&gt;&lt;C&gt;1&lt;/C&gt;&lt;D xsi:type="xsd:double"&gt;-9.417244&lt;/D&gt;&lt;/FQL&gt;&lt;FQL&gt;&lt;Q&gt;TRYUS10Y-FDS^FG_YIELD(0,,,,"YTM")&lt;/Q&gt;&lt;R&gt;1&lt;/R&gt;&lt;C&gt;1&lt;/C&gt;&lt;D xsi:type="xsd:double"&gt;3.9865&lt;/D&gt;&lt;/FQL&gt;&lt;FQL&gt;&lt;Q&gt;EWI^FMA_PE(LTM,0,,,"PORTAGG","MEANR")&lt;/Q&gt;&lt;R&gt;1&lt;/R&gt;&lt;C&gt;1&lt;/C&gt;&lt;D xsi:type="xsd:double"&gt;10.0849978283748&lt;/D&gt;&lt;/FQL&gt;&lt;FQL&gt;&lt;Q&gt;EWG^JULIAN(FMA_DIV_YLD(NTMA,NOW,NOW,M,"PORTAGG","MEANR").DATES)&lt;/Q&gt;&lt;R&gt;1&lt;/R&gt;&lt;C&gt;1&lt;/C&gt;&lt;D xsi:type="xsd:long"&gt;45502&lt;/D&gt;&lt;/FQL&gt;&lt;FQL&gt;&lt;Q&gt;EWL^FG_COMPANY_NAME&lt;/Q&gt;&lt;R&gt;1&lt;/R&gt;&lt;C&gt;1&lt;/C&gt;&lt;D xsi:type="xsd:string"&gt;iShares MSCI Switzerland ETF&lt;/D&gt;&lt;/FQL&gt;&lt;FQL&gt;&lt;Q&gt;EWD^FG_TOTAL_RETURNC(0,-3AM)&lt;/Q&gt;&lt;R&gt;1&lt;/R&gt;&lt;C&gt;1&lt;/C&gt;&lt;D xsi:type="xsd:double"&gt;3.5892487&lt;/D&gt;&lt;/FQL&gt;&lt;FQL&gt;&lt;Q&gt;EWQ^P_PRICE(0)/P_PRICE_HIGH_PR(0,,,,,,"PRICE","INTRA","52W")&lt;/Q&gt;&lt;R&gt;1&lt;/R&gt;&lt;C&gt;1&lt;/C&gt;&lt;D xsi:type="xsd:double"&gt;0.8788732&lt;/D&gt;&lt;/FQL&gt;&lt;FQL&gt;&lt;Q&gt;EWU^PERCENT_CHANGE(FMA_EPS(+1,0,,,,"PORTAGG","MEAN"),FMA_EPS(+1,-1AM,,,,"PORTAGG","MEAN"))&lt;/Q&gt;&lt;R&gt;1&lt;/R&gt;&lt;C&gt;1&lt;/C&gt;&lt;D xsi:type="xsd:double"&gt;-0.192031248628052&lt;/D&gt;&lt;/FQL&gt;&lt;FQL&gt;&lt;Q&gt;EWC^FG_TOTAL_RETURNC(0,-6AM)&lt;/Q&gt;&lt;R&gt;1&lt;/R&gt;&lt;C&gt;1&lt;/C&gt;&lt;D xsi:type="xsd:double"&gt;4.946089&lt;/D&gt;&lt;/FQL&gt;&lt;FQL&gt;&lt;Q&gt;QQQ^FG_ROE(0)&lt;/Q&gt;&lt;R&gt;1&lt;/R&gt;&lt;C&gt;1&lt;/C&gt;&lt;D xsi:type="xsd:double"&gt;22.664977920898&lt;/D&gt;&lt;/FQL&gt;&lt;FQL&gt;&lt;Q&gt;DUMMY^ECON_EXPR_DATA('FDS_ECON[PMIDMMANHE]',,,M)&lt;/Q&gt;&lt;R&gt;1&lt;/R&gt;&lt;C&gt;1&lt;/C&gt;&lt;D xsi:type="xsd:double"&gt;48.78809&lt;/D&gt;&lt;/FQL&gt;&lt;FQL&gt;&lt;Q&gt;EWN^FMA_ROE(NTMA,-20AY,NOW,FY,"PORTAGG","MEANR")&lt;/Q&gt;&lt;R&gt;20&lt;/R&gt;&lt;C&gt;1&lt;/C&gt;&lt;D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xsi:type="xsd:double"&gt;12.7459856653411&lt;/D&gt;&lt;/FQL&gt;&lt;FQL&gt;&lt;Q&gt;TRYSA10Y-FDS^FG_YIELD(-10AY,0,Y,,"YTM")&lt;/Q&gt;&lt;R&gt;10&lt;/R&gt;&lt;C&gt;1&lt;/C&gt;&lt;D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xsi:type="xsd:double"&gt;3.1928&lt;/D&gt;&lt;/FQL&gt;&lt;FQL&gt;&lt;Q&gt;QQQ^FG_TOTAL_RETURNC(0,-12AM)&lt;/Q&gt;&lt;R&gt;1&lt;/R&gt;&lt;C&gt;1&lt;/C&gt;&lt;D xsi:type="xsd:double"&gt;20.90895&lt;/D&gt;&lt;/FQL&gt;&lt;FQL&gt;&lt;Q&gt;CAGDPY@US^EE_ACTUAL_ANNUAL(MED,+1)&lt;/Q&gt;&lt;R&gt;1&lt;/R&gt;&lt;C&gt;1&lt;/C&gt;&lt;D xsi:type="xsd:double"&gt;-3.2&lt;/D&gt;&lt;/FQL&gt;&lt;FQL&gt;&lt;Q&gt;CAGDPY@NZ^EE_ACTUAL_ANNUAL(MED,+1)&lt;/Q&gt;&lt;R&gt;1&lt;/R&gt;&lt;C&gt;1&lt;/C&gt;&lt;D xsi:type="xsd:double"&gt;-5.4&lt;/D&gt;&lt;/FQL&gt;&lt;FQL&gt;&lt;Q&gt;USDITL^FG_PRICE_CHANGE(0,-1AY)&lt;/Q&gt;&lt;R&gt;1&lt;/R&gt;&lt;C&gt;1&lt;/C&gt;&lt;D xsi:type="xsd:double"&gt;1.7326832&lt;/D&gt;&lt;/FQL&gt;&lt;FQL&gt;&lt;Q&gt;USDANG^FG_PRICE_CHANGE(0,-1AY)&lt;/Q&gt;&lt;R&gt;1&lt;/R&gt;&lt;C&gt;1&lt;/C&gt;&lt;D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xsi:type="xsd:double"&gt;-0.24623275&lt;/D&gt;&lt;/FQL&gt;&lt;FQL&gt;&lt;Q&gt;USDJPY^FG_PRICE_CHANGE(0,-1AY)&lt;/Q&gt;&lt;R&gt;1&lt;/R&gt;&lt;C&gt;1&lt;/C&gt;&lt;D xsi:type="xsd:double"&gt;4.7426343&lt;/D&gt;&lt;/FQL&gt;&lt;FQL&gt;&lt;Q&gt;USDCAD^FG_PRICE_CHANGE(0,-1AY)&lt;/Q&gt;&lt;R&gt;1&lt;/R&gt;&lt;C&gt;1&lt;/C&gt;&lt;D xsi:type="xsd:double"&gt;4.1821957&lt;/D&gt;&lt;/FQL&gt;&lt;FQL&gt;&lt;Q&gt;USDNZD^FG_PRICE_CHANGE(0,-1AY)&lt;/Q&gt;&lt;R&gt;1&lt;/R&gt;&lt;C&gt;1&lt;/C&gt;&lt;D xsi:type="xsd:double"&gt;3.1960487&lt;/D&gt;&lt;/FQL&gt;&lt;FQL&gt;&lt;Q&gt;EWA^JULIAN(FMA_EPS(NTMA,-20AY,0,CY,,"PORTAGG","MEANR").DATES)&lt;/Q&gt;&lt;R&gt;20&lt;/R&gt;&lt;C&gt;1&lt;/C&gt;&lt;D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</t>
        </r>
      </text>
    </comment>
    <comment ref="A3" authorId="0" shapeId="0" xr:uid="{A2BD1774-434F-49C3-AFDE-624098F241D9}">
      <text>
        <r>
          <rPr>
            <b/>
            <sz val="9"/>
            <color indexed="81"/>
            <rFont val="Tahoma"/>
            <charset val="1"/>
          </rPr>
          <t>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xsi:type="xsd:double"&gt;-4.448205&lt;/D&gt;&lt;D xsi:type="xsd:double"&gt;0.30937195&lt;/D&gt;&lt;D xsi:type="xsd:double"&gt;-4.361862&lt;/D&gt;&lt;D xsi:type="xsd:double"&gt;1.1056423&lt;/D&gt;&lt;D xsi:type="xsd:double"&gt;1.6099691&lt;/D&gt;&lt;D xsi:type="xsd:double"&gt;-4.626137&lt;/D&gt;&lt;D xsi:type="xsd:double"&gt;2.4313211&lt;/D&gt;&lt;D xsi:type="xsd:double"&gt;7.028365&lt;/D&gt;&lt;D xsi:type="xsd:double"&gt;-3.6290407&lt;/D&gt;&lt;D xsi:type="xsd:double"&gt;2.151823&lt;/D&gt;&lt;D xsi:type="xsd:double"&gt;-0.87770224&lt;/D&gt;&lt;D xsi:type="xsd:double"&gt;-1.7674804&lt;/D&gt;&lt;D xsi:type="xsd:double"&gt;-0.34214854&lt;/D&gt;&lt;D xsi:type="xsd:double"&gt;-7.397008&lt;/D&gt;&lt;D xsi:type="xsd:double"&gt;-2.6289225&lt;/D&gt;&lt;D xsi:type="xsd:double"&gt;4.361367&lt;/D&gt;&lt;D xsi:type="xsd:double"&gt;0.86236&lt;/D&gt;&lt;D xsi:type="xsd:double"&gt;-3.9595604&lt;/D&gt;&lt;D xsi:type="xsd:double"&gt;-6.8540096&lt;/D&gt;&lt;D xsi:type="xsd:double"&gt;3.0537128&lt;/D&gt;&lt;D xsi:type="xsd:double"&gt;5.2838206&lt;/D&gt;&lt;D xsi:type="xsd:double"&gt;2.5093198&lt;/D&gt;&lt;D xsi:type="xsd:double"&gt;-2.4478972&lt;/D&gt;&lt;D xsi:type="xsd:double"&gt;-3.1618953&lt;/D&gt;&lt;D xsi:type="xsd:double"&gt;1.019299&lt;/D&gt;&lt;D xsi:type="xsd:double"&gt;3.4954906&lt;/D&gt;&lt;D xsi:type="xsd:double"&gt;1.2186646&lt;/D&gt;&lt;D xsi:type="xsd:double"&gt;-5.641556&lt;/D&gt;&lt;D xsi:type="xsd:double"&gt;-0.03646016&lt;/D&gt;&lt;D xsi:type="xsd:double"&gt;4.7953963&lt;/D&gt;&lt;D xsi:type="xsd:double"&gt;6.787336&lt;/D&gt;&lt;D xsi:type="xsd:double"&gt;0.19556284&lt;/D&gt;&lt;D xsi:type="xsd:double"&gt;2.7000666&lt;/D&gt;&lt;D xsi:type="xsd:double"&gt;5.6699395&lt;/D&gt;&lt;D xsi:type="xsd:double"&gt;2.8477192&lt;/D&gt;&lt;D xsi:type="xsd:double"&gt;1.1086464&lt;/D&gt;&lt;D xsi:type="xsd:double"&gt;1.3856173&lt;/D&gt;&lt;D xsi:type="xsd:double"&gt;1.2212873&lt;/D&gt;&lt;D xsi:type="xsd:double"&gt;3.0738235&lt;/D&gt;&lt;D xsi:type="xsd:double"&gt;-1.254183&lt;/D&gt;&lt;D xsi:type="xsd:double"&gt;-3.6692023&lt;/D&gt;&lt;D xsi:type="xsd:double"&gt;0.32035112&lt;/D&gt;&lt;D xsi:type="xsd:double"&gt;7.2271347&lt;/D&gt;&lt;D xsi:type="xsd:double"&gt;-7.8679442&lt;/D&gt;&lt;D xsi:type="xsd:double"&gt;-0.029867887&lt;/D&gt;&lt;D xsi:type="xsd:double"&gt;-2.568698&lt;/D&gt;&lt;D xsi:type="xsd:double"&gt;0.5211592&lt;/D&gt;&lt;D xsi:type="xsd:double"&gt;-2.6176214&lt;/D&gt;&lt;D xsi:type="xsd:double"&gt;5.8013678&lt;/D&gt;&lt;D xsi:type="xsd:double"&gt;-1.2701273&lt;/D&gt;&lt;D xsi:type="xsd:double"&gt;2.6670814&lt;/D&gt;&lt;D xsi:type="xsd:double"&gt;-8.954769&lt;/D&gt;&lt;D xsi:type="xsd:double"&gt;-2.1148086&lt;/D&gt;&lt;D xsi:type="xsd:double"&gt;-3.0971527&lt;/D&gt;&lt;D xsi:type="xsd:double"&gt;5.771959&lt;/D&gt;&lt;D xsi:type="xsd:double"&gt;1.6069651&lt;/D&gt;&lt;D xsi:type="xsd:double"&gt;1.7133474&lt;/D&gt;&lt;D xsi:type="xsd:double"&gt;3.3689618&lt;/D&gt;&lt;D xsi:type="xsd:double"&gt;-8.555311&lt;/D&gt;&lt;D xsi:type="xsd:double"&gt;9.9920635&lt;/D&gt;&lt;D xsi:type="xsd:double"&gt;-6.2379417&lt;/D&gt;&lt;D xsi:type="xsd:double"&gt;-2.8806567&lt;/D&gt;&lt;D xsi:type="xsd:double"&gt;2.471757&lt;/D&gt;&lt;D xsi:type="xsd:double"&gt;10.096491&lt;/D&gt;&lt;D xsi:type="xsd:double"&gt;-0.71988106&lt;/D&gt;&lt;D xsi:type="xsd:double"&gt;5.020213&lt;/D&gt;&lt;D xsi:type="xsd:double"&gt;-2.7051747&lt;/D&gt;&lt;D xsi:type="xsd:double"&gt;-5.092156&lt;/D&gt;&lt;D xsi:type="xsd:double"&gt;-20.441078&lt;/D&gt;&lt;D xsi:type="xsd:double"&gt;10.343397&lt;/D&gt;&lt;D xsi:type="xsd:double"&gt;15.598047&lt;/D&gt;&lt;D xsi:type="xsd:double"&gt;2.234161&lt;/D&gt;&lt;D xsi:type="xsd:double"&gt;7.765758&lt;/D&gt;&lt;D xsi:type="xsd:double"&gt;5.020678&lt;/D&gt;&lt;D xsi:type="xsd:double"&gt;0.478065&lt;/D&gt;&lt;D xsi:type="xsd:double"&gt;-5.4575977&lt;/D&gt;&lt;D xsi:type="xsd:double"&gt;17.821194&lt;/D&gt;&lt;D xsi:type="xsd:double"&gt;0.74840784&lt;/D&gt;&lt;D xsi:type="xsd:double"&gt;3.7688494&lt;/D&gt;&lt;D xsi:type="xsd:double"&gt;4.2615056&lt;/D&gt;&lt;D xsi:type="xsd:double"&gt;5.0859213&lt;/D&gt;&lt;D xsi:type="xsd:double"&gt;2.5856256&lt;/D&gt;&lt;D xsi:type="xsd:double"&gt;5.8164597&lt;/D&gt;&lt;D xsi:type="xsd:double"&gt;-2.9418886&lt;/D&gt;&lt;D xsi:type="xsd:double"&gt;3.906417&lt;/D&gt;&lt;D xsi:type="xsd:double"&gt;-0.43379068&lt;/D&gt;&lt;D xsi:type="xsd:double"&gt;-6.0166&lt;/D&gt;&lt;D xsi:type="xsd:double"&gt;6.7549706&lt;/D&gt;&lt;D xsi:type="xsd:double"&gt;-7.6716304&lt;/D&gt;&lt;D xsi:type="xsd:double"&gt;7.0250154&lt;/D&gt;&lt;D xsi:type="xsd:double"&gt;-7.57609&lt;/D&gt;&lt;D xsi:type="xsd:double"&gt;-15.086407&lt;/D&gt;&lt;D xsi:type="xsd:double"&gt;9.295929&lt;/D&gt;&lt;D xsi:type="xsd:double"&gt;-9.637648&lt;/D&gt;&lt;D xsi:type="xsd:double"&gt;0.2784729&lt;/D&gt;&lt;D xsi:type="xsd:double"&gt;-12.735361&lt;/D&gt;&lt;D xsi:type="xsd:double"&gt;9.65947&lt;/D&gt;&lt;D xsi:type="xsd:double"&gt;-12.391764&lt;/D&gt;&lt;D xsi:type="xsd:double"&gt;-7.1233807&lt;/D&gt;&lt;D xsi:type="xsd:double"&gt;9.027517&lt;/D&gt;&lt;D xsi:type="xsd:double"&gt;15.516663&lt;/D&gt;&lt;D xsi:type="xsd:double"&gt;-5.259812&lt;/D&gt;&lt;D xsi:type="xsd:double"&gt;10.702133&lt;/D&gt;&lt;D xsi:type="xsd:double"&gt;-1.3132215&lt;/D&gt;&lt;D xsi:type="xsd:double"&gt;0.62288046&lt;/D&gt;&lt;D xsi:type="xsd:double"&gt;4.5582414&lt;/D&gt;&lt;D xsi:type="xsd:double"&gt;-6.8083944&lt;/D&gt;&lt;D xsi:type="xsd:double"&gt;2.2812486&lt;/D&gt;&lt;D xsi:type="xsd:double"&gt;-0.16939044&lt;/D&gt;&lt;D xsi:type="xsd:double"&gt;-6.25&lt;/D&gt;&lt;D xsi:type="xsd:double"&gt;-0.5429864&lt;/D&gt;&lt;D xsi:type="xsd:double"&gt;-4.913563&lt;/D&gt;&lt;D xsi:type="xsd:double"&gt;17.352474&lt;/D&gt;&lt;D xsi:type="xsd:double"&gt;9.933901&lt;/D&gt;&lt;D xsi:type="xsd:double"&gt;-4.003042&lt;/D&gt;&lt;D xsi:type="xsd:double"&gt;5.5423617&lt;/D&gt;&lt;D xsi:type="xsd:double"&gt;-0.575155&lt;/D&gt;&lt;D xsi:type="xsd:double"&gt;-3.0935585&lt;/D&gt;&lt;D xsi:type="xsd:double"&gt;8.824301&lt;/D&gt;&lt;D xsi:type="xsd:double"&gt;-2.217567&lt;/D&gt;&lt;D xsi:type="xsd:double"&gt;-2.6517987&lt;/D&gt;&lt;/FQL&gt;&lt;FQL&gt;&lt;Q&gt;EWQ^FMA_DIV_YLD(NTMA,-10AY,0,AM,"PORTAGG","MEANR")&lt;/Q&gt;&lt;R&gt;121&lt;/R&gt;&lt;C&gt;1&lt;/C&gt;&lt;D xsi:type="xsd:double"&gt;3.63523168362998&lt;/D&gt;&lt;D xsi:type="xsd:double"&gt;3.53449264250309&lt;/D&gt;&lt;D xsi:type="xsd:double"&gt;3.59956469459541&lt;/D&gt;&lt;D xsi:type="xsd:double"&gt;3.69761747281395&lt;/D&gt;&lt;D xsi:type="xsd:double"&gt;3.56231702954762&lt;/D&gt;&lt;D xsi:type="xsd:double"&gt;3.63053966972835&lt;/D&gt;&lt;D xsi:type="xsd:double"&gt;3.36958589368047&lt;/D&gt;&lt;D xsi:type="xsd:double"&gt;3.12865411889008&lt;/D&gt;&lt;D xsi:type="xsd:double"&gt;3.18130457279148&lt;/D&gt;&lt;D xsi:type="xsd:double"&gt;3.25032792451333&lt;/D&gt;&lt;D xsi:type="xsd:double"&gt;3.28944369823146&lt;/D&gt;&lt;D xsi:type="xsd:double"&gt;3.39383609967554&lt;/D&gt;&lt;D xsi:type="xsd:double"&gt;3.291572031812&lt;/D&gt;&lt;D xsi:type="xsd:double"&gt;3.69581072967617&lt;/D&gt;&lt;D xsi:type="xsd:double"&gt;3.78580525103254&lt;/D&gt;&lt;D xsi:type="xsd:double"&gt;3.43210607938344&lt;/D&gt;&lt;D xsi:type="xsd:double"&gt;3.41135140371282&lt;/D&gt;&lt;D xsi:type="xsd:double"&gt;3.60193863288813&lt;/D&gt;&lt;D xsi:type="xsd:double"&gt;3.78974920441283&lt;/D&gt;&lt;D xsi:type="xsd:double"&gt;3.77503950248011&lt;/D&gt;&lt;D xsi:type="xsd:double"&gt;3.81704597364603&lt;/D&gt;&lt;D xsi:type="xsd:double"&gt;3.72354967436848&lt;/D&gt;&lt;D xsi:type="xsd:double"&gt;3.70558791350471&lt;/D&gt;&lt;D xsi:type="xsd:double"&gt;3.87498928857858&lt;/D&gt;&lt;D xsi:type="xsd:double"&gt;3.75312403934577&lt;/D&gt;&lt;D xsi:type="xsd:double"&gt;3.7370910993735&lt;/D&gt;&lt;D xsi:type="xsd:double"&gt;3.72463199024037&lt;/D&gt;&lt;D xsi:type="xsd:double"&gt;3.75936091869175&lt;/D&gt;&lt;D xsi:type="xsd:double"&gt;3.66869345119767&lt;/D&gt;&lt;D xsi:type="xsd:double"&gt;3.46627926955841&lt;/D&gt;&lt;D xsi:type="xsd:double"&gt;3.50793219999897&lt;/D&gt;&lt;D xsi:type="xsd:double"&gt;3.45172051332991&lt;/D&gt;&lt;D xsi:type="xsd:double"&gt;3.34878974588245&lt;/D&gt;&lt;D xsi:type="xsd:double"&gt;3.26391449413278&lt;/D&gt;&lt;D xsi:type="xsd:double"&gt;3.24194184728127&lt;/D&gt;&lt;D xsi:type="xsd:double"&gt;3.38892587160361&lt;/D&gt;&lt;D xsi:type="xsd:double"&gt;3.38722576055464&lt;/D&gt;&lt;D xsi:type="xsd:double"&gt;3.40480123197067&lt;/D&gt;&lt;D xsi:type="xsd:double"&gt;3.2946530053581&lt;/D&gt;&lt;D xsi:type="xsd:double"&gt;3.23348701811807&lt;/D&gt;&lt;D xsi:type="xsd:double"&gt;3.3108365060302&lt;/D&gt;&lt;D xsi:type="xsd:double"&gt;3.32111484492617&lt;/D&gt;&lt;D xsi:type="xsd:double"&gt;3.23521421594647&lt;/D&gt;&lt;D xsi:type="xsd:double"&gt;3.40167439768003&lt;/D&gt;&lt;D xsi:type="xsd:double"&gt;3.4649735497601&lt;/D&gt;&lt;D xsi:type="xsd:double"&gt;3.3047949665637&lt;/D&gt;&lt;D xsi:type="xsd:double"&gt;3.36118442045111&lt;/D&gt;&lt;D xsi:type="xsd:double"&gt;3.46150214120478&lt;/D&gt;&lt;D xsi:type="xsd:double"&gt;3.38210101692114&lt;/D&gt;&lt;D xsi:type="xsd:double"&gt;3.45504612316079&lt;/D&gt;&lt;D xsi:type="xsd:double"&gt;3.42863519127596&lt;/D&gt;&lt;D xsi:type="xsd:double"&gt;3.71488564558537&lt;/D&gt;&lt;D xsi:type="xsd:double"&gt;3.79446278583538&lt;/D&gt;&lt;D xsi:type="xsd:double"&gt;4.00551852013093&lt;/D&gt;&lt;D xsi:type="xsd:double"&gt;3.77589250735133&lt;/D&gt;&lt;D xsi:type="xsd:double"&gt;3.62006056995402&lt;/D&gt;&lt;D xsi:type="xsd:double"&gt;3.56778772475286&lt;/D&gt;&lt;D xsi:type="xsd:double"&gt;3.46790870163774&lt;/D&gt;&lt;D xsi:type="xsd:double"&gt;3.72724093589846&lt;/D&gt;&lt;D xsi:type="xsd:double"&gt;3.51334717542837&lt;/D&gt;&lt;D xsi:type="xsd:double"&gt;3.53764762208657&lt;/D&gt;&lt;D xsi:type="xsd:double"&gt;3.60141429728804&lt;/D&gt;&lt;D xsi:type="xsd:double"&gt;3.53726656004022&lt;/D&gt;&lt;D xsi:type="xsd:double"&gt;3.43179236170454&lt;/D&gt;&lt;D xsi:type="xsd:double"&gt;3.37893159187036&lt;/D&gt;&lt;D xsi:type="xsd:double"&gt;3.35245755302702&lt;/D&gt;&lt;D xsi:type="xsd:double"&gt;3.43300161000188&lt;/D&gt;&lt;D xsi:type="xsd:double"&gt;3.72782087677705&lt;/D&gt;&lt;D xsi:type="xsd:double"&gt;4.45798093418262&lt;/D&gt;&lt;D xsi:type="xsd:double"&gt;3.51706365060442&lt;/D&gt;&lt;D xsi:type="xsd:double"&gt;3.26486048992528&lt;/D&gt;&lt;D xsi:type="xsd:double"&gt;3.16284673982048&lt;/D&gt;&lt;D xsi:type="xsd:double"&gt;3.23491885791945&lt;/D&gt;&lt;D xsi:type="xsd:double"&gt;3.1562839375738&lt;/D&gt;&lt;D xsi:type="xsd:double"&gt;3.27644925960805&lt;/D&gt;&lt;D xsi:type="xsd:double"&gt;3.44528026962697&lt;/D&gt;&lt;D xsi:type="xsd:double"&gt;2.8768523124709&lt;/D&gt;&lt;D xsi:type="xsd:double"&gt;2.93955434765&lt;/D&gt;&lt;D xsi:type="xsd:double"&gt;2.99692023449406&lt;/D&gt;&lt;D xsi:type="xsd:double"&gt;2.835773791553&lt;/D&gt;&lt;D xsi:type="xsd:double"&gt;2.74011410639921&lt;/D&gt;&lt;D xsi:type="xsd:double"&gt;2.70594867689808&lt;/D&gt;&lt;D xsi:type="xsd:double"&gt;2.66765332621768&lt;/D&gt;&lt;D xsi:type="xsd:double"&gt;2.69259507872989&lt;/D&gt;&lt;D xsi:type="xsd:double"&gt;2.71441558670152&lt;/D&gt;&lt;D xsi:type="xsd:double"&gt;2.72262948699713&lt;/D&gt;&lt;D xsi:type="xsd:double"&gt;2.86615409945368&lt;/D&gt;&lt;D xsi:type="xsd:double"&gt;2.7676340746454&lt;/D&gt;&lt;D xsi:type="xsd:double"&gt;2.82602028055792&lt;/D&gt;&lt;D xsi:type="xsd:double"&gt;2.73879537311215&lt;/D&gt;&lt;D xsi:type="xsd:double"&gt;2.82123260589858&lt;/D&gt;&lt;D xsi:type="xsd:double"&gt;3.21057133956496&lt;/D&gt;&lt;D xsi:type="xsd:double"&gt;3.08141317557276&lt;/D&gt;&lt;D xsi:type="xsd:double"&gt;3.14918620624511&lt;/D&gt;&lt;D xsi:type="xsd:double"&gt;3.24024852927586&lt;/D&gt;&lt;D xsi:type="xsd:double"&gt;3.53733003338895&lt;/D&gt;&lt;D xsi:type="xsd:double"&gt;3.2846595275355&lt;/D&gt;&lt;D xsi:type="xsd:double"&gt;3.5659678320566&lt;/D&gt;&lt;D xsi:type="xsd:double"&gt;3.77229922690018&lt;/D&gt;&lt;D xsi:type="xsd:double"&gt;3.47585602410403&lt;/D&gt;&lt;D xsi:type="xsd:double"&gt;3.25648498031479&lt;/D&gt;&lt;D xsi:type="xsd:double"&gt;3.38079487006369&lt;/D&gt;&lt;D xsi:type="xsd:double"&gt;3.11453891233102&lt;/D&gt;&lt;D xsi:type="xsd:double"&gt;3.17635405298438&lt;/D&gt;&lt;D xsi:type="xsd:double"&gt;3.17295242591794&lt;/D&gt;&lt;D xsi:type="xsd:double"&gt;3.12380432529195&lt;/D&gt;&lt;D xsi:type="xsd:double"&gt;3.31376965649083&lt;/D&gt;&lt;D xsi:type="xsd:double"&gt;3.22608406634564&lt;/D&gt;&lt;D xsi:type="xsd:double"&gt;3.26836323230755&lt;/D&gt;&lt;D xsi:type="xsd:double"&gt;3.324891016362&lt;/D&gt;&lt;D xsi:type="xsd:double"&gt;3.42144304778843&lt;/D&gt;&lt;D xsi:type="xsd:double"&gt;3.52404247826276&lt;/D&gt;&lt;D xsi:type="xsd:double"&gt;3.32217924780817&lt;/D&gt;&lt;D xsi:type="xsd:double"&gt;3.2303869117415&lt;/D&gt;&lt;D xsi:type="xsd:double"&gt;3.20187043169488&lt;/D&gt;&lt;D xsi:type="xsd:double"&gt;3.12867746284953&lt;/D&gt;&lt;D xsi:type="xsd:double"&gt;3.05856743642256&lt;/D&gt;&lt;D xsi:type="xsd:double"&gt;3.14776689904746&lt;/D&gt;&lt;D xsi:type="xsd:double"&gt;3.15870431366445&lt;/D&gt;&lt;D xsi:type="xsd:double"&gt;3.35808229567314&lt;/D&gt;&lt;D xsi:type="xsd:double"&gt;3.40237667824497&lt;/D&gt;&lt;/FQL&gt;&lt;FQL&gt;&lt;Q&gt;QQQ^FMA_PE(NTMA,-10AY,0,AM,"PORTAGG","MEANR")&lt;/Q&gt;&lt;R&gt;121&lt;/R&gt;&lt;C&gt;1&lt;/C&gt;&lt;D xsi:type="xsd:double"&gt;17.1603828219968&lt;/D&gt;&lt;D xsi:type="xsd:double"&gt;17.8774265439494&lt;/D&gt;&lt;D xsi:type="xsd:double"&gt;17.1464554763372&lt;/D&gt;&lt;D xsi:type="xsd:double"&gt;17.6885889608936&lt;/D&gt;&lt;D xsi:type="xsd:double"&gt;18.0776934583114&lt;/D&gt;&lt;D xsi:type="xsd:double"&gt;17.4439790635812&lt;/D&gt;&lt;D xsi:type="xsd:double"&gt;16.9367245315482&lt;/D&gt;&lt;D xsi:type="xsd:double"&gt;18.0987091619455&lt;/D&gt;&lt;D xsi:type="xsd:double"&gt;17.5778146968114&lt;/D&gt;&lt;D xsi:type="xsd:double"&gt;18.0048963080168&lt;/D&gt;&lt;D xsi:type="xsd:double"&gt;18.0555112858223&lt;/D&gt;&lt;D xsi:type="xsd:double"&gt;17.6094933846645&lt;/D&gt;&lt;D xsi:type="xsd:double"&gt;18.6258597243979&lt;/D&gt;&lt;D xsi:type="xsd:double"&gt;16.7439962422187&lt;/D&gt;&lt;D xsi:type="xsd:double"&gt;16.8555040495204&lt;/D&gt;&lt;D xsi:type="xsd:double"&gt;18.5452036629595&lt;/D&gt;&lt;D xsi:type="xsd:double"&gt;18.8596075080091&lt;/D&gt;&lt;D xsi:type="xsd:double"&gt;18.4588215357575&lt;/D&gt;&lt;D xsi:type="xsd:double"&gt;17.3232415487766&lt;/D&gt;&lt;D xsi:type="xsd:double"&gt;17.394330783978&lt;/D&gt;&lt;D xsi:type="xsd:double"&gt;18.0861929547362&lt;/D&gt;&lt;D xsi:type="xsd:double"&gt;17.4707196772289&lt;/D&gt;&lt;D xsi:type="xsd:double"&gt;18.0080406399037&lt;/D&gt;&lt;D xsi:type="xsd:double"&gt;17.7093238287946&lt;/D&gt;&lt;D xsi:type="xsd:double"&gt;18.7303784433146&lt;/D&gt;&lt;D xsi:type="xsd:double"&gt;18.546315496867&lt;/D&gt;&lt;D xsi:type="xsd:double"&gt;18.6686139794025&lt;/D&gt;&lt;D xsi:type="xsd:double"&gt;18.0106783605501&lt;/D&gt;&lt;D xsi:type="xsd:double"&gt;17.7427105734158&lt;/D&gt;&lt;D xsi:type="xsd:double"&gt;18.0470918716454&lt;/D&gt;&lt;D xsi:type="xsd:double"&gt;19.2458238412994&lt;/D&gt;&lt;D xsi:type="xsd:double"&gt;20.2435848547949&lt;/D&gt;&lt;D xsi:type="xsd:double"&gt;20.1485369307087&lt;/D&gt;&lt;D xsi:type="xsd:double"&gt;20.502391395887&lt;/D&gt;&lt;D xsi:type="xsd:double"&gt;21.0050662324112&lt;/D&gt;&lt;D xsi:type="xsd:double"&gt;20.0519431453177&lt;/D&gt;&lt;D xsi:type="xsd:double"&gt;20.7229932923976&lt;/D&gt;&lt;D xsi:type="xsd:double"&gt;20.6993067237689&lt;/D&gt;&lt;D xsi:type="xsd:double"&gt;20.37612210329&lt;/D&gt;&lt;D xsi:type="xsd:double"&gt;20.8138885018826&lt;/D&gt;&lt;D xsi:type="xsd:double"&gt;20.8107825461829&lt;/D&gt;&lt;D xsi:type="xsd:double"&gt;20.7947525332183&lt;/D&gt;&lt;D xsi:type="xsd:double"&gt;21.4604012427883&lt;/D&gt;&lt;D xsi:type="xsd:double"&gt;20.456624508815&lt;/D&gt;&lt;D xsi:type="xsd:double"&gt;19.7763057603438&lt;/D&gt;&lt;D xsi:type="xsd:double"&gt;19.5426346445751&lt;/D&gt;&lt;D xsi:type="xsd:double"&gt;20.3931962500705&lt;/D&gt;&lt;D xsi:type="xsd:double"&gt;20.087014612319&lt;/D&gt;&lt;D xsi:type="xsd:double"&gt;20.2522237888796&lt;/D&gt;&lt;D xsi:type="xsd:double"&gt;21.1439522256258&lt;/D&gt;&lt;D xsi:type="xsd:double"&gt;20.9111641716748&lt;/D&gt;&lt;D xsi:type="xsd:double"&gt;19.0992278507177&lt;/D&gt;&lt;D xsi:type="xsd:double"&gt;18.8114498633601&lt;/D&gt;&lt;D xsi:type="xsd:double"&gt;17.1033334043296&lt;/D&gt;&lt;D xsi:type="xsd:double"&gt;18.9850887961166&lt;/D&gt;&lt;D xsi:type="xsd:double"&gt;19.8238920117317&lt;/D&gt;&lt;D xsi:type="xsd:double"&gt;20.5738801831428&lt;/D&gt;&lt;D xsi:type="xsd:double"&gt;21.188766920123&lt;/D&gt;&lt;D xsi:type="xsd:double"&gt;19.3503560143766&lt;/D&gt;&lt;D xsi:type="xsd:double"&gt;21.055155716996&lt;/D&gt;&lt;D xsi:type="xsd:double"&gt;20.9350012245476&lt;/D&gt;&lt;D xsi:type="xsd:double"&gt;20.4554378626428&lt;/D&gt;&lt;D xsi:type="xsd:double"&gt;20.2571222963429&lt;/D&gt;&lt;D xsi:type="xsd:double"&gt;21.323085557257&lt;/D&gt;&lt;D xsi:type="xsd:double"&gt;22.0033636055341&lt;/D&gt;&lt;D xsi:type="xsd:double"&gt;22.7334003321416&lt;/D&gt;&lt;D xsi:type="xsd:double"&gt;22.7772009086728&lt;/D&gt;&lt;D xsi:type="xsd:double"&gt;21.3634002771717&lt;/D&gt;&lt;D xsi:type="xsd:double"&gt;19.8377999911245&lt;/D&gt;&lt;D xsi:type="xsd:double"&gt;24.7721688583428&lt;/D&gt;&lt;D xsi:type="xsd:double"&gt;27.4477017920371&lt;/D&gt;&lt;D xsi:type="xsd:double"&gt;28.6714407691721&lt;/D&gt;&lt;D xsi:type="xsd:double"&gt;28.9096785508734&lt;/D&gt;&lt;D xsi:type="xsd:double"&gt;31.9928277239819&lt;/D&gt;&lt;D xsi:type="xsd:double"&gt;29.6358793284036&lt;/D&gt;&lt;D xsi:type="xsd:double"&gt;27.3491681967899&lt;/D&gt;&lt;D xsi:type="xsd:double"&gt;30.0480937937805&lt;/D&gt;&lt;D xsi:type="xsd:double"&gt;30.0918515157924&lt;/D&gt;&lt;D xsi:type="xsd:double"&gt;29.5815576105847&lt;/D&gt;&lt;D xsi:type="xsd:double"&gt;28.6169789140977&lt;/D&gt;&lt;D xsi:type="xsd:double"&gt;28.4157877906011&lt;/D&gt;&lt;D xsi:type="xsd:double"&gt;27.796917644553&lt;/D&gt;&lt;D xsi:type="xsd:double"&gt;26.850185262284&lt;/D&gt;&lt;D xsi:type="xsd:double"&gt;28.3039672623146&lt;/D&gt;&lt;D xsi:type="xsd:double"&gt;27.9887797751266&lt;/D&gt;&lt;D xsi:type="xsd:double"&gt;28.7218371086521&lt;/D&gt;&lt;D xsi:type="xsd:double"&gt;27.0611441449207&lt;/D&gt;&lt;D xsi:type="xsd:double"&gt;28.987788541812&lt;/D&gt;&lt;D xsi:type="xsd:double"&gt;28.5518089888795&lt;/D&gt;&lt;D xsi:type="xsd:double"&gt;29.1673117499109&lt;/D&gt;&lt;D xsi:type="xsd:double"&gt;26.3431924186512&lt;/D&gt;&lt;D xsi:type="xsd:double"&gt;24.4028872506335&lt;/D&gt;&lt;D xsi:type="xsd:double"&gt;25.6253252591873&lt;/D&gt;&lt;D xsi:type="xsd:double"&gt;22.4601553381739&lt;/D&gt;&lt;D xsi:type="xsd:double"&gt;21.6630769907745&lt;/D&gt;&lt;D xsi:type="xsd:double"&gt;20.0874049768134&lt;/D&gt;&lt;D xsi:type="xsd:double"&gt;22.9837956102258&lt;/D&gt;&lt;D xsi:type="xsd:double"&gt;21.8156591198754&lt;/D&gt;&lt;D xsi:type="xsd:double"&gt;19.5241373583725&lt;/D&gt;&lt;D xsi:type="xsd:double"&gt;20.8891945962373&lt;/D&gt;&lt;D xsi:type="xsd:double"&gt;22.3459822439925&lt;/D&gt;&lt;D xsi:type="xsd:double"&gt;20.8845995037699&lt;/D&gt;&lt;D xsi:type="xsd:double"&gt;23.940790602289&lt;/D&gt;&lt;D xsi:type="xsd:double"&gt;22.8964035798432&lt;/D&gt;&lt;D xsi:type="xsd:double"&gt;25.0734268721733&lt;/D&gt;&lt;D xsi:type="xsd:double"&gt;24.5353028707121&lt;/D&gt;&lt;D xsi:type="xsd:double"&gt;25.9696969907053&lt;/D&gt;&lt;D xsi:type="xsd:double"&gt;26.792181260846&lt;/D&gt;&lt;D xsi:type="xsd:double"&gt;25.7701098812999&lt;/D&gt;&lt;D xsi:type="xsd:double"&gt;24.6496717443145&lt;/D&gt;&lt;D xsi:type="xsd:double"&gt;23.1717903425155&lt;/D&gt;&lt;D xsi:type="xsd:double"&gt;22.7033187937905&lt;/D&gt;&lt;D xsi:type="xsd:double"&gt;24.3017034453727&lt;/D&gt;&lt;D xsi:type="xsd:double"&gt;25.0896941037527&lt;/D&gt;&lt;D xsi:type="xsd:double"&gt;25.7114262685484&lt;/D&gt;&lt;D xsi:type="xsd:double"&gt;26.5752858984212&lt;/D&gt;&lt;D xsi:type="xsd:double"&gt;26.2056392525408&lt;/D&gt;&lt;D xsi:type="xsd:double"&gt;24.5657239837652&lt;/D&gt;&lt;D xsi:type="xsd:double"&gt;25.7369655806234&lt;/D&gt;&lt;D xsi:type="xsd:double"&gt;27.0967871335857&lt;/D&gt;&lt;D xsi:type="xsd:double"&gt;26.0955667512413&lt;/D&gt;&lt;/FQL&gt;&lt;FQL&gt;&lt;Q&gt;EWL^FMA_PE(LTMA,-10AY,0,AM,"PORTAGG","MEANR")&lt;/Q&gt;&lt;R&gt;121&lt;/R&gt;&lt;C&gt;1&lt;/C&gt;&lt;D xsi:type="xsd:double"&gt;17.1250287795835&lt;/D&gt;&lt;D xsi:type="xsd:double"&gt;17.3539928572813&lt;/D&gt;&lt;D xsi:type="xsd:double"&gt;17.2181329030862&lt;/D&gt;&lt;D xsi:type="xsd:double"&gt;17.3080166035208&lt;/D&gt;&lt;D xsi:type="xsd:double"&gt;17.644364630221&lt;/D&gt;&lt;D xsi:type="xsd:double"&gt;17.2391332882042&lt;/D&gt;&lt;D xsi:type="xsd:double"&gt;16.6929993068285&lt;/D&gt;&lt;D xsi:type="xsd:double"&gt;17.9927049686476&lt;/D&gt;&lt;D xsi:type="xsd:double"&gt;18.0140462465655&lt;/D&gt;&lt;D xsi:type="xsd:double"&gt;18.0823487485388&lt;/D&gt;&lt;D xsi:type="xsd:double"&gt;18.0836246497676&lt;/D&gt;&lt;D xsi:type="xsd:double"&gt;17.7662191113555&lt;/D&gt;&lt;D xsi:type="xsd:double"&gt;18.2155542852859&lt;/D&gt;&lt;D xsi:type="xsd:double"&gt;17.1892635967977&lt;/D&gt;&lt;D xsi:type="xsd:double"&gt;16.9694991170573&lt;/D&gt;&lt;D xsi:type="xsd:double"&gt;17.7635359195173&lt;/D&gt;&lt;D xsi:type="xsd:double"&gt;17.6447834958508&lt;/D&gt;&lt;D xsi:type="xsd:double"&gt;17.3781775117904&lt;/D&gt;&lt;D xsi:type="xsd:double"&gt;16.8595264226991&lt;/D&gt;&lt;D xsi:type="xsd:double"&gt;16.6119059132696&lt;/D&gt;&lt;D xsi:type="xsd:double"&gt;16.5964163990059&lt;/D&gt;&lt;D xsi:type="xsd:double"&gt;16.824160045369&lt;/D&gt;&lt;D xsi:type="xsd:double"&gt;17.119821855445&lt;/D&gt;&lt;D xsi:type="xsd:double"&gt;17.2037167975357&lt;/D&gt;&lt;D xsi:type="xsd:double"&gt;17.6287750227913&lt;/D&gt;&lt;D xsi:type="xsd:double"&gt;17.7777380167484&lt;/D&gt;&lt;D xsi:type="xsd:double"&gt;18.0270248722881&lt;/D&gt;&lt;D xsi:type="xsd:double"&gt;17.5576779117633&lt;/D&gt;&lt;D xsi:type="xsd:double"&gt;17.3031625968648&lt;/D&gt;&lt;D xsi:type="xsd:double"&gt;18.2312249975706&lt;/D&gt;&lt;D xsi:type="xsd:double"&gt;18.5344603349454&lt;/D&gt;&lt;D xsi:type="xsd:double"&gt;19.6772953311194&lt;/D&gt;&lt;D xsi:type="xsd:double"&gt;19.4836656134011&lt;/D&gt;&lt;D xsi:type="xsd:double"&gt;19.4745274237685&lt;/D&gt;&lt;D xsi:type="xsd:double"&gt;19.5858931606285&lt;/D&gt;&lt;D xsi:type="xsd:double"&gt;19.3423476611755&lt;/D&gt;&lt;D xsi:type="xsd:double"&gt;19.3281649539058&lt;/D&gt;&lt;D xsi:type="xsd:double"&gt;19.1444664384264&lt;/D&gt;&lt;D xsi:type="xsd:double"&gt;19.4599988337422&lt;/D&gt;&lt;D xsi:type="xsd:double"&gt;20.2771800411741&lt;/D&gt;&lt;D xsi:type="xsd:double"&gt;20.3191407844838&lt;/D&gt;&lt;D xsi:type="xsd:double"&gt;20.7340196335678&lt;/D&gt;&lt;D xsi:type="xsd:double"&gt;21.7424950046533&lt;/D&gt;&lt;D xsi:type="xsd:double"&gt;21.1638377276074&lt;/D&gt;&lt;D xsi:type="xsd:double"&gt;20.7201011040339&lt;/D&gt;&lt;D xsi:type="xsd:double"&gt;20.2825900514586&lt;/D&gt;&lt;D xsi:type="xsd:double"&gt;19.6961564251071&lt;/D&gt;&lt;D xsi:type="xsd:double"&gt;19.276078670819&lt;/D&gt;&lt;D xsi:type="xsd:double"&gt;19.2706007186319&lt;/D&gt;&lt;D xsi:type="xsd:double"&gt;18.7977019411547&lt;/D&gt;&lt;D xsi:type="xsd:double"&gt;18.5845941073448&lt;/D&gt;&lt;D xsi:type="xsd:double"&gt;18.0189796441268&lt;/D&gt;&lt;D xsi:type="xsd:double"&gt;17.7037866596995&lt;/D&gt;&lt;D xsi:type="xsd:double"&gt;16.1867705047708&lt;/D&gt;&lt;D xsi:type="xsd:double"&gt;17.6000232415279&lt;/D&gt;&lt;D xsi:type="xsd:double"&gt;18.3575359207335&lt;/D&gt;&lt;D xsi:type="xsd:double"&gt;18.2868931824995&lt;/D&gt;&lt;D xsi:type="xsd:double"&gt;18.3010155901809&lt;/D&gt;&lt;D xsi:type="xsd:double"&gt;18.0480416723578&lt;/D&gt;&lt;D xsi:type="xsd:double"&gt;18.3890071317496&lt;/D&gt;&lt;D xsi:type="xsd:double"&gt;18.3229944098853&lt;/D&gt;&lt;D xsi:type="xsd:double"&gt;18.2372817421703&lt;/D&gt;&lt;D xsi:type="xsd:double"&gt;18.2942374150523&lt;/D&gt;&lt;D xsi:type="xsd:double"&gt;18.7578110169301&lt;/D&gt;&lt;D xsi:type="xsd:double"&gt;19.0487546820496&lt;/D&gt;&lt;D xsi:type="xsd:double"&gt;19.6199312565469&lt;/D&gt;&lt;D xsi:type="xsd:double"&gt;19.6783186172664&lt;/D&gt;&lt;D xsi:type="xsd:double"&gt;18.0103108276406&lt;/D&gt;&lt;D xsi:type="xsd:double"&gt;17.7643618556262&lt;/D&gt;&lt;D xsi:type="xsd:double"&gt;18.6034651660968&lt;/D&gt;&lt;D xsi:type="xsd:double"&gt;19.0807798907585&lt;/D&gt;&lt;D xsi:type="xsd:double"&gt;19.626464011875&lt;/D&gt;&lt;D xsi:type="xsd:double"&gt;19.9094463440796&lt;/D&gt;&lt;D xsi:type="xsd:double"&gt;20.5251776738077&lt;/D&gt;&lt;D xsi:type="xsd:double"&gt;20.7841307625379&lt;/D&gt;&lt;D xsi:type="xsd:double"&gt;19.6743356945416&lt;/D&gt;&lt;D xsi:type="xsd:double"&gt;21.0543562816613&lt;/D&gt;&lt;D xsi:type="xsd:double"&gt;22.0192335076548&lt;/D&gt;&lt;D xsi:type="xsd:double"&gt;21.3190496994046&lt;/D&gt;&lt;D xsi:type="xsd:double"&gt;20.490280030146&lt;/D&gt;&lt;D xsi:type="xsd:double"&gt;20.4554903396325&lt;/D&gt;&lt;D xsi:type="xsd:double"&gt;20.1108644172687&lt;/D&gt;&lt;D xsi:type="xsd:double"&gt;20.6521105536254&lt;/D&gt;&lt;D xsi:type="xsd:double"&gt;20.8642772030353&lt;/D&gt;&lt;D xsi:type="xsd:double"&gt;20.9458493427101&lt;/D&gt;&lt;D xsi:type="xsd:double"&gt;21.2227495406634&lt;/D&gt;&lt;D xsi:type="xsd:double"&gt;20.0012053258354&lt;/D&gt;&lt;D xsi:type="xsd:double"&gt;20.8055572894931&lt;/D&gt;&lt;D xsi:type="xsd:double"&gt;20.5461559505027&lt;/D&gt;&lt;D xsi:type="xsd:double"&gt;21.6670376324775&lt;/D&gt;&lt;D xsi:type="xsd:double"&gt;20.3421936699757&lt;/D&gt;&lt;D xsi:type="xsd:double"&gt;18.4754455629167&lt;/D&gt;&lt;D xsi:type="xsd:double"&gt;18.5890147428654&lt;/D&gt;&lt;D xsi:type="xsd:double"&gt;18.5252337933173&lt;/D&gt;&lt;D xsi:type="xsd:double"&gt;18.1221448223734&lt;/D&gt;&lt;D xsi:type="xsd:double"&gt;17.572476820139&lt;/D&gt;&lt;D xsi:type="xsd:double"&gt;18.3148042146363&lt;/D&gt;&lt;D xsi:type="xsd:double"&gt;17.633345706083&lt;/D&gt;&lt;D xsi:type="xsd:double"&gt;16.9641631423621&lt;/D&gt;&lt;D xsi:type="xsd:double"&gt;17.8044357435837&lt;/D&gt;&lt;D xsi:type="xsd:double"&gt;20.0265281967444&lt;/D&gt;&lt;D xsi:type="xsd:double"&gt;20.0573075428435&lt;/D&gt;&lt;D xsi:type="xsd:double"&gt;20.5874712292508&lt;/D&gt;&lt;D xsi:type="xsd:double"&gt;20.6675717339961&lt;/D&gt;&lt;D xsi:type="xsd:double"&gt;20.4309085273748&lt;/D&gt;&lt;D xsi:type="xsd:double"&gt;20.2595994133484&lt;/D&gt;&lt;D xsi:type="xsd:double"&gt;19.5967749908966&lt;/D&gt;&lt;D xsi:type="xsd:double"&gt;19.2961850249866&lt;/D&gt;&lt;D xsi:type="xsd:double"&gt;19.208137868406&lt;/D&gt;&lt;D xsi:type="xsd:double"&gt;18.8886452923249&lt;/D&gt;&lt;D xsi:type="xsd:double"&gt;18.4173647036501&lt;/D&gt;&lt;D xsi:type="xsd:double"&gt;17.614582070256&lt;/D&gt;&lt;D xsi:type="xsd:double"&gt;18.0198034959578&lt;/D&gt;&lt;D xsi:type="xsd:double"&gt;18.4261307484942&lt;/D&gt;&lt;D xsi:type="xsd:double"&gt;18.6024485068341&lt;/D&gt;&lt;D xsi:type="xsd:double"&gt;19.1976932216384&lt;/D&gt;&lt;D xsi:type="xsd:double"&gt;19.1427660083626&lt;/D&gt;&lt;D xsi:type="xsd:double"&gt;18.7193134194805&lt;/D&gt;&lt;D xsi:type="xsd:double"&gt;18.902318117854&lt;/D&gt;&lt;D xsi:type="xsd:double"&gt;18.7703122655935&lt;/D&gt;&lt;D xsi:type="xsd:double"&gt;18.8426718171942&lt;/D&gt;&lt;/FQL&gt;&lt;FQL&gt;&lt;Q&gt;WL-FDS^FG_PRICE(0)/MAX(FG_PRICE(0,-1AY))&lt;/Q&gt;&lt;R&gt;1&lt;/R&gt;&lt;C&gt;1&lt;/C&gt;&lt;D xsi:type="xsd:double"&gt;0.685747969609641&lt;/D&gt;&lt;/FQL&gt;&lt;FQL&gt;&lt;Q&gt;NI-FDS^FG_PRICE(0)/MAX(FG_PRICE(0,-1AY))&lt;/Q&gt;&lt;R&gt;1&lt;/R&gt;&lt;C&gt;1&lt;/C&gt;&lt;D xsi:type="xsd:double"&gt;0.709908297919928&lt;/D&gt;&lt;/FQL&gt;&lt;FQL&gt;&lt;Q&gt;CPALM-FDS^FG_PRICE(0)/MAX(FG_PRICE(0,-1AY))&lt;/Q&gt;&lt;R&gt;1&lt;/R&gt;&lt;C&gt;1&lt;/C&gt;&lt;D xsi:type="xsd:double"&gt;0.870932518017034&lt;/D&gt;&lt;/FQL&gt;&lt;FQL&gt;&lt;Q&gt;BRENT-FDS^FG_PRICE(0)/MAX(FG_PRICE(0,-1AY))&lt;/Q&gt;&lt;R&gt;1&lt;/R&gt;&lt;C&gt;1&lt;/C&gt;&lt;D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xsi:type="xsd:double"&gt;0.713304661487236&lt;/D&gt;&lt;/FQL&gt;&lt;FQL&gt;&lt;Q&gt;EWD^FG_PRICE_MAVG(0,,,,60)&lt;/Q&gt;&lt;R&gt;1&lt;/R&gt;&lt;C&gt;1&lt;/C&gt;&lt;D xsi:type="xsd:double"&gt;40.805&lt;/D&gt;&lt;/FQL&gt;&lt;FQL&gt;&lt;Q&gt;QQQ^FG_PRICE_MAVG(0,,,,60)&lt;/Q&gt;&lt;R&gt;1&lt;/R&gt;&lt;C&gt;1&lt;/C&gt;&lt;D xsi:type="xsd:double"&gt;469.36282&lt;/D&gt;&lt;/FQL&gt;&lt;FQL&gt;&lt;Q&gt;EWG^FG_PRICE_MAVG(0,,,,60)&lt;/Q&gt;&lt;R&gt;1&lt;/R&gt;&lt;C&gt;1&lt;/C&gt;&lt;D xsi:type="xsd:double"&gt;31.393833&lt;/D&gt;&lt;/FQL&gt;&lt;FQL&gt;&lt;Q&gt;EWD^FG_COMPANY_NAME&lt;/Q&gt;&lt;R&gt;1&lt;/R&gt;&lt;C&gt;1&lt;/C&gt;&lt;D xsi:type="xsd:string"&gt;iShares MSCI Sweden ETF&lt;/D&gt;&lt;/FQL&gt;&lt;FQL&gt;&lt;Q&gt;URTH^FMA_PCT_ABOVE_MAVG(200,0,,,,"PORTAGG")&lt;/Q&gt;&lt;R&gt;1&lt;/R&gt;&lt;C&gt;1&lt;/C&gt;&lt;D xsi:type="xsd:double"&gt;67.2510518934081&lt;/D&gt;&lt;/FQL&gt;&lt;FQL&gt;&lt;Q&gt;EWJ^FG_TOTAL_RETURNC(0,-1AM)&lt;/Q&gt;&lt;R&gt;1&lt;/R&gt;&lt;C&gt;1&lt;/C&gt;&lt;D xsi:type="xsd:double"&gt;-0.3540337&lt;/D&gt;&lt;/FQL&gt;&lt;FQL&gt;&lt;Q&gt;ENZL^P_PRICE(0)/P_PRICE_LOW_PR(0,,,,,,"PRICE","INTRA","52W")-1&lt;/Q&gt;&lt;R&gt;1&lt;/R&gt;&lt;C&gt;1&lt;/C&gt;&lt;D xsi:type="xsd:double"&gt;0.116984844&lt;/D&gt;&lt;/FQL&gt;&lt;FQL&gt;&lt;Q&gt;EWN^FMA_RBICS_REV_CURRENT(30, LOC, "PORTAGG")&lt;/Q&gt;&lt;R&gt;1&lt;/R&gt;&lt;C&gt;1&lt;/C&gt;&lt;D xsi:type="xsd:double"&gt;23.8715121294945&lt;/D&gt;&lt;/FQL&gt;&lt;FQL&gt;&lt;Q&gt;EWQ^FMA_ROE(NTMA,-20AY,NOW,FY,"PORTAGG","MEANR")&lt;/Q&gt;&lt;R&gt;20&lt;/R&gt;&lt;C&gt;1&lt;/C&gt;&lt;D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xsi:type="xsd:double"&gt;10.9140096452361&lt;/D&gt;&lt;D xsi:type="xsd:double"&gt;8.94223448408444&lt;/D&gt;&lt;D xsi:type="xsd:double"&gt;12.2539555485597&lt;/D&gt;&lt;D xsi:type="xsd:double"&gt;13.1476341706421&lt;/D&gt;&lt;D xsi:type="xsd:double"&gt;13.2212508616692&lt;/D&gt;&lt;/FQL&gt;&lt;FQL&gt;&lt;Q&gt;TRYID10Y-FDS^FG_YIELD(-10AY,0,Y,,"YTM")&lt;/Q&gt;&lt;R&gt;10&lt;/R&gt;&lt;C&gt;1&lt;/C&gt;&lt;D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xsi:type="xsd:double"&gt;5.1912&lt;/D&gt;&lt;/FQL&gt;&lt;FQL&gt;&lt;Q&gt;REFCATARG-FDS^FG_YIELD(NOW,,,0)&lt;/Q&gt;&lt;R&gt;1&lt;/R&gt;&lt;C&gt;1&lt;/C&gt;&lt;D xsi:type="xsd:double"&gt;4.5&lt;/D&gt;&lt;/FQL&gt;&lt;FQL&gt;&lt;Q&gt;CAGDPY@US^EE_ACTUAL_ANNUAL(MED,0)&lt;/Q&gt;&lt;R&gt;1&lt;/R&gt;&lt;C&gt;1&lt;/C&gt;&lt;D xsi:type="xsd:double"&gt;-3.31108668288718&lt;/D&gt;&lt;/FQL&gt;&lt;FQL&gt;&lt;Q&gt;CAGDPY@NZ^EE_ACTUAL_ANNUAL(MED,0)&lt;/Q&gt;&lt;R&gt;1&lt;/R&gt;&lt;C&gt;1&lt;/C&gt;&lt;D xsi:type="xsd:double"&gt;-6.9&lt;/D&gt;&lt;/FQL&gt;&lt;FQL&gt;&lt;Q&gt;USDITL^FG_PRICE(0)&lt;/Q&gt;&lt;R&gt;1&lt;/R&gt;&lt;C&gt;1&lt;/C&gt;&lt;D xsi:type="xsd:double"&gt;1794.0885&lt;/D&gt;&lt;/FQL&gt;&lt;FQL&gt;&lt;Q&gt;USDANG^FG_PRICE(0)&lt;/Q&gt;&lt;R&gt;1&lt;/R&gt;&lt;C&gt;1&lt;/C&gt;&lt;D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xsi:type="xsd:double"&gt;0.78170806&lt;/D&gt;&lt;/FQL&gt;&lt;FQL&gt;&lt;Q&gt;USDJPY^FG_PRICE(0)&lt;/Q&gt;&lt;R&gt;1&lt;/R&gt;&lt;C&gt;1&lt;/C&gt;&lt;D xsi:type="xsd:double"&gt;150.07&lt;/D&gt;&lt;/FQL&gt;&lt;FQL&gt;&lt;Q&gt;USDCAD^FG_PRICE(0)&lt;/Q&gt;&lt;R&gt;1&lt;/R&gt;&lt;C&gt;1&lt;/C&gt;&lt;D xsi:type="xsd:double"&gt;1.3838&lt;/D&gt;&lt;/FQL&gt;&lt;FQL&gt;&lt;Q&gt;USDNZD^FG_PRICE(0)&lt;/Q&gt;&lt;R&gt;1&lt;/R&gt;&lt;C&gt;1&lt;/C&gt;&lt;D xsi:type="xsd:double"&gt;1.6777116&lt;/D&gt;&lt;/FQL&gt;&lt;FQL&gt;&lt;Q&gt;EWI^P_PRICE_RETURNS_PR('52W',2,-10AY,0,AM)&lt;/Q&gt;&lt;R&gt;121&lt;/R&gt;&lt;C&gt;1&lt;/C&gt;&lt;D xsi:type="xsd:double"&gt;24.618626&lt;/D&gt;&lt;D xsi:type="xsd:double"&gt;23.475147&lt;/D&gt;&lt;D xsi:type="xsd:double"&gt;9.106588&lt;/D&gt;&lt;D xsi:type="xsd:double"&gt;-2.9256642&lt;/D&gt;&lt;D xsi:type="xsd:double"&gt;-1.9028187&lt;/D&gt;&lt;D xsi:type="xsd:double"&gt;-10.927879&lt;/D&gt;&lt;D xsi:type="xsd:double"&gt;-10.893327&lt;/D&gt;&lt;D xsi:type="xsd:double"&gt;-7.9752026&lt;/D&gt;&lt;D xsi:type="xsd:double"&gt;-14.779461&lt;/D&gt;&lt;D xsi:type="xsd:double"&gt;-12.173438&lt;/D&gt;&lt;D xsi:type="xsd:double"&gt;-10.484468&lt;/D&gt;&lt;D xsi:type="xsd:double"&gt;-12.244195&lt;/D&gt;&lt;D xsi:type="xsd:double"&gt;-2.9241025&lt;/D&gt;&lt;D xsi:type="xsd:double"&gt;-7.476324&lt;/D&gt;&lt;D xsi:type="xsd:double"&gt;-5.540514&lt;/D&gt;&lt;D xsi:type="xsd:double"&gt;4.228437&lt;/D&gt;&lt;D xsi:type="xsd:double"&gt;0.27846098&lt;/D&gt;&lt;D xsi:type="xsd:double"&gt;3.1199813&lt;/D&gt;&lt;D xsi:type="xsd:double"&gt;-10.438127&lt;/D&gt;&lt;D xsi:type="xsd:double"&gt;-19.881111&lt;/D&gt;&lt;D xsi:type="xsd:double"&gt;-18.017746&lt;/D&gt;&lt;D xsi:type="xsd:double"&gt;-14.819402&lt;/D&gt;&lt;D xsi:type="xsd:double"&gt;-20.45182&lt;/D&gt;&lt;D xsi:type="xsd:double"&gt;-26.031101&lt;/D&gt;&lt;D xsi:type="xsd:double"&gt;-27.094967&lt;/D&gt;&lt;D xsi:type="xsd:double"&gt;-18.659586&lt;/D&gt;&lt;D xsi:type="xsd:double"&gt;-20.612938&lt;/D&gt;&lt;D xsi:type="xsd:double"&gt;-22.194689&lt;/D&gt;&lt;D xsi:type="xsd:double"&gt;-21.378094&lt;/D&gt;&lt;D xsi:type="xsd:double"&gt;-9.994489&lt;/D&gt;&lt;D xsi:type="xsd:double"&gt;2.374518&lt;/D&gt;&lt;D xsi:type="xsd:double"&gt;6.775272&lt;/D&gt;&lt;D xsi:type="xsd:double"&gt;9.498585&lt;/D&gt;&lt;D xsi:type="xsd:double"&gt;8.494007&lt;/D&gt;&lt;D xsi:type="xsd:double"&gt;21.327019&lt;/D&gt;&lt;D xsi:type="xsd:double"&gt;31.645918&lt;/D&gt;&lt;D xsi:type="xsd:double"&gt;40.37863&lt;/D&gt;&lt;D xsi:type="xsd:double"&gt;37.509872&lt;/D&gt;&lt;D xsi:type="xsd:double"&gt;49.05367&lt;/D&gt;&lt;D xsi:type="xsd:double"&gt;43.19185&lt;/D&gt;&lt;D xsi:type="xsd:double"&gt;44.274857&lt;/D&gt;&lt;D xsi:type="xsd:double"&gt;29.315483&lt;/D&gt;&lt;D xsi:type="xsd:double"&gt;47.424664&lt;/D&gt;&lt;D xsi:type="xsd:double"&gt;34.591843&lt;/D&gt;&lt;D xsi:type="xsd:double"&gt;27.778578&lt;/D&gt;&lt;D xsi:type="xsd:double"&gt;28.776836&lt;/D&gt;&lt;D xsi:type="xsd:double"&gt;10.067725&lt;/D&gt;&lt;D xsi:type="xsd:double"&gt;7.422316&lt;/D&gt;&lt;D xsi:type="xsd:double"&gt;1.1906147&lt;/D&gt;&lt;D xsi:type="xsd:double"&gt;-7.517028&lt;/D&gt;&lt;D xsi:type="xsd:double"&gt;-9.387016&lt;/D&gt;&lt;D xsi:type="xsd:double"&gt;-15.192634&lt;/D&gt;&lt;D xsi:type="xsd:double"&gt;-15.364474&lt;/D&gt;&lt;D xsi:type="xsd:double"&gt;-17.193031&lt;/D&gt;&lt;D xsi:type="xsd:double"&gt;-20.900005&lt;/D&gt;&lt;D xsi:type="xsd:double"&gt;-9.957438&lt;/D&gt;&lt;D xsi:type="xsd:double"&gt;-9.129393&lt;/D&gt;&lt;D xsi:type="xsd:double"&gt;-12.582577&lt;/D&gt;&lt;D xsi:type="xsd:double"&gt;-10.836429&lt;/D&gt;&lt;D xsi:type="xsd:double"&gt;-0.71176887&lt;/D&gt;&lt;D xsi:type="xsd:double"&gt;-3.5432696&lt;/D&gt;&lt;D xsi:type="xsd:double"&gt;2.5537372&lt;/D&gt;&lt;D xsi:type="xsd:double"&gt;4.0397525&lt;/D&gt;&lt;D xsi:type="xsd:double"&gt;19.90292&lt;/D&gt;&lt;D xsi:type="xsd:double"&gt;18.874609&lt;/D&gt;&lt;D xsi:type="xsd:double"&gt;26.968658&lt;/D&gt;&lt;D xsi:type="xsd:double"&gt;14.592541&lt;/D&gt;&lt;D xsi:type="xsd:double"&gt;4.545784&lt;/D&gt;&lt;D xsi:type="xsd:double"&gt;-26.213062&lt;/D&gt;&lt;D xsi:type="xsd:double"&gt;-23.056608&lt;/D&gt;&lt;D xsi:type="xsd:double"&gt;-7.4087024&lt;/D&gt;&lt;D xsi:type="xsd:double"&gt;-10.5554285&lt;/D&gt;&lt;D xsi:type="xsd:double"&gt;-6.908238&lt;/D&gt;&lt;D xsi:type="xsd:double"&gt;-2.9388666&lt;/D&gt;&lt;D xsi:type="xsd:double"&gt;-8.689981&lt;/D&gt;&lt;D xsi:type="xsd:double"&gt;-19.32878&lt;/D&gt;&lt;D xsi:type="xsd:double"&gt;2.3836613&lt;/D&gt;&lt;D xsi:type="xsd:double"&gt;1.6735792&lt;/D&gt;&lt;D xsi:type="xsd:double"&gt;1.6683698&lt;/D&gt;&lt;D xsi:type="xsd:double"&gt;13.998758&lt;/D&gt;&lt;D xsi:type="xsd:double"&gt;63.152813&lt;/D&gt;&lt;D xsi:type="xsd:double"&gt;52.26722&lt;/D&gt;&lt;D xsi:type="xsd:double"&gt;49.70508&lt;/D&gt;&lt;D xsi:type="xsd:double"&gt;38.067318&lt;/D&gt;&lt;D xsi:type="xsd:double"&gt;31.162035&lt;/D&gt;&lt;D xsi:type="xsd:double"&gt;31.992031&lt;/D&gt;&lt;D xsi:type="xsd:double"&gt;32.934402&lt;/D&gt;&lt;D xsi:type="xsd:double"&gt;52.165733&lt;/D&gt;&lt;D xsi:type="xsd:double"&gt;9.884083&lt;/D&gt;&lt;D xsi:type="xsd:double"&gt;14.412093&lt;/D&gt;&lt;D xsi:type="xsd:double"&gt;17.459106&lt;/D&gt;&lt;D xsi:type="xsd:double"&gt;-2.2232473&lt;/D&gt;&lt;D xsi:type="xsd:double"&gt;-3.3081055&lt;/D&gt;&lt;D xsi:type="xsd:double"&gt;-12.383991&lt;/D&gt;&lt;D xsi:type="xsd:double"&gt;-14.161605&lt;/D&gt;&lt;D xsi:type="xsd:double"&gt;-22.247553&lt;/D&gt;&lt;D xsi:type="xsd:double"&gt;-20.72044&lt;/D&gt;&lt;D xsi:type="xsd:double"&gt;-27.768665&lt;/D&gt;&lt;D xsi:type="xsd:double"&gt;-28.987461&lt;/D&gt;&lt;D xsi:type="xsd:double"&gt;-25.339449&lt;/D&gt;&lt;D xsi:type="xsd:double"&gt;-6.51781&lt;/D&gt;&lt;D xsi:type="xsd:double"&gt;-13.940644&lt;/D&gt;&lt;D xsi:type="xsd:double"&gt;-2.4487138&lt;/D&gt;&lt;D xsi:type="xsd:double"&gt;8.619547&lt;/D&gt;&lt;D xsi:type="xsd:double"&gt;7.807827&lt;/D&gt;&lt;D xsi:type="xsd:double"&gt;20.905268&lt;/D&gt;&lt;D xsi:type="xsd:double"&gt;12.229311&lt;/D&gt;&lt;D xsi:type="xsd:double"&gt;37.46426&lt;/D&gt;&lt;D xsi:type="xsd:double"&gt;39.61575&lt;/D&gt;&lt;D xsi:type="xsd:double"&gt;44.340862&lt;/D&gt;&lt;D xsi:type="xsd:double"&gt;47.208332&lt;/D&gt;&lt;D xsi:type="xsd:double"&gt;29.168737&lt;/D&gt;&lt;D xsi:type="xsd:double"&gt;23.165834&lt;/D&gt;&lt;D xsi:type="xsd:double"&gt;28.84742&lt;/D&gt;&lt;D xsi:type="xsd:double"&gt;14.8184185&lt;/D&gt;&lt;D xsi:type="xsd:double"&gt;23.607481&lt;/D&gt;&lt;D xsi:type="xsd:double"&gt;28.361738&lt;/D&gt;&lt;D xsi:type="xsd:double"&gt;19.52095&lt;/D&gt;&lt;D xsi:type="xsd:double"&gt;35.730064&lt;/D&gt;&lt;D xsi:type="xsd:double"&gt;18.8637&lt;/D&gt;&lt;D xsi:type="xsd:double"&gt;13.086033&lt;/D&gt;&lt;/FQL&gt;&lt;FQL&gt;&lt;Q&gt;EWN^FG_TOTAL_RETURNC(-10AY,0,AM)&lt;/Q&gt;&lt;R&gt;121&lt;/R&gt;&lt;C&gt;1&lt;/C&gt;&lt;D xsi:type="xsd:double"&gt;-6.7210555&lt;/D&gt;&lt;D xsi:type="xsd:double"&gt;2.4573088&lt;/D&gt;&lt;D xsi:type="xsd:double"&gt;-3.089434&lt;/D&gt;&lt;D xsi:type="xsd:double"&gt;-0.33515692&lt;/D&gt;&lt;D xsi:type="xsd:double"&gt;4.9238086&lt;/D&gt;&lt;D xsi:type="xsd:double"&gt;-3.7835062&lt;/D&gt;&lt;D xsi:type="xsd:double"&gt;0.35556555&lt;/D&gt;&lt;D xsi:type="xsd:double"&gt;6.66945&lt;/D&gt;&lt;D xsi:type="xsd:double"&gt;-0.66432357&lt;/D&gt;&lt;D xsi:type="xsd:double"&gt;3.7765503&lt;/D&gt;&lt;D xsi:type="xsd:double"&gt;0&lt;/D&gt;&lt;D xsi:type="xsd:double"&gt;-0.39457083&lt;/D&gt;&lt;D xsi:type="xsd:double"&gt;2.0408154&lt;/D&gt;&lt;D xsi:type="xsd:double"&gt;-10.037738&lt;/D&gt;&lt;D xsi:type="xsd:double"&gt;-2.390939&lt;/D&gt;&lt;D xsi:type="xsd:double"&gt;7.4344635&lt;/D&gt;&lt;D xsi:type="xsd:double"&gt;-0.83999634&lt;/D&gt;&lt;D xsi:type="xsd:double"&gt;-3.24077&lt;/D&gt;&lt;D xsi:type="xsd:double"&gt;-1.84564&lt;/D&gt;&lt;D xsi:type="xsd:double"&gt;0.5982995&lt;/D&gt;&lt;D xsi:type="xsd:double"&gt;4.0356755&lt;/D&gt;&lt;D xsi:type="xsd:double"&gt;0.9391546&lt;/D&gt;&lt;D xsi:type="xsd:double"&gt;1.2945056&lt;/D&gt;&lt;D xsi:type="xsd:double"&gt;-6.3732266&lt;/D&gt;&lt;D xsi:type="xsd:double"&gt;3.2886147&lt;/D&gt;&lt;D xsi:type="xsd:double"&gt;4.77587&lt;/D&gt;&lt;D xsi:type="xsd:double"&gt;0.19991398&lt;/D&gt;&lt;D xsi:type="xsd:double"&gt;-2.7932942&lt;/D&gt;&lt;D xsi:type="xsd:double"&gt;-4.392445&lt;/D&gt;&lt;D xsi:type="xsd:double"&gt;5.028701&lt;/D&gt;&lt;D xsi:type="xsd:double"&gt;2.5672913&lt;/D&gt;&lt;D xsi:type="xsd:double"&gt;4.037142&lt;/D&gt;&lt;D xsi:type="xsd:double"&gt;4.0356994&lt;/D&gt;&lt;D xsi:type="xsd:double"&gt;5.3711295&lt;/D&gt;&lt;D xsi:type="xsd:double"&gt;5.0973415&lt;/D&gt;&lt;D xsi:type="xsd:double"&gt;-1.3651788&lt;/D&gt;&lt;D xsi:type="xsd:double"&gt;6.5675735&lt;/D&gt;&lt;D xsi:type="xsd:double"&gt;-0.4865408&lt;/D&gt;&lt;D xsi:type="xsd:double"&gt;2.31421&lt;/D&gt;&lt;D xsi:type="xsd:double"&gt;0.89200735&lt;/D&gt;&lt;D xsi:type="xsd:double"&gt;-0.97884536&lt;/D&gt;&lt;D xsi:type="xsd:double"&gt;1.75246&lt;/D&gt;&lt;D xsi:type="xsd:double"&gt;6.2716722&lt;/D&gt;&lt;D xsi:type="xsd:double"&gt;-6.583631&lt;/D&gt;&lt;D xsi:type="xsd:double"&gt;1.4920592&lt;/D&gt;&lt;D xsi:type="xsd:double"&gt;-0.031280518&lt;/D&gt;&lt;D xsi:type="xsd:double"&gt;-0.9699583&lt;/D&gt;&lt;D xsi:type="xsd:double"&gt;-2.0341575&lt;/D&gt;&lt;D xsi:type="xsd:double"&gt;3.7692547&lt;/D&gt;&lt;D xsi:type="xsd:double"&gt;-1.9583046&lt;/D&gt;&lt;D xsi:type="xsd:double"&gt;-2</t>
        </r>
      </text>
    </comment>
    <comment ref="A4" authorId="0" shapeId="0" xr:uid="{FDDADFEA-FD63-4161-9DE3-75749BC20073}">
      <text>
        <r>
          <rPr>
            <b/>
            <sz val="9"/>
            <color indexed="81"/>
            <rFont val="Tahoma"/>
            <charset val="1"/>
          </rPr>
          <t>.5451064&lt;/D&gt;&lt;D xsi:type="xsd:double"&gt;-5.5537224&lt;/D&gt;&lt;D xsi:type="xsd:double"&gt;-0.4900217&lt;/D&gt;&lt;D xsi:type="xsd:double"&gt;-7.046586&lt;/D&gt;&lt;D xsi:type="xsd:double"&gt;8.136892&lt;/D&gt;&lt;D xsi:type="xsd:double"&gt;4.781997&lt;/D&gt;&lt;D xsi:type="xsd:double"&gt;1.5771866&lt;/D&gt;&lt;D xsi:type="xsd:double"&gt;4.0964603&lt;/D&gt;&lt;D xsi:type="xsd:double"&gt;-5.902892&lt;/D&gt;&lt;D xsi:type="xsd:double"&gt;7.402575&lt;/D&gt;&lt;D xsi:type="xsd:double"&gt;-0.90090036&lt;/D&gt;&lt;D xsi:type="xsd:double"&gt;-0.6493449&lt;/D&gt;&lt;D xsi:type="xsd:double"&gt;1.7973781&lt;/D&gt;&lt;D xsi:type="xsd:double"&gt;3.7881255&lt;/D&gt;&lt;D xsi:type="xsd:double"&gt;0.8351326&lt;/D&gt;&lt;D xsi:type="xsd:double"&gt;4.291749&lt;/D&gt;&lt;D xsi:type="xsd:double"&gt;-3.4554124&lt;/D&gt;&lt;D xsi:type="xsd:double"&gt;-6.8828344&lt;/D&gt;&lt;D xsi:type="xsd:double"&gt;-18.33114&lt;/D&gt;&lt;D xsi:type="xsd:double"&gt;11.826218&lt;/D&gt;&lt;D xsi:type="xsd:double"&gt;11.870503&lt;/D&gt;&lt;D xsi:type="xsd:double"&gt;6.6172004&lt;/D&gt;&lt;D xsi:type="xsd:double"&gt;3.0339837&lt;/D&gt;&lt;D xsi:type="xsd:double"&gt;5.035329&lt;/D&gt;&lt;D xsi:type="xsd:double"&gt;-0.7008672&lt;/D&gt;&lt;D xsi:type="xsd:double"&gt;-4.1219654&lt;/D&gt;&lt;D xsi:type="xsd:double"&gt;17.638409&lt;/D&gt;&lt;D xsi:type="xsd:double"&gt;3.8176656&lt;/D&gt;&lt;D xsi:type="xsd:double"&gt;4.644406&lt;/D&gt;&lt;D xsi:type="xsd:double"&gt;3.6523342&lt;/D&gt;&lt;D xsi:type="xsd:double"&gt;5.642283&lt;/D&gt;&lt;D xsi:type="xsd:double"&gt;1.4777303&lt;/D&gt;&lt;D xsi:type="xsd:double"&gt;3.8901567&lt;/D&gt;&lt;D xsi:type="xsd:double"&gt;-2.623278&lt;/D&gt;&lt;D xsi:type="xsd:double"&gt;3.4154415&lt;/D&gt;&lt;D xsi:type="xsd:double"&gt;6.665337&lt;/D&gt;&lt;D xsi:type="xsd:double"&gt;-7.2996798&lt;/D&gt;&lt;D xsi:type="xsd:double"&gt;5.9311748&lt;/D&gt;&lt;D xsi:type="xsd:double"&gt;-6.745654&lt;/D&gt;&lt;D xsi:type="xsd:double"&gt;3.292954&lt;/D&gt;&lt;D xsi:type="xsd:double"&gt;-6.770211&lt;/D&gt;&lt;D xsi:type="xsd:double"&gt;-11.8539095&lt;/D&gt;&lt;D xsi:type="xsd:double"&gt;3.561914&lt;/D&gt;&lt;D xsi:type="xsd:double"&gt;-10.084236&lt;/D&gt;&lt;D xsi:type="xsd:double"&gt;0.70257187&lt;/D&gt;&lt;D xsi:type="xsd:double"&gt;-9.057373&lt;/D&gt;&lt;D xsi:type="xsd:double"&gt;9.067345&lt;/D&gt;&lt;D xsi:type="xsd:double"&gt;-11.770916&lt;/D&gt;&lt;D xsi:type="xsd:double"&gt;-8.555192&lt;/D&gt;&lt;D xsi:type="xsd:double"&gt;7.8508377&lt;/D&gt;&lt;D xsi:type="xsd:double"&gt;19.593561&lt;/D&gt;&lt;D xsi:type="xsd:double"&gt;-4.96763&lt;/D&gt;&lt;D xsi:type="xsd:double"&gt;15.950584&lt;/D&gt;&lt;D xsi:type="xsd:double"&gt;-4.955995&lt;/D&gt;&lt;D xsi:type="xsd:double"&gt;2.8265119&lt;/D&gt;&lt;D xsi:type="xsd:double"&gt;0.142169&lt;/D&gt;&lt;D xsi:type="xsd:double"&gt;0.26029348&lt;/D&gt;&lt;D xsi:type="xsd:double"&gt;3.2921672&lt;/D&gt;&lt;D xsi:type="xsd:double"&gt;2.6571155&lt;/D&gt;&lt;D xsi:type="xsd:double"&gt;-7.4724255&lt;/D&gt;&lt;D xsi:type="xsd:double"&gt;-7.51642&lt;/D&gt;&lt;D xsi:type="xsd:double"&gt;-0.8679688&lt;/D&gt;&lt;D xsi:type="xsd:double"&gt;12.655878&lt;/D&gt;&lt;D xsi:type="xsd:double"&gt;5.903721&lt;/D&gt;&lt;D xsi:type="xsd:double"&gt;3.2713413&lt;/D&gt;&lt;D xsi:type="xsd:double"&gt;4.8600554&lt;/D&gt;&lt;D xsi:type="xsd:double"&gt;3.1657338&lt;/D&gt;&lt;D xsi:type="xsd:double"&gt;-4.532695&lt;/D&gt;&lt;D xsi:type="xsd:double"&gt;7.542014&lt;/D&gt;&lt;D xsi:type="xsd:double"&gt;-0.33378005&lt;/D&gt;&lt;D xsi:type="xsd:double"&gt;-5.1337957&lt;/D&gt;&lt;/FQL&gt;&lt;FQL&gt;&lt;Q&gt;SPY^FMA_DIV_YLD(NTMA,-10AY,0,AM,"PORTAGG","MEANR")&lt;/Q&gt;&lt;R&gt;121&lt;/R&gt;&lt;C&gt;1&lt;/C&gt;&lt;D xsi:type="xsd:double"&gt;2.15628005760197&lt;/D&gt;&lt;D xsi:type="xsd:double"&gt;2.08613123405872&lt;/D&gt;&lt;D xsi:type="xsd:double"&gt;2.16188582645566&lt;/D&gt;&lt;D xsi:type="xsd:double"&gt;2.10653241131414&lt;/D&gt;&lt;D xsi:type="xsd:double"&gt;2.08959495379335&lt;/D&gt;&lt;D xsi:type="xsd:double"&gt;2.10026093509841&lt;/D&gt;&lt;D xsi:type="xsd:double"&gt;2.19446282471469&lt;/D&gt;&lt;D xsi:type="xsd:double"&gt;2.09873762013911&lt;/D&gt;&lt;D xsi:type="xsd:double"&gt;2.1878526045973&lt;/D&gt;&lt;D xsi:type="xsd:double"&gt;2.14931031730696&lt;/D&gt;&lt;D xsi:type="xsd:double"&gt;2.15677717920106&lt;/D&gt;&lt;D xsi:type="xsd:double"&gt;2.19209717598785&lt;/D&gt;&lt;D xsi:type="xsd:double"&gt;2.18739124047345&lt;/D&gt;&lt;D xsi:type="xsd:double"&gt;2.42188987216059&lt;/D&gt;&lt;D xsi:type="xsd:double"&gt;2.41581242543373&lt;/D&gt;&lt;D xsi:type="xsd:double"&gt;2.24984846935225&lt;/D&gt;&lt;D xsi:type="xsd:double"&gt;2.25204416422421&lt;/D&gt;&lt;D xsi:type="xsd:double"&gt;2.31468341119618&lt;/D&gt;&lt;D xsi:type="xsd:double"&gt;2.45182025901469&lt;/D&gt;&lt;D xsi:type="xsd:double"&gt;2.47519773454617&lt;/D&gt;&lt;D xsi:type="xsd:double"&gt;2.29179874134034&lt;/D&gt;&lt;D xsi:type="xsd:double"&gt;2.29270141173246&lt;/D&gt;&lt;D xsi:type="xsd:double"&gt;2.27059680255112&lt;/D&gt;&lt;D xsi:type="xsd:double"&gt;2.27675912156177&lt;/D&gt;&lt;D xsi:type="xsd:double"&gt;2.21623470861266&lt;/D&gt;&lt;D xsi:type="xsd:double"&gt;2.22219995666243&lt;/D&gt;&lt;D xsi:type="xsd:double"&gt;2.22038243921728&lt;/D&gt;&lt;D xsi:type="xsd:double"&gt;2.28659737476288&lt;/D&gt;&lt;D xsi:type="xsd:double"&gt;2.22670033700093&lt;/D&gt;&lt;D xsi:type="xsd:double"&gt;2.18859151652776&lt;/D&gt;&lt;D xsi:type="xsd:double"&gt;2.16884398874564&lt;/D&gt;&lt;D xsi:type="xsd:double"&gt;2.07713428888103&lt;/D&gt;&lt;D xsi:type="xsd:double"&gt;2.11464581814407&lt;/D&gt;&lt;D xsi:type="xsd:double"&gt;2.10637308740207&lt;/D&gt;&lt;D xsi:type="xsd:double"&gt;2.08362745686599&lt;/D&gt;&lt;D xsi:type="xsd:double"&gt;2.10344270989808&lt;/D&gt;&lt;D xsi:type="xsd:double"&gt;2.08084702665008&lt;/D&gt;&lt;D xsi:type="xsd:double"&gt;2.09267262525336&lt;/D&gt;&lt;D xsi:type="xsd:double"&gt;2.06074268842083&lt;/D&gt;&lt;D xsi:type="xsd:double"&gt;2.03088273304402&lt;/D&gt;&lt;D xsi:type="xsd:double"&gt;1.97452527147198&lt;/D&gt;&lt;D xsi:type="xsd:double"&gt;1.9630925267995&lt;/D&gt;&lt;D xsi:type="xsd:double"&gt;1.88572759286791&lt;/D&gt;&lt;D xsi:type="xsd:double"&gt;2.01508823212481&lt;/D&gt;&lt;D xsi:type="xsd:double"&gt;2.05715340307065&lt;/D&gt;&lt;D xsi:type="xsd:double"&gt;2.06939332844909&lt;/D&gt;&lt;D xsi:type="xsd:double"&gt;2.02241372702905&lt;/D&gt;&lt;D xsi:type="xsd:double"&gt;2.05172486254481&lt;/D&gt;&lt;D xsi:type="xsd:double"&gt;2.00596167401643&lt;/D&gt;&lt;D xsi:type="xsd:double"&gt;1.95551789133049&lt;/D&gt;&lt;D xsi:type="xsd:double"&gt;1.94999611173807&lt;/D&gt;&lt;D xsi:type="xsd:double"&gt;2.08719079991437&lt;/D&gt;&lt;D xsi:type="xsd:double"&gt;2.08669050371727&lt;/D&gt;&lt;D xsi:type="xsd:double"&gt;2.31975633088368&lt;/D&gt;&lt;D xsi:type="xsd:double"&gt;2.16110422856803&lt;/D&gt;&lt;D xsi:type="xsd:double"&gt;2.09436131892643&lt;/D&gt;&lt;D xsi:type="xsd:double"&gt;2.06392066103928&lt;/D&gt;&lt;D xsi:type="xsd:double"&gt;2.03987285938323&lt;/D&gt;&lt;D xsi:type="xsd:double"&gt;2.17784237831635&lt;/D&gt;&lt;D xsi:type="xsd:double"&gt;2.03273637635693&lt;/D&gt;&lt;D xsi:type="xsd:double"&gt;2.05099327078774&lt;/D&gt;&lt;D xsi:type="xsd:double"&gt;2.08063231098013&lt;/D&gt;&lt;D xsi:type="xsd:double"&gt;2.07766899648502&lt;/D&gt;&lt;D xsi:type="xsd:double"&gt;2.01070300210127&lt;/D&gt;&lt;D xsi:type="xsd:double"&gt;1.9756997976927&lt;/D&gt;&lt;D xsi:type="xsd:double"&gt;1.93350465864541&lt;/D&gt;&lt;D xsi:type="xsd:double"&gt;1.95202992819936&lt;/D&gt;&lt;D xsi:type="xsd:double"&gt;2.14572950135165&lt;/D&gt;&lt;D xsi:type="xsd:double"&gt;2.54535132210334&lt;/D&gt;&lt;D xsi:type="xsd:double"&gt;2.15226425163336&lt;/D&gt;&lt;D xsi:type="xsd:double"&gt;1.97623101139763&lt;/D&gt;&lt;D xsi:type="xsd:double"&gt;1.92263085417017&lt;/D&gt;&lt;D xsi:type="xsd:double"&gt;1.81788451575305&lt;/D&gt;&lt;D xsi:type="xsd:double"&gt;1.69114757371265&lt;/D&gt;&lt;D xsi:type="xsd:double"&gt;1.76432318431514&lt;/D&gt;&lt;D xsi:type="xsd:double"&gt;1.83288236033121&lt;/D&gt;&lt;D xsi:type="xsd:double"&gt;1.63921613435376&lt;/D&gt;&lt;D xsi:type="xsd:double"&gt;1.57770774699103&lt;/D&gt;&lt;D xsi:type="xsd:double"&gt;1.58089351500024&lt;/D&gt;&lt;D xsi:type="xsd:double"&gt;1.5434985970656&lt;/D&gt;&lt;D xsi:type="xsd:double"&gt;1.50646577110353&lt;/D&gt;&lt;D xsi:type="xsd:double"&gt;1.46012557359886&lt;/D&gt;&lt;D xsi:type="xsd:double"&gt;1.46175438164717&lt;/D&gt;&lt;D xsi:type="xsd:double"&gt;1.43586397027977&lt;/D&gt;&lt;D xsi:type="xsd:double"&gt;1.42856785043602&lt;/D&gt;&lt;D xsi:type="xsd:double"&gt;1.40038350849804&lt;/D&gt;&lt;D xsi:type="xsd:double"&gt;1.45917065808585&lt;/D&gt;&lt;D xsi:type="xsd:double"&gt;1.39309933965978&lt;/D&gt;&lt;D xsi:type="xsd:double"&gt;1.42751868100385&lt;/D&gt;&lt;D xsi:type="xsd:double"&gt;1.35459202425572&lt;/D&gt;&lt;D xsi:type="xsd:double"&gt;1.44083421740155&lt;/D&gt;&lt;D xsi:type="xsd:double"&gt;1.53502057492166&lt;/D&gt;&lt;D xsi:type="xsd:double"&gt;1.45055024921827&lt;/D&gt;&lt;D xsi:type="xsd:double"&gt;1.59898244956486&lt;/D&gt;&lt;D xsi:type="xsd:double"&gt;1.61880500376248&lt;/D&gt;&lt;D xsi:type="xsd:double"&gt;1.75495806594426&lt;/D&gt;&lt;D xsi:type="xsd:double"&gt;1.63772867776388&lt;/D&gt;&lt;D xsi:type="xsd:double"&gt;1.72155252244327&lt;/D&gt;&lt;D xsi:type="xsd:double"&gt;1.91168557113335&lt;/D&gt;&lt;D xsi:type="xsd:double"&gt;1.79177717561801&lt;/D&gt;&lt;D xsi:type="xsd:double"&gt;1.69958871965088&lt;/D&gt;&lt;D xsi:type="xsd:double"&gt;1.80889407766127&lt;/D&gt;&lt;D xsi:type="xsd:double"&gt;1.698409950977&lt;/D&gt;&lt;D xsi:type="xsd:double"&gt;1.77715530397651&lt;/D&gt;&lt;D xsi:type="xsd:double"&gt;1.71388883366173&lt;/D&gt;&lt;D xsi:type="xsd:double"&gt;1.69355549075922&lt;/D&gt;&lt;D xsi:type="xsd:double"&gt;1.67982567010948&lt;/D&gt;&lt;D xsi:type="xsd:double"&gt;1.5965043520533&lt;/D&gt;&lt;D xsi:type="xsd:double"&gt;1.56069252960824&lt;/D&gt;&lt;D xsi:type="xsd:double"&gt;1.59260645217257&lt;/D&gt;&lt;D xsi:type="xsd:double"&gt;1.68913045967076&lt;/D&gt;&lt;D xsi:type="xsd:double"&gt;1.71527502058237&lt;/D&gt;&lt;D xsi:type="xsd:double"&gt;1.58707803971037&lt;/D&gt;&lt;D xsi:type="xsd:double"&gt;1.54364922666662&lt;/D&gt;&lt;D xsi:type="xsd:double"&gt;1.5087684941391&lt;/D&gt;&lt;D xsi:type="xsd:double"&gt;1.46158072238345&lt;/D&gt;&lt;D xsi:type="xsd:double"&gt;1.42979286354142&lt;/D&gt;&lt;D xsi:type="xsd:double"&gt;1.5191698952897&lt;/D&gt;&lt;D xsi:type="xsd:double"&gt;1.4540869303298&lt;/D&gt;&lt;D xsi:type="xsd:double"&gt;1.40464604650952&lt;/D&gt;&lt;D xsi:type="xsd:double"&gt;1.42373350476822&lt;/D&gt;&lt;/FQL&gt;&lt;FQL&gt;&lt;Q&gt;EWU^FMA_PE(NTMA,-10AY,0,AM,"PORTAGG","MEANR")&lt;/Q&gt;&lt;R&gt;121&lt;/R&gt;&lt;C&gt;1&lt;/C&gt;&lt;D xsi:type="xsd:double"&gt;13.4185458223909&lt;/D&gt;&lt;D xsi:type="xsd:double"&gt;13.5557307291156&lt;/D&gt;&lt;D xsi:type="xsd:double"&gt;12.9366238199687&lt;/D&gt;&lt;D xsi:type="xsd:double"&gt;13.1604728966266&lt;/D&gt;&lt;D xsi:type="xsd:double"&gt;13.5465448432575&lt;/D&gt;&lt;D xsi:type="xsd:double"&gt;13.8378427236722&lt;/D&gt;&lt;D xsi:type="xsd:double"&gt;14.9714517027184&lt;/D&gt;&lt;D xsi:type="xsd:double"&gt;15.7673388929755&lt;/D&gt;&lt;D xsi:type="xsd:double"&gt;15.4346819424511&lt;/D&gt;&lt;D xsi:type="xsd:double"&gt;16.0124486951167&lt;/D&gt;&lt;D xsi:type="xsd:double"&gt;15.8809365720218&lt;/D&gt;&lt;D xsi:type="xsd:double"&gt;15.0993559238907&lt;/D&gt;&lt;D xsi:type="xsd:double"&gt;15.4029204684913&lt;/D&gt;&lt;D xsi:type="xsd:double"&gt;13.9357591793298&lt;/D&gt;&lt;D xsi:type="xsd:double"&gt;14.3057843481967&lt;/D&gt;&lt;D xsi:type="xsd:double"&gt;15.3196187474176&lt;/D&gt;&lt;D xsi:type="xsd:double"&gt;15.4646554821626&lt;/D&gt;&lt;D xsi:type="xsd:double"&gt;15.2053139260079&lt;/D&gt;&lt;D xsi:type="xsd:double"&gt;15.5544016993567&lt;/D&gt;&lt;D xsi:type="xsd:double"&gt;15.7446437733692&lt;/D&gt;&lt;D xsi:type="xsd:double"&gt;16.0054167293524&lt;/D&gt;&lt;D xsi:type="xsd:double"&gt;16.2175590994556&lt;/D&gt;&lt;D xsi:type="xsd:double"&gt;15.7157428696411&lt;/D&gt;&lt;D xsi:type="xsd:double"&gt;16.1076551566143&lt;/D&gt;&lt;D xsi:type="xsd:double"&gt;16.0860659278294&lt;/D&gt;&lt;D xsi:type="xsd:double"&gt;15.9147907814023&lt;/D&gt;&lt;D xsi:type="xsd:double"&gt;15.7154072811657&lt;/D&gt;&lt;D xsi:type="xsd:double"&gt;14.7788703294178&lt;/D&gt;&lt;D xsi:type="xsd:double"&gt;14.2134073959396&lt;/D&gt;&lt;D xsi:type="xsd:double"&gt;14.4510565442094&lt;/D&gt;&lt;D xsi:type="xsd:double"&gt;14.1986572317341&lt;/D&gt;&lt;D xsi:type="xsd:double"&gt;14.530666166557&lt;/D&gt;&lt;D xsi:type="xsd:double"&gt;14.4190694742358&lt;/D&gt;&lt;D xsi:type="xsd:double"&gt;14.2962691851796&lt;/D&gt;&lt;D xsi:type="xsd:double"&gt;14.8391146251839&lt;/D&gt;&lt;D xsi:type="xsd:double"&gt;14.3989278646626&lt;/D&gt;&lt;D xsi:type="xsd:double"&gt;14.823684521413&lt;/D&gt;&lt;D xsi:type="xsd:double"&gt;14.6286836464253&lt;/D&gt;&lt;D xsi:type="xsd:double"&gt;14.5413076611886&lt;/D&gt;&lt;D xsi:type="xsd:double"&gt;14.514127930963&lt;/D&gt;&lt;D xsi:type="xsd:double"&gt;14.1193684645936&lt;/D&gt;&lt;D xsi:type="xsd:double"&gt;14.7771218833858&lt;/D&gt;&lt;D xsi:type="xsd:double"&gt;14.2803461483686&lt;/D&gt;&lt;D xsi:type="xsd:double"&gt;12.9873772597431&lt;/D&gt;&lt;D xsi:type="xsd:double"&gt;13.2236066575751&lt;/D&gt;&lt;D xsi:type="xsd:double"&gt;13.7294290262159&lt;/D&gt;&lt;D xsi:type="xsd:double"&gt;13.6334728503001&lt;/D&gt;&lt;D xsi:type="xsd:double"&gt;13.2933875981989&lt;/D&gt;&lt;D xsi:type="xsd:double"&gt;13.1972080444052&lt;/D&gt;&lt;D xsi:type="xsd:double"&gt;12.6358290761544&lt;/D&gt;&lt;D xsi:type="xsd:double"&gt;12.7416314651251&lt;/D&gt;&lt;D xsi:type="xsd:double"&gt;11.9027382592367&lt;/D&gt;&lt;D xsi:type="xsd:double"&gt;11.7049560237895&lt;/D&gt;&lt;D xsi:type="xsd:double"&gt;11.3877881290485&lt;/D&gt;&lt;D xsi:type="xsd:double"&gt;12.2478018688638&lt;/D&gt;&lt;D xsi:type="xsd:double"&gt;12.4162939089334&lt;/D&gt;&lt;D xsi:type="xsd:double"&gt;12.6593475321357&lt;/D&gt;&lt;D xsi:type="xsd:double"&gt;12.6587112655824&lt;/D&gt;&lt;D xsi:type="xsd:double"&gt;12.1321932869227&lt;/D&gt;&lt;D xsi:type="xsd:double"&gt;12.6754220040096&lt;/D&gt;&lt;D xsi:type="xsd:double"&gt;12.613662067451&lt;/D&gt;&lt;D xsi:type="xsd:double"&gt;11.9957798242495&lt;/D&gt;&lt;D xsi:type="xsd:double"&gt;12.3336538794428&lt;/D&gt;&lt;D xsi:type="xsd:double"&gt;12.7211427763892&lt;/D&gt;&lt;D xsi:type="xsd:double"&gt;12.9936396162924&lt;/D&gt;&lt;D xsi:type="xsd:double"&gt;13.4526193372134&lt;/D&gt;&lt;D xsi:type="xsd:double"&gt;13.0749874882299&lt;/D&gt;&lt;D xsi:type="xsd:double"&gt;11.8680728997362&lt;/D&gt;&lt;D xsi:type="xsd:double"&gt;11.7718795172782&lt;/D&gt;&lt;D xsi:type="xsd:double"&gt;14.5850549870154&lt;/D&gt;&lt;D xsi:type="xsd:double"&gt;16.0330718619773&lt;/D&gt;&lt;D xsi:type="xsd:double"&gt;15.7930754997527&lt;/D&gt;&lt;D xsi:type="xsd:double"&gt;15.1112646118482&lt;/D&gt;&lt;D xsi:type="xsd:double"&gt;15.1021257403282&lt;/D&gt;&lt;D xsi:type="xsd:double"&gt;14.3282018412519&lt;/D&gt;&lt;D xsi:type="xsd:double"&gt;12.9862569710296&lt;/D&gt;&lt;D xsi:type="xsd:double"&gt;14.7948720782277&lt;/D&gt;&lt;D xsi:type="xsd:double"&gt;14.392585541717&lt;/D&gt;&lt;D xsi:type="xsd:double"&gt;13.6984699759202&lt;/D&gt;&lt;D xsi:type="xsd:double"&gt;13.9823320750883&lt;/D&gt;&lt;D xsi:type="xsd:double"&gt;13.4316470207459&lt;/D&gt;&lt;D xsi:type="xsd:double"&gt;13.2401887420946&lt;/D&gt;&lt;D xsi:type="xsd:double"&gt;13.2552967438874&lt;/D&gt;&lt;D xsi:type="xsd:double"&gt;12.7192387825337&lt;/D&gt;&lt;D xsi:type="xsd:double"&gt;12.2623839478159&lt;/D&gt;&lt;D xsi:type="xsd:double"&gt;12.2479967270205&lt;/D&gt;&lt;D xsi:type="xsd:double"&gt;11.7835488134989&lt;/D&gt;&lt;D xsi:type="xsd:double"&gt;12.2566536247153&lt;/D&gt;&lt;D xsi:type="xsd:double"&gt;11.8483322556347&lt;/D&gt;&lt;D xsi:type="xsd:double"&gt;12.2095342795867&lt;/D&gt;&lt;D xsi:type="xsd:double"&gt;12.2764325740005&lt;/D&gt;&lt;D xsi:type="xsd:double"&gt;11.7699066859395&lt;/D&gt;&lt;D xsi:type="xsd:double"&gt;11.2507721742755&lt;/D&gt;&lt;D xsi:type="xsd:double"&gt;10.8203395738645&lt;/D&gt;&lt;D xsi:type="xsd:double"&gt;10.4191859149008&lt;/D&gt;&lt;D xsi:type="xsd:double"&gt;9.53875293792585&lt;/D&gt;&lt;D xsi:type="xsd:double"&gt;9.88192130748553&lt;/D&gt;&lt;D xsi:type="xsd:double"&gt;9.02962266253283&lt;/D&gt;&lt;D xsi:type="xsd:double"&gt;8.55513443508772&lt;/D&gt;&lt;D xsi:type="xsd:double"&gt;9.10053676286734&lt;/D&gt;&lt;D xsi:type="xsd:double"&gt;9.95747232319886&lt;/D&gt;&lt;D xsi:type="xsd:double"&gt;9.80305770107797&lt;/D&gt;&lt;D xsi:type="xsd:double"&gt;10.5111889107365&lt;/D&gt;&lt;D xsi:type="xsd:double"&gt;10.5229186102496&lt;/D&gt;&lt;D xsi:type="xsd:double"&gt;10.3398505830046&lt;/D&gt;&lt;D xsi:type="xsd:double"&gt;10.8050503322313&lt;/D&gt;&lt;D xsi:type="xsd:double"&gt;10.1571941357446&lt;/D&gt;&lt;D xsi:type="xsd:double"&gt;10.3759839924505&lt;/D&gt;&lt;D xsi:type="xsd:double"&gt;10.7195052256727&lt;/D&gt;&lt;D xsi:type="xsd:double"&gt;10.371903681575&lt;/D&gt;&lt;D xsi:type="xsd:double"&gt;10.4275401746652&lt;/D&gt;&lt;D xsi:type="xsd:double"&gt;9.99279940020143&lt;/D&gt;&lt;D xsi:type="xsd:double"&gt;10.5927338017729&lt;/D&gt;&lt;D xsi:type="xsd:double"&gt;11.0068145436794&lt;/D&gt;&lt;D xsi:type="xsd:double"&gt;11.0777228445185&lt;/D&gt;&lt;D xsi:type="xsd:double"&gt;11.2370945393809&lt;/D&gt;&lt;D xsi:type="xsd:double"&gt;11.5046760662612&lt;/D&gt;&lt;D xsi:type="xsd:double"&gt;11.5660523313369&lt;/D&gt;&lt;D xsi:type="xsd:double"&gt;11.670354049823&lt;/D&gt;&lt;D xsi:type="xsd:double"&gt;11.3551987536315&lt;/D&gt;&lt;D xsi:type="xsd:double"&gt;11.613644881033&lt;/D&gt;&lt;/FQL&gt;&lt;FQL&gt;&lt;Q&gt;EWJ^FMA_PE(LTMA,-10AY,0,AM,"PORTAGG","MEANR")&lt;/Q&gt;&lt;R&gt;121&lt;/R&gt;&lt;C&gt;1&lt;/C&gt;&lt;D xsi:type="xsd:double"&gt;15.2311492823174&lt;/D&gt;&lt;D xsi:type="xsd:double"&gt;15.0149201880092&lt;/D&gt;&lt;D xsi:type="xsd:double"&gt;15.3981961494307&lt;/D&gt;&lt;D xsi:type="xsd:double"&gt;15.3501722772435&lt;/D&gt;&lt;D xsi:type="xsd:double"&gt;15.974149249519&lt;/D&gt;&lt;D xsi:type="xsd:double"&gt;15.9743435221029&lt;/D&gt;&lt;D xsi:type="xsd:double"&gt;15.523350036289&lt;/D&gt;&lt;D xsi:type="xsd:double"&gt;16.9321203067015&lt;/D&gt;&lt;D xsi:type="xsd:double"&gt;16.7870225499878&lt;/D&gt;&lt;D xsi:type="xsd:double"&gt;16.8850210625588&lt;/D&gt;&lt;D xsi:type="xsd:double"&gt;17.1850965310518&lt;/D&gt;&lt;D xsi:type="xsd:double"&gt;16.7798308439634&lt;/D&gt;&lt;D xsi:type="xsd:double"&gt;16.8590830233591&lt;/D&gt;&lt;D xsi:type="xsd:double"&gt;15.5032993288164&lt;/D&gt;&lt;D xsi:type="xsd:double"&gt;15.0392928854986&lt;/D&gt;&lt;D xsi:type="xsd:double"&gt;15.8897336621607&lt;/D&gt;&lt;D xsi:type="xsd:double"&gt;16.3160938248067&lt;/D&gt;&lt;D xsi:type="xsd:double"&gt;15.7241220272528&lt;/D&gt;&lt;D xsi:type="xsd:double"&gt;14.9431742132256&lt;/D&gt;&lt;D xsi:type="xsd:double"&gt;13.8102014316074&lt;/D&gt;&lt;D xsi:type="xsd:double"&gt;13.711784284269&lt;/D&gt;&lt;D xsi:type="xsd:double"&gt;13.7931562937423&lt;/D&gt;&lt;D xsi:type="xsd:double"&gt;14.1254513403552&lt;/D&gt;&lt;D xsi:type="xsd:double"&gt;13.7030448296098&lt;/D&gt;&lt;D xsi:type="xsd:double"&gt;14.0782900450684&lt;/D&gt;&lt;D xsi:type="xsd:double"&gt;14.3411769875132&lt;/D&gt;&lt;D xsi:type="xsd:double"&gt;14.1918651950187&lt;/D&gt;&lt;D xsi:type="xsd:double"&gt;14.8115352787112&lt;/D&gt;&lt;D xsi:type="xsd:double"&gt;15.9197693067995&lt;/D&gt;&lt;D xsi:type="xsd:double"&gt;16.336549755413&lt;/D&gt;&lt;D xsi:type="xsd:double"&gt;16.3285256807402&lt;/D&gt;&lt;D xsi:type="xsd:double"&gt;15.9723479031817&lt;/D&gt;&lt;D xsi:type="xsd:double"&gt;15.7187584660595&lt;/D&gt;&lt;D xsi:type="xsd:double"&gt;15.6080523557322&lt;/D&gt;&lt;D xsi:type="xsd:double"&gt;15.6665150527061&lt;/D&gt;&lt;D xsi:type="xsd:double"&gt;15.5614075878747&lt;/D&gt;&lt;D xsi:type="xsd:double"&gt;15.4495129483756&lt;/D&gt;&lt;D xsi:type="xsd:double"&gt;14.9719992262634&lt;/D&gt;&lt;D xsi:type="xsd:double"&gt;15.0466824256912&lt;/D&gt;&lt;D xsi:type="xsd:double"&gt;15.5903459061511&lt;/D&gt;&lt;D xsi:type="xsd:double"&gt;16.1118501248426&lt;/D&gt;&lt;D xsi:type="xsd:double"&gt;16.3566554731427&lt;/D&gt;&lt;D xsi:type="xsd:double"&gt;16.5422874705167&lt;/D&gt;&lt;D xsi:type="xsd:double"&gt;14.4548739714149&lt;/D&gt;&lt;D xsi:type="xsd:double"&gt;14.2542395217387&lt;/D&gt;&lt;D xsi:type="xsd:double"&gt;14.2824823669052&lt;/D&gt;&lt;D xsi:type="xsd:double"&gt;14.0897163036692&lt;/D&gt;&lt;D xsi:type="xsd:double"&gt;13.9104417820475&lt;/D&gt;&lt;D xsi:type="xsd:double"&gt;13.951211163574&lt;/D&gt;&lt;D xsi:type="xsd:double"&gt;13.6506504736833&lt;/D&gt;&lt;D xsi:type="xsd:double"&gt;13.9742354809156&lt;/D&gt;&lt;D xsi:type="xsd:double"&gt;12.7436131906918&lt;/D&gt;&lt;D xsi:type="xsd:double"&gt;12.8279675403355&lt;/D&gt;&lt;D xsi:type="xsd:double"&gt;11.4780634857225&lt;/D&gt;&lt;D xsi:type="xsd:double"&gt;12.1613713410437&lt;/D&gt;&lt;D xsi:type="xsd:double"&gt;12.7022799934721&lt;/D&gt;&lt;D xsi:type="xsd:double"&gt;12.732113933714&lt;/D&gt;&lt;D xsi:type="xsd:double"&gt;12.788975623281&lt;/D&gt;&lt;D xsi:type="xsd:double"&gt;12.6047285191562&lt;/D&gt;&lt;D xsi:type="xsd:double"&gt;12.9951497118566&lt;/D&gt;&lt;D xsi:type="xsd:double"&gt;13.0109939882788&lt;/D&gt;&lt;D xsi:type="xsd:double"&gt;12.7294125330792&lt;/D&gt;&lt;D xsi:type="xsd:double"&gt;13.5120478063749&lt;/D&gt;&lt;D xsi:type="xsd:double"&gt;14.0736389825423&lt;/D&gt;&lt;D xsi:type="xsd:double"&gt;14.7328737245686&lt;/D&gt;&lt;D xsi:type="xsd:double"&gt;15.3183647795665&lt;/D&gt;&lt;D xsi:type="xsd:double"&gt;15.0413301551696&lt;/D&gt;&lt;D xsi:type="xsd:double"&gt;13.9774594975131&lt;/D&gt;&lt;D xsi:type="xsd:double"&gt;13.6310757116992&lt;/D&gt;&lt;D xsi:type="xsd:double"&gt;14.2436383360163&lt;/D&gt;&lt;D xsi:type="xsd:double"&gt;15.7290322230846&lt;/D&gt;&lt;D xsi:type="xsd:double"&gt;16.8395360549316&lt;/D&gt;&lt;D xsi:type="xsd:double"&gt;17.3845614441937&lt;/D&gt;&lt;D xsi:type="xsd:double"&gt;18.9190509304647&lt;/D&gt;&lt;D xsi:type="xsd:double"&gt;20.027357404575&lt;/D&gt;&lt;D xsi:type="xsd:double"&gt;20.1516997010792&lt;/D&gt;&lt;D xsi:type="xsd:double"&gt;22.3804279907158&lt;/D&gt;&lt;D xsi:type="xsd:double"&gt;23.6107676349128&lt;/D&gt;&lt;D xsi:type="xsd:double"&gt;23.1776402017806&lt;/D&gt;&lt;D xsi:type="xsd:double"&gt;21.697187504157&lt;/D&gt;&lt;D xsi:type="xsd:double"&gt;21.3136889832803&lt;/D&gt;&lt;D xsi:type="xsd:double"&gt;20.7215400815822&lt;/D&gt;&lt;D xsi:type="xsd:double"&gt;20.232051788595&lt;/D&gt;&lt;D xsi:type="xsd:double"&gt;19.7350683389943&lt;/D&gt;&lt;D xsi:type="xsd:double"&gt;19.0042165958948&lt;/D&gt;&lt;D xsi:type="xsd:double"&gt;18.5043045706359&lt;/D&gt;&lt;D xsi:type="xsd:double"&gt;17.8577532745468&lt;/D&gt;&lt;D xsi:type="xsd:double"&gt;17.7176004167011&lt;/D&gt;&lt;D xsi:type="xsd:double"&gt;16.4387693192331&lt;/D&gt;&lt;D xsi:type="xsd:double"&gt;16.101975479017&lt;/D&gt;&lt;D xsi:type="xsd:double"&gt;15.08424329845&lt;/D&gt;&lt;D xsi:type="xsd:double"&gt;14.729920481455&lt;/D&gt;&lt;D xsi:type="xsd:double"&gt;14.6117554290759&lt;/D&gt;&lt;D xsi:type="xsd:double"&gt;14.3571385524263&lt;/D&gt;&lt;D xsi:type="xsd:double"&gt;14.2838865392381&lt;/D&gt;&lt;D xsi:type="xsd:double"&gt;13.7562359710535&lt;/D&gt;&lt;D xsi:type="xsd:double"&gt;14.0018283152212&lt;/D&gt;&lt;D xsi:type="xsd:double"&gt;13.6998161769595&lt;/D&gt;&lt;D xsi:type="xsd:double"&gt;12.9355938005564&lt;/D&gt;&lt;D xsi:type="xsd:double"&gt;13.3190974350548&lt;/D&gt;&lt;D xsi:type="xsd:double"&gt;13.5614101338297&lt;/D&gt;&lt;D xsi:type="xsd:double"&gt;12.7449453890242&lt;/D&gt;&lt;D xsi:type="xsd:double"&gt;13.4052124653175&lt;/D&gt;&lt;D xsi:type="xsd:double"&gt;13.6592637769801&lt;/D&gt;&lt;D xsi:type="xsd:double"&gt;13.6528381823089&lt;/D&gt;&lt;D xsi:type="xsd:double"&gt;13.8072788023346&lt;/D&gt;&lt;D xsi:type="xsd:double"&gt;14.0571005014432&lt;/D&gt;&lt;D xsi:type="xsd:double"&gt;14.5900146557746&lt;/D&gt;&lt;D xsi:type="xsd:double"&gt;14.817575775893&lt;/D&gt;&lt;D xsi:type="xsd:double"&gt;14.8648501478998&lt;/D&gt;&lt;D xsi:type="xsd:double"&gt;14.7745346736102&lt;/D&gt;&lt;D xsi:type="xsd:double"&gt;14.7679766603677&lt;/D&gt;&lt;D xsi:type="xsd:double"&gt;15.2565269431833&lt;/D&gt;&lt;D xsi:type="xsd:double"&gt;15.2915763078604&lt;/D&gt;&lt;D xsi:type="xsd:double"&gt;16.3908947478714&lt;/D&gt;&lt;D xsi:type="xsd:double"&gt;17.087380319155&lt;/D&gt;&lt;D xsi:type="xsd:double"&gt;16.9487361037751&lt;/D&gt;&lt;D xsi:type="xsd:double"&gt;16.8021704636944&lt;/D&gt;&lt;D xsi:type="xsd:double"&gt;16.8056780253646&lt;/D&gt;&lt;D xsi:type="xsd:double"&gt;16.8188052427796&lt;/D&gt;&lt;D xsi:type="xsd:double"&gt;16.4232911607645&lt;/D&gt;&lt;/FQL&gt;&lt;FQL&gt;&lt;Q&gt;WL-FDS^FG_PRICE_CHANGE(0,-1AY)&lt;/Q&gt;&lt;R&gt;1&lt;/R&gt;&lt;C&gt;1&lt;/C&gt;&lt;D xsi:type="xsd:double"&gt;-25.1822209518365&lt;/D&gt;&lt;/FQL&gt;&lt;FQL&gt;&lt;Q&gt;NI-FDS^FG_PRICE_CHANGE(0,-1AY)&lt;/Q&gt;&lt;R&gt;1&lt;/R&gt;&lt;C&gt;1&lt;/C&gt;&lt;D xsi:type="xsd:double"&gt;-29.0091702080072&lt;/D&gt;&lt;/FQL&gt;&lt;FQL&gt;&lt;Q&gt;CPALM-FDS^FG_PRICE_CHANGE(0,-1AY)&lt;/Q&gt;&lt;R&gt;1&lt;/R&gt;&lt;C&gt;1&lt;/C&gt;&lt;D xsi:type="xsd:double"&gt;5.67037625861155&lt;/D&gt;&lt;/FQL&gt;&lt;FQL&gt;&lt;Q&gt;BRENT-FDS^FG_PRICE_CHANGE(0,-1AY)&lt;/Q&gt;&lt;R&gt;1&lt;/R&gt;&lt;C&gt;1&lt;/C&gt;&lt;D xsi:type="xsd:double"&gt;0.32717924748773&lt;/D&gt;&lt;/FQL&gt;&lt;FQL&gt;&lt;Q&gt;TIOS-FDS^FG_PRICE_CHANGE(0,-1AY)&lt;/Q&gt;&lt;R&gt;1&lt;/R&gt;&lt;C&gt;1&lt;/C&gt;&lt;D xsi:type="xsd:double"&gt;-5.06831610044313&lt;/D&gt;&lt;/FQL&gt;&lt;FQL&gt;&lt;Q&gt;EWD^FG_PRICE_MAVG(0,,,,30)&lt;/Q&gt;&lt;R&gt;1&lt;/R&gt;&lt;C&gt;1&lt;/C&gt;&lt;D xsi:type="xsd:double"&gt;40.323&lt;/D&gt;&lt;/FQL&gt;&lt;FQL&gt;&lt;Q&gt;QQQ^FG_PRICE_MAVG(0,,,,30)&lt;/Q&gt;&lt;R&gt;1&lt;/R&gt;&lt;C&gt;1&lt;/C&gt;&lt;D xsi:type="xsd:double"&gt;480.857&lt;/D&gt;&lt;/FQL&gt;&lt;FQL&gt;&lt;Q&gt;EWG^FG_PRICE_MAVG(0,,,,30)&lt;/Q&gt;&lt;R&gt;1&lt;/R&gt;&lt;C&gt;1&lt;/C&gt;&lt;D xsi:type="xsd:double"&gt;30.980667&lt;/D&gt;&lt;/FQL&gt;&lt;FQL&gt;&lt;Q&gt;FXI^FG_TOTAL_RETURNC(0,-3AM)&lt;/Q&gt;&lt;R&gt;1&lt;/R&gt;&lt;C&gt;1&lt;/C&gt;&lt;D xsi:type="xsd:double"&gt;-1.0860085&lt;/D&gt;&lt;/FQL&gt;&lt;FQL&gt;&lt;Q&gt;EWJ^P_PRICE(0)/P_PRICE_HIGH_PR(0,,,,,,"PRICE","INTRA","52W")&lt;/Q&gt;&lt;R&gt;1&lt;/R&gt;&lt;C&gt;1&lt;/C&gt;&lt;D xsi:type="xsd:double"&gt;0.93734825&lt;/D&gt;&lt;/FQL&gt;&lt;FQL&gt;&lt;Q&gt;VWO^FG_TOTAL_RETURNC(0,-12AM)&lt;/Q&gt;&lt;R&gt;1&lt;/R&gt;&lt;C&gt;1&lt;/C&gt;&lt;D xsi:type="xsd:double"&gt;6.1355233&lt;/D&gt;&lt;/FQL&gt;&lt;FQL&gt;&lt;Q&gt;VGK^PERCENT_CHANGE(FMA_EPS(+1,0,,,,"PORTAGG","MEAN"),FMA_EPS(+1,-1AM,,,,"PORTAGG","MEAN"))&lt;/Q&gt;&lt;R&gt;1&lt;/R&gt;&lt;C&gt;1&lt;/C&gt;&lt;D xsi:type="xsd:double"&gt;0&lt;/D&gt;&lt;/FQL&gt;&lt;FQL&gt;&lt;Q&gt;EWD^FG_TOTAL_RETURNC(0,-1AM)&lt;/Q&gt;&lt;R&gt;1&lt;/R&gt;&lt;C&gt;1&lt;/C&gt;&lt;D xsi:type="xsd:double"&gt;-2.6517987&lt;/D&gt;&lt;/FQL&gt;&lt;FQL&gt;&lt;Q&gt;EWQ^FG_TOTAL_RETURNC(0,-6AM)&lt;/Q&gt;&lt;R&gt;1&lt;/R&gt;&lt;C&gt;1&lt;/C&gt;&lt;D xsi:type="xsd:double"&gt;-1.6689837&lt;/D&gt;&lt;/FQL&gt;&lt;FQL&gt;&lt;Q&gt;QQQ^P_PRICE(0)/P_PRICE_LOW_PR(0,,,,,,"PRICE","INTRA","52W")-1&lt;/Q&gt;&lt;R&gt;1&lt;/R&gt;&lt;C&gt;1&lt;/C&gt;&lt;D xsi:type="xsd:double"&gt;0.34266102&lt;/D&gt;&lt;/FQL&gt;&lt;FQL&gt;&lt;Q&gt;EWU^FMA_PCT_ABOVE_MAVG(200,0,,,,"PORTAGG")&lt;/Q&gt;&lt;R&gt;1&lt;/R&gt;&lt;C&gt;1&lt;/C&gt;&lt;D xsi:type="xsd:double"&gt;68.75&lt;/D&gt;&lt;/FQL&gt;&lt;FQL&gt;&lt;Q&gt;EWJ^PERCENT_CHANGE(FMA_EPS(+1,0,,,,"PORTAGG","MEAN"),FMA_EPS(+1,-3AM,,,,"PORTAGG","MEAN"))&lt;/Q&gt;&lt;R&gt;1&lt;/R&gt;&lt;C&gt;1&lt;/C&gt;&lt;D xsi:type="xsd:double"&gt;2.74673692125041&lt;/D&gt;&lt;/FQL&gt;&lt;FQL&gt;&lt;Q&gt;EWC^FG_TOTAL_RETURNC(0,-3AM)&lt;/Q&gt;&lt;R&gt;1&lt;/R&gt;&lt;C&gt;1&lt;/C&gt;&lt;D xsi:type="xsd:double"&gt;3.9801598&lt;/D&gt;&lt;/FQL&gt;&lt;FQL&gt;&lt;Q&gt;ENZL^P_PRICE(0)/P_PRICE_HIGH_PR(0,,,,,,"PRICE","INTRA","52W")&lt;/Q&gt;&lt;R&gt;1&lt;/R&gt;&lt;C&gt;1&lt;/C&gt;&lt;D xsi:type="xsd:double"&gt;0.93530804&lt;/D&gt;&lt;/FQL&gt;&lt;FQL&gt;&lt;Q&gt;URTH^SIZE(FG_CONSTITUENTS)&lt;/Q&gt;&lt;R&gt;1&lt;/R&gt;&lt;C&gt;1&lt;/C&gt;&lt;D xsi:type="xsd:long"&gt;1429&lt;/D&gt;&lt;/FQL&gt;&lt;FQL&gt;&lt;Q&gt;EWN^FMA_COS_DOWN("EPS","1M",+1,0,,,"PORTAGG","MEANR")&lt;/Q&gt;&lt;R&gt;1&lt;/R&gt;&lt;C&gt;1&lt;/C&gt;&lt;D xsi:type="xsd:double"&gt;26&lt;/D&gt;&lt;/FQL&gt;&lt;FQL&gt;&lt;Q&gt;EWL^FMA_COS_UP("EPS","1M",+1,0,,,"PORTAGG","MEANR")&lt;/Q&gt;&lt;R&gt;1&lt;/R&gt;&lt;C&gt;1&lt;/C&gt;&lt;D xsi:type="xsd:double"&gt;21&lt;/D&gt;&lt;/FQL&gt;&lt;FQL&gt;&lt;Q&gt;EWQ^FMA_RBICS_REV_CURRENT(30, LOC, "PORTAGG")&lt;/Q&gt;&lt;R&gt;1&lt;/R&gt;&lt;C&gt;1&lt;/C&gt;&lt;D xsi:type="xsd:double"&gt;11.1513304275672&lt;/D&gt;&lt;/FQL&gt;&lt;FQL&gt;&lt;Q&gt;EWU^FG_ROE(0)&lt;/Q&gt;&lt;R&gt;1&lt;/R&gt;&lt;C&gt;1&lt;/C&gt;&lt;D xsi:type="xsd:double"&gt;14.3450936341394&lt;/D&gt;&lt;/FQL&gt;&lt;FQL&gt;&lt;Q&gt;TRYDE10Y-FDS^FG_YIELD_NAME&lt;/Q&gt;&lt;R&gt;1&lt;/R&gt;&lt;C&gt;1&lt;/C&gt;&lt;D xsi:type="xsd:string"&gt;Germany Benchmark Bond - 10 Year&lt;/D&gt;&lt;/FQL&gt;&lt;FQL&gt;&lt;Q&gt;REFFFUND-FDS^(SUBARRAY(NOT_NA(NO_REPEAT_F(FG_YIELD(NOW,-10AY,D))),0,1)-SUBARRAY(NOT_NA(NO_REPEAT_F(FG_YIELD(NOW,-10AY,D))),1,1))*100&lt;/Q&gt;&lt;R&gt;1&lt;/R&gt;&lt;C&gt;1&lt;/C&gt;&lt;D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xsi:type="xsd:double"&gt;18.2929292712369&lt;/D&gt;&lt;D xsi:type="xsd:double"&gt;17.2298191407891&lt;/D&gt;&lt;D xsi:type="xsd:double"&gt;20.6862902757634&lt;/D&gt;&lt;D xsi:type="xsd:double"&gt;20.5983105880676&lt;/D&gt;&lt;D xsi:type="xsd:double"&gt;20.3505037528153&lt;/D&gt;&lt;/FQL&gt;&lt;FQL&gt;&lt;Q&gt;TRYAE10Y-FDS^FG_YIELD(-10AY,0,Y,,"YTM")&lt;/Q&gt;&lt;R&gt;10&lt;/R&gt;&lt;C&gt;1&lt;/C&gt;&lt;D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xsi:type="xsd:double"&gt;6.2291026&lt;/D&gt;&lt;D xsi:type="xsd:double"&gt;8.693493&lt;/D&gt;&lt;D xsi:type="xsd:double"&gt;-3.0713737&lt;/D&gt;&lt;D xsi:type="xsd:double"&gt;-0.30854344&lt;/D&gt;&lt;D xsi:type="xsd:double"&gt;0.67806244&lt;/D&gt;&lt;D xsi:type="xsd:double"&gt;-8.411938&lt;/D&gt;&lt;D xsi:type="xsd:double"&gt;-2.5402546&lt;/D&gt;&lt;D xsi:type="xsd:double"&gt;-0.61775446&lt;/D&gt;&lt;D xsi:type="xsd:double"&gt;-6.5477667&lt;/D&gt;&lt;D xsi:type="xsd:double"&gt;-3.8370073&lt;/D&gt;&lt;D xsi:type="xsd:double"&gt;-5.093342&lt;/D&gt;&lt;D xsi:type="xsd:double"&gt;-5.6149483&lt;/D&gt;&lt;D xsi:type="xsd:double"&gt;-2.0496547&lt;/D&gt;&lt;D xsi:type="xsd:double"&gt;-9.121865&lt;/D&gt;&lt;D xsi:type="xsd:double"&gt;-7.4751673&lt;/D&gt;&lt;D xsi:type="xsd:double"&gt;-3.794384&lt;/D&gt;&lt;D xsi:type="xsd:double"&gt;-5.198449&lt;/D&gt;&lt;D xsi:type="xsd:double"&gt;-4.535884&lt;/D&gt;&lt;D xsi:type="xsd:double"&gt;-13.189631&lt;/D&gt;&lt;D xsi:type="xsd:double"&gt;-16.413462&lt;/D&gt;&lt;D xsi:type="xsd:double"&gt;-8.682966&lt;/D&gt;&lt;D xsi:type="xsd:double"&gt;-8.683979&lt;/D&gt;&lt;D xsi:type="xsd:double"&gt;-9.8150015&lt;/D&gt;&lt;D xsi:type="xsd:double"&gt;-11.095184&lt;/D&gt;&lt;D xsi:type="xsd:double"&gt;-9.880632&lt;/D&gt;&lt;D xsi:type="xsd:double"&gt;0.7197261&lt;/D&gt;&lt;D xsi:type="xsd:double"&gt;4.1947007&lt;/D&gt;&lt;D xsi:type="xsd:double"&gt;-5.335718&lt;/D&gt;&lt;D xsi:type="xsd:double"&gt;-6.179297&lt;/D&gt;&lt;D xsi:type="xsd:double"&gt;0.92072487&lt;/D&gt;&lt;D xsi:type="xsd:double"&gt;17.366016&lt;/D&gt;&lt;D xsi:type="xsd:double"&gt;14.11091&lt;/D&gt;&lt;D xsi:type="xsd:double"&gt;11.461711&lt;/D&gt;&lt;D xsi:type="xsd:double"&gt;14.742517&lt;/D&gt;&lt;D xsi:type="xsd:double"&gt;20.971321&lt;/D&gt;&lt;D xsi:type="xsd:double"&gt;26.860296&lt;/D&gt;&lt;D xsi:type="xsd:double"&gt;26.764143&lt;/D&gt;&lt;D xsi:type="xsd:double"&gt;23.978651&lt;/D&gt;&lt;D xsi:type="xsd:double"&gt;27.700603&lt;/D&gt;&lt;D xsi:type="xsd:double"&gt;32.12123&lt;/D&gt;&lt;D xsi:type="xsd:double"&gt;27.319849&lt;/D&gt;&lt;D xsi:type="xsd:double"&gt;22.180641&lt;/D&gt;&lt;D xsi:type="xsd:double"&gt;22.384907&lt;/D&gt;&lt;D xsi:type="xsd:double"&gt;12.535667&lt;/D&gt;&lt;D xsi:type="xsd:double"&gt;9.336495&lt;/D&gt;&lt;D xsi:type="xsd:double"&gt;1.0035634&lt;/D&gt;&lt;D xsi:type="xsd:double"&gt;-1.2812734&lt;/D&gt;&lt;D xsi:type="xsd:double"&gt;-4.41224&lt;/D&gt;&lt;D xsi:type="xsd:double"&gt;-0.7783234&lt;/D&gt;&lt;D xsi:type="xsd:double"&gt;-2.9696643&lt;/D&gt;&lt;D xsi:type="xsd:double"&gt;-3.6024332&lt;/D&gt;&lt;D xsi:type="xsd:double"&gt;-11.119896&lt;/D&gt;&lt;D xsi:type="xsd:double"&gt;-10.080904&lt;/D&gt;&lt;D xsi:type="xsd:double"&gt;-12.76235&lt;/D&gt;&lt;D xsi:type="xsd:double"&gt;-13.946253&lt;/D&gt;&lt;D xsi:type="xsd:double"&gt;-5.0964413&lt;/D&gt;&lt;D xsi:type="xsd:double"&gt;-3.4415781&lt;/D&gt;&lt;D xsi:type="xsd:double"&gt;2.4428964&lt;/D&gt;&lt;D xsi:type="xsd:double"&gt;-5.7144346&lt;/D&gt;&lt;D xsi:type="xsd:double"&gt;5.260086&lt;/D&gt;&lt;D xsi:type="xsd:double"&gt;-6.717634&lt;/D&gt;&lt;D xsi:type="xsd:double"&gt;-8.896762&lt;/D&gt;&lt;D xsi:type="xsd:double"&gt;-8.413876&lt;/D&gt;&lt;D xsi:type="xsd:double"&gt;10.750556&lt;/D&gt;&lt;D xsi:type="xsd:double"&gt;12.098169&lt;/D&gt;&lt;D xsi:type="xsd:double"&gt;21.73841&lt;/D&gt;&lt;D xsi:type="xsd:double"&gt;12.169397&lt;/D&gt;&lt;D xsi:type="xsd:double"&gt;5.2574396&lt;/D&gt;&lt;D xsi:type="xsd:double"&gt;-18.184353&lt;/D&gt;&lt;D xsi:type="xsd:double"&gt;-12.664151&lt;/D&gt;&lt;D xsi:type="xsd:double"&gt;10.403955&lt;/D&gt;&lt;D xsi:type="xsd:double"&gt;2.6169896&lt;/D&gt;&lt;D xsi:type="xsd:double"&gt;17.74131&lt;/D&gt;&lt;D xsi:type="xsd:double"&gt;27.538704&lt;/D&gt;&lt;D xsi:type="xsd:double"&gt;25.057316&lt;/D&gt;&lt;D xsi:type="xsd:double"&gt;8.168292&lt;/D&gt;&lt;D xsi:type="xsd:double"&gt;27.445173&lt;/D&gt;&lt;D xsi:type="xsd:double"&gt;22.261215&lt;/D&gt;&lt;D xsi:type="xsd:double"&gt;30.396498&lt;/D&gt;&lt;D xsi:type="xsd:double"&gt;43.24775&lt;/D&gt;&lt;D xsi:type="xsd:double"&gt;89.20971&lt;/D&gt;&lt;D xsi:type="xsd:double"&gt;70.97102&lt;/D&gt;&lt;D xsi:type="xsd:double"&gt;61.022423&lt;/D&gt;&lt;D xsi:type="xsd:double"&gt;52.869965&lt;/D&gt;&lt;D xsi:type="xsd:double"&gt;43.661667&lt;/D&gt;&lt;D xsi:type="xsd:double"&gt;39.740063&lt;/D&gt;&lt;D xsi:type="xsd:double"&gt;30.707598&lt;/D&gt;&lt;D xsi:type="xsd:double"&gt;47.591827&lt;/D&gt;&lt;D xsi:type="xsd:double"&gt;15.657568&lt;/D&gt;&lt;D xsi:type="xsd:double"&gt;22.86303&lt;/D&gt;&lt;D xsi:type="xsd:double"&gt;9.430563&lt;/D&gt;&lt;D xsi:type="xsd:double"&gt;-10.87659&lt;/D&gt;&lt;D xsi:type="xsd:double"&gt;-7.306075&lt;/D&gt;&lt;D xsi:type="xsd:double"&gt;-20.257551&lt;/D&gt;&lt;D xsi:type="xsd:double"&gt;-22.62392&lt;/D&gt;&lt;D xsi:type="xsd:double"&gt;-30.431414&lt;/D&gt;&lt;D xsi:type="xsd:double"&gt;-26.57957&lt;/D&gt;&lt;D xsi:type="xsd:double"&gt;-35.39741&lt;/D&gt;&lt;D xsi:type="xsd:double"&gt;-35.51764&lt;/D&gt;&lt;D xsi:type="xsd:double"&gt;-34.79916&lt;/D&gt;&lt;D xsi:type="xsd:double"&gt;-18.423956&lt;/D&gt;&lt;D xsi:type="xsd:double"&gt;-27.927637&lt;/D&gt;&lt;D xsi:type="xsd:double"&gt;-13.506544&lt;/D&gt;&lt;D xsi:type="xsd:double"&gt;0.5228996&lt;/D&gt;&lt;D xsi:type="xsd:double"&gt;-5.3338823&lt;/D&gt;&lt;D xsi:type="xsd:double"&gt;7.0849657&lt;/D&gt;&lt;D xsi:type="xsd:double"&gt;-0.4829228&lt;/D&gt;&lt;D xsi:type="xsd:double"&gt;16.986835&lt;/D&gt;&lt;D xsi:type="xsd:double"&gt;6.1873794&lt;/D&gt;&lt;D xsi:type="xsd:double"&gt;13.63163&lt;/D&gt;&lt;D xsi:type="xsd:double"&gt;23.17419&lt;/D&gt;&lt;D xsi:type="xsd:double"&gt;6.1232924&lt;/D&gt;&lt;D xsi:type="xsd:double"&gt;7.809818&lt;/D&gt;&lt;D xsi:type="xsd:double"&gt;23.231815&lt;/D&gt;&lt;D xsi:type="xsd:double"&gt;8.481884&lt;/D&gt;&lt;D xsi:type="xsd:double"&gt;16.017925&lt;/D&gt;&lt;D xsi:type="xsd:double"&gt;14.636588&lt;/D&gt;&lt;D xsi:type="xsd:double"&gt;6.2472343&lt;/D&gt;&lt;D xsi:type="xsd:double"&gt;25.117731&lt;/D&gt;&lt;D xsi:type="xsd:double"&gt;18.61279&lt;/D&gt;&lt;D xsi:type="xsd:double"&gt;15.663338&lt;/D&gt;&lt;/FQL&gt;&lt;FQL&gt;&lt;Q&gt;EWQ^FG_TOTAL_RETURNC(-10AY,0,AM)&lt;/Q&gt;&lt;R&gt;121&lt;/R&gt;&lt;C&gt;1&lt;/C&gt;&lt;D xsi:type="xsd:double"&gt;-7.540083&lt;/D&gt;&lt;D xsi:type="xsd:double"&gt;1.7343163&lt;/D&gt;&lt;D xsi:type="xsd:double"&gt;-4.8603535&lt;/D&gt;&lt;D xsi:type="xsd:double"&gt;-2.5924504&lt;/D&gt;&lt;D xsi:type="xsd:double"&gt;3.091979&lt;/D&gt;&lt;D xsi:type="xsd:double"&gt;-5.584794&lt;/D&gt;&lt;D xsi:type="xsd:double"&gt;1.2170434&lt;/D&gt;&lt;D xsi:type="xsd:double"&gt;6.212425&lt;/D&gt;&lt;D xsi:type="xsd:double"&gt;-0.9056568&lt;/D&gt;&lt;D xsi:type="xsd:double"&gt;4.7600865&lt;/D&gt;&lt;D xsi:type="xsd:double"&gt;-2.3991287&lt;/D&gt;&lt;D xsi:type="xsd:double"&gt;-1.8304586&lt;/D&gt;&lt;D xsi:type="xsd:double"&gt;3.3179045&lt;/D&gt;&lt;D xsi:type="xsd:double"&gt;-8.812547&lt;/D&gt;&lt;D xsi:type="xsd:double"&gt;-1.4742017&lt;/D&gt;&lt;D xsi:type="xsd:double"&gt;7.1903586&lt;/D&gt;&lt;D xsi:type="xsd:double"&gt;-1.9775093&lt;/D&gt;&lt;D xsi:type="xsd:double"&gt;-3.8847327&lt;/D&gt;&lt;D xsi:type="xsd:double"&gt;-3.8413823&lt;/D&gt;&lt;D xsi:type="xsd:double"&gt;0&lt;/D&gt;&lt;D xsi:type="xsd:double"&gt;2.9639125&lt;/D&gt;&lt;D xsi:type="xsd:double"&gt;3.254068&lt;/D&gt;&lt;D xsi:type="xsd:double"&gt;-0.24242401&lt;/D&gt;&lt;D xsi:type="xsd:double"&gt;-4.9000683&lt;/D&gt;&lt;D xsi:type="xsd:double"&gt;3.5386682&lt;/D&gt;&lt;D xsi:type="xsd:double"&gt;1.6877651&lt;/D&gt;&lt;D xsi:type="xsd:double"&gt;0.24895668&lt;/D&gt;&lt;D xsi:type="xsd:double"&gt;-0.8692026&lt;/D&gt;&lt;D xsi:type="xsd:double"&gt;-2.0459354&lt;/D&gt;&lt;D xsi:type="xsd:double"&gt;5.535674&lt;/D&gt;&lt;D xsi:type="xsd:double"&gt;1.5808702&lt;/D&gt;&lt;D xsi:type="xsd:double"&gt;0.71827173&lt;/D&gt;&lt;D xsi:type="xsd:double"&gt;5.031693&lt;/D&gt;&lt;D xsi:type="xsd:double"&gt;6.1486244&lt;/D&gt;&lt;D xsi:type="xsd:double"&gt;5.330491&lt;/D&gt;&lt;D xsi:type="xsd:double"&gt;-1.2913764&lt;/D&gt;&lt;D xsi:type="xsd:double"&gt;2.8164148&lt;/D&gt;&lt;D xsi:type="xsd:double"&gt;0.7778168&lt;/D&gt;&lt;D xsi:type="xsd:double"&gt;3.69128&lt;/D&gt;&lt;D xsi:type="xsd:double"&gt;1.4563084&lt;/D&gt;&lt;D xsi:type="xsd:double"&gt;-0.5741656&lt;/D&gt;&lt;D xsi:type="xsd:double"&gt;0.46486855&lt;/D&gt;&lt;D xsi:type="xsd:double"&gt;7.3030114&lt;/D&gt;&lt;D xsi:type="xsd:double"&gt;-6.2686563&lt;/D&gt;&lt;D xsi:type="xsd:double"&gt;0&lt;/D&gt;&lt;D xsi:type="xsd:double"&gt;3.7261128&lt;/D&gt;&lt;D xsi:type="xsd:double"&gt;-1.4737487&lt;/D&gt;&lt;D xsi:type="xsd:double"&gt;-2.9056787&lt;/D&gt;&lt;D xsi:type="xsd:double"&gt;3.4075975&lt;/D&gt;&lt;D xsi:type="xsd:double"&gt;-1.7110229&lt;/D&gt;&lt;D xsi:type="xsd:double"&gt;1.0960698&lt;/D&gt;&lt;D xsi:type="xsd:double"&gt;-8.354592&lt;/D&gt;&lt;D xsi:type="xsd:double"&gt;-2.2964478&lt;/D&gt;&lt;D xsi:type="xsd:double"&gt;-5.121219&lt;/D&gt;&lt;D xsi:type="xsd:double"&gt;6.5233827&lt;/D&gt;&lt;D xsi:type="xsd:double"&gt;4.707968&lt;/D&gt;&lt;D xsi:type="xsd:double"&gt;0.7775545&lt;/D&gt;&lt;D xsi:type="xsd:double"&gt;2.9520273&lt;/D&gt;&lt;D xsi:type="xsd:double"&gt;-5.5066824&lt;/D&gt;&lt;D xsi:type="xsd:double"&gt;8.380974&lt;/D&gt;&lt;D xsi:type="xsd:double"&gt;-3.3257246&lt;/D&gt;&lt;D xsi:type="xsd:double"&gt;-0.53963065&lt;/D&gt;&lt;D xsi:type="xsd:double"&gt;0.9833932&lt;/D&gt;&lt;D xsi:type="xsd:double"&gt;5.540633&lt;/D&gt;&lt;D xsi:type="xsd:double"&gt;0.73177814&lt;/D&gt;&lt;D xsi:type="xsd:double"&gt;3.5365105&lt;/D&gt;&lt;D xsi:type="xsd:double"&gt;-4.0048895&lt;/D&gt;&lt;</t>
        </r>
      </text>
    </comment>
    <comment ref="A5" authorId="0" shapeId="0" xr:uid="{153E4F71-C44D-4E6A-B71C-554077EE03EB}">
      <text>
        <r>
          <rPr>
            <b/>
            <sz val="9"/>
            <color indexed="81"/>
            <rFont val="Tahoma"/>
            <charset val="1"/>
          </rPr>
          <t>D xsi:type="xsd:double"&gt;-7.8662395&lt;/D&gt;&lt;D xsi:type="xsd:double"&gt;-23.297613&lt;/D&gt;&lt;D xsi:type="xsd:double"&gt;8.201885&lt;/D&gt;&lt;D xsi:type="xsd:double"&gt;10.28738&lt;/D&gt;&lt;D xsi:type="xsd:double"&gt;4.378438&lt;/D&gt;&lt;D xsi:type="xsd:double"&gt;1.78442&lt;/D&gt;&lt;D xsi:type="xsd:double"&gt;4.5080423&lt;/D&gt;&lt;D xsi:type="xsd:double"&gt;-3.8000643&lt;/D&gt;&lt;D xsi:type="xsd:double"&gt;-5.0889673&lt;/D&gt;&lt;D xsi:type="xsd:double"&gt;25.121857&lt;/D&gt;&lt;D xsi:type="xsd:double"&gt;0.16372204&lt;/D&gt;&lt;D xsi:type="xsd:double"&gt;-1.5935004&lt;/D&gt;&lt;D xsi:type="xsd:double"&gt;5.0412536&lt;/D&gt;&lt;D xsi:type="xsd:double"&gt;2.937746&lt;/D&gt;&lt;D xsi:type="xsd:double"&gt;4.4927955&lt;/D&gt;&lt;D xsi:type="xsd:double"&gt;6.0843706&lt;/D&gt;&lt;D xsi:type="xsd:double"&gt;-1.872915&lt;/D&gt;&lt;D xsi:type="xsd:double"&gt;0.70922375&lt;/D&gt;&lt;D xsi:type="xsd:double"&gt;2.8168917&lt;/D&gt;&lt;D xsi:type="xsd:double"&gt;-4.6423078&lt;/D&gt;&lt;D xsi:type="xsd:double"&gt;5.772805&lt;/D&gt;&lt;D xsi:type="xsd:double"&gt;-5.583495&lt;/D&gt;&lt;D xsi:type="xsd:double"&gt;6.4346433&lt;/D&gt;&lt;D xsi:type="xsd:double"&gt;-1.1831343&lt;/D&gt;&lt;D xsi:type="xsd:double"&gt;-11.426342&lt;/D&gt;&lt;D xsi:type="xsd:double"&gt;4.7311187&lt;/D&gt;&lt;D xsi:type="xsd:double"&gt;-7.547694&lt;/D&gt;&lt;D xsi:type="xsd:double"&gt;2.4582624&lt;/D&gt;&lt;D xsi:type="xsd:double"&gt;-8.180868&lt;/D&gt;&lt;D xsi:type="xsd:double"&gt;5.7788134&lt;/D&gt;&lt;D xsi:type="xsd:double"&gt;-8.226061&lt;/D&gt;&lt;D xsi:type="xsd:double"&gt;-8.313375&lt;/D&gt;&lt;D xsi:type="xsd:double"&gt;11.977613&lt;/D&gt;&lt;D xsi:type="xsd:double"&gt;13.228917&lt;/D&gt;&lt;D xsi:type="xsd:double"&gt;-2.1793365&lt;/D&gt;&lt;D xsi:type="xsd:double"&gt;12.801933&lt;/D&gt;&lt;D xsi:type="xsd:double"&gt;-1.6059995&lt;/D&gt;&lt;D xsi:type="xsd:double"&gt;2.8291702&lt;/D&gt;&lt;D xsi:type="xsd:double"&gt;4.7090054&lt;/D&gt;&lt;D xsi:type="xsd:double"&gt;-5.6594253&lt;/D&gt;&lt;D xsi:type="xsd:double"&gt;5.4938197&lt;/D&gt;&lt;D xsi:type="xsd:double"&gt;0.33739805&lt;/D&gt;&lt;D xsi:type="xsd:double"&gt;-3.1815827&lt;/D&gt;&lt;D xsi:type="xsd:double"&gt;-4.9158454&lt;/D&gt;&lt;D xsi:type="xsd:double"&gt;-2.500701&lt;/D&gt;&lt;D xsi:type="xsd:double"&gt;8.789623&lt;/D&gt;&lt;D xsi:type="xsd:double"&gt;4.464054&lt;/D&gt;&lt;D xsi:type="xsd:double"&gt;-0.5615115&lt;/D&gt;&lt;D xsi:type="xsd:double"&gt;3.2854319&lt;/D&gt;&lt;D xsi:type="xsd:double"&gt;2.8329968&lt;/D&gt;&lt;D xsi:type="xsd:double"&gt;-3.6007762&lt;/D&gt;&lt;D xsi:type="xsd:double"&gt;4.537487&lt;/D&gt;&lt;D xsi:type="xsd:double"&gt;-6.0688853&lt;/D&gt;&lt;D xsi:type="xsd:double"&gt;-2.194357&lt;/D&gt;&lt;/FQL&gt;&lt;FQL&gt;&lt;Q&gt;EWL^FMA_PE(NTMA,-10AY,0,AM,"PORTAGG","MEANR")&lt;/Q&gt;&lt;R&gt;121&lt;/R&gt;&lt;C&gt;1&lt;/C&gt;&lt;D xsi:type="xsd:double"&gt;15.8727206864061&lt;/D&gt;&lt;D xsi:type="xsd:double"&gt;16.1158865051966&lt;/D&gt;&lt;D xsi:type="xsd:double"&gt;15.8517201177357&lt;/D&gt;&lt;D xsi:type="xsd:double"&gt;15.9486062855683&lt;/D&gt;&lt;D xsi:type="xsd:double"&gt;16.1529459329897&lt;/D&gt;&lt;D xsi:type="xsd:double"&gt;15.6774388962394&lt;/D&gt;&lt;D xsi:type="xsd:double"&gt;16.3297532069083&lt;/D&gt;&lt;D xsi:type="xsd:double"&gt;17.6281338147808&lt;/D&gt;&lt;D xsi:type="xsd:double"&gt;17.6465965809274&lt;/D&gt;&lt;D xsi:type="xsd:double"&gt;17.7436319002889&lt;/D&gt;&lt;D xsi:type="xsd:double"&gt;17.650907957565&lt;/D&gt;&lt;D xsi:type="xsd:double"&gt;16.9464361127339&lt;/D&gt;&lt;D xsi:type="xsd:double"&gt;17.7286593613652&lt;/D&gt;&lt;D xsi:type="xsd:double"&gt;16.2460944856555&lt;/D&gt;&lt;D xsi:type="xsd:double"&gt;15.946539503731&lt;/D&gt;&lt;D xsi:type="xsd:double"&gt;16.9691527737845&lt;/D&gt;&lt;D xsi:type="xsd:double"&gt;17.0260246117213&lt;/D&gt;&lt;D xsi:type="xsd:double"&gt;16.8788893702635&lt;/D&gt;&lt;D xsi:type="xsd:double"&gt;16.3050868588474&lt;/D&gt;&lt;D xsi:type="xsd:double"&gt;16.4773012148097&lt;/D&gt;&lt;D xsi:type="xsd:double"&gt;16.2188975213253&lt;/D&gt;&lt;D xsi:type="xsd:double"&gt;16.7255752354645&lt;/D&gt;&lt;D xsi:type="xsd:double"&gt;17.100609548027&lt;/D&gt;&lt;D xsi:type="xsd:double"&gt;16.895370900135&lt;/D&gt;&lt;D xsi:type="xsd:double"&gt;17.2596635988275&lt;/D&gt;&lt;D xsi:type="xsd:double"&gt;17.1417840498183&lt;/D&gt;&lt;D xsi:type="xsd:double"&gt;17.1320757681278&lt;/D&gt;&lt;D xsi:type="xsd:double"&gt;16.3797832228234&lt;/D&gt;&lt;D xsi:type="xsd:double"&gt;16.121708329053&lt;/D&gt;&lt;D xsi:type="xsd:double"&gt;16.782175135433&lt;/D&gt;&lt;D xsi:type="xsd:double"&gt;17.1675219951966&lt;/D&gt;&lt;D xsi:type="xsd:double"&gt;17.5929626930688&lt;/D&gt;&lt;D xsi:type="xsd:double"&gt;17.4040404249103&lt;/D&gt;&lt;D xsi:type="xsd:double"&gt;17.7866449755085&lt;/D&gt;&lt;D xsi:type="xsd:double"&gt;18.1789887448765&lt;/D&gt;&lt;D xsi:type="xsd:double"&gt;17.73516256302&lt;/D&gt;&lt;D xsi:type="xsd:double"&gt;17.7933530496199&lt;/D&gt;&lt;D xsi:type="xsd:double"&gt;17.4885502054535&lt;/D&gt;&lt;D xsi:type="xsd:double"&gt;17.7546068746608&lt;/D&gt;&lt;D xsi:type="xsd:double"&gt;17.8987891086896&lt;/D&gt;&lt;D xsi:type="xsd:double"&gt;17.6115320037995&lt;/D&gt;&lt;D xsi:type="xsd:double"&gt;17.6917910480203&lt;/D&gt;&lt;D xsi:type="xsd:double"&gt;17.557371677945&lt;/D&gt;&lt;D xsi:type="xsd:double"&gt;16.2463088725705&lt;/D&gt;&lt;D xsi:type="xsd:double"&gt;16.0706668651794&lt;/D&gt;&lt;D xsi:type="xsd:double"&gt;16.145654307771&lt;/D&gt;&lt;D xsi:type="xsd:double"&gt;15.689540932587&lt;/D&gt;&lt;D xsi:type="xsd:double"&gt;15.5840372409696&lt;/D&gt;&lt;D xsi:type="xsd:double"&gt;16.2956326949911&lt;/D&gt;&lt;D xsi:type="xsd:double"&gt;16.0320587816632&lt;/D&gt;&lt;D xsi:type="xsd:double"&gt;16.1009288957999&lt;/D&gt;&lt;D xsi:type="xsd:double"&gt;15.7434829142637&lt;/D&gt;&lt;D xsi:type="xsd:double"&gt;15.646935610208&lt;/D&gt;&lt;D xsi:type="xsd:double"&gt;14.4906295812933&lt;/D&gt;&lt;D xsi:type="xsd:double"&gt;15.5825025071396&lt;/D&gt;&lt;D xsi:type="xsd:double"&gt;16.387212962816&lt;/D&gt;&lt;D xsi:type="xsd:double"&gt;16.6695921325061&lt;/D&gt;&lt;D xsi:type="xsd:double"&gt;16.9725732380149&lt;/D&gt;&lt;D xsi:type="xsd:double"&gt;16.4630232621215&lt;/D&gt;&lt;D xsi:type="xsd:double"&gt;17.2073481464424&lt;/D&gt;&lt;D xsi:type="xsd:double"&gt;17.059142817078&lt;/D&gt;&lt;D xsi:type="xsd:double"&gt;16.8990330378957&lt;/D&gt;&lt;D xsi:type="xsd:double"&gt;16.9486111904065&lt;/D&gt;&lt;D xsi:type="xsd:double"&gt;17.3733815047836&lt;/D&gt;&lt;D xsi:type="xsd:double"&gt;17.5284411459798&lt;/D&gt;&lt;D xsi:type="xsd:double"&gt;17.8179771621407&lt;/D&gt;&lt;D xsi:type="xsd:double"&gt;17.8411205610265&lt;/D&gt;&lt;D xsi:type="xsd:double"&gt;16.481213972625&lt;/D&gt;&lt;D xsi:type="xsd:double"&gt;15.903968273974&lt;/D&gt;&lt;D xsi:type="xsd:double"&gt;18.3838141610209&lt;/D&gt;&lt;D xsi:type="xsd:double"&gt;18.9431940569726&lt;/D&gt;&lt;D xsi:type="xsd:double"&gt;19.3917230622286&lt;/D&gt;&lt;D xsi:type="xsd:double"&gt;19.2253827885576&lt;/D&gt;&lt;D xsi:type="xsd:double"&gt;19.3236603464873&lt;/D&gt;&lt;D xsi:type="xsd:double"&gt;19.0334741491349&lt;/D&gt;&lt;D xsi:type="xsd:double"&gt;17.5384728532529&lt;/D&gt;&lt;D xsi:type="xsd:double"&gt;18.5396285729268&lt;/D&gt;&lt;D xsi:type="xsd:double"&gt;18.8631388298919&lt;/D&gt;&lt;D xsi:type="xsd:double"&gt;18.6110172078947&lt;/D&gt;&lt;D xsi:type="xsd:double"&gt;18.3872919661772&lt;/D&gt;&lt;D xsi:type="xsd:double"&gt;18.8140765229449&lt;/D&gt;&lt;D xsi:type="xsd:double"&gt;18.2269849452322&lt;/D&gt;&lt;D xsi:type="xsd:double"&gt;19.4361217894433&lt;/D&gt;&lt;D xsi:type="xsd:double"&gt;19.7566097762851&lt;/D&gt;&lt;D xsi:type="xsd:double"&gt;19.7584499847848&lt;/D&gt;&lt;D xsi:type="xsd:double"&gt;19.8946170955432&lt;/D&gt;&lt;D xsi:type="xsd:double"&gt;18.211083298949&lt;/D&gt;&lt;D xsi:type="xsd:double"&gt;19.1336738899676&lt;/D&gt;&lt;D xsi:type="xsd:double"&gt;18.8297340266675&lt;/D&gt;&lt;D xsi:type="xsd:double"&gt;19.8058466704819&lt;/D&gt;&lt;D xsi:type="xsd:double"&gt;18.3556967342474&lt;/D&gt;&lt;D xsi:type="xsd:double"&gt;17.9387668659326&lt;/D&gt;&lt;D xsi:type="xsd:double"&gt;18.3393219219863&lt;/D&gt;&lt;D xsi:type="xsd:double"&gt;17.9257583177869&lt;/D&gt;&lt;D xsi:type="xsd:double"&gt;16.7963519623615&lt;/D&gt;&lt;D xsi:type="xsd:double"&gt;15.7364674857983&lt;/D&gt;&lt;D xsi:type="xsd:double"&gt;16.8836790816896&lt;/D&gt;&lt;D xsi:type="xsd:double"&gt;15.7577053921941&lt;/D&gt;&lt;D xsi:type="xsd:double"&gt;14.9673832905973&lt;/D&gt;&lt;D xsi:type="xsd:double"&gt;15.6846843010265&lt;/D&gt;&lt;D xsi:type="xsd:double"&gt;16.9916171155105&lt;/D&gt;&lt;D xsi:type="xsd:double"&gt;16.2295004732045&lt;/D&gt;&lt;D xsi:type="xsd:double"&gt;17.1700243000274&lt;/D&gt;&lt;D xsi:type="xsd:double"&gt;16.9135442547537&lt;/D&gt;&lt;D xsi:type="xsd:double"&gt;17.1606533380692&lt;/D&gt;&lt;D xsi:type="xsd:double"&gt;17.4781998436952&lt;/D&gt;&lt;D xsi:type="xsd:double"&gt;16.5505940339396&lt;/D&gt;&lt;D xsi:type="xsd:double"&gt;16.5053467701609&lt;/D&gt;&lt;D xsi:type="xsd:double"&gt;16.8894802954238&lt;/D&gt;&lt;D xsi:type="xsd:double"&gt;16.6075138478088&lt;/D&gt;&lt;D xsi:type="xsd:double"&gt;16.1711476608732&lt;/D&gt;&lt;D xsi:type="xsd:double"&gt;15.5339766215029&lt;/D&gt;&lt;D xsi:type="xsd:double"&gt;16.3480573226043&lt;/D&gt;&lt;D xsi:type="xsd:double"&gt;16.8506095866157&lt;/D&gt;&lt;D xsi:type="xsd:double"&gt;17.0925056563337&lt;/D&gt;&lt;D xsi:type="xsd:double"&gt;17.4743237003838&lt;/D&gt;&lt;D xsi:type="xsd:double"&gt;17.6353927016134&lt;/D&gt;&lt;D xsi:type="xsd:double"&gt;16.5614843067286&lt;/D&gt;&lt;D xsi:type="xsd:double"&gt;17.3219495536883&lt;/D&gt;&lt;D xsi:type="xsd:double"&gt;17.1070845909661&lt;/D&gt;&lt;D xsi:type="xsd:double"&gt;17.3232210028434&lt;/D&gt;&lt;/FQL&gt;&lt;FQL&gt;&lt;Q&gt;EWG^FMA_PE(LTMA,-10AY,0,AM,"PORTAGG","MEANR")&lt;/Q&gt;&lt;R&gt;121&lt;/R&gt;&lt;C&gt;1&lt;/C&gt;&lt;D xsi:type="xsd:double"&gt;14.0638805875565&lt;/D&gt;&lt;D xsi:type="xsd:double"&gt;14.1541128765517&lt;/D&gt;&lt;D xsi:type="xsd:double"&gt;13.95047329271&lt;/D&gt;&lt;D xsi:type="xsd:double"&gt;13.7675510419231&lt;/D&gt;&lt;D xsi:type="xsd:double"&gt;14.5515605853819&lt;/D&gt;&lt;D xsi:type="xsd:double"&gt;14.3005596447529&lt;/D&gt;&lt;D xsi:type="xsd:double"&gt;15.4501111188346&lt;/D&gt;&lt;D xsi:type="xsd:double"&gt;16.4876845059821&lt;/D&gt;&lt;D xsi:type="xsd:double"&gt;16.5350800348816&lt;/D&gt;&lt;D xsi:type="xsd:double"&gt;16.2020950800914&lt;/D&gt;&lt;D xsi:type="xsd:double"&gt;15.9191542300034&lt;/D&gt;&lt;D xsi:type="xsd:double"&gt;15.5441427672507&lt;/D&gt;&lt;D xsi:type="xsd:double"&gt;15.4623519316004&lt;/D&gt;&lt;D xsi:type="xsd:double"&gt;14.1980220803612&lt;/D&gt;&lt;D xsi:type="xsd:double"&gt;13.6776222801206&lt;/D&gt;&lt;D xsi:type="xsd:double"&gt;14.5204785615287&lt;/D&gt;&lt;D xsi:type="xsd:double"&gt;14.8734080992848&lt;/D&gt;&lt;D xsi:type="xsd:double"&gt;14.0285507216998&lt;/D&gt;&lt;D xsi:type="xsd:double"&gt;12.8764748822063&lt;/D&gt;&lt;D xsi:type="xsd:double"&gt;12.6938297459104&lt;/D&gt;&lt;D xsi:type="xsd:double"&gt;12.7367373784601&lt;/D&gt;&lt;D xsi:type="xsd:double"&gt;12.8774956899626&lt;/D&gt;&lt;D xsi:type="xsd:double"&gt;12.9120676965889&lt;/D&gt;&lt;D xsi:type="xsd:double"&gt;12.705984699086&lt;/D&gt;&lt;D xsi:type="xsd:double"&gt;13.1254170495848&lt;/D&gt;&lt;D xsi:type="xsd:double"&gt;13.3619062654799&lt;/D&gt;&lt;D xsi:type="xsd:double"&gt;13.577312567197&lt;/D&gt;&lt;D xsi:type="xsd:double"&gt;13.6425067445058&lt;/D&gt;&lt;D xsi:type="xsd:double"&gt;13.5942868011615&lt;/D&gt;&lt;D xsi:type="xsd:double"&gt;14.7976712735815&lt;/D&gt;&lt;D xsi:type="xsd:double"&gt;14.9360641191432&lt;/D&gt;&lt;D xsi:type="xsd:double"&gt;15.0053134428734&lt;/D&gt;&lt;D xsi:type="xsd:double"&gt;14.9705781965843&lt;/D&gt;&lt;D xsi:type="xsd:double"&gt;14.8967294809685&lt;/D&gt;&lt;D xsi:type="xsd:double"&gt;14.7785336976481&lt;/D&gt;&lt;D xsi:type="xsd:double"&gt;14.4898674106417&lt;/D&gt;&lt;D xsi:type="xsd:double"&gt;14.3623966197764&lt;/D&gt;&lt;D xsi:type="xsd:double"&gt;14.1350471384664&lt;/D&gt;&lt;D xsi:type="xsd:double"&gt;14.620290824259&lt;/D&gt;&lt;D xsi:type="xsd:double"&gt;15.406289000003&lt;/D&gt;&lt;D xsi:type="xsd:double"&gt;15.1727174553831&lt;/D&gt;&lt;D xsi:type="xsd:double"&gt;15.2737781513871&lt;/D&gt;&lt;D xsi:type="xsd:double"&gt;14.9880061971817&lt;/D&gt;&lt;D xsi:type="xsd:double"&gt;14.2132891635788&lt;/D&gt;&lt;D xsi:type="xsd:double"&gt;14.0968131677569&lt;/D&gt;&lt;D xsi:type="xsd:double"&gt;14.1545336203389&lt;/D&gt;&lt;D xsi:type="xsd:double"&gt;14.0895430336534&lt;/D&gt;&lt;D xsi:type="xsd:double"&gt;13.8875658519637&lt;/D&gt;&lt;D xsi:type="xsd:double"&gt;14.1482710317168&lt;/D&gt;&lt;D xsi:type="xsd:double"&gt;14.0214033605298&lt;/D&gt;&lt;D xsi:type="xsd:double"&gt;13.9939062049255&lt;/D&gt;&lt;D xsi:type="xsd:double"&gt;13.0991692107895&lt;/D&gt;&lt;D xsi:type="xsd:double"&gt;12.8828774173161&lt;/D&gt;&lt;D xsi:type="xsd:double"&gt;12.0117474275311&lt;/D&gt;&lt;D xsi:type="xsd:double"&gt;12.840174060001&lt;/D&gt;&lt;D xsi:type="xsd:double"&gt;13.2358567209154&lt;/D&gt;&lt;D xsi:type="xsd:double"&gt;13.1983478088777&lt;/D&gt;&lt;D xsi:type="xsd:double"&gt;13.4045329040034&lt;/D&gt;&lt;D xsi:type="xsd:double"&gt;13.0896201183251&lt;/D&gt;&lt;D xsi:type="xsd:double"&gt;13.4947925047364&lt;/D&gt;&lt;D xsi:type="xsd:double"&gt;13.6433531881615&lt;/D&gt;&lt;D xsi:type="xsd:double"&gt;13.5188905032313&lt;/D&gt;&lt;D xsi:type="xsd:double"&gt;13.9741608227532&lt;/D&gt;&lt;D xsi:type="xsd:double"&gt;14.8613488169956&lt;/D&gt;&lt;D xsi:type="xsd:double"&gt;15.237152155503&lt;/D&gt;&lt;D xsi:type="xsd:double"&gt;15.4728375894394&lt;/D&gt;&lt;D xsi:type="xsd:double"&gt;15.0341086969967&lt;/D&gt;&lt;D xsi:type="xsd:double"&gt;14.0375587989804&lt;/D&gt;&lt;D xsi:type="xsd:double"&gt;13.7626441080291&lt;/D&gt;&lt;D xsi:type="xsd:double"&gt;15.0676505396542&lt;/D&gt;&lt;D xsi:type="xsd:double"&gt;16.373354535278&lt;/D&gt;&lt;D xsi:type="xsd:double"&gt;17.6716570642607&lt;/D&gt;&lt;D xsi:type="xsd:double"&gt;18.4977538774007&lt;/D&gt;&lt;D xsi:type="xsd:double"&gt;20.0581098140239&lt;/D&gt;&lt;D xsi:type="xsd:double"&gt;20.3866457798621&lt;/D&gt;&lt;D xsi:type="xsd:double"&gt;18.3927645225934&lt;/D&gt;&lt;D xsi:type="xsd:double"&gt;20.8430991157201&lt;/D&gt;&lt;D xsi:type="xsd:double"&gt;22.1267684635384&lt;/D&gt;&lt;D xsi:type="xsd:double"&gt;20.9707963854957&lt;/D&gt;&lt;D xsi:type="xsd:double"&gt;20.2896527793725&lt;/D&gt;&lt;D xsi:type="xsd:double"&gt;20.0776866219531&lt;/D&gt;&lt;D xsi:type="xsd:double"&gt;19.3918044331191&lt;/D&gt;&lt;D xsi:type="xsd:double"&gt;18.8444128939558&lt;/D&gt;&lt;D xsi:type="xsd:double"&gt;18.3309014411308&lt;/D&gt;&lt;D xsi:type="xsd:double"&gt;17.5383914581113&lt;/D&gt;&lt;D xsi:type="xsd:double"&gt;16.8842220453658&lt;/D&gt;&lt;D xsi:type="xsd:double"&gt;15.830232476553&lt;/D&gt;&lt;D xsi:type="xsd:double"&gt;15.6427399628326&lt;/D&gt;&lt;D xsi:type="xsd:double"&gt;14.3865742124785&lt;/D&gt;&lt;D xsi:type="xsd:double"&gt;14.1378654604296&lt;/D&gt;&lt;D xsi:type="xsd:double"&gt;13.6884093120049&lt;/D&gt;&lt;D xsi:type="xsd:double"&gt;12.4550894144213&lt;/D&gt;&lt;D xsi:type="xsd:double"&gt;12.4501370702888&lt;/D&gt;&lt;D xsi:type="xsd:double"&gt;12.2663865298395&lt;/D&gt;&lt;D xsi:type="xsd:double"&gt;12.1161213447038&lt;/D&gt;&lt;D xsi:type="xsd:double"&gt;11.3778245348287&lt;/D&gt;&lt;D xsi:type="xsd:double"&gt;11.4904859798207&lt;/D&gt;&lt;D xsi:type="xsd:double"&gt;10.5683284939893&lt;/D&gt;&lt;D xsi:type="xsd:double"&gt;10.1258062443327&lt;/D&gt;&lt;D xsi:type="xsd:double"&gt;10.5475419509819&lt;/D&gt;&lt;D xsi:type="xsd:double"&gt;11.0658973659512&lt;/D&gt;&lt;D xsi:type="xsd:double"&gt;10.4151947731043&lt;/D&gt;&lt;D xsi:type="xsd:double"&gt;11.4886528061183&lt;/D&gt;&lt;D xsi:type="xsd:double"&gt;11.3365608178792&lt;/D&gt;&lt;D xsi:type="xsd:double"&gt;11.3853145706614&lt;/D&gt;&lt;D xsi:type="xsd:double"&gt;11.430275930101&lt;/D&gt;&lt;D xsi:type="xsd:double"&gt;11.2155407841587&lt;/D&gt;&lt;D xsi:type="xsd:double"&gt;11.3062516655622&lt;/D&gt;&lt;D xsi:type="xsd:double"&gt;11.3586097080531&lt;/D&gt;&lt;D xsi:type="xsd:double"&gt;11.2535872120991&lt;/D&gt;&lt;D xsi:type="xsd:double"&gt;11.0545024951529&lt;/D&gt;&lt;D xsi:type="xsd:double"&gt;10.73915808791&lt;/D&gt;&lt;D xsi:type="xsd:double"&gt;11.6816414665476&lt;/D&gt;&lt;D xsi:type="xsd:double"&gt;11.9633111578336&lt;/D&gt;&lt;D xsi:type="xsd:double"&gt;12.0275113471625&lt;/D&gt;&lt;D xsi:type="xsd:double"&gt;12.5191339045415&lt;/D&gt;&lt;D xsi:type="xsd:double"&gt;12.6128025790428&lt;/D&gt;&lt;D xsi:type="xsd:double"&gt;12.4966642038764&lt;/D&gt;&lt;D xsi:type="xsd:double"&gt;12.4976451206814&lt;/D&gt;&lt;D xsi:type="xsd:double"&gt;12.4746688647835&lt;/D&gt;&lt;D xsi:type="xsd:double"&gt;12.5342161004703&lt;/D&gt;&lt;/FQL&gt;&lt;FQL&gt;&lt;Q&gt;QQQ^FMA_DIV_YLD(NTMA,-10AY,0,AM,"PORTAGG","MEANR")&lt;/Q&gt;&lt;R&gt;121&lt;/R&gt;&lt;C&gt;1&lt;/C&gt;&lt;D xsi:type="xsd:double"&gt;1.26889000357946&lt;/D&gt;&lt;D xsi:type="xsd:double"&gt;1.21275980992652&lt;/D&gt;&lt;D xsi:type="xsd:double"&gt;1.25986214911698&lt;/D&gt;&lt;D xsi:type="xsd:double"&gt;1.22378485612699&lt;/D&gt;&lt;D xsi:type="xsd:double"&gt;1.2035150310818&lt;/D&gt;&lt;D xsi:type="xsd:double"&gt;1.20522103679901&lt;/D&gt;&lt;D xsi:type="xsd:double"&gt;1.24061559788852&lt;/D&gt;&lt;D xsi:type="xsd:double"&gt;1.21346631716943&lt;/D&gt;&lt;D xsi:type="xsd:double"&gt;1.28284620116048&lt;/D&gt;&lt;D xsi:type="xsd:double"&gt;1.2376520692411&lt;/D&gt;&lt;D xsi:type="xsd:double"&gt;1.23512949573586&lt;/D&gt;&lt;D xsi:type="xsd:double"&gt;1.26221462242627&lt;/D&gt;&lt;D xsi:type="xsd:double"&gt;1.26115963601434&lt;/D&gt;&lt;D xsi:type="xsd:double"&gt;1.40493936409476&lt;/D&gt;&lt;D xsi:type="xsd:double"&gt;1.39149108690901&lt;/D&gt;&lt;D xsi:type="xsd:double"&gt;1.27153351470829&lt;/D&gt;&lt;D xsi:type="xsd:double"&gt;1.25913473150721&lt;/D&gt;&lt;D xsi:type="xsd:double"&gt;1.25997804336583&lt;/D&gt;&lt;D xsi:type="xsd:double"&gt;1.35743194761465&lt;/D&gt;&lt;D xsi:type="xsd:double"&gt;1.3710840545105&lt;/D&gt;&lt;D xsi:type="xsd:double"&gt;1.31866278442854&lt;/D&gt;&lt;D xsi:type="xsd:double"&gt;1.39099344199501&lt;/D&gt;&lt;D xsi:type="xsd:double"&gt;1.34320748867806&lt;/D&gt;&lt;D xsi:type="xsd:double"&gt;1.35862473258535&lt;/D&gt;&lt;D xsi:type="xsd:double"&gt;1.28368196244514&lt;/D&gt;&lt;D xsi:type="xsd:double"&gt;1.28715994204844&lt;/D&gt;&lt;D xsi:type="xsd:double"&gt;1.26004379696741&lt;/D&gt;&lt;D xsi:type="xsd:double"&gt;1.29906864981698&lt;/D&gt;&lt;D xsi:type="xsd:double"&gt;1.31718174195757&lt;/D&gt;&lt;D xsi:type="xsd:double"&gt;1.30197782946316&lt;/D&gt;&lt;D xsi:type="xsd:double"&gt;1.23929508024738&lt;/D&gt;&lt;D xsi:type="xsd:double"&gt;1.21090299300674&lt;/D&gt;&lt;D xsi:type="xsd:double"&gt;1.20673171258263&lt;/D&gt;&lt;D xsi:type="xsd:double"&gt;1.17928582305438&lt;/D&gt;&lt;D xsi:type="xsd:double"&gt;1.15269571011583&lt;/D&gt;&lt;D xsi:type="xsd:double"&gt;1.19969361998082&lt;/D&gt;&lt;D xsi:type="xsd:double"&gt;1.17145423460811&lt;/D&gt;&lt;D xsi:type="xsd:double"&gt;1.16027732463639&lt;/D&gt;&lt;D xsi:type="xsd:double"&gt;1.16279797138161&lt;/D&gt;&lt;D xsi:type="xsd:double"&gt;1.11804763340603&lt;/D&gt;&lt;D xsi:type="xsd:double"&gt;1.10938838728236&lt;/D&gt;&lt;D xsi:type="xsd:double"&gt;1.10103549957568&lt;/D&gt;&lt;D xsi:type="xsd:double"&gt;1.03877696836191&lt;/D&gt;&lt;D xsi:type="xsd:double"&gt;1.08167415352881&lt;/D&gt;&lt;D xsi:type="xsd:double"&gt;1.12169010247195&lt;/D&gt;&lt;D xsi:type="xsd:double"&gt;1.1154288527313&lt;/D&gt;&lt;D xsi:type="xsd:double"&gt;1.06473200386643&lt;/D&gt;&lt;D xsi:type="xsd:double"&gt;1.07614608708486&lt;/D&gt;&lt;D xsi:type="xsd:double"&gt;1.09703908668389&lt;/D&gt;&lt;D xsi:type="xsd:double"&gt;1.05046082475478&lt;/D&gt;&lt;D xsi:type="xsd:double"&gt;1.05841309117407&lt;/D&gt;&lt;D xsi:type="xsd:double"&gt;1.16457082071913&lt;/D&gt;&lt;D xsi:type="xsd:double"&gt;1.19016442416278&lt;/D&gt;&lt;D xsi:type="xsd:double"&gt;1.32896766213063&lt;/D&gt;&lt;D xsi:type="xsd:double"&gt;1.22445201957326&lt;/D&gt;&lt;D xsi:type="xsd:double"&gt;1.1693555171644&lt;/D&gt;&lt;D xsi:type="xsd:double"&gt;1.12507532018353&lt;/D&gt;&lt;D xsi:type="xsd:double"&gt;1.09280026617946&lt;/D&gt;&lt;D xsi:type="xsd:double"&gt;1.20013896593598&lt;/D&gt;&lt;D xsi:type="xsd:double"&gt;1.1007709242829&lt;/D&gt;&lt;D xsi:type="xsd:double"&gt;1.10052877787143&lt;/D&gt;&lt;D xsi:type="xsd:double"&gt;1.11766359722321&lt;/D&gt;&lt;D xsi:type="xsd:double"&gt;1.12588916383928&lt;/D&gt;&lt;D xsi:type="xsd:double"&gt;1.07384042258333&lt;/D&gt;&lt;D xsi:type="xsd:double"&gt;1.07169013367975&lt;/D&gt;&lt;D xsi:type="xsd:double"&gt;1.04767821812718&lt;/D&gt;&lt;D xsi:type="xsd:double"&gt;1.02349313007551&lt;/D&gt;&lt;D xsi:type="xsd:double"&gt;1.09357289691384&lt;/D&gt;&lt;D xsi:type="xsd:double"&gt;1.24033352423263&lt;/D&gt;&lt;D xsi:type="xsd:double"&gt;1.04478206059787&lt;/D&gt;&lt;D xsi:type="xsd:double"&gt;0.946487357302498&lt;/D&gt;&lt;D xsi:type="xsd:double"&gt;0.883923693930056&lt;/D&gt;&lt;D xsi:type="xsd:double"&gt;0.835276830324754&lt;/D&gt;&lt;D xsi:type="xsd:double"&gt;0.741483393297862&lt;/D&gt;&lt;D xsi:type="xsd:double"&gt;0.789595638400839&lt;/D&gt;&lt;D xsi:type="xsd:double"&gt;0.838160298569396&lt;/D&gt;&lt;D xsi:type="xsd:double"&gt;0.745538967809674&lt;/D&gt;&lt;D xsi:type="xsd:double"&gt;0.763066801997993&lt;/D&gt;&lt;D xsi:type="xsd:double"&gt;0.748130599250461&lt;/D&gt;&lt;D xsi:type="xsd:double"&gt;0.753344858675771&lt;/D&gt;&lt;D xsi:type="xsd:double"&gt;0.754172590318573&lt;/D&gt;&lt;D xsi:type="xsd:double"&gt;0.730901961876092&lt;/D&gt;&lt;D xsi:type="xsd:double"&gt;0.743787882203141&lt;/D&gt;&lt;D xsi:type="xsd:double"&gt;0.704169752841562&lt;/D&gt;&lt;D xsi:type="xsd:double"&gt;0.703921698301684&lt;/D&gt;&lt;D xsi:type="xsd:double"&gt;0.678723103623779&lt;/D&gt;&lt;D xsi:type="xsd:double"&gt;0.723255603702928&lt;/D&gt;&lt;D xsi:type="xsd:double"&gt;0.67651484221193&lt;/D&gt;&lt;D xsi:type="xsd:double"&gt;0.682662774415724&lt;/D&gt;&lt;D xsi:type="xsd:double"&gt;0.667983627087954&lt;/D&gt;&lt;D xsi:type="xsd:double"&gt;0.735428103586397&lt;/D&gt;&lt;D xsi:type="xsd:double"&gt;0.800631761118898&lt;/D&gt;&lt;D xsi:type="xsd:double"&gt;0.757604902503769&lt;/D&gt;&lt;D xsi:type="xsd:double"&gt;0.878393684544828&lt;/D&gt;&lt;D xsi:type="xsd:double"&gt;0.908515762112544&lt;/D&gt;&lt;D xsi:type="xsd:double"&gt;0.99234214568881&lt;/D&gt;&lt;D xsi:type="xsd:double"&gt;0.894654142691987&lt;/D&gt;&lt;D xsi:type="xsd:double"&gt;0.947653116269755&lt;/D&gt;&lt;D xsi:type="xsd:double"&gt;1.07002595175519&lt;/D&gt;&lt;D xsi:type="xsd:double"&gt;1.0473580342612&lt;/D&gt;&lt;D xsi:type="xsd:double"&gt;0.98261855109185&lt;/D&gt;&lt;D xsi:type="xsd:double"&gt;1.03844001527225&lt;/D&gt;&lt;D xsi:type="xsd:double"&gt;0.930492115082127&lt;/D&gt;&lt;D xsi:type="xsd:double"&gt;0.970483677734932&lt;/D&gt;&lt;D xsi:type="xsd:double"&gt;0.884085344676665&lt;/D&gt;&lt;D xsi:type="xsd:double"&gt;0.865233771436154&lt;/D&gt;&lt;D xsi:type="xsd:double"&gt;0.796823505486709&lt;/D&gt;&lt;D xsi:type="xsd:double"&gt;0.76262951233807&lt;/D&gt;&lt;D xsi:type="xsd:double"&gt;0.857562244113052&lt;/D&gt;&lt;D xsi:type="xsd:double"&gt;0.874202943994887&lt;/D&gt;&lt;D xsi:type="xsd:double"&gt;0.945694228297222&lt;/D&gt;&lt;D xsi:type="xsd:double"&gt;0.955414562454479&lt;/D&gt;&lt;D xsi:type="xsd:double"&gt;0.884761727792016&lt;/D&gt;&lt;D xsi:type="xsd:double"&gt;0.919279185804027&lt;/D&gt;&lt;D xsi:type="xsd:double"&gt;0.892056325633203&lt;/D&gt;&lt;D xsi:type="xsd:double"&gt;0.870170859589696&lt;/D&gt;&lt;D xsi:type="xsd:double"&gt;0.880996076555189&lt;/D&gt;&lt;D xsi:type="xsd:double"&gt;0.957197684282538&lt;/D&gt;&lt;D xsi:type="xsd:double"&gt;0.896390999784131&lt;/D&gt;&lt;D xsi:type="xsd:double"&gt;0.837987249346547&lt;/D&gt;&lt;D xsi:type="xsd:double"&gt;0.851414417321313&lt;/D&gt;&lt;/FQL&gt;&lt;FQL&gt;&lt;Q&gt;WL-FDS^FG_PRICE_CHANGE(0,-6AM)&lt;/Q&gt;&lt;R&gt;1&lt;/R&gt;&lt;C&gt;1&lt;/C&gt;&lt;D xsi:type="xsd:double"&gt;-19.7332106715731&lt;/D&gt;&lt;/FQL&gt;&lt;FQL&gt;&lt;Q&gt;QQQ^FMA_ROE(NTMA,-20AY,NOW,FY,"PORTAGG","MEANR")&lt;/Q&gt;&lt;R&gt;20&lt;/R&gt;&lt;C&gt;1&lt;/C&gt;&lt;D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xsi:type="xsd:double"&gt;25.011729179906&lt;/D&gt;&lt;D xsi:type="xsd:double"&gt;24.5344428387709&lt;/D&gt;&lt;D xsi:type="xsd:double"&gt;26.6372021629589&lt;/D&gt;&lt;D xsi:type="xsd:double"&gt;24.0483215527383&lt;/D&gt;&lt;D xsi:type="xsd:double"&gt;25.319915472376&lt;/D&gt;&lt;/FQL&gt;&lt;FQL&gt;&lt;Q&gt;TRYMY10Y-FDS^FG_YIELD(-10AY,0,Y,,"YTM")&lt;/Q&gt;&lt;R&gt;10&lt;/R&gt;&lt;C&gt;1&lt;/C&gt;&lt;D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xsi:type="xsd:double"&gt;3.955&lt;/D&gt;&lt;/FQL&gt;&lt;FQL&gt;&lt;Q&gt;USDSEK^STD(FG_PRICE_CHANGE(0,-3AY,M))&lt;/Q&gt;&lt;R&gt;1&lt;/R&gt;&lt;C&gt;1&lt;/C&gt;&lt;D xsi:type="xsd:double"&gt;2.969808137363&lt;/D&gt;&lt;/FQL&gt;&lt;FQL&gt;&lt;Q&gt;USDCHF^STD(FG_PRICE_CHANGE(0,-3AY,M))&lt;/Q&gt;&lt;R&gt;1&lt;/R&gt;&lt;C&gt;1&lt;/C&gt;&lt;D xsi:type="xsd:double"&gt;2.41737824980572&lt;/D&gt;&lt;/FQL&gt;&lt;FQL&gt;&lt;Q&gt;EWQ^FG_COMPANY_NAME&lt;/Q&gt;&lt;R&gt;1&lt;/R&gt;&lt;C&gt;1&lt;/C&gt;&lt;D xsi:type="xsd:string"&gt;iShares MSCI France ETF&lt;/D&gt;&lt;/FQL&gt;&lt;FQL&gt;&lt;Q&gt;EWU^FMA_ROE(NTMA,-20AY,NOW,FY,"PORTAGG","MEANR")&lt;/Q&gt;&lt;R&gt;20&lt;/R&gt;&lt;C&gt;1&lt;/C&gt;&lt;D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xsi:type="xsd:double"&gt;12.8709323534995&lt;/D&gt;&lt;D xsi:type="xsd:double"&gt;11.2074687408189&lt;/D&gt;&lt;D xsi:type="xsd:double"&gt;13.9227699516468&lt;/D&gt;&lt;D xsi:type="xsd:double"&gt;15.8587443966116&lt;/D&gt;&lt;D xsi:type="xsd:double"&gt;14.7202112757034&lt;/D&gt;&lt;/FQL&gt;&lt;FQL&gt;&lt;Q&gt;TRYMX10Y-FDS^FG_YIELD(-10AY,0,Y,,"YTM")&lt;/Q&gt;&lt;R&gt;10&lt;/R&gt;&lt;C&gt;1&lt;/C&gt;&lt;D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xsi:type="xsd:double"&gt;6.6087&lt;/D&gt;&lt;/FQL&gt;&lt;FQL&gt;&lt;Q&gt;CAGDPY@GB^EE_ACTUAL_ANNUAL(MED,+1)&lt;/Q&gt;&lt;R&gt;1&lt;/R&gt;&lt;C&gt;1&lt;/C&gt;&lt;D xsi:type="xsd:double"&gt;-2.7&lt;/D&gt;&lt;/FQL&gt;&lt;FQL&gt;&lt;Q&gt;CC_GB^FG_COMPANY_NAME&lt;/Q&gt;&lt;R&gt;1&lt;/R&gt;&lt;C&gt;1&lt;/C&gt;&lt;D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xsi:type="xsd:double"&gt;3.55343547951857&lt;/D&gt;&lt;/FQL&gt;&lt;FQL&gt;&lt;Q&gt;USDCHF^STD(FG_PRICE_CHANGE(0,-1AY,AM))&lt;/Q&gt;&lt;R&gt;1&lt;/R&gt;&lt;C&gt;1&lt;/C&gt;&lt;D xsi:type="xsd:double"&gt;2.62623193879666&lt;/D&gt;&lt;/FQL&gt;&lt;FQL&gt;&lt;Q&gt;USDUSD^STD(FG_PRICE_CHANGE(0,-1AY,AM))&lt;/Q&gt;&lt;R&gt;1&lt;/R&gt;&lt;C&gt;1&lt;/C&gt;&lt;D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xsi:type="xsd:double"&gt;1.524715965645&lt;/D&gt;&lt;/FQL&gt;&lt;FQL&gt;&lt;Q&gt;USDAUD^STD(FG_PRICE_CHANGE(0,-1AY,AM))&lt;/Q&gt;&lt;R&gt;1&lt;/R&gt;&lt;C&gt;1&lt;/C&gt;&lt;D xsi:type="xsd:double"&gt;2.24857576269971&lt;/D&gt;&lt;/FQL&gt;&lt;FQL&gt;&lt;Q&gt;EWD^FMA_EPS(NTMA,-20AY,0,CY,,"PORTAGG","MEANR")&lt;/Q&gt;&lt;R&gt;20&lt;/R&gt;&lt;C&gt;1&lt;/C&gt;&lt;D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xsi:type="xsd:double"&gt;2.04500092616456&lt;/D&gt;&lt;D xsi:type="xsd:double"&gt;2.21310873799954&lt;/D&gt;&lt;D xsi:type="xsd:double"&gt;2.48981565234839&lt;/D&gt;&lt;D xsi:type="xsd:double"&gt;2.56381617192707&lt;/D&gt;&lt;D xsi:type="xsd:double"&gt;2.51009258677616&lt;/D&gt;&lt;/FQL&gt;&lt;FQL&gt;&lt;Q&gt;EWQ^P_PRICE_RETURNS_PR('52W',2,-10AY,0,AM)&lt;/Q&gt;&lt;R&gt;121&lt;/R&gt;&lt;C&gt;1&lt;/C&gt;&lt;D xsi:type="xsd:double"&gt;7.883656&lt;/D&gt;&lt;D xsi:type="xsd:double"&gt;11.927187&lt;/D&gt;&lt;D xsi:type="xsd:double"&gt;-1.1442482&lt;/D&gt;&lt;D xsi:type="xsd:double"&gt;-6.071639&lt;/D&gt;&lt;D xsi:type="xsd:double"&gt;-3.28874&lt;/D&gt;&lt;D xsi:type="xsd:double"&gt;-10.757172&lt;/D&gt;&lt;D xsi:type="xsd:double"&gt;-5.969304&lt;/D&gt;&lt;D xsi:type="xsd:double"&gt;-5.814022&lt;/D&gt;&lt;D xsi:type="xsd:double"&gt;-8.281141&lt;/D&gt;&lt;D xsi:type="xsd:double"&gt;-5.8624687&lt;/D&gt;&lt;D xsi:type="xsd:double"&gt;-8.425182&lt;/D&gt;&lt;D xsi:type="xsd:double"&gt;-9.271008&lt;/D&gt;&lt;D xsi:type="xsd:double"&gt;0.89969635&lt;/D&gt;&lt;D xsi:type="xsd:double"&gt;-9.126806&lt;/D&gt;&lt;D xsi:type="xsd:double"&gt;-5.892497&lt;/D&gt;&lt;D xsi:type="xsd:double"&gt;4.997194&lt;/D&gt;&lt;D xsi:type="xsd:double"&gt;-1.533562&lt;/D&gt;&lt;D xsi:type="xsd:double"&gt;0.23943186&lt;/D&gt;&lt;D xsi:type="xsd:double"&gt;-4.770136&lt;/D&gt;&lt;D xsi:type="xsd:double"&gt;-10.340184&lt;/D&gt;&lt;D xsi:type="xsd:double"&gt;-6.839025&lt;/D&gt;&lt;D xsi:type="xsd:double"&gt;-6.7202687&lt;/D&gt;&lt;D xsi:type="xsd:double"&gt;-6.149304&lt;/D&gt;&lt;D xsi:type="xsd:double"&gt;-9.083867&lt;/D&gt;&lt;D xsi:type="xsd:double"&gt;-8.889598&lt;/D&gt;&lt;D xsi:type="xsd:double"&gt;1.6018391&lt;/D&gt;&lt;D xsi:type="xsd:double"&gt;3.3358574&lt;/D&gt;&lt;D xsi:type="xsd:double"&gt;-4.3941736&lt;/D&gt;&lt;D xsi:type="xsd:double"&gt;-4.460907&lt;/D&gt;&lt;D xsi:type="xsd:double"&gt;3.4080744&lt;/D&gt;&lt;D xsi:type="xsd:double"&gt;10.818362&lt;/D&gt;&lt;D xsi:type="xsd:double"&gt;11.614334&lt;/D&gt;&lt;D xsi:type="xsd:double"&gt;12.867022&lt;/D&gt;&lt;D xsi:type="xsd:double"&gt;17.047607&lt;/D&gt;&lt;D xsi:type="xsd:double"&gt;23.586416&lt;/D&gt;&lt;D xsi:type="xsd:double"&gt;28.388237&lt;/D&gt;&lt;D xsi:type="xsd:double"&gt;27.381252&lt;/D&gt;&lt;D xsi:type="xsd:double"&gt;26.241386&lt;/D&gt;&lt;D xsi:type="xsd:double"&gt;32.55131&lt;/D&gt;&lt;D xsi:type="xsd:double"&gt;33.63941&lt;/D&gt;&lt;D xsi:type="xsd:double"&gt;35.647358&lt;/D&gt;&lt;D xsi:type="xsd:double"&gt;30.07884&lt;/D&gt;&lt;D xsi:type="xsd:double"&gt;36.40374&lt;/D&gt;&lt;D xsi:type="xsd:double"&gt;26.941277&lt;/D&gt;&lt;D xsi:type="xsd:double"&gt;20.996893&lt;/D&gt;&lt;D xsi:type="xsd:double"&gt;18.101715&lt;/D&gt;&lt;D xsi:type="xsd:double"&gt;10.472465&lt;/D&gt;&lt;D xsi:type="xsd:double"&gt;8.55254&lt;/D&gt;&lt;D xsi:type="xsd:double"&gt;9.2906&lt;/D&gt;&lt;D xsi:type="xsd:double"&gt;6.950426&lt;/D&gt;&lt;D xsi:type="xsd:double"&gt;3.923738&lt;/D&gt;&lt;D xsi:type="xsd:double"&gt;-6.125772&lt;/D&gt;&lt;D xsi:type="xsd:double"&gt;-8.310795&lt;/D&gt;&lt;D xsi:type="xsd:double"&gt;-12.881112&lt;/D&gt;&lt;D xsi:type="xsd:double"&gt;-13.514101&lt;/D&gt;&lt;D xsi:type="xsd:double"&gt;-3.385961&lt;/D&gt;&lt;D xsi:type="xsd:double"&gt;-2.634734&lt;/D&gt;&lt;D xsi:type="xsd:double"&gt;-3.3613563&lt;/D&gt;&lt;D xsi:type="xsd:double"&gt;-6.530583&lt;/D&gt;&lt;D xsi:type="xsd:double"&gt;3.456843&lt;/D&gt;&lt;D xsi:type="xsd:double"&gt;-3.279698&lt;/D&gt;&lt;D xsi:type="xsd:double"&gt;-3.6489785&lt;/D&gt;&lt;D xsi:type="xsd:double"&gt;-2.2360861&lt;/D&gt;&lt;D xsi:type="xsd:double"&gt;12.586821&lt;/D&gt;&lt;D xsi:type="xsd:double"&gt;15.377844&lt;/D&gt;&lt;D xsi:type="xsd:double"&gt;26.66837&lt;/D&gt;&lt;D xsi:type="xsd:double"&gt;14.554572&lt;/D&gt;&lt;D xsi:type="xsd:double"&gt;1.2282014&lt;/D&gt;&lt;D xsi:type="xsd:double"&gt;-23.553688&lt;/D&gt;&lt;D xsi:type="xsd:double"&gt;-19.655449&lt;/D&gt;&lt;D xsi:type="xsd:double"&gt;-6.226283&lt;/D&gt;&lt;D xsi:type="xsd:double"&gt;-9.689361&lt;/D&gt;&lt;D xsi:type="xsd:double"&gt;-5.362451&lt;/D&gt;&lt;D xsi:type="xsd:double"&gt;-0.08999705&lt;/D&gt;&lt;D xsi:type="xsd:double"&gt;-4.822606&lt;/D&gt;&lt;D xsi:type="xsd:double"&gt;-14.244759&lt;/D&gt;&lt;D xsi:type="xsd:double"&gt;6.31572&lt;/D&gt;&lt;D xsi:type="xsd:double"&gt;2.8523922&lt;/D&gt;&lt;D xsi:type="xsd:double"&gt;5.436039&lt;/D&gt;&lt;D xsi:type="xsd:double"&gt;20.207108&lt;/D&gt;&lt;D xsi:type="xsd:double"&gt;61.32288&lt;/D&gt;&lt;D xsi:type="xsd:double"&gt;52.801704&lt;/D&gt;&lt;D xsi:type="xsd:double"&gt;49.855625&lt;/D&gt;&lt;D xsi:type="xsd:double"&gt;40.880573&lt;/D&gt;&lt;D xsi:type="xsd:double"&gt;36.081635&lt;/D&gt;&lt;D xsi:type="xsd:double"&gt;37.136745&lt;/D&gt;&lt;D xsi:type="xsd:double"&gt;35.936092&lt;/D&gt;&lt;D xsi:type="xsd:double"&gt;51.49282&lt;/D&gt;&lt;D xsi:type="xsd:double"&gt;14.31595&lt;/D&gt;&lt;D xsi:type="xsd:double"&gt;21.472895&lt;/D&gt;&lt;D xsi:type="xsd:double"&gt;21.979439&lt;/D&gt;&lt;D xsi:type="xsd:double"&gt;2.8564095&lt;/D&gt;&lt;D xsi:type="xsd:double"&gt;4.6483636&lt;/D&gt;&lt;D xsi:type="xsd:double"&gt;-8.985215&lt;/D&gt;&lt;D xsi:type="xsd:double"&gt;-10.574895&lt;/D&gt;&lt;D xsi:type="xsd:double"&gt;-16.32346&lt;/D&gt;&lt;D xsi:type="xsd:double"&gt;-12.111277&lt;/D&gt;&lt;D xsi:type="xsd:double"&gt;-21.550888&lt;/D&gt;&lt;D xsi:type="xsd:double"&gt;-23.862099&lt;/D&gt;&lt;D xsi:type="xsd:double"&gt;-20.146221&lt;/D&gt;&lt;D xsi:type="xsd:double"&gt;-4.2354107&lt;/D&gt;&lt;D xsi:type="xsd:double"&gt;-11.827093&lt;/D&gt;&lt;D xsi:type="xsd:double"&gt;0.470376&lt;/D&gt;&lt;D xsi:type="xsd:double"&gt;11.609734&lt;/D&gt;&lt;D xsi:type="xsd:double"&gt;10.544372&lt;/D&gt;&lt;D xsi:type="xsd:double"&gt;24.110603&lt;/D&gt;&lt;D xsi:type="xsd:double"&gt;14.2774105&lt;/D&gt;&lt;D xsi:type="xsd:double"&gt;31.734324&lt;/D&gt;&lt;D xsi:type="xsd:double"&gt;24.542725&lt;/D&gt;&lt;D xsi:type="xsd:double"&gt;31.38839&lt;/D&gt;&lt;D xsi:type="xsd:double"&gt;36.30797&lt;/D&gt;&lt;D xsi:type="xsd:double"&gt;18.639542&lt;/D&gt;&lt;D xsi:type="xsd:double"&gt;13.988113&lt;/D&gt;&lt;D xsi:type="xsd:double"&gt;20.348692&lt;/D&gt;&lt;D xsi:type="xsd:double"&gt;7.3084116&lt;/D&gt;&lt;D xsi:type="xsd:double"&gt;12.643003&lt;/D&gt;&lt;D xsi:type="xsd:double"&gt;12.6472&lt;/D&gt;&lt;D xsi:type="xsd:double"&gt;3.7074566&lt;/D&gt;&lt;D xsi:type="xsd:double"&gt;15.972781&lt;/D&gt;&lt;D xsi:type="xsd:double"&gt;2.321279&lt;/D&gt;&lt;D xsi:type="xsd:double"&gt;-0.26054382&lt;/D&gt;&lt;/FQL&gt;&lt;FQL&gt;&lt;Q&gt;SPY^FG_COMPANY_NAME&lt;/Q&gt;&lt;R&gt;1&lt;/R&gt;&lt;C&gt;1&lt;/C&gt;&lt;D xsi:type="xsd:string"&gt;SPDR S&amp;amp;P 500 ETF Trust&lt;/D&gt;&lt;/FQL&gt;&lt;FQL&gt;&lt;Q&gt;EWL^FMA_ROE(NTMA,-20AY,NOW,FY,"PORTAGG","MEANR")&lt;/Q&gt;&lt;R&gt;20&lt;/R&gt;&lt;C&gt;1&lt;/C&gt;&lt;D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xsi:type="xsd:double"&gt;19.3024636413407&lt;/D&gt;&lt;/FQL&gt;&lt;FQL&gt;&lt;Q&gt;TRYIN10Y-FDS^FG_YIELD(-10AY,0,Y,,"YTM")&lt;/Q&gt;&lt;R&gt;10&lt;/R&gt;&lt;C&gt;1&lt;/C&gt;&lt;D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xsi:type="xsd:double"&gt;3.099&lt;/D&gt;&lt;/FQL&gt;&lt;FQL&gt;&lt;Q&gt;CAGDPY@GB^EE_ACTUAL_ANNUAL(MED,0)&lt;/Q&gt;&lt;R&gt;1&lt;/R&gt;&lt;C&gt;1&lt;/C&gt;&lt;D xsi:type="xsd:double"&gt;-3.3&lt;/D&gt;&lt;/FQL&gt;&lt;FQL&gt;&lt;Q&gt;CC_CH^FG_COMPANY_NAME&lt;/Q&gt;&lt;R&gt;1&lt;/R&gt;&lt;C&gt;1&lt;/C&gt;&lt;D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xsi:type="xsd:double"&gt;2.4021864&lt;/D&gt;&lt;/FQL&gt;&lt;FQL&gt;&lt;Q&gt;USDCHF^FG_PRICE_CHANGE(0,-6AM)&lt;/Q&gt;&lt;R&gt;1&lt;/R&gt;&lt;C&gt;1&lt;/C&gt;&lt;D xsi:type="xsd:double"&gt;1.4566779&lt;/D&gt;&lt;/FQL&gt;&lt;FQL&gt;&lt;Q&gt;USDUSD^FG_PRICE_CHANGE(0,-6AM)&lt;/Q&gt;&lt;R&gt;1&lt;/R&gt;&lt;C&gt;1&lt;/C&gt;&lt;D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xsi:type="xsd:double"&gt;0.33819675&lt;/D&gt;&lt;/FQL&gt;&lt;FQL&gt;&lt;Q&gt;USDAUD^FG_PRICE_CHANGE(0,-6AM)&lt;/Q&gt;&lt;R&gt;1&lt;/R&gt;&lt;C&gt;1&lt;/C&gt;&lt;D xsi:type="xsd:double"&gt;0.2757311&lt;/D&gt;&lt;/FQL&gt;&lt;FQL&gt;&lt;Q&gt;EWN^FMA_EPS(NTMA,-20AY,0,CY,,"PORTAGG","MEANR")&lt;/Q&gt;&lt;R&gt;20&lt;/R&gt;&lt;C&gt;1&lt;/C&gt;&lt;D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xsi:type="xsd:double"&gt;2.9556075049707</t>
        </r>
      </text>
    </comment>
    <comment ref="A6" authorId="0" shapeId="0" xr:uid="{6CF6E925-366B-47E8-99A9-2564E46C89B8}">
      <text>
        <r>
          <rPr>
            <b/>
            <sz val="9"/>
            <color indexed="81"/>
            <rFont val="Tahoma"/>
            <charset val="1"/>
          </rPr>
          <t>5&lt;/D&gt;&lt;/FQL&gt;&lt;FQL&gt;&lt;Q&gt;SPY^P_PRICE_RETURNS_PR('52W',2,-10AY,0,AM)&lt;/Q&gt;&lt;R&gt;121&lt;/R&gt;&lt;C&gt;1&lt;/C&gt;&lt;D xsi:type="xsd:double"&gt;15.014923&lt;/D&gt;&lt;D xsi:type="xsd:double"&gt;24.660957&lt;/D&gt;&lt;D xsi:type="xsd:double"&gt;16.99878&lt;/D&gt;&lt;D xsi:type="xsd:double"&gt;16.945076&lt;/D&gt;&lt;D xsi:type="xsd:double"&gt;15.88806&lt;/D&gt;&lt;D xsi:type="xsd:double"&gt;13.462114&lt;/D&gt;&lt;D xsi:type="xsd:double"&gt;13.454378&lt;/D&gt;&lt;D xsi:type="xsd:double"&gt;15.581285&lt;/D&gt;&lt;D xsi:type="xsd:double"&gt;11.402548&lt;/D&gt;&lt;D xsi:type="xsd:double"&gt;14.075815&lt;/D&gt;&lt;D xsi:type="xsd:double"&gt;11.947214&lt;/D&gt;&lt;D xsi:type="xsd:double"&gt;7.3809505&lt;/D&gt;&lt;D xsi:type="xsd:double"&gt;11.156249&lt;/D&gt;&lt;D xsi:type="xsd:double"&gt;-2.5788665&lt;/D&gt;&lt;D xsi:type="xsd:double"&gt;0.859046&lt;/D&gt;&lt;D xsi:type="xsd:double"&gt;6.39956&lt;/D&gt;&lt;D xsi:type="xsd:double"&gt;4.4639826&lt;/D&gt;&lt;D xsi:type="xsd:double"&gt;1.2520194&lt;/D&gt;&lt;D xsi:type="xsd:double"&gt;-0.887084&lt;/D&gt;&lt;D xsi:type="xsd:double"&gt;-4.000032&lt;/D&gt;&lt;D xsi:type="xsd:double"&gt;2.7596354&lt;/D&gt;&lt;D xsi:type="xsd:double"&gt;0.097203255&lt;/D&gt;&lt;D xsi:type="xsd:double"&gt;1.5260696&lt;/D&gt;&lt;D xsi:type="xsd:double"&gt;3.380084&lt;/D&gt;&lt;D xsi:type="xsd:double"&gt;5.314219&lt;/D&gt;&lt;D xsi:type="xsd:double"&gt;15.839958&lt;/D&gt;&lt;D xsi:type="xsd:double"&gt;15.318548&lt;/D&gt;&lt;D xsi:type="xsd:double"&gt;3.6792994&lt;/D&gt;&lt;D xsi:type="xsd:double"&gt;6.477022&lt;/D&gt;&lt;D xsi:type="xsd:double"&gt;10.880923&lt;/D&gt;&lt;D xsi:type="xsd:double"&gt;20.06973&lt;/D&gt;&lt;D xsi:type="xsd:double"&gt;23.636639&lt;/D&gt;&lt;D xsi:type="xsd:double"&gt;17.08033&lt;/D&gt;&lt;D xsi:type="xsd:double"&gt;18.074667&lt;/D&gt;&lt;D xsi:type="xsd:double"&gt;18.134462&lt;/D&gt;&lt;D xsi:type="xsd:double"&gt;17.782104&lt;/D&gt;&lt;D xsi:type="xsd:double"&gt;16.325474&lt;/D&gt;&lt;D xsi:type="xsd:double"&gt;16.328764&lt;/D&gt;&lt;D xsi:type="xsd:double"&gt;19.394566&lt;/D&gt;&lt;D xsi:type="xsd:double"&gt;24.49789&lt;/D&gt;&lt;D xsi:type="xsd:double"&gt;22.88295&lt;/D&gt;&lt;D xsi:type="xsd:double"&gt;21.255516&lt;/D&gt;&lt;D xsi:type="xsd:double"&gt;26.105917&lt;/D&gt;&lt;D xsi:type="xsd:double"&gt;13.809776&lt;/D&gt;&lt;D xsi:type="xsd:double"&gt;13.848591&lt;/D&gt;&lt;D xsi:type="xsd:double"&gt;13.132167&lt;/D&gt;&lt;D xsi:type="xsd:double"&gt;14.56604&lt;/D&gt;&lt;D xsi:type="xsd:double"&gt;14.497126&lt;/D&gt;&lt;D xsi:type="xsd:double"&gt;15.6790495&lt;/D&gt;&lt;D xsi:type="xsd:double"&gt;19.489134&lt;/D&gt;&lt;D xsi:type="xsd:double"&gt;18.236101&lt;/D&gt;&lt;D xsi:type="xsd:double"&gt;8.1566925&lt;/D&gt;&lt;D xsi:type="xsd:double"&gt;5.9098125&lt;/D&gt;&lt;D xsi:type="xsd:double"&gt;-4.557073&lt;/D&gt;&lt;D xsi:type="xsd:double"&gt;-2.257222&lt;/D&gt;&lt;D xsi:type="xsd:double"&gt;6.7546606&lt;/D&gt;&lt;D xsi:type="xsd:double"&gt;10.737955&lt;/D&gt;&lt;D xsi:type="xsd:double"&gt;12.273991&lt;/D&gt;&lt;D xsi:type="xsd:double"&gt;3.580451&lt;/D&gt;&lt;D xsi:type="xsd:double"&gt;11.154997&lt;/D&gt;&lt;D xsi:type="xsd:double"&gt;7.065785&lt;/D&gt;&lt;D xsi:type="xsd:double"&gt;2.7445555&lt;/D&gt;&lt;D xsi:type="xsd:double"&gt;2.5282264&lt;/D&gt;&lt;D xsi:type="xsd:double"&gt;14.169002&lt;/D&gt;&lt;D xsi:type="xsd:double"&gt;17.014767&lt;/D&gt;&lt;D xsi:type="xsd:double"&gt;31.221748&lt;/D&gt;&lt;D xsi:type="xsd:double"&gt;21.445179&lt;/D&gt;&lt;D xsi:type="xsd:double"&gt;8.319605&lt;/D&gt;&lt;D xsi:type="xsd:double"&gt;-12.099343&lt;/D&gt;&lt;D xsi:type="xsd:double"&gt;-1.084584&lt;/D&gt;&lt;D xsi:type="xsd:double"&gt;13.298321&lt;/D&gt;&lt;D xsi:type="xsd:double"&gt;7.1533084&lt;/D&gt;&lt;D xsi:type="xsd:double"&gt;12.00403&lt;/D&gt;&lt;D xsi:type="xsd:double"&gt;23.009682&lt;/D&gt;&lt;D xsi:type="xsd:double"&gt;17.195904&lt;/D&gt;&lt;D xsi:type="xsd:double"&gt;9.475517&lt;/D&gt;&lt;D xsi:type="xsd:double"&gt;18.741035&lt;/D&gt;&lt;D xsi:type="xsd:double"&gt;18.373215&lt;/D&gt;&lt;D xsi:type="xsd:double"&gt;19.165348&lt;/D&gt;&lt;D xsi:type="xsd:double"&gt;34.002148&lt;/D&gt;&lt;D xsi:type="xsd:double"&gt;65.37613&lt;/D&gt;&lt;D xsi:type="xsd:double"&gt;45.97652&lt;/D&gt;&lt;D xsi:type="xsd:double"&gt;39.565002&lt;/D&gt;&lt;D xsi:type="xsd:double"&gt;40.696526&lt;/D&gt;&lt;D xsi:type="xsd:double"&gt;37.39109&lt;/D&gt;&lt;D xsi:type="xsd:double"&gt;30.05718&lt;/D&gt;&lt;D xsi:type="xsd:double"&gt;30.667091&lt;/D&gt;&lt;D xsi:type="xsd:double"&gt;42.881836&lt;/D&gt;&lt;D xsi:type="xsd:double"&gt;24.826801&lt;/D&gt;&lt;D xsi:type="xsd:double"&gt;28.745068&lt;/D&gt;&lt;D xsi:type="xsd:double"&gt;22.01202&lt;/D&gt;&lt;D xsi:type="xsd:double"&gt;11.855518&lt;/D&gt;&lt;D xsi:type="xsd:double"&gt;14.555395&lt;/D&gt;&lt;D xsi:type="xsd:double"&gt;-0.6193757&lt;/D&gt;&lt;D xsi:type="xsd:double"&gt;-1.1088967&lt;/D&gt;&lt;D xsi:type="xsd:double"&gt;-10.165781&lt;/D&gt;&lt;D xsi:type="xsd:double"&gt;-4.9909296&lt;/D&gt;&lt;D xsi:type="xsd:double"&gt;-11.007118&lt;/D&gt;&lt;D xsi:type="xsd:double"&gt;-15.506047&lt;/D&gt;&lt;D xsi:type="xsd:double"&gt;-15.1482525&lt;/D&gt;&lt;D xsi:type="xsd:double"&gt;-8.200049&lt;/D&gt;&lt;D xsi:type="xsd:double"&gt;-18.377907&lt;/D&gt;&lt;D xsi:type="xsd:double"&gt;-7.830161&lt;/D&gt;&lt;D xsi:type="xsd:double"&gt;-6.7021666&lt;/D&gt;&lt;D xsi:type="xsd:double"&gt;-7.8076067&lt;/D&gt;&lt;D xsi:type="xsd:double"&gt;2.573347&lt;/D&gt;&lt;D xsi:type="xsd:double"&gt;4.743731&lt;/D&gt;&lt;D xsi:type="xsd:double"&gt;19.439352&lt;/D&gt;&lt;D xsi:type="xsd:double"&gt;12.959194&lt;/D&gt;&lt;D xsi:type="xsd:double"&gt;15.691757&lt;/D&gt;&lt;D xsi:type="xsd:double"&gt;19.705069&lt;/D&gt;&lt;D xsi:type="xsd:double"&gt;11.666859&lt;/D&gt;&lt;D xsi:type="xsd:double"&gt;14.48791&lt;/D&gt;&lt;D xsi:type="xsd:double"&gt;25.857162&lt;/D&gt;&lt;D xsi:type="xsd:double"&gt;20.907843&lt;/D&gt;&lt;D xsi:type="xsd:double"&gt;31.909966&lt;/D&gt;&lt;D xsi:type="xsd:double"&gt;29.403841&lt;/D&gt;&lt;D xsi:type="xsd:double"&gt;22.17244&lt;/D&gt;&lt;D xsi:type="xsd:double"&gt;28.048897&lt;/D&gt;&lt;D xsi:type="xsd:double"&gt;24.754059&lt;/D&gt;&lt;D xsi:type="xsd:double"&gt;20.62894&lt;/D&gt;&lt;/FQL&gt;&lt;FQL&gt;&lt;Q&gt;EWU^FG_TOTAL_RETURNC(-10AY,0,AM)&lt;/Q&gt;&lt;R&gt;121&lt;/R&gt;&lt;C&gt;1&lt;/C&gt;&lt;D xsi:type="xsd:double"&gt;-4.0796995&lt;/D&gt;&lt;D xsi:type="xsd:double"&gt;1.5825987&lt;/D&gt;&lt;D xsi:type="xsd:double"&gt;-6.767291&lt;/D&gt;&lt;D xsi:type="xsd:double"&gt;-0.73106885&lt;/D&gt;&lt;D xsi:type="xsd:double"&gt;0.15782118&lt;/D&gt;&lt;D xsi:type="xsd:double"&gt;-3.435564&lt;/D&gt;&lt;D xsi:type="xsd:double"&gt;0.055468082&lt;/D&gt;&lt;D xsi:type="xsd:double"&gt;5.875826&lt;/D&gt;&lt;D xsi:type="xsd:double"&gt;-5.078542&lt;/D&gt;&lt;D xsi:type="xsd:double"&gt;6.01213&lt;/D&gt;&lt;D xsi:type="xsd:double"&gt;-0.468266&lt;/D&gt;&lt;D xsi:type="xsd:double"&gt;-2.6485085&lt;/D&gt;&lt;D xsi:type="xsd:double"&gt;1.3668656&lt;/D&gt;&lt;D xsi:type="xsd:double"&gt;-11.43474&lt;/D&gt;&lt;D xsi:type="xsd:double"&gt;0.18271208&lt;/D&gt;&lt;D xsi:type="xsd:double"&gt;6.2005997&lt;/D&gt;&lt;D xsi:type="xsd:double"&gt;-0.6868839&lt;/D&gt;&lt;D xsi:type="xsd:double"&gt;-5.11654&lt;/D&gt;&lt;D xsi:type="xsd:double"&gt;-4.708791&lt;/D&gt;&lt;D xsi:type="xsd:double"&gt;-0.78023076&lt;/D&gt;&lt;D xsi:type="xsd:double"&gt;1.7693281&lt;/D&gt;&lt;D xsi:type="xsd:double"&gt;5.0225377&lt;/D&gt;&lt;D xsi:type="xsd:double"&gt;-1.716733&lt;/D&gt;&lt;D xsi:type="xsd:double"&gt;-1.751262&lt;/D&gt;&lt;D xsi:type="xsd:double"&gt;0.39037466&lt;/D&gt;&lt;D xsi:type="xsd:double"&gt;2.8515816&lt;/D&gt;&lt;D xsi:type="xsd:double"&gt;-0.18903613&lt;/D&gt;&lt;D xsi:type="xsd:double"&gt;-5.6186914&lt;/D&gt;&lt;D xsi:type="xsd:double"&gt;0.66889524&lt;/D&gt;&lt;D xsi:type="xsd:double"&gt;3.3720255&lt;/D&gt;&lt;D xsi:type="xsd:double"&gt;2.9651403&lt;/D&gt;&lt;D xsi:type="xsd:double"&gt;1.4557004&lt;/D&gt;&lt;D xsi:type="xsd:double"&gt;1.5283823&lt;/D&gt;&lt;D xsi:type="xsd:double"&gt;1.7818809&lt;/D&gt;&lt;D xsi:type="xsd:double"&gt;5.19166&lt;/D&gt;&lt;D xsi:type="xsd:double"&gt;-2.2163332&lt;/D&gt;&lt;D xsi:type="xsd:double"&gt;3.0602932&lt;/D&gt;&lt;D xsi:type="xsd:double"&gt;-1.0480285&lt;/D&gt;&lt;D xsi:type="xsd:double"&gt;2.5301456&lt;/D&gt;&lt;D xsi:type="xsd:double"&gt;0.057387352&lt;/D&gt;&lt;D xsi:type="xsd:double"&gt;0.17206669&lt;/D&gt;&lt;D xsi:type="xsd:double"&gt;4.485619&lt;/D&gt;&lt;D xsi:type="xsd:double"&gt;3.7409306&lt;/D&gt;&lt;D xsi:type="xsd:double"&gt;-7.7233553&lt;/D&gt;&lt;D xsi:type="xsd:double"&gt;1.3414979&lt;/D&gt;&lt;D xsi:type="xsd:double"&gt;3.7985563&lt;/D&gt;&lt;D xsi:type="xsd:double"&gt;0.55447817&lt;/D&gt;&lt;D xsi:type="xsd:double"&gt;-1.8272102&lt;/D&gt;&lt;D xsi:type="xsd:double"&gt;-0.31627417&lt;/D&gt;&lt;D xsi:type="xsd:double"&gt;-3.1727672&lt;/D&gt;&lt;D xsi:type="xsd:double"&gt;1.5490055&lt;/D&gt;&lt;D xsi:type="xsd:double"&gt;-4.8401356&lt;/D&gt;&lt;D xsi:type="xsd:double"&gt;-3.1134367&lt;/D&gt;&lt;D xsi:type="xsd:double"&gt;-4.5764627&lt;/D&gt;&lt;D xsi:type="xsd:double"&gt;7.666099&lt;/D&gt;&lt;D xsi:type="xsd:double"&gt;3.259492&lt;/D&gt;&lt;D xsi:type="xsd:double"&gt;2.5130272&lt;/D&gt;&lt;D xsi:type="xsd:double"&gt;-0.20926595&lt;/D&gt;&lt;D xsi:type="xsd:double"&gt;-5.062914&lt;/D&gt;&lt;D xsi:type="xsd:double"&gt;5.1231265&lt;/D&gt;&lt;D xsi:type="xsd:double"&gt;-4.03325&lt;/D&gt;&lt;D xsi:type="xsd:double"&gt;-2.6628137&lt;/D&gt;&lt;D xsi:type="xsd:double"&gt;2.439022&lt;/D&gt;&lt;D xsi:type="xsd:double"&gt;5.1480055&lt;/D&gt;&lt;D xsi:type="xsd:double"&gt;0.76498985&lt;/D&gt;&lt;D xsi:type="xsd:double"&gt;5.3659916&lt;/D&gt;&lt;D xsi:type="xsd:double"&gt;-4.281521&lt;/D&gt;&lt;D xsi:type="xsd:double"&gt;-10.2328415&lt;/D&gt;&lt;D xsi:type="xsd:double"&gt;-22.423208&lt;/D&gt;&lt;D xsi:type="xsd:double"&gt;8.183026&lt;/D&gt;&lt;D xsi:type="xsd:double"&gt;7.5233817&lt;/D&gt;&lt;D xsi:type="xsd:double"&gt;-0.40391684&lt;/D&gt;&lt;D xsi:type="xsd:double"&gt;-0.038552284&lt;/D&gt;&lt;D xsi:type="xsd:double"&gt;1.9282699&lt;/D&gt;&lt;D xsi:type="xsd:double"&gt;-3.3673823&lt;/D&gt;&lt;D xsi:type="xsd:double"&gt;-4.698515&lt;/D&gt;&lt;D xsi:type="xsd:double"&gt;19.515205&lt;/D&gt;&lt;D xsi:type="xsd:double"&gt;1.8411517&lt;/D&gt;&lt;D xsi:type="xsd:double"&gt;1.0242343&lt;/D&gt;&lt;D xsi:type="xsd:double"&gt;4.3257833&lt;/D&gt;&lt;D xsi:type="xsd:double"&gt;2.5915146&lt;/D&gt;&lt;D xsi:type="xsd:double"&gt;2.7155042&lt;/D&gt;&lt;D xsi:type="xsd:double"&gt;4.6418786&lt;/D&gt;&lt;D xsi:type="xsd:double"&gt;-1.6860425&lt;/D&gt;&lt;D xsi:type="xsd:double"&gt;-0.36462545&lt;/D&gt;&lt;D xsi:type="xsd:double"&gt;1.280868&lt;/D&gt;&lt;D xsi:type="xsd:double"&gt;-2.4691343&lt;/D&gt;&lt;D xsi:type="xsd:double"&gt;4.6310544&lt;/D&gt;&lt;D xsi:type="xsd:double"&gt;-6.137502&lt;/D&gt;&lt;D xsi:type="xsd:double"&gt;7.0490837&lt;/D&gt;&lt;D xsi:type="xsd:double"&gt;3.439951&lt;/D&gt;&lt;D xsi:type="xsd:double"&gt;-3.7047863&lt;/D&gt;&lt;D xsi:type="xsd:double"&gt;2.7870417&lt;/D&gt;&lt;D xsi:type="xsd:double"&gt;-4.8040094&lt;/D&gt;&lt;D xsi:type="xsd:double"&gt;1.2693524&lt;/D&gt;&lt;D xsi:type="xsd:double"&gt;-6.9435415&lt;/D&gt;&lt;D xsi:type="xsd:double"&gt;3.3790588&lt;/D&gt;&lt;D xsi:type="xsd:double"&gt;-8.02589&lt;/D&gt;&lt;D xsi:type="xsd:double"&gt;-7.7762184&lt;/D&gt;&lt;D xsi:type="xsd:double"&gt;8.202982&lt;/D&gt;&lt;D xsi:type="xsd:double"&gt;12.200284&lt;/D&gt;&lt;D xsi:type="xsd:double"&gt;-2.2037685&lt;/D&gt;&lt;D xsi:type="xsd:double"&gt;6.5883875&lt;/D&gt;&lt;D xsi:type="xsd:double"&gt;-0.61199665&lt;/D&gt;&lt;D xsi:type="xsd:double"&gt;-0.6773412&lt;/D&gt;&lt;D xsi:type="xsd:double"&gt;4.835713&lt;/D&gt;&lt;D xsi:type="xsd:double"&gt;-4.4648113&lt;/D&gt;&lt;D xsi:type="xsd:double"&gt;2.068746&lt;/D&gt;&lt;D xsi:type="xsd:double"&gt;2.0401835&lt;/D&gt;&lt;D xsi:type="xsd:double"&gt;-2.877909&lt;/D&gt;&lt;D xsi:type="xsd:double"&gt;-1.3100505&lt;/D&gt;&lt;D xsi:type="xsd:double"&gt;-3.1605542&lt;/D&gt;&lt;D xsi:type="xsd:double"&gt;7.3107123&lt;/D&gt;&lt;D xsi:type="xsd:double"&gt;2.8310895&lt;/D&gt;&lt;D xsi:type="xsd:double"&gt;-0.8169472&lt;/D&gt;&lt;D xsi:type="xsd:double"&gt;0.42709112&lt;/D&gt;&lt;D xsi:type="xsd:double"&gt;3.5844445&lt;/D&gt;&lt;D xsi:type="xsd:double"&gt;1.4369607&lt;/D&gt;&lt;D xsi:type="xsd:double"&gt;5.0014496&lt;/D&gt;&lt;D xsi:type="xsd:double"&gt;-2.2524953&lt;/D&gt;&lt;D xsi:type="xsd:double"&gt;2.4124026&lt;/D&gt;&lt;/FQL&gt;&lt;FQL&gt;&lt;Q&gt;EWJ^FMA_DIV_YLD(NTMA,-10AY,0,AM,"PORTAGG","MEANR")&lt;/Q&gt;&lt;R&gt;121&lt;/R&gt;&lt;C&gt;1&lt;/C&gt;&lt;D xsi:type="xsd:double"&gt;2.05814286020646&lt;/D&gt;&lt;D xsi:type="xsd:double"&gt;2.08374180140113&lt;/D&gt;&lt;D xsi:type="xsd:double"&gt;2.03634028866475&lt;/D&gt;&lt;D xsi:type="xsd:double"&gt;2.02193698969938&lt;/D&gt;&lt;D xsi:type="xsd:double"&gt;1.93451284774106&lt;/D&gt;&lt;D xsi:type="xsd:double"&gt;1.96975335127454&lt;/D&gt;&lt;D xsi:type="xsd:double"&gt;2.00593789587793&lt;/D&gt;&lt;D xsi:type="xsd:double"&gt;1.87834190262488&lt;/D&gt;&lt;D xsi:type="xsd:double"&gt;1.90233720110599&lt;/D&gt;&lt;D xsi:type="xsd:double"&gt;1.86203725739815&lt;/D&gt;&lt;D xsi:type="xsd:double"&gt;1.83350131096929&lt;/D&gt;&lt;D xsi:type="xsd:double"&gt;1.91473264454382&lt;/D&gt;&lt;D xsi:type="xsd:double"&gt;1.89755667769649&lt;/D&gt;&lt;D xsi:type="xsd:double"&gt;2.15734600819299&lt;/D&gt;&lt;D xsi:type="xsd:double"&gt;2.2209929115241&lt;/D&gt;&lt;D xsi:type="xsd:double"&gt;2.05135413929023&lt;/D&gt;&lt;D xsi:type="xsd:double"&gt;2.01136496254557&lt;/D&gt;&lt;D xsi:type="xsd:double"&gt;2.09547306420622&lt;/D&gt;&lt;D xsi:type="xsd:double"&gt;2.23140332703741&lt;/D&gt;&lt;D xsi:type="xsd:double"&gt;2.47541155208697&lt;/D&gt;&lt;D xsi:type="xsd:double"&gt;2.48429726034848&lt;/D&gt;&lt;D xsi:type="xsd:double"&gt;2.39094788334759&lt;/D&gt;&lt;D xsi:type="xsd:double"&gt;2.32325332913153&lt;/D&gt;&lt;D xsi:type="xsd:double"&gt;2.5223679725129&lt;/D&gt;&lt;D xsi:type="xsd:double"&gt;2.38255002220849&lt;/D&gt;&lt;D xsi:type="xsd:double"&gt;2.34983259956945&lt;/D&gt;&lt;D xsi:type="xsd:double"&gt;2.40739452323872&lt;/D&gt;&lt;D xsi:type="xsd:double"&gt;2.30504600635411&lt;/D&gt;&lt;D xsi:type="xsd:double"&gt;2.15897688704514&lt;/D&gt;&lt;D xsi:type="xsd:double"&gt;2.12454937200345&lt;/D&gt;&lt;D xsi:type="xsd:double"&gt;2.14099416300882&lt;/D&gt;&lt;D xsi:type="xsd:double"&gt;2.13860392681546&lt;/D&gt;&lt;D xsi:type="xsd:double"&gt;2.21969245043735&lt;/D&gt;&lt;D xsi:type="xsd:double"&gt;2.20191768844144&lt;/D&gt;&lt;D xsi:type="xsd:double"&gt;2.17822281117946&lt;/D&gt;&lt;D xsi:type="xsd:double"&gt;2.17029687936999&lt;/D&gt;&lt;D xsi:type="xsd:double"&gt;2.16232213439309&lt;/D&gt;&lt;D xsi:type="xsd:double"&gt;2.20887719488853&lt;/D&gt;&lt;D xsi:type="xsd:double"&gt;2.15654878610097&lt;/D&gt;&lt;D xsi:type="xsd:double"&gt;2.04378421270845&lt;/D&gt;&lt;D xsi:type="xsd:double"&gt;2.07112668125357&lt;/D&gt;&lt;D xsi:type="xsd:double"&gt;2.05879632782467&lt;/D&gt;&lt;D xsi:type="xsd:double"&gt;2.02300119512866&lt;/D&gt;&lt;D xsi:type="xsd:double"&gt;2.22461620649654&lt;/D&gt;&lt;D xsi:type="xsd:double"&gt;2.28771578081579&lt;/D&gt;&lt;D xsi:type="xsd:double"&gt;2.2111522083347&lt;/D&gt;&lt;D xsi:type="xsd:double"&gt;2.27187897061566&lt;/D&gt;&lt;D xsi:type="xsd:double"&gt;2.30306871971896&lt;/D&gt;&lt;D xsi:type="xsd:double"&gt;2.2580483089028&lt;/D&gt;&lt;D xsi:type="xsd:double"&gt;2.31702072981049&lt;/D&gt;&lt;D xsi:type="xsd:double"&gt;2.21943549170658&lt;/D&gt;&lt;D xsi:type="xsd:double"&gt;2.48462515239147&lt;/D&gt;&lt;D xsi:type="xsd:double"&gt;2.46597273404865&lt;/D&gt;&lt;D xsi:type="xsd:double"&gt;2.75200807077962&lt;/D&gt;&lt;D xsi:type="xsd:double"&gt;2.63492681885579&lt;/D&gt;&lt;D xsi:type="xsd:double"&gt;2.55430607502661&lt;/D&gt;&lt;D xsi:type="xsd:double"&gt;2.56538605605482&lt;/D&gt;&lt;D xsi:type="xsd:double"&gt;2.56707640670251&lt;/D&gt;&lt;D xsi:type="xsd:double"&gt;2.75374577992844&lt;/D&gt;&lt;D xsi:type="xsd:double"&gt;2.62785611128688&lt;/D&gt;&lt;D xsi:type="xsd:double"&gt;2.66212344753311&lt;/D&gt;&lt;D xsi:type="xsd:double"&gt;2.78888071898197&lt;/D&gt;&lt;D xsi:type="xsd:double"&gt;2.60018063503101&lt;/D&gt;&lt;D xsi:type="xsd:double"&gt;2.51621352697338&lt;/D&gt;&lt;D xsi:type="xsd:double"&gt;2.46703565069828&lt;/D&gt;&lt;D xsi:type="xsd:double"&gt;2.44403377931989&lt;/D&gt;&lt;D xsi:type="xsd:double"&gt;2.497079968089&lt;/D&gt;&lt;D xsi:type="xsd:double"&gt;2.76169772404813&lt;/D&gt;&lt;D xsi:type="xsd:double"&gt;3.09370347891828&lt;/D&gt;&lt;D xsi:type="xsd:double"&gt;2.86541512025376&lt;/D&gt;&lt;D xsi:type="xsd:double"&gt;2.53995558413346&lt;/D&gt;&lt;D xsi:type="xsd:double"&gt;2.54372922801973&lt;/D&gt;&lt;D xsi:type="xsd:double"&gt;2.60440371300354&lt;/D&gt;&lt;D xsi:type="xsd:double"&gt;2.38175545627247&lt;/D&gt;&lt;D xsi:type="xsd:double"&gt;2.3949548893292&lt;/D&gt;&lt;D xsi:type="xsd:double"&gt;2.466602287426&lt;/D&gt;&lt;D xsi:type="xsd:double"&gt;2.17118645529453&lt;/D&gt;&lt;D xsi:type="xsd:double"&gt;2.13994843907004&lt;/D&gt;&lt;D xsi:type="xsd:double"&gt;2.13046437268171&lt;/D&gt;&lt;D xsi:type="xsd:double"&gt;2.08451046627909&lt;/D&gt;&lt;D xsi:type="xsd:double"&gt;2.06397660576062&lt;/D&gt;&lt;D xsi:type="xsd:double"&gt;2.15617238268872&lt;/D&gt;&lt;D xsi:type="xsd:double"&gt;2.17536659875462&lt;/D&gt;&lt;D xsi:type="xsd:double"&gt;2.20284538857995&lt;/D&gt;&lt;D xsi:type="xsd:double"&gt;2.27318058246774&lt;/D&gt;&lt;D xsi:type="xsd:double"&gt;2.23123106444581&lt;/D&gt;&lt;D xsi:type="xsd:double"&gt;2.25075954437269&lt;/D&gt;&lt;D xsi:type="xsd:double"&gt;2.21008151366312&lt;/D&gt;&lt;D xsi:type="xsd:double"&gt;2.34870858831146&lt;/D&gt;&lt;D xsi:type="xsd:double"&gt;2.31313540294848&lt;/D&gt;&lt;D xsi:type="xsd:double"&gt;2.4664710062583&lt;/D&gt;&lt;D xsi:type="xsd:double"&gt;2.54571887873058&lt;/D&gt;&lt;D xsi:type="xsd:double"&gt;2.51459229377345&lt;/D&gt;&lt;D xsi:type="xsd:double"&gt;2.59144098377952&lt;/D&gt;&lt;D xsi:type="xsd:double"&gt;2.5709958766415&lt;/D&gt;&lt;D xsi:type="xsd:double"&gt;2.74049664909012&lt;/D&gt;&lt;D xsi:type="xsd:double"&gt;2.58668634079791&lt;/D&gt;&lt;D xsi:type="xsd:double"&gt;2.63330695874421&lt;/D&gt;&lt;D xsi:type="xsd:double"&gt;2.81776405651262&lt;/D&gt;&lt;D xsi:type="xsd:double"&gt;2.65931661182964&lt;/D&gt;&lt;D xsi:type="xsd:double"&gt;2.59808834266289&lt;/D&gt;&lt;D xsi:type="xsd:double"&gt;2.76264104078828&lt;/D&gt;&lt;D xsi:type="xsd:double"&gt;2.63263923818439&lt;/D&gt;&lt;D xsi:type="xsd:double"&gt;2.61135392112718&lt;/D&gt;&lt;D xsi:type="xsd:double"&gt;2.62177551633838&lt;/D&gt;&lt;D xsi:type="xsd:double"&gt;2.53804062688529&lt;/D&gt;&lt;D xsi:type="xsd:double"&gt;2.45893109866111&lt;/D&gt;&lt;D xsi:type="xsd:double"&gt;2.3287754881267&lt;/D&gt;&lt;D xsi:type="xsd:double"&gt;2.31517050581848&lt;/D&gt;&lt;D xsi:type="xsd:double"&gt;2.33595613413281&lt;/D&gt;&lt;D xsi:type="xsd:double"&gt;2.3888924504773&lt;/D&gt;&lt;D xsi:type="xsd:double"&gt;2.42221124592133&lt;/D&gt;&lt;D xsi:type="xsd:double"&gt;2.38519926028459&lt;/D&gt;&lt;D xsi:type="xsd:double"&gt;2.42815251022587&lt;/D&gt;&lt;D xsi:type="xsd:double"&gt;2.27890319313578&lt;/D&gt;&lt;D xsi:type="xsd:double"&gt;2.15032087000016&lt;/D&gt;&lt;D xsi:type="xsd:double"&gt;2.18762481570174&lt;/D&gt;&lt;D xsi:type="xsd:double"&gt;2.21885777794466&lt;/D&gt;&lt;D xsi:type="xsd:double"&gt;2.22778838868481&lt;/D&gt;&lt;D xsi:type="xsd:double"&gt;2.224113393115&lt;/D&gt;&lt;D xsi:type="xsd:double"&gt;2.31215023004139&lt;/D&gt;&lt;/FQL&gt;&lt;FQL&gt;&lt;Q&gt;EWC^FMA_PE(NTMA,-10AY,0,AM,"PORTAGG","MEANR")&lt;/Q&gt;&lt;R&gt;121&lt;/R&gt;&lt;C&gt;1&lt;/C&gt;&lt;D xsi:type="xsd:double"&gt;14.9744452914376&lt;/D&gt;&lt;D xsi:type="xsd:double"&gt;15.2353364171694&lt;/D&gt;&lt;D xsi:type="xsd:double"&gt;14.2947664585205&lt;/D&gt;&lt;D xsi:type="xsd:double"&gt;14.3528473978999&lt;/D&gt;&lt;D xsi:type="xsd:double"&gt;14.6196410291488&lt;/D&gt;&lt;D xsi:type="xsd:double"&gt;15.505252280155&lt;/D&gt;&lt;D xsi:type="xsd:double"&gt;16.4931730592505&lt;/D&gt;&lt;D xsi:type="xsd:double"&gt;17.5003578800495&lt;/D&gt;&lt;D xsi:type="xsd:double"&gt;17.001418767197&lt;/D&gt;&lt;D xsi:type="xsd:double"&gt;17.3653448047375&lt;/D&gt;&lt;D xsi:type="xsd:double"&gt;16.6074128002818&lt;/D&gt;&lt;D xsi:type="xsd:double"&gt;15.8812342490629&lt;/D&gt;&lt;D xsi:type="xsd:double"&gt;15.6583481174536&lt;/D&gt;&lt;D xsi:type="xsd:double"&gt;14.510276396401&lt;/D&gt;&lt;D xsi:type="xsd:double"&gt;14.3813787100297&lt;/D&gt;&lt;D xsi:type="xsd:double"&gt;14.7494103952787&lt;/D&gt;&lt;D xsi:type="xsd:double"&gt;14.8229585886407&lt;/D&gt;&lt;D xsi:type="xsd:double"&gt;14.1218582708115&lt;/D&gt;&lt;D xsi:type="xsd:double"&gt;14.3080428817242&lt;/D&gt;&lt;D xsi:type="xsd:double"&gt;15.0369506080043&lt;/D&gt;&lt;D xsi:type="xsd:double"&gt;15.8880851041344&lt;/D&gt;&lt;D xsi:type="xsd:double"&gt;16.6967421165616&lt;/D&gt;&lt;D xsi:type="xsd:double"&gt;16.5604014537565&lt;/D&gt;&lt;D xsi:type="xsd:double"&gt;16.292351603394&lt;/D&gt;&lt;D xsi:type="xsd:double"&gt;16.4280279171271&lt;/D&gt;&lt;D xsi:type="xsd:double"&gt;16.3288547819539&lt;/D&gt;&lt;D xsi:type="xsd:double"&gt;16.1062542230975&lt;/D&gt;&lt;D xsi:type="xsd:double"&gt;15.7784976247736&lt;/D&gt;&lt;D xsi:type="xsd:double"&gt;15.8678371798218&lt;/D&gt;&lt;D xsi:type="xsd:double"&gt;15.7399936479628&lt;/D&gt;&lt;D xsi:type="xsd:double"&gt;15.942369651631&lt;/D&gt;&lt;D xsi:type="xsd:double"&gt;16.0796764797031&lt;/D&gt;&lt;D xsi:type="xsd:double"&gt;15.8540727266835&lt;/D&gt;&lt;D xsi:type="xsd:double"&gt;15.6813937198288&lt;/D&gt;&lt;D xsi:type="xsd:double"&gt;15.5455420683111&lt;/D&gt;&lt;D xsi:type="xsd:double"&gt;15.231540248212&lt;/D&gt;&lt;D xsi:type="xsd:double"&gt;15.6550222714376&lt;/D&gt;&lt;D xsi:type="xsd:double"&gt;15.3768543989389&lt;/D&gt;&lt;D xsi:type="xsd:double"&gt;15.7716774901123&lt;/D&gt;&lt;D xsi:type="xsd:double"&gt;15.9299452220098&lt;/D&gt;&lt;D xsi:type="xsd:double"&gt;15.9235049953578&lt;/D&gt;&lt;D xsi:type="xsd:double"&gt;15.9212397952306&lt;/D&gt;&lt;D xsi:type="xsd:double"&gt;15.136807751946&lt;/D&gt;&lt;D xsi:type="xsd:double"&gt;14.3155710689367&lt;/D&gt;&lt;D xsi:type="xsd:double"&gt;14.1789927411653&lt;/D&gt;&lt;D xsi:type="xsd:double"&gt;14.148227749658&lt;/D&gt;&lt;D xsi:type="xsd:double"&gt;14.1750368162333&lt;/D&gt;&lt;D xsi:type="xsd:double"&gt;14.2442586935319&lt;/D&gt;&lt;D xsi:type="xsd:double"&gt;14.1304579203504&lt;/D&gt;&lt;D xsi:type="xsd:double"&gt;13.8050323583318&lt;/D&gt;&lt;D xsi:type="xsd:double"&gt;13.6113053798559&lt;/D&gt;&lt;D xsi:type="xsd:double"&gt;12.6475585580421&lt;/D&gt;&lt;D xsi:type="xsd:double"&gt;12.6754421217113&lt;/D&gt;&lt;D xsi:type="xsd:double"&gt;12.1168899695446&lt;/D&gt;&lt;D xsi:type="xsd:double"&gt;13.6454069515695&lt;/D&gt;&lt;D xsi:type="xsd:double"&gt;14.1889227458099&lt;/D&gt;&lt;D xsi:type="xsd:double"&gt;14.2059028204486&lt;/D&gt;&lt;D xsi:type="xsd:double"&gt;13.8488284215153&lt;/D&gt;&lt;D xsi:type="xsd:double"&gt;13.3428339807209&lt;/D&gt;&lt;D xsi:type="xsd:double"&gt;13.6776593019833&lt;/D&gt;&lt;D xsi:type="xsd:double"&gt;13.6663481350531&lt;/D&gt;&lt;D xsi:type="xsd:double"&gt;13.644417231601&lt;/D&gt;&lt;D xsi:type="xsd:double"&gt;13.7667889785257&lt;/D&gt;&lt;D xsi:type="xsd:double"&gt;14.0478473496486&lt;/D&gt;&lt;D xsi:type="xsd:double"&gt;14.3781711187593&lt;/D&gt;&lt;D xsi:type="xsd:double"&gt;14.4121870789133&lt;/D&gt;&lt;D xsi:type="xsd:double"&gt;14.4576735763296&lt;/D&gt;&lt;D xsi:type="xsd:double"&gt;13.7130085427237&lt;/D&gt;&lt;D xsi:type="xsd:double"&gt;12.8291318137985&lt;/D&gt;&lt;D xsi:type="xsd:double"&gt;16.3983591720723&lt;/D&gt;&lt;D xsi:type="xsd:double"&gt;17.8892350493096&lt;/D&gt;&lt;D xsi:type="xsd:double"&gt;17.6073891550479&lt;/D&gt;&lt;D xsi:type="xsd:double"&gt;17.5936137431103&lt;/D&gt;&lt;D xsi:type="xsd:double"&gt;17.3230550111528&lt;/D&gt;&lt;D xsi:type="xsd:double"&gt;16.1984080538866&lt;/D&gt;&lt;D xsi:type="xsd:double"&gt;15.1667901201261&lt;/D&gt;&lt;D xsi:type="xsd:double"&gt;16.1652753820244&lt;/D&gt;&lt;D xsi:type="xsd:double"&gt;15.7520462514364&lt;/D&gt;&lt;D xsi:type="xsd:double"&gt;15.6786301124739&lt;/D&gt;&lt;D xsi:type="xsd:double"&gt;15.3694524977773&lt;/D&gt;&lt;D xsi:type="xsd:double"&gt;15.5223416392423&lt;/D&gt;&lt;D xsi:type="xsd:double"&gt;15.4366133742316&lt;/D&gt;&lt;D xsi:type="xsd:double"&gt;15.57935203722&lt;/D&gt;&lt;D xsi:type="xsd:double"&gt;15.5620466670284&lt;/D&gt;&lt;D xsi:type="xsd:double"&gt;15.0882773573153&lt;/D&gt;&lt;D xsi:type="xsd:double"&gt;14.9203660769274&lt;/D&gt;&lt;D xsi:type="xsd:double"&gt;14.4003158722003&lt;/D&gt;&lt;D xsi:type="xsd:double"&gt;15.0212924910747&lt;/D&gt;&lt;D xsi:type="xsd:double"&gt;14.0155740030182&lt;/D&gt;&lt;D xsi:type="xsd:double"&gt;14.4230586367119&lt;/D&gt;&lt;D xsi:type="xsd:double"&gt;14.2199006260756&lt;/D&gt;&lt;D xsi:type="xsd:double"&gt;13.8023575090253&lt;/D&gt;&lt;D xsi:type="xsd:double"&gt;13.5781892894371&lt;/D&gt;&lt;D xsi:type="xsd:double"&gt;12.6062626781824&lt;/D&gt;&lt;D xsi:type="xsd:double"&gt;12.4038986917144&lt;/D&gt;&lt;D xsi:type="xsd:double"&gt;11.2255879530961&lt;/D&gt;&lt;D xsi:type="xsd:double"&gt;11.5908058654927&lt;/D&gt;&lt;D xsi:type="xsd:double"&gt;11.2315713081662&lt;/D&gt;&lt;D xsi:type="xsd:double"&gt;10.7655574557414&lt;/D&gt;&lt;D xsi:type="xsd:double"&gt;11.5646885748511&lt;/D&gt;&lt;D xsi:type="xsd:double"&gt;12.4683983328945&lt;/D&gt;&lt;D xsi:type="xsd:double"&gt;11.9052655645163&lt;/D&gt;&lt;D xsi:type="xsd:double"&gt;13.043905507496&lt;/D&gt;&lt;D xsi:type="xsd:double"&gt;12.7178544833062&lt;/D&gt;&lt;D xsi:type="xsd:double"&gt;12.7462780514334&lt;/D&gt;&lt;D xsi:type="xsd:double"&gt;13.0613046305801&lt;/D&gt;&lt;D xsi:type="xsd:double"&gt;12.6993906558475&lt;/D&gt;&lt;D xsi:type="xsd:double"&gt;13.0104265560103&lt;/D&gt;&lt;D xsi:type="xsd:double"&gt;13.4790635998938&lt;/D&gt;&lt;D xsi:type="xsd:double"&gt;13.3546044330381&lt;/D&gt;&lt;D xsi:type="xsd:double"&gt;12.6003534314073&lt;/D&gt;&lt;D xsi:type="xsd:double"&gt;12.1913158143722&lt;/D&gt;&lt;D xsi:type="xsd:double"&gt;13.1174459148558&lt;/D&gt;&lt;D xsi:type="xsd:double"&gt;13.6734699817368&lt;/D&gt;&lt;D xsi:type="xsd:double"&gt;13.8740349314688&lt;/D&gt;&lt;D xsi:type="xsd:double"&gt;14.3279871696125&lt;/D&gt;&lt;D xsi:type="xsd:double"&gt;14.6324596904713&lt;/D&gt;&lt;D xsi:type="xsd:double"&gt;14.0517154417633&lt;/D&gt;&lt;D xsi:type="xsd:double"&gt;14.3125402522089&lt;/D&gt;&lt;D xsi:type="xsd:double"&gt;13.9260134154017&lt;/D&gt;&lt;D xsi:type="xsd:double"&gt;14.3643577959352&lt;/D&gt;&lt;/FQL&gt;&lt;FQL&gt;&lt;Q&gt;ENZL^FMA_PE(LTMA,-10AY,0,AM,"PORTAGG","MEANR")&lt;/Q&gt;&lt;R&gt;121&lt;/R&gt;&lt;C&gt;1&lt;/C&gt;&lt;D xsi:type="xsd:double"&gt;17.9250695119331&lt;/D&gt;&lt;D xsi:type="xsd:double"&gt;18.0499421595283&lt;/D&gt;&lt;D xsi:type="xsd:double"&gt;17.9749527694653&lt;/D&gt;&lt;D xsi:type="xsd:double"&gt;18.3922776203662&lt;/D&gt;&lt;D xsi:type="xsd:double"&gt;18.6965745352977&lt;/D&gt;&lt;D xsi:type="xsd:double"&gt;19.1978195738568&lt;/D&gt;&lt;D xsi:type="xsd:double"&gt;19.8353719172872&lt;/D&gt;&lt;D xsi:type="xsd:double"&gt;20.5337322033324&lt;/D&gt;&lt;D xsi:type="xsd:double"&gt;20.2804556239724&lt;/D&gt;&lt;D xsi:type="xsd:double"&gt;20.1000815154015&lt;/D&gt;&lt;D xsi:type="xsd:double"&gt;20.035081970229&lt;/D&gt;&lt;D xsi:type="xsd:double"&gt;19.788252593828&lt;/D&gt;&lt;D xsi:type="xsd:double"&gt;19.8477085315348&lt;/D&gt;&lt;D xsi:type="xsd:double"&gt;19.2448752718581&lt;/D&gt;&lt;D xsi:type="xsd:double"&gt;18.6002362660463&lt;/D&gt;&lt;D xsi:type="xsd:double"&gt;19.4731393543498&lt;/D&gt;&lt;D xsi:type="xsd:double"&gt;19.7119633425702&lt;/D&gt;&lt;D xsi:type="xsd:double"&gt;19.8617758299773&lt;/D&gt;&lt;D xsi:type="xsd:double"&gt;19.1662283557657&lt;/D&gt;&lt;D xsi:type="xsd:double"&gt;19.2802050885351&lt;/D&gt;&lt;D xsi:type="xsd:double"&gt;19.333984789594&lt;/D&gt;&lt;D xsi:type="xsd:double"&gt;19.4245354060829&lt;/D&gt;&lt;D xsi:type="xsd:double"&gt;19.8214919475842&lt;/D&gt;&lt;D xsi:type="xsd:double"&gt;19.7077987621199&lt;/D&gt;&lt;D xsi:type="xsd:double"&gt;20.5768317286497&lt;/D&gt;&lt;D xsi:type="xsd:double"&gt;20.9730162544288&lt;/D&gt;&lt;D xsi:type="xsd:double"&gt;20.9571967123212&lt;/D&gt;&lt;D xsi:type="xsd:double"&gt;20.0095295907038&lt;/D&gt;&lt;D xsi:type="xsd:double"&gt;20.1229182100543&lt;/D&gt;&lt;D xsi:type="xsd:double"&gt;19.9705823649528&lt;/D&gt;&lt;D xsi:type="xsd:double"&gt;20.3965413563894&lt;/D&gt;&lt;D xsi:type="xsd:double"&gt;19.6950524108203&lt;/D&gt;&lt;D xsi:type="xsd:double"&gt;19.7808677360449&lt;/D&gt;&lt;D xsi:type="xsd:double"&gt;19.9291991379736&lt;/D&gt;&lt;D xsi:type="xsd:double"&gt;19.9543554132187&lt;/D&gt;&lt;D xsi:type="xsd:double"&gt;20.1012546266455&lt;/D&gt;&lt;D xsi:type="xsd:double"&gt;20.4582311528892&lt;/D&gt;&lt;D xsi:type="xsd:double"&gt;20.6091379600415&lt;/D&gt;&lt;D xsi:type="xsd:double"&gt;20.6402295727802&lt;/D&gt;&lt;D xsi:type="xsd:double"&gt;21.2211379386903&lt;/D&gt;&lt;D xsi:type="xsd:double"&gt;21.5609239490599&lt;/D&gt;&lt;D xsi:type="xsd:double"&gt;22.3889251547657&lt;/D&gt;&lt;D xsi:type="xsd:double"&gt;22.408880497924&lt;/D&gt;&lt;D xsi:type="xsd:double"&gt;22.6120371926694&lt;/D&gt;&lt;D xsi:type="xsd:double"&gt;22.3954716683229&lt;/D&gt;&lt;D xsi:type="xsd:double"&gt;22.3024254741942&lt;/D&gt;&lt;D xsi:type="xsd:double"&gt;22.4265512501182&lt;/D&gt;&lt;D xsi:type="xsd:double"&gt;22.8475905494538&lt;/D&gt;&lt;D xsi:type="xsd:double"&gt;22.7902458649668&lt;/D&gt;&lt;D xsi:type="xsd:double"&gt;23.757388864391&lt;/D&gt;&lt;D xsi:type="xsd:double"&gt;23.5314241077826&lt;/D&gt;&lt;D xsi:type="xsd:double"&gt;22.8305175675&lt;/D&gt;&lt;D xsi:type="xsd:double"&gt;22.721928670499&lt;/D&gt;&lt;D xsi:type="xsd:double"&gt;22.9740924814715&lt;/D&gt;&lt;D xsi:type="xsd:double"&gt;23.2798198585488&lt;/D&gt;&lt;D xsi:type="xsd:double"&gt;24.1854317851912&lt;/D&gt;&lt;D xsi:type="xsd:double"&gt;24.1600819461599&lt;/D&gt;&lt;D xsi:type="xsd:double"&gt;24.1634460485346&lt;/D&gt;&lt;D xsi:type="xsd:double"&gt;24.2756481212711&lt;/D&gt;&lt;D xsi:type="xsd:double"&gt;24.6781095299587&lt;/D&gt;&lt;D xsi:type="xsd:double"&gt;25.4028299314704&lt;/D&gt;&lt;D xsi:type="xsd:double"&gt;27.6180524236735&lt;/D&gt;&lt;D xsi:type="xsd:double"&gt;28.7843748564908&lt;/D&gt;&lt;D xsi:type="xsd:double"&gt;28.8281061316689&lt;/D&gt;&lt;D xsi:type="xsd:double"&gt;31.2537203147485&lt;/D&gt;&lt;D xsi:type="xsd:double"&gt;32.3417714961783&lt;/D&gt;&lt;D xsi:type="xsd:double"&gt;32.637837937192&lt;/D&gt;&lt;D xsi:type="xsd:double"&gt;31.1164202842496&lt;/D&gt;&lt;D xsi:type="xsd:double"&gt;30.5051325556334&lt;/D&gt;&lt;D xsi:type="xsd:double"&gt;31.4631260359205&lt;/D&gt;&lt;D xsi:type="xsd:double"&gt;31.8858458812398&lt;/D&gt;&lt;D xsi:type="xsd:double"&gt;32.5414363620351&lt;/D&gt;&lt;D xsi:type="xsd:double"&gt;33.6752292840071&lt;/D&gt;&lt;D xsi:type="xsd:double"&gt;33.8037583201397&lt;/D&gt;&lt;D xsi:type="xsd:double"&gt;33.8854196442925&lt;/D&gt;&lt;D xsi:type="xsd:double"&gt;34.8687428432479&lt;/D&gt;&lt;D xsi:type="xsd:double"&gt;36.2610757178637&lt;/D&gt;&lt;D xsi:type="xsd:double"&gt;37.9280375106667&lt;/D&gt;&lt;D xsi:type="xsd:double"&gt;36.8347668250929&lt;/D&gt;&lt;D xsi:type="xsd:double"&gt;34.4544122939392&lt;/D&gt;&lt;D xsi:type="xsd:double"&gt;34.4420911347834&lt;/D&gt;&lt;D xsi:type="xsd:double"&gt;34.5850753527358&lt;/D&gt;&lt;D xsi:type="xsd:double"&gt;35.1574532084007&lt;/D&gt;&lt;D xsi:type="xsd:double"&gt;36.2338154932779&lt;/D&gt;&lt;D xsi:type="xsd:double"&gt;36.4057314824182&lt;/D&gt;&lt;D xsi:type="xsd:double"&gt;38.3526799202234&lt;/D&gt;&lt;D xsi:type="xsd:double"&gt;38.9620878831889&lt;/D&gt;&lt;D xsi:type="xsd:double"&gt;39.1577927426379&lt;/D&gt;&lt;D xsi:type="xsd:double"&gt;37.8848143327021&lt;/D&gt;&lt;D xsi:type="xsd:double"&gt;39.3549452476964&lt;/D&gt;&lt;D xsi:type="xsd:double"&gt;36.412944980986&lt;/D&gt;&lt;D xsi:type="xsd:double"&gt;35.3242590203779&lt;/D&gt;&lt;D xsi:type="xsd:double"&gt;35.014480592642&lt;/D&gt;&lt;D xsi:type="xsd:double"&gt;34.6100890008135&lt;/D&gt;&lt;D xsi:type="xsd:double"&gt;33.7183800408635&lt;/D&gt;&lt;D xsi:type="xsd:double"&gt;32.7706817688362&lt;/D&gt;&lt;D xsi:type="xsd:double"&gt;33.2626139163648&lt;/D&gt;&lt;D xsi:type="xsd:double"&gt;34.1727620203367&lt;/D&gt;&lt;D xsi:type="xsd:double"&gt;31.7065092068335&lt;/D&gt;&lt;D xsi:type="xsd:double"&gt;31.5490920119887&lt;/D&gt;&lt;D xsi:type="xsd:double"&gt;30.111392557184&lt;/D&gt;&lt;D xsi:type="xsd:double"&gt;29.0383466191266&lt;/D&gt;&lt;D xsi:type="xsd:double"&gt;30.0381399025016&lt;/D&gt;&lt;D xsi:type="xsd:double"&gt;29.5490590814853&lt;/D&gt;&lt;D xsi:type="xsd:double"&gt;28.9469486321736&lt;/D&gt;&lt;D xsi:type="xsd:double"&gt;28.5045007627353&lt;/D&gt;&lt;D xsi:type="xsd:double"&gt;26.9224087800135&lt;/D&gt;&lt;D xsi:type="xsd:double"&gt;26.0947908042071&lt;/D&gt;&lt;D xsi:type="xsd:double"&gt;25.3146107678957&lt;/D&gt;&lt;D xsi:type="xsd:double"&gt;24.8184061430677&lt;/D&gt;&lt;D xsi:type="xsd:double"&gt;23.8230599621873&lt;/D&gt;&lt;D xsi:type="xsd:double"&gt;22.4677365443026&lt;/D&gt;&lt;D xsi:type="xsd:double"&gt;23.4892598821136&lt;/D&gt;&lt;D xsi:type="xsd:double"&gt;24.0799065843605&lt;/D&gt;&lt;D xsi:type="xsd:double"&gt;23.4058441837338&lt;/D&gt;&lt;D xsi:type="xsd:double"&gt;23.702877733587&lt;/D&gt;&lt;D xsi:type="xsd:double"&gt;24.0745406260309&lt;/D&gt;&lt;D xsi:type="xsd:double"&gt;24.3400774170813&lt;/D&gt;&lt;D xsi:type="xsd:double"&gt;24.6781737791045&lt;/D&gt;&lt;D xsi:type="xsd:double"&gt;24.3081951916067&lt;/D&gt;&lt;D xsi:type="xsd:double"&gt;25.0047589519961&lt;/D&gt;&lt;/FQL&gt;&lt;FQL&gt;&lt;Q&gt;WL-FDS^FG_PRICE_MAVG(0,,,,30)&lt;/Q&gt;&lt;R&gt;1&lt;/R&gt;&lt;C&gt;1&lt;/C&gt;&lt;D xsi:type="xsd:double"&gt;555.06&lt;/D&gt;&lt;/FQL&gt;&lt;FQL&gt;&lt;Q&gt;NI-FDS^FG_PRICE_MAVG(0,,,,30)&lt;/Q&gt;&lt;R&gt;1&lt;/R&gt;&lt;C&gt;1&lt;/C&gt;&lt;D xsi:type="xsd:double"&gt;16487.5&lt;/D&gt;&lt;/FQL&gt;&lt;FQL&gt;&lt;Q&gt;CPALM-FDS^FG_PRICE_MAVG(0,,,,30)&lt;/Q&gt;&lt;R&gt;1&lt;/R&gt;&lt;C&gt;1&lt;/C&gt;&lt;D xsi:type="xsd:double"&gt;4004.7&lt;/D&gt;&lt;/FQL&gt;&lt;FQL&gt;&lt;Q&gt;BRENT-FDS^FG_PRICE_MAVG(0,,,,30)&lt;/Q&gt;&lt;R&gt;1&lt;/R&gt;&lt;C&gt;1&lt;/C&gt;&lt;D xsi:type="xsd:double"&gt;85.86&lt;/D&gt;&lt;/FQL&gt;&lt;FQL&gt;&lt;Q&gt;TIOS-FDS^FG_PRICE_MAVG(0,,,,30)&lt;/Q&gt;&lt;R&gt;1&lt;/R&gt;&lt;C&gt;1&lt;/C&gt;&lt;D xsi:type="xsd:double"&gt;108.067665&lt;/D&gt;&lt;/FQL&gt;&lt;FQL&gt;&lt;Q&gt;FC0000CH^FG_PRICE(0)&lt;/Q&gt;&lt;R&gt;1&lt;/R&gt;&lt;C&gt;1&lt;/C&gt;&lt;D xsi:type="xsd:double"&gt;346.7161&lt;/D&gt;&lt;/FQL&gt;&lt;FQL&gt;&lt;Q&gt;FC0000AU^FG_PRICE(0)&lt;/Q&gt;&lt;R&gt;1&lt;/R&gt;&lt;C&gt;1&lt;/C&gt;&lt;D xsi:type="xsd:double"&gt;368.68414&lt;/D&gt;&lt;/FQL&gt;&lt;FQL&gt;&lt;Q&gt;EWN^FG_PRICE_MAVG(0,,,,30)&lt;/Q&gt;&lt;R&gt;1&lt;/R&gt;&lt;C&gt;1&lt;/C&gt;&lt;D xsi:type="xsd:double"&gt;50.42967&lt;/D&gt;&lt;/FQL&gt;&lt;FQL&gt;&lt;Q&gt;QQQ^FG_COMPANY_NAME&lt;/Q&gt;&lt;R&gt;1&lt;/R&gt;&lt;C&gt;1&lt;/C&gt;&lt;D xsi:type="xsd:string"&gt;Invesco QQQ Trust Series I&lt;/D&gt;&lt;/FQL&gt;&lt;FQL&gt;&lt;Q&gt;EWJ^FMA_ROE(NTMA,-20AY,NOW,FY,"PORTAGG","MEANR")&lt;/Q&gt;&lt;R&gt;20&lt;/R&gt;&lt;C&gt;1&lt;/C&gt;&lt;D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xsi:type="xsd:double"&gt;8.35596279152373&lt;/D&gt;&lt;D xsi:type="xsd:double"&gt;7.43859929800855&lt;/D&gt;&lt;D xsi:type="xsd:double"&gt;9.22076567390078&lt;/D&gt;&lt;D xsi:type="xsd:double"&gt;9.22544557136733&lt;/D&gt;&lt;D xsi:type="xsd:double"&gt;9.2997687113842&lt;/D&gt;&lt;/FQL&gt;&lt;FQL&gt;&lt;Q&gt;TRYQA10Y-FDS^FG_YIELD(-10AY,0,Y,,"YTM")&lt;/Q&gt;&lt;R&gt;10&lt;/R&gt;&lt;C&gt;1&lt;/C&gt;&lt;D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xsi:type="xsd:double"&gt;0.703&lt;/D&gt;&lt;/FQL&gt;&lt;FQL&gt;&lt;Q&gt;CAGDPY@IT^EE_ACTUAL_ANNUAL(MED,+1)&lt;/Q&gt;&lt;R&gt;1&lt;/R&gt;&lt;C&gt;1&lt;/C&gt;&lt;D xsi:type="xsd:double"&gt;0.95&lt;/D&gt;&lt;/FQL&gt;&lt;FQL&gt;&lt;Q&gt;CAGDPY@JP^EE_ACTUAL_ANNUAL(MED,+1)&lt;/Q&gt;&lt;R&gt;1&lt;/R&gt;&lt;C&gt;1&lt;/C&gt;&lt;D xsi:type="xsd:double"&gt;3.8&lt;/D&gt;&lt;/FQL&gt;&lt;FQL&gt;&lt;Q&gt;CC_CA^FG_COMPANY_NAME&lt;/Q&gt;&lt;R&gt;1&lt;/R&gt;&lt;C&gt;1&lt;/C&gt;&lt;D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xsi:type="xsd:double"&gt;0.86262226&lt;/D&gt;&lt;/FQL&gt;&lt;FQL&gt;&lt;Q&gt;USDCHF^FG_PRICE_CHANGE(0,-1AY)&lt;/Q&gt;&lt;R&gt;1&lt;/R&gt;&lt;C&gt;1&lt;/C&gt;&lt;D xsi:type="xsd:double"&gt;-0.1085639&lt;/D&gt;&lt;/FQL&gt;&lt;FQL&gt;&lt;Q&gt;USDEUR^FG_PRICE_CHANGE(0,-1AY)&lt;/Q&gt;&lt;R&gt;1&lt;/R&gt;&lt;C&gt;1&lt;/C&gt;&lt;D xsi:type="xsd:double"&gt;1.7326832&lt;/D&gt;&lt;/FQL&gt;&lt;FQL&gt;&lt;Q&gt;USDAUD^FG_PRICE_CHANGE(0,-1AY)&lt;/Q&gt;&lt;R&gt;1&lt;/R&gt;&lt;C&gt;1&lt;/C&gt;&lt;D xsi:type="xsd:double"&gt;1.4169693&lt;/D&gt;&lt;/FQL&gt;&lt;FQL&gt;&lt;Q&gt;QQQ^FMA_EPS(NTMA,-20AY,0,CY,,"PORTAGG","MEANR")&lt;/Q&gt;&lt;R&gt;20&lt;/R&gt;&lt;C&gt;1&lt;/C&gt;&lt;D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xsi:type="xsd:double"&gt;9.35231847826133&lt;/D&gt;&lt;D xsi:type="xsd:double"&gt;10.4260782968222&lt;/D&gt;&lt;D xsi:type="xsd:double"&gt;13.6402697448185&lt;/D&gt;&lt;D xsi:type="xsd:double"&gt;12.7503134402041&lt;/D&gt;&lt;D xsi:type="xsd:double"&gt;16.3243000822322&lt;/D&gt;&lt;/FQL&gt;&lt;FQL&gt;&lt;Q&gt;EWL^P_PRICE_RETURNS_PR('52W',2,-10AY,0,AM)&lt;/Q&gt;&lt;R&gt;121&lt;/R&gt;&lt;C&gt;1&lt;/C&gt;&lt;D xsi:type="xsd:double"&gt;11.044205&lt;/D&gt;&lt;D xsi:type="xsd:double"&gt;16.857576&lt;/D&gt;&lt;D xsi:type="xsd:double"&gt;4.738462&lt;/D&gt;&lt;D xsi:type="xsd:double"&gt;2.822256&lt;/D&gt;&lt;D xsi:type="xsd:double"&gt;5.277109&lt;/D&gt;&lt;D xsi:type="xsd:double"&gt;-1.7329991&lt;/D&gt;&lt;D xsi:type="xsd:double"&gt;0.525105&lt;/D&gt;&lt;D xsi:type="xsd:double"&gt;0.13437271&lt;/D&gt;&lt;D xsi:type="xsd:double"&gt;-0.39936304&lt;/D&gt;&lt;D xsi:type="xsd:double"&gt;2.2106528&lt;/D&gt;&lt;D xsi:type="xsd:double"&gt;2.0950675&lt;/D&gt;&lt;D xsi:type="xsd:double"&gt;-2.556336&lt;/D&gt;&lt;D xsi:type="xsd:double"&gt;6.446469&lt;/D&gt;&lt;D xsi:type="xsd:double"&gt;-5.3752303&lt;/D&gt;&lt;D xsi:type="xsd:double"&gt;-2.7008057&lt;/D&gt;&lt;D xsi:type="xsd:double"&gt;0.89576244&lt;/D&gt;&lt;D xsi:type="xsd:double"&gt;-4.2382&lt;/D&gt;&lt;D xsi:type="xsd:double"&gt;0.28828382&lt;/D&gt;&lt;D xsi:type="xsd:double"&gt;-6.092918&lt;/D&gt;&lt;D xsi:type="xsd:double"&gt;-10.79427&lt;/D&gt;&lt;D xsi:type="xsd:double"&gt;-9.892124&lt;/D&gt;&lt;D xsi:type="xsd:double"&gt;-9.418821&lt;/D&gt;&lt;D xsi:type="xsd:double"&gt;-10.733849&lt;/D&gt;&lt;D xsi:type="xsd:double"&gt;-7.0082664&lt;/D&gt;&lt;D xsi:type="xsd:double"&gt;-9.470665&lt;/D&gt;&lt;D xsi:type="xsd:double"&gt;-0.04646182&lt;/D&gt;&lt;D xsi:type="xsd:double"&gt;2.5278926&lt;/D&gt;&lt;D xsi:type="xsd:double"&gt;-5.9657516&lt;/D&gt;&lt;D xsi:type="xsd:double"&gt;-6.88706&lt;/D&gt;&lt;D xsi:type="xsd:double"&gt;-4.4724345&lt;/D&gt;&lt;D xsi:type="xsd:double"&gt;8.4410305&lt;/D&gt;&lt;D xsi:type="xsd:double"&gt;10.723472&lt;/D&gt;&lt;D xsi:type="xsd:double"&gt;10.500622&lt;/D&gt;&lt;D xsi:type="xsd:double"&gt;11.955094&lt;/D&gt;&lt;D xsi:type="xsd:double"&gt;17.425274&lt;/D&gt;&lt;D xsi:type="xsd:double"&gt;18.264568&lt;/D&gt;&lt;D xsi:type="xsd:double"&gt;17.768324&lt;/D&gt;&lt;D xsi:type="xsd:double"&gt;15.711641&lt;/D&gt;&lt;D xsi:type="xsd:double"&gt;17.535448&lt;/D&gt;&lt;D xsi:type="xsd:double"&gt;20.570065&lt;/D&gt;&lt;D xsi:type="xsd:double"&gt;27.407742&lt;/D&gt;&lt;D xsi:type="xsd:double"&gt;23.987507&lt;/D&gt;&lt;D xsi:type="xsd:double"&gt;23.834969&lt;/D&gt;&lt;D xsi:type="xsd:double"&gt;11.963451&lt;/D&gt;&lt;D xsi:type="xsd:double"&gt;9.224844&lt;/D&gt;&lt;D xsi:type="xsd:double"&gt;3.8526297&lt;/D&gt;&lt;D xsi:type="xsd:double"&gt;-1.8227816&lt;/D&gt;&lt;D xsi:type="xsd:double"&gt;-2.717781&lt;/D&gt;&lt;D xsi:type="xsd:double"&gt;2.3301244&lt;/D&gt;&lt;D xsi:type="xsd:double"&gt;3.881967&lt;/D&gt;&lt;D xsi:type="xsd:double"&gt;1.629746&lt;/D&gt;&lt;D xsi:type="xsd:double"&gt;-0.2991736&lt;/D&gt;&lt;D xsi:type="xsd:double"&gt;-2.6792884&lt;/D&gt;&lt;D xsi:type="xsd:double"&gt;-9.189421&lt;/D&gt;&lt;D xsi:type="xsd:double"&gt;-8.714026&lt;/D&gt;&lt;D xsi:type="xsd:double"&gt;4.061687&lt;/D&gt;&lt;D xsi:type="xsd:double"&gt;6.1760664&lt;/D&gt;&lt;D xsi:type="xsd:double"&gt;9.035254&lt;/D&gt;&lt;D xsi:type="xsd:double"&gt;10.795748&lt;/D&gt;&lt;D xsi:type="xsd:double"&gt;17.309963&lt;/D&gt;&lt;D xsi:type="xsd:double"&gt;9.962106&lt;/D&gt;&lt;D xsi:type="xsd:double"&gt;9.4134445&lt;/D&gt;&lt;D xsi:type="xsd:double"&gt;9.460056&lt;/D&gt;&lt;D xsi:ty</t>
        </r>
      </text>
    </comment>
    <comment ref="A7" authorId="0" shapeId="0" xr:uid="{266069E1-143C-4875-94E5-EB5F4E44948B}">
      <text>
        <r>
          <rPr>
            <b/>
            <sz val="9"/>
            <color indexed="81"/>
            <rFont val="Tahoma"/>
            <charset val="1"/>
          </rPr>
          <t>pe="xsd:double"&gt;18.315304&lt;/D&gt;&lt;D xsi:type="xsd:double"&gt;19.468521&lt;/D&gt;&lt;D xsi:type="xsd:double"&gt;31.583559&lt;/D&gt;&lt;D xsi:type="xsd:double"&gt;24.781502&lt;/D&gt;&lt;D xsi:type="xsd:double"&gt;11.826515&lt;/D&gt;&lt;D xsi:type="xsd:double"&gt;-1.0984004&lt;/D&gt;&lt;D xsi:type="xsd:double"&gt;2.9318213&lt;/D&gt;&lt;D xsi:type="xsd:double"&gt;10.114932&lt;/D&gt;&lt;D xsi:type="xsd:double"&gt;6.8362474&lt;/D&gt;&lt;D xsi:type="xsd:double"&gt;10.81258&lt;/D&gt;&lt;D xsi:type="xsd:double"&gt;13.424099&lt;/D&gt;&lt;D xsi:type="xsd:double"&gt;12.920856&lt;/D&gt;&lt;D xsi:type="xsd:double"&gt;2.5479913&lt;/D&gt;&lt;D xsi:type="xsd:double"&gt;12.938142&lt;/D&gt;&lt;D xsi:type="xsd:double"&gt;11.787022&lt;/D&gt;&lt;D xsi:type="xsd:double"&gt;10.938585&lt;/D&gt;&lt;D xsi:type="xsd:double"&gt;17.489338&lt;/D&gt;&lt;D xsi:type="xsd:double"&gt;32.477615&lt;/D&gt;&lt;D xsi:type="xsd:double"&gt;27.622772&lt;/D&gt;&lt;D xsi:type="xsd:double"&gt;28.540266&lt;/D&gt;&lt;D xsi:type="xsd:double"&gt;26.252724&lt;/D&gt;&lt;D xsi:type="xsd:double"&gt;23.595858&lt;/D&gt;&lt;D xsi:type="xsd:double"&gt;24.216747&lt;/D&gt;&lt;D xsi:type="xsd:double"&gt;15.659666&lt;/D&gt;&lt;D xsi:type="xsd:double"&gt;32.181705&lt;/D&gt;&lt;D xsi:type="xsd:double"&gt;15.427483&lt;/D&gt;&lt;D xsi:type="xsd:double"&gt;20.193804&lt;/D&gt;&lt;D xsi:type="xsd:double"&gt;14.606535&lt;/D&gt;&lt;D xsi:type="xsd:double"&gt;10.337329&lt;/D&gt;&lt;D xsi:type="xsd:double"&gt;12.176191&lt;/D&gt;&lt;D xsi:type="xsd:double"&gt;0.95244646&lt;/D&gt;&lt;D xsi:type="xsd:double"&gt;-7.395238&lt;/D&gt;&lt;D xsi:type="xsd:double"&gt;-13.02101&lt;/D&gt;&lt;D xsi:type="xsd:double"&gt;-11.709976&lt;/D&gt;&lt;D xsi:type="xsd:double"&gt;-19.71684&lt;/D&gt;&lt;D xsi:type="xsd:double"&gt;-17.960316&lt;/D&gt;&lt;D xsi:type="xsd:double"&gt;-21.115791&lt;/D&gt;&lt;D xsi:type="xsd:double"&gt;-9.357733&lt;/D&gt;&lt;D xsi:type="xsd:double"&gt;-18.951529&lt;/D&gt;&lt;D xsi:type="xsd:double"&gt;-7.2416725&lt;/D&gt;&lt;D xsi:type="xsd:double"&gt;-6.653154&lt;/D&gt;&lt;D xsi:type="xsd:double"&gt;-5.8153687&lt;/D&gt;&lt;D xsi:type="xsd:double"&gt;5.7568192&lt;/D&gt;&lt;D xsi:type="xsd:double"&gt;6.7991138&lt;/D&gt;&lt;D xsi:type="xsd:double"&gt;13.766885&lt;/D&gt;&lt;D xsi:type="xsd:double"&gt;11.065245&lt;/D&gt;&lt;D xsi:type="xsd:double"&gt;17.080784&lt;/D&gt;&lt;D xsi:type="xsd:double"&gt;18.447542&lt;/D&gt;&lt;D xsi:type="xsd:double"&gt;11.149478&lt;/D&gt;&lt;D xsi:type="xsd:double"&gt;7.7215195&lt;/D&gt;&lt;D xsi:type="xsd:double"&gt;15.9624815&lt;/D&gt;&lt;D xsi:type="xsd:double"&gt;7.6191545&lt;/D&gt;&lt;D xsi:type="xsd:double"&gt;10.989261&lt;/D&gt;&lt;D xsi:type="xsd:double"&gt;7.0052624&lt;/D&gt;&lt;D xsi:type="xsd:double"&gt;-3.7932277&lt;/D&gt;&lt;D xsi:type="xsd:double"&gt;8.63111&lt;/D&gt;&lt;D xsi:type="xsd:double"&gt;6.3177466&lt;/D&gt;&lt;D xsi:type="xsd:double"&gt;8.324778&lt;/D&gt;&lt;/FQL&gt;&lt;FQL&gt;&lt;Q&gt;EWG^FG_TOTAL_RETURNC(-10AY,0,AM)&lt;/Q&gt;&lt;R&gt;121&lt;/R&gt;&lt;C&gt;1&lt;/C&gt;&lt;D xsi:type="xsd:double"&gt;-8.810436&lt;/D&gt;&lt;D xsi:type="xsd:double"&gt;0.8719921&lt;/D&gt;&lt;D xsi:type="xsd:double"&gt;-5.394191&lt;/D&gt;&lt;D xsi:type="xsd:double"&gt;-0.47515035&lt;/D&gt;&lt;D xsi:type="xsd:double"&gt;5.820787&lt;/D&gt;&lt;D xsi:type="xsd:double"&gt;-4.875934&lt;/D&gt;&lt;D xsi:type="xsd:double"&gt;2.3349166&lt;/D&gt;&lt;D xsi:type="xsd:double"&gt;5.8823586&lt;/D&gt;&lt;D xsi:type="xsd:double"&gt;1.3468027&lt;/D&gt;&lt;D xsi:type="xsd:double"&gt;-0.33222437&lt;/D&gt;&lt;D xsi:type="xsd:double"&gt;-3.2666624&lt;/D&gt;&lt;D xsi:type="xsd:double"&gt;-1.4196754&lt;/D&gt;&lt;D xsi:type="xsd:double"&gt;0.7467985&lt;/D&gt;&lt;D xsi:type="xsd:double"&gt;-9.283442&lt;/D&gt;&lt;D xsi:type="xsd:double"&gt;-4.5525312&lt;/D&gt;&lt;D xsi:type="xsd:double"&gt;10.517729&lt;/D&gt;&lt;D xsi:type="xsd:double"&gt;0.5901933&lt;/D&gt;&lt;D xsi:type="xsd:double"&gt;-3.9603949&lt;/D&gt;&lt;D xsi:type="xsd:double"&gt;-7.1783185&lt;/D&gt;&lt;D xsi:type="xsd:double"&gt;-0.28794408&lt;/D&gt;&lt;D xsi:type="xsd:double"&gt;5.2805305&lt;/D&gt;&lt;D xsi:type="xsd:double"&gt;2.7821302&lt;/D&gt;&lt;D xsi:type="xsd:double"&gt;-1.0293603&lt;/D&gt;&lt;D xsi:type="xsd:double"&gt;-4.830086&lt;/D&gt;&lt;D xsi:type="xsd:double"&gt;5.9286833&lt;/D&gt;&lt;D xsi:type="xsd:double"&gt;2.9354215&lt;/D&gt;&lt;D xsi:type="xsd:double"&gt;-0.11406541&lt;/D&gt;&lt;D xsi:type="xsd:double"&gt;-2.1317124&lt;/D&gt;&lt;D xsi:type="xsd:double"&gt;-4.006219&lt;/D&gt;&lt;D xsi:type="xsd:double"&gt;7.330227&lt;/D&gt;&lt;D xsi:type="xsd:double"&gt;4.229605&lt;/D&gt;&lt;D xsi:type="xsd:double"&gt;1.1231899&lt;/D&gt;&lt;D xsi:type="xsd:double"&gt;3.009677&lt;/D&gt;&lt;D xsi:type="xsd:double"&gt;3.8956523&lt;/D&gt;&lt;D xsi:type="xsd:double"&gt;4.2852283&lt;/D&gt;&lt;D xsi:type="xsd:double"&gt;-0.9325564&lt;/D&gt;&lt;D xsi:type="xsd:double"&gt;2.4116278&lt;/D&gt;&lt;D xsi:type="xsd:double"&gt;-0.4838705&lt;/D&gt;&lt;D xsi:type="xsd:double"&gt;5.121553&lt;/D&gt;&lt;D xsi:type="xsd:double"&gt;2.8368711&lt;/D&gt;&lt;D xsi:type="xsd:double"&gt;-1.1993945&lt;/D&gt;&lt;D xsi:type="xsd:double"&gt;0.46538115&lt;/D&gt;&lt;D xsi:type="xsd:double"&gt;5.0878286&lt;/D&gt;&lt;D xsi:type="xsd:double"&gt;-8.328533&lt;/D&gt;&lt;D xsi:type="xsd:double"&gt;0.723052&lt;/D&gt;&lt;D xsi:type="xsd:double"&gt;0.93632936&lt;/D&gt;&lt;D xsi:type="xsd:double"&gt;-1.6388416&lt;/D&gt;&lt;D xsi:type="xsd:double"&gt;-3.4773588&lt;/D&gt;&lt;D xsi:type="xsd:double"&gt;3.6023974&lt;/D&gt;&lt;D xsi:type="xsd:double"&gt;-2.672249&lt;/D&gt;&lt;D xsi:type="xsd:double"&gt;-1.0916293&lt;/D&gt;&lt;D xsi:type="xsd:double"&gt;-7.6923075&lt;/D&gt;&lt;D xsi:type="xsd:double"&gt;-2.7536213&lt;/D&gt;&lt;D xsi:type="xsd:double"&gt;-5.5514154&lt;/D&gt;&lt;D xsi:type="xsd:double"&gt;5.7593703&lt;/D&gt;&lt;D xsi:type="xsd:double"&gt;2.946663&lt;/D&gt;&lt;D xsi:type="xsd:double"&gt;-1.0869622&lt;/D&gt;&lt;D xsi:type="xsd:double"&gt;4.7985435&lt;/D&gt;&lt;D xsi:type="xsd:double"&gt;-5.907029&lt;/D&gt;&lt;D xsi:type="xsd:double"&gt;7.320535&lt;/D&gt;&lt;D xsi:type="xsd:double"&gt;-4.6941757&lt;/D&gt;&lt;D xsi:type="xsd:double"&gt;-2.0522356&lt;/D&gt;&lt;D xsi:type="xsd:double"&gt;1.5238047&lt;/D&gt;&lt;D xsi:type="xsd:double"&gt;7.992494&lt;/D&gt;&lt;D xsi:type="xsd:double"&gt;0.55594444&lt;/D&gt;&lt;D xsi:type="xsd:double"&gt;1.589489&lt;/D&gt;&lt;D xsi:type="xsd:double"&gt;-2.9591799&lt;/D&gt;&lt;D xsi:type="xsd:double"&gt;-8.096743&lt;/D&gt;&lt;D xsi:type="xsd:double"&gt;-22.273075&lt;/D&gt;&lt;D xsi:type="xsd:double"&gt;13.199223&lt;/D&gt;&lt;D xsi:type="xsd:double"&gt;14.867794&lt;/D&gt;&lt;D xsi:type="xsd:double"&gt;3.292501&lt;/D&gt;&lt;D xsi:type="xsd:double"&gt;4.2820215&lt;/D&gt;&lt;D xsi:type="xsd:double"&gt;6.6194773&lt;/D&gt;&lt;D xsi:type="xsd:double"&gt;-2.6560485&lt;/D&gt;&lt;D xsi:type="xsd:double"&gt;-10.368347&lt;/D&gt;&lt;D xsi:type="xsd:double"&gt;18.607307&lt;/D&gt;&lt;D xsi:type="xsd:double"&gt;3.2090545&lt;/D&gt;&lt;D xsi:type="xsd:double"&gt;0&lt;/D&gt;&lt;D xsi:type="xsd:double"&gt;2.2033334&lt;/D&gt;&lt;D xsi:type="xsd:double"&gt;4.5580506&lt;/D&gt;&lt;D xsi:type="xsd:double"&gt;1.973486&lt;/D&gt;&lt;D xsi:type="xsd:double"&gt;4.274988&lt;/D&gt;&lt;D xsi:type="xsd:double"&gt;-2.301234&lt;/D&gt;&lt;D xsi:type="xsd:double"&gt;-0.46135783&lt;/D&gt;&lt;D xsi:type="xsd:double"&gt;1.5063763&lt;/D&gt;&lt;D xsi:type="xsd:double"&gt;-5.9931574&lt;/D&gt;&lt;D xsi:type="xsd:double"&gt;3.7644267&lt;/D&gt;&lt;D xsi:type="xsd:double"&gt;-7.0509076&lt;/D&gt;&lt;D xsi:type="xsd:double"&gt;4.071772&lt;/D&gt;&lt;D xsi:type="xsd:double"&gt;-1.5253186&lt;/D&gt;&lt;D xsi:type="xsd:double"&gt;-13.16604&lt;/D&gt;&lt;D xsi:type="xsd:double"&gt;2.069211&lt;/D&gt;&lt;D xsi:type="xsd:double"&gt;-9.087735&lt;/D&gt;&lt;D xsi:type="xsd:double"&gt;3.8446784&lt;/D&gt;&lt;D xsi:type="xsd:double"&gt;-12.098866&lt;/D&gt;&lt;D xsi:type="xsd:double"&gt;2.3447633&lt;/D&gt;&lt;D xsi:type="xsd:double"&gt;-8.612638&lt;/D&gt;&lt;D xsi:type="xsd:double"&gt;-8.356553&lt;/D&gt;&lt;D xsi:type="xsd:double"&gt;11.347521&lt;/D&gt;&lt;D xsi:type="xsd:double"&gt;16.378534&lt;/D&gt;&lt;D xsi:type="xsd:double"&gt;-3.2904148&lt;/D&gt;&lt;D xsi:type="xsd:double"&gt;15.325522&lt;/D&gt;&lt;D xsi:type="xsd:double"&gt;-3.611505&lt;/D&gt;&lt;D xsi:type="xsd:double"&gt;3.5285592&lt;/D&gt;&lt;D xsi:type="xsd:double"&gt;3.4083009&lt;/D&gt;&lt;D xsi:type="xsd:double"&gt;-3.397894&lt;/D&gt;&lt;D xsi:type="xsd:double"&gt;3.2518387&lt;/D&gt;&lt;D xsi:type="xsd:double"&gt;1.1550546&lt;/D&gt;&lt;D xsi:type="xsd:double"&gt;-4.463667&lt;/D&gt;&lt;D xsi:type="xsd:double"&gt;-5.1068425&lt;/D&gt;&lt;D xsi:type="xsd:double"&gt;-3.20611&lt;/D&gt;&lt;D xsi:type="xsd:double"&gt;13.288641&lt;/D&gt;&lt;D xsi:type="xsd:double"&gt;3.3468723&lt;/D&gt;&lt;D xsi:type="xsd:double"&gt;-0.63994527&lt;/D&gt;&lt;D xsi:type="xsd:double"&gt;4.3389797&lt;/D&gt;&lt;D xsi:type="xsd:double"&gt;3.086412&lt;/D&gt;&lt;D xsi:type="xsd:double"&gt;-4.223132&lt;/D&gt;&lt;D xsi:type="xsd:double"&gt;5.4952383&lt;/D&gt;&lt;D xsi:type="xsd:double"&gt;-1.6883314&lt;/D&gt;&lt;D xsi:type="xsd:double"&gt;-1.332897&lt;/D&gt;&lt;/FQL&gt;&lt;FQL&gt;&lt;Q&gt;EWA^FMA_DIV_YLD(NTMA,-10AY,0,AM,"PORTAGG","MEANR")&lt;/Q&gt;&lt;R&gt;121&lt;/R&gt;&lt;C&gt;1&lt;/C&gt;&lt;D xsi:type="xsd:double"&gt;4.71044497431136&lt;/D&gt;&lt;D xsi:type="xsd:double"&gt;4.68770238647863&lt;/D&gt;&lt;D xsi:type="xsd:double"&gt;5.03261016162282&lt;/D&gt;&lt;D xsi:type="xsd:double"&gt;4.82442256969284&lt;/D&gt;&lt;D xsi:type="xsd:double"&gt;5.14958361235614&lt;/D&gt;&lt;D xsi:type="xsd:double"&gt;4.96554929207771&lt;/D&gt;&lt;D xsi:type="xsd:double"&gt;4.85263383422431&lt;/D&gt;&lt;D xsi:type="xsd:double"&gt;4.54828740335052&lt;/D&gt;&lt;D xsi:type="xsd:double"&gt;4.63345136718315&lt;/D&gt;&lt;D xsi:type="xsd:double"&gt;4.65774731007215&lt;/D&gt;&lt;D xsi:type="xsd:double"&gt;4.74400966854786&lt;/D&gt;&lt;D xsi:type="xsd:double"&gt;4.92624424654806&lt;/D&gt;&lt;D xsi:type="xsd:double"&gt;4.80219644739101&lt;/D&gt;&lt;D xsi:type="xsd:double"&gt;5.43970814656964&lt;/D&gt;&lt;D xsi:type="xsd:double"&gt;5.38236887351386&lt;/D&gt;&lt;D xsi:type="xsd:double"&gt;5.23404955292721&lt;/D&gt;&lt;D xsi:type="xsd:double"&gt;5.16880468868755&lt;/D&gt;&lt;D xsi:type="xsd:double"&gt;5.09625601977213&lt;/D&gt;&lt;D xsi:type="xsd:double"&gt;5.12822030619562&lt;/D&gt;&lt;D xsi:type="xsd:double"&gt;5.00648354989366&lt;/D&gt;&lt;D xsi:type="xsd:double"&gt;4.92816711059488&lt;/D&gt;&lt;D xsi:type="xsd:double"&gt;4.66488079401308&lt;/D&gt;&lt;D xsi:type="xsd:double"&gt;4.60197101999305&lt;/D&gt;&lt;D xsi:type="xsd:double"&gt;4.67110150724477&lt;/D&gt;&lt;D xsi:type="xsd:double"&gt;4.40272607352222&lt;/D&gt;&lt;D xsi:type="xsd:double"&gt;4.54959974613066&lt;/D&gt;&lt;D xsi:type="xsd:double"&gt;4.54194004314948&lt;/D&gt;&lt;D xsi:type="xsd:double"&gt;4.6734072106641&lt;/D&gt;&lt;D xsi:type="xsd:double"&gt;4.5422551179457&lt;/D&gt;&lt;D xsi:type="xsd:double"&gt;4.5298092555234&lt;/D&gt;&lt;D xsi:type="xsd:double"&gt;4.55839019293908&lt;/D&gt;&lt;D xsi:type="xsd:double"&gt;4.57830619260404&lt;/D&gt;&lt;D xsi:type="xsd:double"&gt;4.50467500361871&lt;/D&gt;&lt;D xsi:type="xsd:double"&gt;4.43628117242483&lt;/D&gt;&lt;D xsi:type="xsd:double"&gt;4.65256622299641&lt;/D&gt;&lt;D xsi:type="xsd:double"&gt;4.6242746098921&lt;/D&gt;&lt;D xsi:type="xsd:double"&gt;4.54873578915732&lt;/D&gt;&lt;D xsi:type="xsd:double"&gt;4.57391715057525&lt;/D&gt;&lt;D xsi:type="xsd:double"&gt;4.61835372653978&lt;/D&gt;&lt;D xsi:type="xsd:double"&gt;4.48326386500135&lt;/D&gt;&lt;D xsi:type="xsd:double"&gt;4.49724618115489&lt;/D&gt;&lt;D xsi:type="xsd:double"&gt;4.44755058472285&lt;/D&gt;&lt;D xsi:type="xsd:double"&gt;4.49087692737843&lt;/D&gt;&lt;D xsi:type="xsd:double"&gt;4.63296619022001&lt;/D&gt;&lt;D xsi:type="xsd:double"&gt;4.85353405226345&lt;/D&gt;&lt;D xsi:type="xsd:double"&gt;4.69984484074136&lt;/D&gt;&lt;D xsi:type="xsd:double"&gt;4.7643423411268&lt;/D&gt;&lt;D xsi:type="xsd:double"&gt;4.59945664941218&lt;/D&gt;&lt;D xsi:type="xsd:double"&gt;4.5873783456281&lt;/D&gt;&lt;D xsi:type="xsd:double"&gt;4.61443164962547&lt;/D&gt;&lt;D xsi:type="xsd:double"&gt;4.77375619670306&lt;/D&gt;&lt;D xsi:type="xsd:double"&gt;5.05839556518472&lt;/D&gt;&lt;D xsi:type="xsd:double"&gt;5.32008527872189&lt;/D&gt;&lt;D xsi:type="xsd:double"&gt;5.36029790381623&lt;/D&gt;&lt;D xsi:type="xsd:double"&gt;5.12153635098732&lt;/D&gt;&lt;D xsi:type="xsd:double"&gt;4.93178777880528&lt;/D&gt;&lt;D xsi:type="xsd:double"&gt;4.91957600048077&lt;/D&gt;&lt;D xsi:type="xsd:double"&gt;4.85349424286939&lt;/D&gt;&lt;D xsi:type="xsd:double"&gt;4.84599235793604&lt;/D&gt;&lt;D xsi:type="xsd:double"&gt;4.63062006578149&lt;/D&gt;&lt;D xsi:type="xsd:double"&gt;4.5299871701072&lt;/D&gt;&lt;D xsi:type="xsd:double"&gt;4.67175098058672&lt;/D&gt;&lt;D xsi:type="xsd:double"&gt;4.43970324718551&lt;/D&gt;&lt;D xsi:type="xsd:double"&gt;4.40768446618338&lt;/D&gt;&lt;D xsi:type="xsd:double"&gt;4.2750688237062&lt;/D&gt;&lt;D xsi:type="xsd:double"&gt;4.30780774994785&lt;/D&gt;&lt;D xsi:type="xsd:double"&gt;4.1711082845887&lt;/D&gt;&lt;D xsi:type="xsd:double"&gt;4.49462427624511&lt;/D&gt;&lt;D xsi:type="xsd:double"&gt;5.03463798742481&lt;/D&gt;&lt;D xsi:type="xsd:double"&gt;4.07821543113563&lt;/D&gt;&lt;D xsi:type="xsd:double"&gt;3.47341570279065&lt;/D&gt;&lt;D xsi:type="xsd:double"&gt;3.44278915349479&lt;/D&gt;&lt;D xsi:type="xsd:double"&gt;3.42710956751037&lt;/D&gt;&lt;D xsi:type="xsd:double"&gt;3.46726373383873&lt;/D&gt;&lt;D xsi:type="xsd:double"&gt;3.66910431329037&lt;/D&gt;&lt;D xsi:type="xsd:double"&gt;3.78674181142676&lt;/D&gt;&lt;D xsi:type="xsd:double"&gt;3.45057579530597&lt;/D&gt;&lt;D xsi:type="xsd:double"&gt;3.58444483548155&lt;/D&gt;&lt;D xsi:type="xsd:double"&gt;3.66906062062303&lt;/D&gt;&lt;D xsi:type="xsd:double"&gt;3.84793935559715&lt;/D&gt;&lt;D xsi:type="xsd:double"&gt;3.97163701521748&lt;/D&gt;&lt;D xsi:type="xsd:double"&gt;3.93143691502429&lt;/D&gt;&lt;D xsi:type="xsd:double"&gt;3.89188267611863&lt;/D&gt;&lt;D xsi:type="xsd:double"&gt;4.08445429271633&lt;/D&gt;&lt;D xsi:type="xsd:double"&gt;4.12057268951881&lt;/D&gt;&lt;D xsi:type="xsd:double"&gt;4.0246302526534&lt;/D&gt;&lt;D xsi:type="xsd:double"&gt;4.15358137899966&lt;/D&gt;&lt;D xsi:type="xsd:double"&gt;3.94387881814509&lt;/D&gt;&lt;D xsi:type="xsd:double"&gt;4.05207257594859&lt;/D&gt;&lt;D xsi:type="xsd:double"&gt;3.87524385841503&lt;/D&gt;&lt;D xsi:type="xsd:double"&gt;4.3734366011415&lt;/D&gt;&lt;D xsi:type="xsd:double"&gt;4.35604950093991&lt;/D&gt;&lt;D xsi:type="xsd:double"&gt;4.24076049710472&lt;/D&gt;&lt;D xsi:type="xsd:double"&gt;4.46012951298553&lt;/D&gt;&lt;D xsi:type="xsd:double"&gt;4.65987722590298&lt;/D&gt;&lt;D xsi:type="xsd:double"&gt;5.31604037070343&lt;/D&gt;&lt;D xsi:type="xsd:double"&gt;4.76966090572773&lt;/D&gt;&lt;D xsi:type="xsd:double"&gt;4.86962799615233&lt;/D&gt;&lt;D xsi:type="xsd:double"&gt;5.2635282249166&lt;/D&gt;&lt;D xsi:type="xsd:double"&gt;4.88187036974389&lt;/D&gt;&lt;D xsi:type="xsd:double"&gt;4.38139489781855&lt;/D&gt;&lt;D xsi:type="xsd:double"&gt;4.5472140818103&lt;/D&gt;&lt;D xsi:type="xsd:double"&gt;4.25283834460804&lt;/D&gt;&lt;D xsi:type="xsd:double"&gt;4.48060168202026&lt;/D&gt;&lt;D xsi:type="xsd:double"&gt;4.54282694819021&lt;/D&gt;&lt;D xsi:type="xsd:double"&gt;4.40335410644404&lt;/D&gt;&lt;D xsi:type="xsd:double"&gt;4.51567819545012&lt;/D&gt;&lt;D xsi:type="xsd:double"&gt;4.2992331256683&lt;/D&gt;&lt;D xsi:type="xsd:double"&gt;4.08200178572908&lt;/D&gt;&lt;D xsi:type="xsd:double"&gt;4.15464262820757&lt;/D&gt;&lt;D xsi:type="xsd:double"&gt;4.29654795202818&lt;/D&gt;&lt;D xsi:type="xsd:double"&gt;4.50631860108974&lt;/D&gt;&lt;D xsi:type="xsd:double"&gt;4.29064807029694&lt;/D&gt;&lt;D xsi:type="xsd:double"&gt;3.97495871443751&lt;/D&gt;&lt;D xsi:type="xsd:double"&gt;4.01449821989931&lt;/D&gt;&lt;D xsi:type="xsd:double"&gt;3.95046016704896&lt;/D&gt;&lt;D xsi:type="xsd:double"&gt;3.90924171609263&lt;/D&gt;&lt;D xsi:type="xsd:double"&gt;4.06250079442741&lt;/D&gt;&lt;D xsi:type="xsd:double"&gt;3.99209138615604&lt;/D&gt;&lt;D xsi:type="xsd:double"&gt;3.94423427750006&lt;/D&gt;&lt;D xsi:type="xsd:double"&gt;3.83874754053863&lt;/D&gt;&lt;/FQL&gt;&lt;FQL&gt;&lt;Q&gt;ENZL^JULIAN(FMA_DIV_YLD(NTMA,-10AY,0,AM,"PORTAGG","MEANR").DATES)&lt;/Q&gt;&lt;R&gt;121&lt;/R&gt;&lt;C&gt;1&lt;/C&gt;&lt;D xsi:type="xsd:long"&gt;41852&lt;/D&gt;&lt;D xsi:type="xsd:long"&gt;41880&lt;/D&gt;&lt;D xsi:type="xsd:long"&gt;41913&lt;/D&gt;&lt;D xsi:type="xsd:long"&gt;41943&lt;/D&gt;&lt;D xsi:type="xsd:long"&gt;41974&lt;/D&gt;&lt;D xsi:type="xsd:long"&gt;42004&lt;/D&gt;&lt;D xsi:type="xsd:long"&gt;42034&lt;/D&gt;&lt;D xsi:type="xsd:long"&gt;42062&lt;/D&gt;&lt;D xsi:type="xsd:long"&gt;42095&lt;/D&gt;&lt;D xsi:type="xsd:long"&gt;42125&lt;/D&gt;&lt;D xsi:type="xsd:long"&gt;42156&lt;/D&gt;&lt;D xsi:type="xsd:long"&gt;42186&lt;/D&gt;&lt;D xsi:type="xsd:long"&gt;42216&lt;/D&gt;&lt;D xsi:type="xsd:long"&gt;42248&lt;/D&gt;&lt;D xsi:type="xsd:long"&gt;42278&lt;/D&gt;&lt;D xsi:type="xsd:long"&gt;42307&lt;/D&gt;&lt;D xsi:type="xsd:long"&gt;42339&lt;/D&gt;&lt;D xsi:type="xsd:long"&gt;42369&lt;/D&gt;&lt;D xsi:type="xsd:long"&gt;42401&lt;/D&gt;&lt;D xsi:type="xsd:long"&gt;42430&lt;/D&gt;&lt;D xsi:type="xsd:long"&gt;42461&lt;/D&gt;&lt;D xsi:type="xsd:long"&gt;42489&lt;/D&gt;&lt;D xsi:type="xsd:long"&gt;42522&lt;/D&gt;&lt;D xsi:type="xsd:long"&gt;42552&lt;/D&gt;&lt;D xsi:type="xsd:long"&gt;42583&lt;/D&gt;&lt;D xsi:type="xsd:long"&gt;42614&lt;/D&gt;&lt;D xsi:type="xsd:long"&gt;42643&lt;/D&gt;&lt;D xsi:type="xsd:long"&gt;42675&lt;/D&gt;&lt;D xsi:type="xsd:long"&gt;42705&lt;/D&gt;&lt;D xsi:type="xsd:long"&gt;42734&lt;/D&gt;&lt;D xsi:type="xsd:long"&gt;42767&lt;/D&gt;&lt;D xsi:type="xsd:long"&gt;42795&lt;/D&gt;&lt;D xsi:type="xsd:long"&gt;42825&lt;/D&gt;&lt;D xsi:type="xsd:long"&gt;42856&lt;/D&gt;&lt;D xsi:type="xsd:long"&gt;42887&lt;/D&gt;&lt;D xsi:type="xsd:long"&gt;42916&lt;/D&gt;&lt;D xsi:type="xsd:long"&gt;42948&lt;/D&gt;&lt;D xsi:type="xsd:long"&gt;42979&lt;/D&gt;&lt;D xsi:type="xsd:long"&gt;43007&lt;/D&gt;&lt;D xsi:type="xsd:long"&gt;43040&lt;/D&gt;&lt;D xsi:type="xsd:long"&gt;43070&lt;/D&gt;&lt;D xsi:type="xsd:long"&gt;43098&lt;/D&gt;&lt;D xsi:type="xsd:long"&gt;43132&lt;/D&gt;&lt;D xsi:type="xsd:long"&gt;43160&lt;/D&gt;&lt;D xsi:type="xsd:long"&gt;43188&lt;/D&gt;&lt;D xsi:type="xsd:long"&gt;43221&lt;/D&gt;&lt;D xsi:type="xsd:long"&gt;43252&lt;/D&gt;&lt;D xsi:type="xsd:long"&gt;43280&lt;/D&gt;&lt;D xsi:type="xsd:long"&gt;43313&lt;/D&gt;&lt;D xsi:type="xsd:long"&gt;43343&lt;/D&gt;&lt;D xsi:type="xsd:long"&gt;43374&lt;/D&gt;&lt;D xsi:type="xsd:long"&gt;43405&lt;/D&gt;&lt;D xsi:type="xsd:long"&gt;43434&lt;/D&gt;&lt;D xsi:type="xsd:long"&gt;43465&lt;/D&gt;&lt;D xsi:type="xsd:long"&gt;43497&lt;/D&gt;&lt;D xsi:type="xsd:long"&gt;43525&lt;/D&gt;&lt;D xsi:type="xsd:long"&gt;43556&lt;/D&gt;&lt;D xsi:type="xsd:long"&gt;43586&lt;/D&gt;&lt;D xsi:type="xsd:long"&gt;43616&lt;/D&gt;&lt;D xsi:type="xsd:long"&gt;43647&lt;/D&gt;&lt;D xsi:type="xsd:long"&gt;43678&lt;/D&gt;&lt;D xsi:type="xsd:long"&gt;43706&lt;/D&gt;&lt;D xsi:type="xsd:long"&gt;43739&lt;/D&gt;&lt;D xsi:type="xsd:long"&gt;43770&lt;/D&gt;&lt;D xsi:type="xsd:long"&gt;43798&lt;/D&gt;&lt;D xsi:type="xsd:long"&gt;43830&lt;/D&gt;&lt;D xsi:type="xsd:long"&gt;43861&lt;/D&gt;&lt;D xsi:type="xsd:long"&gt;43889&lt;/D&gt;&lt;D xsi:type="xsd:long"&gt;43922&lt;/D&gt;&lt;D xsi:type="xsd:long"&gt;43952&lt;/D&gt;&lt;D xsi:type="xsd:long"&gt;43983&lt;/D&gt;&lt;D xsi:type="xsd:long"&gt;44013&lt;/D&gt;&lt;D xsi:type="xsd:long"&gt;44043&lt;/D&gt;&lt;D xsi:type="xsd:long"&gt;44075&lt;/D&gt;&lt;D xsi:type="xsd:long"&gt;44105&lt;/D&gt;&lt;D xsi:type="xsd:long"&gt;44134&lt;/D&gt;&lt;D xsi:type="xsd:long"&gt;44166&lt;/D&gt;&lt;D xsi:type="xsd:long"&gt;44196&lt;/D&gt;&lt;D xsi:type="xsd:long"&gt;44228&lt;/D&gt;&lt;D xsi:type="xsd:long"&gt;44256&lt;/D&gt;&lt;D xsi:type="xsd:long"&gt;44287&lt;/D&gt;&lt;D xsi:type="xsd:long"&gt;44316&lt;/D&gt;&lt;D xsi:type="xsd:long"&gt;44348&lt;/D&gt;&lt;D xsi:type="xsd:long"&gt;44378&lt;/D&gt;&lt;D xsi:type="xsd:long"&gt;44407&lt;/D&gt;&lt;D xsi:type="xsd:long"&gt;44440&lt;/D&gt;&lt;D xsi:type="xsd:long"&gt;44470&lt;/D&gt;&lt;D xsi:type="xsd:long"&gt;44501&lt;/D&gt;&lt;D xsi:type="xsd:long"&gt;44531&lt;/D&gt;&lt;D xsi:type="xsd:long"&gt;44561&lt;/D&gt;&lt;D xsi:type="xsd:long"&gt;44593&lt;/D&gt;&lt;D xsi:type="xsd:long"&gt;44621&lt;/D&gt;&lt;D xsi:type="xsd:long"&gt;44652&lt;/D&gt;&lt;D xsi:type="xsd:long"&gt;44680&lt;/D&gt;&lt;D xsi:type="xsd:long"&gt;44713&lt;/D&gt;&lt;D xsi:type="xsd:long"&gt;44743&lt;/D&gt;&lt;D xsi:type="xsd:long"&gt;44774&lt;/D&gt;&lt;D xsi:type="xsd:long"&gt;44805&lt;/D&gt;&lt;D xsi:type="xsd:long"&gt;44834&lt;/D&gt;&lt;D xsi:type="xsd:long"&gt;44866&lt;/D&gt;&lt;D xsi:type="xsd:long"&gt;44896&lt;/D&gt;&lt;D xsi:type="xsd:long"&gt;44925&lt;/D&gt;&lt;D xsi:type="xsd:long"&gt;44958&lt;/D&gt;&lt;D xsi:type="xsd:long"&gt;44986&lt;/D&gt;&lt;D xsi:type="xsd:long"&gt;45016&lt;/D&gt;&lt;D xsi:type="xsd:long"&gt;45047&lt;/D&gt;&lt;D xsi:type="xsd:long"&gt;45078&lt;/D&gt;&lt;D xsi:type="xsd:long"&gt;45107&lt;/D&gt;&lt;D xsi:type="xsd:long"&gt;45139&lt;/D&gt;&lt;D xsi:type="xsd:long"&gt;45170&lt;/D&gt;&lt;D xsi:type="xsd:long"&gt;45198&lt;/D&gt;&lt;D xsi:type="xsd:long"&gt;45231&lt;/D&gt;&lt;D xsi:type="xsd:long"&gt;45261&lt;/D&gt;&lt;D xsi:type="xsd:long"&gt;45289&lt;/D&gt;&lt;D xsi:type="xsd:long"&gt;45323&lt;/D&gt;&lt;D xsi:type="xsd:long"&gt;45352&lt;/D&gt;&lt;D xsi:type="xsd:long"&gt;45383&lt;/D&gt;&lt;D xsi:type="xsd:long"&gt;45413&lt;/D&gt;&lt;D xsi:type="xsd:long"&gt;45443&lt;/D&gt;&lt;D xsi:type="xsd:long"&gt;45474&lt;/D&gt;&lt;D xsi:type="xsd:long"&gt;45502&lt;/D&gt;&lt;/FQL&gt;&lt;FQL&gt;&lt;Q&gt;DDR3512M-FDS^FG_PRICE(0)/MAX(FG_PRICE(0,-1AY))&lt;/Q&gt;&lt;R&gt;1&lt;/R&gt;&lt;C&gt;1&lt;/C&gt;&lt;D xsi:type="xsd:double"&gt;0.872521826923077&lt;/D&gt;&lt;/FQL&gt;&lt;FQL&gt;&lt;Q&gt;PASP-FDS^FG_PRICE(0)/MAX(FG_PRICE(0,-1AY))&lt;/Q&gt;&lt;R&gt;1&lt;/R&gt;&lt;C&gt;1&lt;/C&gt;&lt;D xsi:type="xsd:double"&gt;0.697761194029851&lt;/D&gt;&lt;/FQL&gt;&lt;FQL&gt;&lt;Q&gt;PLATI-FDS^FG_PRICE(0)/MAX(FG_PRICE(0,-1AY))&lt;/Q&gt;&lt;R&gt;1&lt;/R&gt;&lt;C&gt;1&lt;/C&gt;&lt;D xsi:type="xsd:double"&gt;0.914873713751169&lt;/D&gt;&lt;/FQL&gt;&lt;FQL&gt;&lt;Q&gt;W-FDS^FG_PRICE(0)/MAX(FG_PRICE(0,-1AY))&lt;/Q&gt;&lt;R&gt;1&lt;/R&gt;&lt;C&gt;1&lt;/C&gt;&lt;D xsi:type="xsd:double"&gt;0.759728668332738&lt;/D&gt;&lt;/FQL&gt;&lt;FQL&gt;&lt;Q&gt;COPP-FDS^FG_PRICE(0)/MAX(FG_PRICE(0,-1AY))&lt;/Q&gt;&lt;R&gt;1&lt;/R&gt;&lt;C&gt;1&lt;/C&gt;&lt;D xsi:type="xsd:double"&gt;0.794393436218011&lt;/D&gt;&lt;/FQL&gt;&lt;FQL&gt;&lt;Q&gt;FC0000JP^FG_PRICE(0)&lt;/Q&gt;&lt;R&gt;1&lt;/R&gt;&lt;C&gt;1&lt;/C&gt;&lt;D xsi:type="xsd:double"&gt;176.86075&lt;/D&gt;&lt;/FQL&gt;&lt;FQL&gt;&lt;Q&gt;FC0000NZ^FG_PRICE(0)&lt;/Q&gt;&lt;R&gt;1&lt;/R&gt;&lt;C&gt;1&lt;/C&gt;&lt;D xsi:type="xsd:double"&gt;399.64005&lt;/D&gt;&lt;/FQL&gt;&lt;FQL&gt;&lt;Q&gt;EWQ^FG_PRICE_MAVG(0,,,,60)&lt;/Q&gt;&lt;R&gt;1&lt;/R&gt;&lt;C&gt;1&lt;/C&gt;&lt;D xsi:type="xsd:double"&gt;39.893833&lt;/D&gt;&lt;/FQL&gt;&lt;FQL&gt;&lt;Q&gt;EWL^FG_PRICE_MAVG(0,,,,60)&lt;/Q&gt;&lt;R&gt;1&lt;/R&gt;&lt;C&gt;1&lt;/C&gt;&lt;D xsi:type="xsd:double"&gt;48.9565&lt;/D&gt;&lt;/FQL&gt;&lt;FQL&gt;&lt;Q&gt;EWA^FG_PRICE_MAVG(0,,,,60)&lt;/Q&gt;&lt;R&gt;1&lt;/R&gt;&lt;C&gt;1&lt;/C&gt;&lt;D xsi:type="xsd:double"&gt;24.710333&lt;/D&gt;&lt;/FQL&gt;&lt;FQL&gt;&lt;Q&gt;EWJ^FG_COMPANY_NAME&lt;/Q&gt;&lt;R&gt;1&lt;/R&gt;&lt;C&gt;1&lt;/C&gt;&lt;D xsi:type="xsd:string"&gt;iShares MSCI Japan ETF&lt;/D&gt;&lt;/FQL&gt;&lt;FQL&gt;&lt;Q&gt;TRYCN10Y-FDS^FG_YIELD(-10AY,0,Y,,"YTM")&lt;/Q&gt;&lt;R&gt;10&lt;/R&gt;&lt;C&gt;1&lt;/C&gt;&lt;D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xsi:type="xsd:double"&gt;2.574&lt;/D&gt;&lt;/FQL&gt;&lt;FQL&gt;&lt;Q&gt;CAGDPY@NL^EE_ACTUAL_ANNUAL(MED,0)&lt;/Q&gt;&lt;R&gt;1&lt;/R&gt;&lt;C&gt;1&lt;/C&gt;&lt;D xsi:type="xsd:double"&gt;10.1631565168417&lt;/D&gt;&lt;/FQL&gt;&lt;FQL&gt;&lt;Q&gt;CAGDPY@CA^EE_ACTUAL_ANNUAL(MED,0)&lt;/Q&gt;&lt;R&gt;1&lt;/R&gt;&lt;C&gt;1&lt;/C&gt;&lt;D xsi:type="xsd:double"&gt;-0.725414399026327&lt;/D&gt;&lt;/FQL&gt;&lt;FQL&gt;&lt;Q&gt;USDITL^FG_PRICE_CHANGE(0,-6AM)&lt;/Q&gt;&lt;R&gt;1&lt;/R&gt;&lt;C&gt;1&lt;/C&gt;&lt;D xsi:type="xsd:double"&gt;0.33819675&lt;/D&gt;&lt;/FQL&gt;&lt;FQL&gt;&lt;Q&gt;USDANG^FG_PRICE_CHANGE(0,-6AM)&lt;/Q&gt;&lt;R&gt;1&lt;/R&gt;&lt;C&gt;1&lt;/C&gt;&lt;D xsi:type="xsd:double"&gt;0&lt;/D&gt;&lt;/FQL&gt;&lt;FQL&gt;&lt;Q&gt;USDGBP^FG_PRICE_CHANGE(0,-6AM)&lt;/Q&gt;&lt;R&gt;1&lt;/R&gt;&lt;C&gt;1&lt;/C&gt;&lt;D xsi:type="xsd:double"&gt;-0.8520603&lt;/D&gt;&lt;/FQL&gt;&lt;FQL&gt;&lt;Q&gt;USDJPY^FG_PRICE_CHANGE(0,-6AM)&lt;/Q&gt;&lt;R&gt;1&lt;/R&gt;&lt;C&gt;1&lt;/C&gt;&lt;D xsi:type="xsd:double"&gt;2.6049614&lt;/D&gt;&lt;/FQL&gt;&lt;FQL&gt;&lt;Q&gt;USDCAD^FG_PRICE_CHANGE(0,-6AM)&lt;/Q&gt;&lt;R&gt;1&lt;/R&gt;&lt;C&gt;1&lt;/C&gt;&lt;D xsi:type="xsd:double"&gt;3.1647325&lt;/D&gt;&lt;/FQL&gt;&lt;FQL&gt;&lt;Q&gt;USDNZD^FG_PRICE_CHANGE(0,-6AM)&lt;/Q&gt;&lt;R&gt;1&lt;/R&gt;&lt;C&gt;1&lt;/C&gt;&lt;D xsi:type="xsd:double"&gt;2.6675582&lt;/D&gt;&lt;/FQL&gt;&lt;FQL&gt;&lt;Q&gt;EWC^FMA_EPS(NTMA,-20AY,0,CY,,"PORTAGG","MEANR")&lt;/Q&gt;&lt;R&gt;20&lt;/R&gt;&lt;C&gt;1&lt;/C&gt;&lt;D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xsi:type="xsd:double"&gt;2.68263358415049&lt;/D&gt;&lt;/FQL&gt;&lt;FQL&gt;&lt;Q&gt;ENZL^P_PRICE_RETURNS_PR('52W',2,-10AY,0,AM)&lt;/Q&gt;&lt;R&gt;121&lt;/R&gt;&lt;C&gt;1&lt;/C&gt;&lt;D xsi:type="xsd:double"&gt;20.21947&lt;/D&gt;&lt;D xsi:type="xsd:double"&gt;25.00683&lt;/D&gt;&lt;D xsi:type="xsd:double"&gt;3.1134367&lt;/D&gt;&lt;D xsi:type="xsd:double"&gt;5.0650716&lt;/D&gt;&lt;D xsi:type="xsd:double"&gt;10.840977&lt;/D&gt;&lt;D xsi:type="xsd:double"&gt;12.599718&lt;/D&gt;&lt;D xsi:type="xsd:double"&gt;6.8862915&lt;/D&gt;&lt;D xsi:type="xsd:double"&gt;8.312106&lt;/D&gt;&lt;D xsi:type="xsd:double"&gt;-1.4410317&lt;/D&gt;&lt;D xsi:type="xsd:double"&gt;-1.970154&lt;/D&gt;&lt;D xsi:type="xsd:double"&gt;-5.7720423&lt;/D&gt;&lt;D xsi:type="xsd:double"&gt;-13.286906&lt;/D&gt;&lt;D xsi:type="xsd:double"&gt;-9.44537&lt;/D&gt;&lt;D xsi:type="xsd:double"&gt;-17.937046&lt;/D&gt;&lt;D xsi:type="xsd:double"&gt;-12.204039&lt;/D&gt;&lt;D xsi:type="xsd:double"&gt;-3.9097548&lt;/D&gt;&lt;D xsi:type="xsd:double"&gt;-3.9559722&lt;/D&gt;&lt;D xsi:type="xsd:double"&gt;-1.9886672&lt;/D&gt;&lt;D xsi:type="xsd:double"&gt;-4.0211143&lt;/D&gt;&lt;D xsi:type="xsd:double"&gt;-5.867684&lt;/D&gt;&lt;D xsi:type="xsd:double"&gt;6.6857576&lt;/D&gt;&lt;D xsi:type="xsd:double"&gt;7.6375127&lt;/D&gt;&lt;D xsi:type="xsd:double"&gt;16.272713&lt;/D&gt;&lt;D xsi:type="xsd:double"&gt;28.644062&lt;/D&gt;&lt;D xsi:type="xsd:double"&gt;36.934566&lt;/D&gt;&lt;D xsi:type="xsd:double"&gt;52.98197&lt;/D&gt;&lt;D xsi:type="xsd:double"&gt;51.206062&lt;/D&gt;&lt;D xsi:type="xsd:double"&gt;21.34862&lt;/D&gt;&lt;D xsi:type="xsd:double"&gt;19.04496&lt;/D&gt;&lt;D xsi:type="xsd:double"&gt;10.709274&lt;/D&gt;&lt;D xsi:type="xsd:double"&gt;27.392567&lt;/D&gt;&lt;D xsi:type="xsd:double"&gt;21.937883&lt;/D&gt;&lt;D xsi:type="xsd:double"&gt;7.5505853&lt;/D&gt;&lt;D xsi:type="xsd:double"&gt;7.204139&lt;/D&gt;&lt;D xsi:type="xsd:double"&gt;10.837709&lt;/D&gt;&lt;D xsi:type="xsd:double"&gt;13.302744&lt;/D&gt;&lt;D xsi:type="xsd:double"&gt;8.326173&lt;/D&gt;&lt;D xsi:type="xsd:double"&gt;3.5515904&lt;/D&gt;&lt;D xsi:type="xsd:double"&gt;7.3923707&lt;/D&gt;&lt;D xsi:type="xsd:double"&gt;11.677372&lt;/D&gt;&lt;D xsi:type="xsd:double"&gt;14.648211&lt;/D&gt;&lt;D xsi:type="xsd:double"&gt;22.99831&lt;/D&gt;&lt;D xsi:type="xsd:double"&gt;19.74908&lt;/D&gt;&lt;D xsi:type="xsd:double"&gt;17.083693&lt;/D&gt;&lt;D xsi:type="xsd:double"&gt;21.153248&lt;/D&gt;&lt;D xsi:type="xsd:double"&gt;15.082717&lt;/D&gt;&lt;D xsi:type="xsd:double"&gt;13.438582&lt;/D&gt;&lt;D xsi:type="xsd:double"&gt;8.741915&lt;/D&gt;&lt;D xsi:type="xsd:double"&gt;4.0433407&lt;/D&gt;&lt;D xsi:type="xsd:double"&gt;9.108675&lt;/D&gt;&lt;D xsi:type="xsd:double"&gt;7.1116447&lt;/D&gt;&lt;D xsi:type="xsd:double"&gt;6.978929&lt;/D&gt;&lt;D xsi:type="xsd:double"&gt;9.931696&lt;/D&gt;&lt;D xsi:type="xsd:double"&gt;0.3503561&lt;/D&gt;&lt;D xsi:type="xsd:double"&gt;0.8842349&lt;/D&gt;&lt;D xsi:type="xsd:double"&gt;6.7422867&lt;/D&gt;&lt;D xsi:type="xsd:double"&gt;10.957432&lt;/D&gt;&lt;D xsi:type="xsd:double"&gt;12.045467&lt;/D&gt;&lt;D xsi:type="xsd:double"&gt;8.390844&lt;/D&gt;&lt;D xsi:type="xsd:double"&gt;13.318789&lt;/D&gt;&lt;D xsi:type="xsd:double"&gt;17.916822&lt;/D&gt;&lt;D xsi:type="xsd:double"&gt;8.1835985&lt;/D&gt;&lt;D xsi:type="xsd:double"&gt;10.530996&lt;/D&gt;&lt;D xsi:type="xsd:double"&gt;16.605938&lt;/D&gt;&lt;D xsi:type="xsd:double"&gt;20.654179&lt;/D&gt;&lt;D xsi:type="xsd:double"&gt;30.100859&lt;/D&gt;&lt;D xsi:type="xsd:double"&gt;19.802452&lt;/D&gt;&lt;D xsi:type="xsd:double"&gt;10.86787&lt;/D&gt;&lt;D xsi:type="xsd:double"&gt;-11.883026&lt;/D&gt;&lt;D xsi:type="xsd:double"&gt;-3.4128487&lt;/D&gt;&lt;D xsi:type="xsd:double"&gt;6.4344525&lt;/D&gt;&lt;D xsi:type="xsd:double"&gt;8.835864&lt;/D&gt;&lt;D xsi:type="xsd:double"&gt;11.098612&lt;/D&gt;&lt;D xsi:type="xsd:double"&gt;19.61229&lt;/D&gt;&lt;D xsi:type="xsd:double"&gt;15.082228&lt;/D&gt;&lt;D xsi:type="xsd:double"&gt;16.567791&lt;/D&gt;&lt;D xsi:type="xsd:double"&gt;23.383701&lt;/D&gt;&lt;D xsi:type="xsd:double"&gt;20.04013&lt;/D&gt;&lt;D xsi:type="xsd:double"&gt;22.767735&lt;/D&gt;&lt;D xsi:type="xsd:double"&gt;23.280203&lt;/D&gt;&lt;D xsi:type="xsd:double"&gt;42.820213&lt;/D&gt;&lt;D xsi:type="xsd:double"&gt;35.153103&lt;/D&gt;&lt;D xsi:type="xsd:double"&gt;21.77825&lt;/D&gt;&lt;D xsi:type="xsd:double"&gt;10.618603&lt;/D&gt;&lt;D xsi:type="xsd:double"&gt;4.8636556&lt;/D&gt;&lt;D xsi:type="xsd:double"&gt;8.17852&lt;/D&gt;&lt;D xsi:type="xsd:double"&gt;9.703684&lt;/D&gt;&lt;D xsi:type="xsd:double"&gt;9.600663&lt;/D&gt;&lt;D xsi:type="xsd:double"&gt;-10.967565&lt;/D&gt;&lt;D xsi:type="xsd:double"&gt;-11.381138&lt;/D&gt;&lt;D xsi:type="xsd:double"&gt;-19.52262&lt;/D&gt;&lt;D xsi:type="xsd:double"&gt;-12.19672&lt;/D&gt;&lt;D xsi:type="xsd:double"&gt;-9.100848&lt;/D&gt;&lt;D xsi:type="xsd:double"&gt;-21.67635&lt;/D&gt;&lt;D xsi:type="xsd:double"&gt;-20.936888&lt;/D&gt;&lt;D xsi:type="xsd:double"&gt;-25.094341&lt;/D&gt;&lt;D xsi:type="xsd:double"&gt;-17.587101&lt;/D&gt;&lt;D xsi:type="xsd:double"&gt;-25.11469&lt;/D&gt;&lt;D xsi:type="xsd:double"&gt;-31.495863&lt;/D&gt;&lt;D xsi:type="xsd:double"&gt;-29.32673&lt;/D&gt;&lt;D xsi:type="xsd:double"&gt;-12.834883&lt;/D&gt;&lt;D xsi:type="xsd:double"&gt;-16.554832&lt;/D&gt;&lt;D xsi:type="xsd:double"&gt;0.7845044&lt;/D&gt;&lt;D xsi:type="xsd:double"&gt;-8.196682&lt;/D&gt;&lt;D xsi:type="xsd:double"&gt;-7.7160654&lt;/D&gt;&lt;D xsi:type="xsd:double"&gt;1.2282014&lt;/D&gt;&lt;D xsi:type="xsd:double"&gt;2.4409056&lt;/D&gt;&lt;D xsi:type="xsd:double"&gt;11.783588&lt;/D&gt;&lt;D xsi:type="xsd:double"&gt;2.4325967&lt;/D&gt;&lt;D xsi:type="xsd:double"&gt;-0.37047267&lt;/D&gt;&lt;D xsi:type="xsd:double"&gt;6.871724&lt;/D&gt;&lt;D xsi:type="xsd:double"&gt;-1.7025411&lt;/D&gt;&lt;D xsi:type="xsd:double"&gt;-3.458041&lt;/D&gt;&lt;D xsi:type="xsd:double"&gt;1.6126633&lt;/D&gt;&lt;D xsi:type="xsd:double"&gt;-8.220464&lt;/D&gt;&lt;D xsi:type="xsd:double"&gt;-5.140364&lt;/D&gt;&lt;D xsi:type="xsd:double"&gt;-6.932789&lt;/D&gt;&lt;D xsi:type="xsd:double"&gt;-8.681679&lt;/D&gt;&lt;D xsi:type="xsd:double"&gt;0.87560415&lt;/D&gt;&lt;D xsi:type="xsd:double"&gt;-5.243194&lt;/D&gt;&lt;D xsi:type="xsd:double"&gt;-3.6734462&lt;/D&gt;&lt;/FQL&gt;&lt;FQL&gt;&lt;Q&gt;USDCAD^STD(FG_PRICE_CHANGE(0,-3AY,M))&lt;/Q&gt;&lt;R&gt;1&lt;/R&gt;&lt;C&gt;1&lt;/C&gt;&lt;D xsi:type="xsd:double"&gt;1.78482769575188&lt;/D&gt;&lt;/FQL&gt;&lt;FQL&gt;&lt;Q&gt;EWI^FMA_DIV_YLD(NTMA,-10AY,0,AM,"PORTAGG","MEANR")&lt;/Q&gt;&lt;R&gt;121&lt;/R&gt;&lt;C&gt;1&lt;/C&gt;&lt;D xsi:type="xsd:double"&gt;3.56350267083456&lt;/D&gt;&lt;D xsi:type="xsd:double"&gt;3.58687276806257&lt;/D&gt;&lt;D xsi:type="xsd:double"&gt;3.67199390702246&lt;/D&gt;&lt;D xsi:type="xsd:double"&gt;3.86008604824798&lt;/D&gt;&lt;D xsi:type="xsd:double"&gt;3.89175597741138&lt;/D&gt;&lt;D xsi:type="xsd:double"&gt;4.08215400071101&lt;/D&gt;&lt;D xsi:type="xsd:double"&gt;3.79258151599021&lt;/D&gt;&lt;D xsi:type="xsd:double"&gt;3.41457510831913&lt;/D&gt;&lt;D xsi:type="xsd:double"&gt;3.1246996377792&lt;/D&gt;&lt;D xsi:type="xsd:double"&gt;3.19624753464953&lt;/D&gt;&lt;D xsi:type="xsd:double"&gt;3.21746500996436&lt;/D&gt;&lt;D xsi:type="xsd:double"&gt;3.27847035763845&lt;/D&gt;&lt;D xsi:type="xsd:double"&gt;3.11657282318832&lt;/D&gt;&lt;D xsi:type="xsd:double"&gt;3.45992846087604&lt;/D&gt;&lt;D xsi:type="xsd:double"&gt;3.74117868957582&lt;/D&gt;&lt;D xsi:type="xsd:double"&gt;3.54649370875414&lt;/D&gt;&lt;D xsi:type="xsd:double"&gt;3.56245715044253&lt;/D&gt;&lt;D xsi:type="xsd:double"&gt;3.83180955229543&lt;/D&gt;&lt;D xsi:type="xsd:double"&gt;4.43567347144604&lt;/D&gt;&lt;D xsi:type="xsd:double"&gt;4.39038764100387&lt;/D&gt;&lt;D xsi:type="xsd:double"&gt;4.50181223588659&lt;/D&gt;&lt;D xsi:type="xsd:double"&gt;4.31378091072643&lt;/D&gt;&lt;D xsi:type="xsd:double"&gt;4.60021940040121&lt;/D&gt;&lt;D xsi:type="xsd:double"&gt;4.95911206174502&lt;/D&gt;&lt;D xsi:type="xsd:double"&gt;4.84320851121453&lt;/D&gt;&lt;D xsi:type="xsd:double"&gt;4.78302490539125&lt;/D&gt;&lt;D xsi:type="xsd:double"&gt;4.97306013607689&lt;/D&gt;&lt;D xsi:type="xsd:double"&gt;4.83798896060414&lt;/D&gt;&lt;D xsi:type="xsd:double"&gt;4.81863684166611&lt;/D&gt;&lt;D xsi:type="xsd:double"&gt;4.29570625532543&lt;/D&gt;&lt;D xsi:type="xsd:double"&gt;4.48636677137659&lt;/D&gt;&lt;D xsi:type="xsd:double"&gt;4.12385279357158&lt;/D&gt;&lt;D xsi:type="xsd:double"&gt;3.89749007770883&lt;/D&gt;&lt;D xsi:type="xsd:double"&gt;3.9251459181685&lt;/D&gt;&lt;D xsi:type="xsd:double"&gt;3.79177731466475&lt;/D&gt;&lt;D xsi:type="xsd:double"&gt;3.88575946739826&lt;/D&gt;&lt;D xsi:type="xsd:double"&gt;3.73398917666304&lt;/D&gt;&lt;D xsi:type="xsd:double"&gt;3.76365208942429&lt;/D&gt;&lt;D xsi:type="xsd:double"&gt;3.67563943116242&lt;/D&gt;&lt;D xsi:type="xsd:double"&gt;3.74510628602326&lt;/D&gt;&lt;D xsi:type="xsd:double"&gt;3.93219223576159&lt;/D&gt;&lt;D xsi:type="xsd:double"&gt;3.98923373121954&lt;/D&gt;&lt;D xsi:type="xsd:double"&gt;3.76974022712915&lt;/D&gt;&lt;D xsi:type="xsd:double"&gt;4.0255189260028&lt;/D&gt;&lt;D xsi:type="xsd:double"&gt;4.10658130199849&lt;/D&gt;&lt;D xsi:type="xsd:double"&gt;3.89488475397192&lt;/D&gt;&lt;D xsi:type="xsd:double"&gt;4.29618304948368&lt;/D&gt;&lt;D xsi:type="xsd:double"&gt;4.49608845866901&lt;/D&gt;&lt;D xsi:type="xsd:double"&gt;4.39796843418194&lt;/D&gt;&lt;D xsi:type="xsd:double"&gt;4.76770665054115&lt;/D&gt;&lt;D xsi:type="xsd:double"&gt;4.73424956126038&lt;/D&gt;&lt;D xsi:type="xsd:double"&gt;5.07810054827363&lt;/D&gt;&lt;D xsi:type="xsd:double"&gt;5.11951466148289&lt;/D&gt;&lt;D xsi:type="xsd:double"&gt;5.45959330280884&lt;/D&gt;&lt;D xsi:type="xsd:double"&gt;5.1230138199694&lt;/D&gt;&lt;D xsi:type="xsd:double"&gt;4.77612647624272&lt;/D&gt;&lt;D xsi:type="xsd:double"&gt;4.63905128464279&lt;/D&gt;&lt;D xsi:type="xsd:double"&gt;4.60675515679693&lt;/D&gt;&lt;D xsi:type="xsd:double"&gt;5.1591103569569&lt;/D&gt;&lt;D xsi:type="xsd:double"&gt;4.84636955285638&lt;/D&gt;&lt;D xsi:type="xsd:double"&gt;4.79143994569912&lt;/D&gt;&lt;D xsi:type="xsd:double"&gt;4.86869677955522&lt;/D&gt;&lt;D xsi:type="xsd:double"&gt;4.76655380783319&lt;/D&gt;&lt;D xsi:type="xsd:double"&gt;4.59891067856975&lt;/D&gt;&lt;D xsi:type="xsd:double"&gt;4.56961812429887&lt;/D&gt;&lt;D xsi:type="xsd:double"&gt;4.49658699383727&lt;/D&gt;&lt;D xsi:type="xsd:double"&gt;4.60113708658053&lt;/D&gt;&lt;D xsi:type="xsd:double"&gt;5.00870337290942&lt;/D&gt;&lt;D xsi:type="xsd:double"&gt;6.30047411609842&lt;/D&gt;&lt;D xsi:type="xsd:double"&gt;5.25468343349546&lt;/D&gt;&lt;D xsi:type="xsd:double"&gt;4.47742429387297&lt;/D&gt;&lt;D xsi:type="xsd:double"&gt;4.38242783154088&lt;/D&gt;&lt;D xsi:type="xsd:double"&gt;4.06515783932726&lt;/D&gt;&lt;D xsi:type="xsd:double"&gt;4.04063952357158&lt;/D&gt;&lt;D xsi:type="xsd:double"&gt;4.20956128731618&lt;/D&gt;&lt;D xsi:type="xsd:double"&gt;4.56028626394876&lt;/D&gt;&lt;D xsi:type="xsd:double"&gt;3.93067794602255&lt;/D&gt;&lt;D xsi:type="xsd:double"&gt;3.94464053531275&lt;/D&gt;&lt;D xsi:type="xsd:double"&gt;4.14685335925085&lt;/D&gt;&lt;D xsi:type="xsd:double"&gt;4.09564999726034&lt;/D&gt;&lt;D xsi:type="xsd:double"&gt;3.99637371635555&lt;/D&gt;&lt;D xsi:type="xsd:double"&gt;4.19083019348666&lt;/D&gt;&lt;D xsi:type="xsd:double"&gt;4.09032284827253&lt;/D&gt;&lt;D xsi:type="xsd:double"&gt;4.13226938733652&lt;/D&gt;&lt;D xsi:type="xsd:double"&gt;4.23531392945772&lt;/D&gt;&lt;D xsi:type="xsd:double"&gt;4.39706076963723&lt;/D&gt;&lt;D xsi:type="xsd:double"&gt;4.55865571078304&lt;/D&gt;&lt;D xsi:type="xsd:double"&gt;4.33476261952701&lt;/D&gt;&lt;D xsi:type="xsd:double"&gt;4.67611605953325&lt;/D&gt;&lt;D xsi:type="xsd:double"&gt;4.59985564784229&lt;/D&gt;&lt;D xsi:type="xsd:double"&gt;4.69900662749806&lt;/D&gt;&lt;D xsi:type="xsd:double"&gt;5.1928433391464&lt;/D&gt;&lt;D xsi:type="xsd:double"&gt;5.00794335850543&lt;/D&gt;&lt;D xsi:type="xsd:double"&gt;5.11557226472741&lt;/D&gt;&lt;D xsi:type="xsd:double"&gt;5.24046071713&lt;/D&gt;&lt;D xsi:type="xsd:double"&gt;5.92881946620004&lt;/D&gt;&lt;D xsi:type="xsd:double"&gt;5.80753831641921&lt;/D&gt;&lt;D xsi:type="xsd:double"&gt;5.81053702765729&lt;/D&gt;&lt;D xsi:type="xsd:double"&gt;6.19455067125162&lt;/D&gt;&lt;D xsi:type="xsd:double"&gt;5.68460469403371&lt;/D&gt;&lt;D xsi:type="xsd:double"&gt;5.65942959106114&lt;/D&gt;&lt;D xsi:type="xsd:double"&gt;5.92155859103816&lt;/D&gt;&lt;D xsi:type="xsd:double"&gt;5.44964221410754&lt;/D&gt;&lt;D xsi:type="xsd:double"&gt;5.31770759990413&lt;/D&gt;&lt;D xsi:type="xsd:double"&gt;5.4376222814754&lt;/D&gt;&lt;D xsi:type="xsd:double"&gt;5.39592260256861&lt;/D&gt;&lt;D xsi:type="xsd:double"&gt;5.52837039225174&lt;/D&gt;&lt;D xsi:type="xsd:double"&gt;5.29282056247708&lt;/D&gt;&lt;D xsi:type="xsd:double"&gt;5.30050842397018&lt;/D&gt;&lt;D xsi:type="xsd:double"&gt;5.38738414368684&lt;/D&gt;&lt;D xsi:type="xsd:double"&gt;5.50587372074155&lt;/D&gt;&lt;D xsi:type="xsd:double"&gt;5.67601685658853&lt;/D&gt;&lt;D xsi:type="xsd:double"&gt;5.45355488219512&lt;/D&gt;&lt;D xsi:type="xsd:double"&gt;5.4807296433606&lt;/D&gt;&lt;D xsi:type="xsd:double"&gt;5.3888604568293&lt;/D&gt;&lt;D xsi:type="xsd:double"&gt;5.27441524854175&lt;/D&gt;&lt;D xsi:type="xsd:double"&gt;5.08844007436936&lt;/D&gt;&lt;D xsi:type="xsd:double"&gt;5.30867901286678&lt;/D&gt;&lt;D xsi:type="xsd:double"&gt;5.24661167333255&lt;/D&gt;&lt;D xsi:type="xsd:double"&gt;5.41518172978374&lt;/D&gt;&lt;D xsi:type="xsd:double"&gt;5.31614445750407&lt;/D&gt;&lt;/FQL&gt;&lt;FQL&gt;&lt;Q&gt;EWQ^FMA_PE(LTMA,-10AY,0,AM,"PORTAGG","MEANR")&lt;/Q&gt;&lt;R&gt;121&lt;/R&gt;&lt;C&gt;1&lt;/C&gt;&lt;D xsi:type="xsd:double"&gt;15.1796147206156&lt;/D&gt;&lt;D xsi:type="xsd:double"&gt;15.4255219956301&lt;/D&gt;&lt;D xsi:type="xsd:double"&gt;15.2920623380793&lt;/D&gt;&lt;D xsi:type="xsd:double"&gt;14.9429776821522&lt;/D&gt;&lt;D xsi:type="xsd:double"&gt;15.4593034524244&lt;/D&gt;&lt;D xsi:type="xsd:double"&gt;15.0703384486285&lt;/D&gt;&lt;D xsi:type="xsd:double"&gt;16.1656093707683&lt;/D&gt;&lt;D xsi:type="xsd:double"&gt;17.5590988431393&lt;/D&gt;&lt;D xsi:type="xsd:double"&gt;17.5569151354055&lt;/D&gt;&lt;D xsi:type="xsd:double"&gt;17.4613249037491&lt;/D&gt;&lt;D xsi:type="xsd:double"&gt;17.4060033488792&lt;/D&gt;&lt;D xsi:type="xsd:double"&gt;17.0807446261276&lt;/D&gt;&lt;D xsi:type="xsd:double"&gt;17.1919416855132&lt;/D&gt;&lt;D xsi:type="xsd:double"&gt;15.8974030947293&lt;/D&gt;&lt;D xsi:type="xsd:double"&gt;15.404263590732&lt;/D&gt;&lt;D xsi:type="xsd:double"&gt;16.4233636129775&lt;/D&gt;&lt;D xsi:type="xsd:double"&gt;16.3666522751261&lt;/D&gt;&lt;D xsi:type="xsd:double"&gt;15.4220750370538&lt;/D&gt;&lt;D xsi:type="xsd:double"&gt;14.6497907347235&lt;/D&gt;&lt;D xsi:type="xsd:double"&gt;15.1719451342396&lt;/D&gt;&lt;D xsi:type="xsd:double"&gt;15.0982386968912&lt;/D&gt;&lt;D xsi:type="xsd:double"&gt;15.1765127198323&lt;/D&gt;&lt;D xsi:type="xsd:double"&gt;15.2213393847263&lt;/D&gt;&lt;D xsi:type="xsd:double"&gt;14.851521350003&lt;/D&gt;&lt;D xsi:type="xsd:double"&gt;15.0315918033056&lt;/D&gt;&lt;D xsi:type="xsd:double"&gt;14.9367477875839&lt;/D&gt;&lt;D xsi:type="xsd:double"&gt;14.8789840518654&lt;/D&gt;&lt;D xsi:type="xsd:double"&gt;14.854039679431&lt;/D&gt;&lt;D xsi:type="xsd:double"&gt;14.959003119199&lt;/D&gt;&lt;D xsi:type="xsd:double"&gt;15.7881796008571&lt;/D&gt;&lt;D xsi:type="xsd:double"&gt;15.5272842715648&lt;/D&gt;&lt;D xsi:type="xsd:double"&gt;15.6229038919178&lt;/D&gt;&lt;D xsi:type="xsd:double"&gt;15.6742006521623&lt;/D&gt;&lt;D xsi:type="xsd:double"&gt;15.7679170396914&lt;/D&gt;&lt;D xsi:type="xsd:double"&gt;15.7928845547291&lt;/D&gt;&lt;D xsi:type="xsd:double"&gt;15.5101231229392&lt;/D&gt;&lt;D xsi:type="xsd:double"&gt;15.5320989316771&lt;/D&gt;&lt;D xsi:type="xsd:double"&gt;15.528032370634&lt;/D&gt;&lt;D xsi:type="xsd:double"&gt;15.9446849679102&lt;/D&gt;&lt;D xsi:type="xsd:double"&gt;16.3439903686233&lt;/D&gt;&lt;D xsi:type="xsd:double"&gt;15.97207081065&lt;/D&gt;&lt;D xsi:type="xsd:double"&gt;15.9684031818278&lt;/D&gt;&lt;D xsi:type="xsd:double"&gt;16.3682864990595&lt;/D&gt;&lt;D xsi:type="xsd:double"&gt;15.5926073599115&lt;/D&gt;&lt;D xsi:type="xsd:double"&gt;15.4673578153265&lt;/D&gt;&lt;D xsi:type="xsd:double"&gt;15.6020308436565&lt;/D&gt;&lt;D xsi:type="xsd:double"&gt;15.4486688332309&lt;/D&gt;&lt;D xsi:type="xsd:double"&gt;15.1696652076955&lt;/D&gt;&lt;D xsi:type="xsd:double"&gt;15.2922544562108&lt;/D&gt;&lt;D xsi:type="xsd:double"&gt;15.0320387753647&lt;/D&gt;&lt;D xsi:type="xsd:double"&gt;15.1154639985001&lt;/D&gt;&lt;D xsi:type="xsd:double"&gt;14.1383518348878&lt;/D&gt;&lt;D xsi:type="xsd:double"&gt;13.7530718875671&lt;/D&gt;&lt;D xsi:type="xsd:double"&gt;12.9349299562362&lt;/D&gt;&lt;D xsi:type="xsd:double"&gt;13.8352055231773&lt;/D&gt;&lt;D xsi:type="xsd:double"&gt;14.5822107705839&lt;/D&gt;&lt;D xsi:type="xsd:double"&gt;14.5743377385841&lt;/D&gt;&lt;</t>
        </r>
      </text>
    </comment>
    <comment ref="A8" authorId="0" shapeId="0" xr:uid="{47DB400D-1A23-42A4-B036-9E950B7021F5}">
      <text>
        <r>
          <rPr>
            <b/>
            <sz val="9"/>
            <color indexed="81"/>
            <rFont val="Tahoma"/>
            <charset val="1"/>
          </rPr>
          <t>D xsi:type="xsd:double"&gt;14.6933705358076&lt;/D&gt;&lt;D xsi:type="xsd:double"&gt;14.3250107055749&lt;/D&gt;&lt;D xsi:type="xsd:double"&gt;14.715417667977&lt;/D&gt;&lt;D xsi:type="xsd:double"&gt;14.8832749935917&lt;/D&gt;&lt;D xsi:type="xsd:double"&gt;14.77255112947&lt;/D&gt;&lt;D xsi:type="xsd:double"&gt;15.037939851845&lt;/D&gt;&lt;D xsi:type="xsd:double"&gt;15.6943298863329&lt;/D&gt;&lt;D xsi:type="xsd:double"&gt;16.0933141980819&lt;/D&gt;&lt;D xsi:type="xsd:double"&gt;16.4979616323111&lt;/D&gt;&lt;D xsi:type="xsd:double"&gt;16.0515710915174&lt;/D&gt;&lt;D xsi:type="xsd:double"&gt;14.6441363459583&lt;/D&gt;&lt;D xsi:type="xsd:double"&gt;14.3294859926931&lt;/D&gt;&lt;D xsi:type="xsd:double"&gt;15.925724926684&lt;/D&gt;&lt;D xsi:type="xsd:double"&gt;17.1707467313858&lt;/D&gt;&lt;D xsi:type="xsd:double"&gt;18.6322131131857&lt;/D&gt;&lt;D xsi:type="xsd:double"&gt;20.7681841522754&lt;/D&gt;&lt;D xsi:type="xsd:double"&gt;22.5144288571425&lt;/D&gt;&lt;D xsi:type="xsd:double"&gt;23.179696456319&lt;/D&gt;&lt;D xsi:type="xsd:double"&gt;22.9517526211455&lt;/D&gt;&lt;D xsi:type="xsd:double"&gt;28.2490479915537&lt;/D&gt;&lt;D xsi:type="xsd:double"&gt;28.8602296384018&lt;/D&gt;&lt;D xsi:type="xsd:double"&gt;27.4959900652677&lt;/D&gt;&lt;D xsi:type="xsd:double"&gt;27.0317519521541&lt;/D&gt;&lt;D xsi:type="xsd:double"&gt;26.3018597290626&lt;/D&gt;&lt;D xsi:type="xsd:double"&gt;25.448476568856&lt;/D&gt;&lt;D xsi:type="xsd:double"&gt;24.6096279257986&lt;/D&gt;&lt;D xsi:type="xsd:double"&gt;23.6448566299334&lt;/D&gt;&lt;D xsi:type="xsd:double"&gt;22.2836656753896&lt;/D&gt;&lt;D xsi:type="xsd:double"&gt;21.1676137966142&lt;/D&gt;&lt;D xsi:type="xsd:double"&gt;19.5068567864199&lt;/D&gt;&lt;D xsi:type="xsd:double"&gt;18.8549829363448&lt;/D&gt;&lt;D xsi:type="xsd:double"&gt;17.6619658582621&lt;/D&gt;&lt;D xsi:type="xsd:double"&gt;17.2038332751852&lt;/D&gt;&lt;D xsi:type="xsd:double"&gt;16.5262365371428&lt;/D&gt;&lt;D xsi:type="xsd:double"&gt;15.3869510152763&lt;/D&gt;&lt;D xsi:type="xsd:double"&gt;15.2576768715522&lt;/D&gt;&lt;D xsi:type="xsd:double"&gt;14.8678883388555&lt;/D&gt;&lt;D xsi:type="xsd:double"&gt;14.3337256670051&lt;/D&gt;&lt;D xsi:type="xsd:double"&gt;13.5290358546988&lt;/D&gt;&lt;D xsi:type="xsd:double"&gt;13.3421732445853&lt;/D&gt;&lt;D xsi:type="xsd:double"&gt;12.4090677805568&lt;/D&gt;&lt;D xsi:type="xsd:double"&gt;11.4728680791524&lt;/D&gt;&lt;D xsi:type="xsd:double"&gt;11.8347366870939&lt;/D&gt;&lt;D xsi:type="xsd:double"&gt;12.2521840768861&lt;/D&gt;&lt;D xsi:type="xsd:double"&gt;11.5286030839496&lt;/D&gt;&lt;D xsi:type="xsd:double"&gt;12.8805616333242&lt;/D&gt;&lt;D xsi:type="xsd:double"&gt;12.8925621289672&lt;/D&gt;&lt;D xsi:type="xsd:double"&gt;12.9903789738096&lt;/D&gt;&lt;D xsi:type="xsd:double"&gt;13.2384791899094&lt;/D&gt;&lt;D xsi:type="xsd:double"&gt;13.0292439880719&lt;/D&gt;&lt;D xsi:type="xsd:double"&gt;13.3012821150877&lt;/D&gt;&lt;D xsi:type="xsd:double"&gt;13.3843302687013&lt;/D&gt;&lt;D xsi:type="xsd:double"&gt;13.2788952124571&lt;/D&gt;&lt;D xsi:type="xsd:double"&gt;12.9825633647097&lt;/D&gt;&lt;D xsi:type="xsd:double"&gt;12.6653690523905&lt;/D&gt;&lt;D xsi:type="xsd:double"&gt;13.5488907366627&lt;/D&gt;&lt;D xsi:type="xsd:double"&gt;14.0873839351291&lt;/D&gt;&lt;D xsi:type="xsd:double"&gt;14.4096583658894&lt;/D&gt;&lt;D xsi:type="xsd:double"&gt;15.4932826605144&lt;/D&gt;&lt;D xsi:type="xsd:double"&gt;15.5163165377073&lt;/D&gt;&lt;D xsi:type="xsd:double"&gt;15.3983859333029&lt;/D&gt;&lt;D xsi:type="xsd:double"&gt;15.340750992288&lt;/D&gt;&lt;D xsi:type="xsd:double"&gt;14.9396938028056&lt;/D&gt;&lt;D xsi:type="xsd:double"&gt;14.8967413343496&lt;/D&gt;&lt;/FQL&gt;&lt;FQL&gt;&lt;Q&gt;TIOS-FDS^FG_PRICE(0)&lt;/Q&gt;&lt;R&gt;1&lt;/R&gt;&lt;C&gt;1&lt;/C&gt;&lt;D xsi:type="xsd:double"&gt;102.83&lt;/D&gt;&lt;/FQL&gt;&lt;FQL&gt;&lt;Q&gt;EWI^FG_PRICE_MAVG(0,,,,60)&lt;/Q&gt;&lt;R&gt;1&lt;/R&gt;&lt;C&gt;1&lt;/C&gt;&lt;D xsi:type="xsd:double"&gt;37.546&lt;/D&gt;&lt;/FQL&gt;&lt;FQL&gt;&lt;Q&gt;EWL^FG_PRICE_MAVG(0,,,,30)&lt;/Q&gt;&lt;R&gt;1&lt;/R&gt;&lt;C&gt;1&lt;/C&gt;&lt;D xsi:type="xsd:double"&gt;49.191666&lt;/D&gt;&lt;/FQL&gt;&lt;FQL&gt;&lt;Q&gt;FXI^FG_TOTAL_RETURNC(0,-12AM)&lt;/Q&gt;&lt;R&gt;1&lt;/R&gt;&lt;C&gt;1&lt;/C&gt;&lt;D xsi:type="xsd:double"&gt;-12.147558&lt;/D&gt;&lt;/FQL&gt;&lt;FQL&gt;&lt;Q&gt;EWL^FG_TOTAL_RETURNC(0,-6AM)&lt;/Q&gt;&lt;R&gt;1&lt;/R&gt;&lt;C&gt;1&lt;/C&gt;&lt;D xsi:type="xsd:double"&gt;6.8762302&lt;/D&gt;&lt;/FQL&gt;&lt;FQL&gt;&lt;Q&gt;EWA^FMA_PCT_ABOVE_MAVG(200,0,,,,"PORTAGG")&lt;/Q&gt;&lt;R&gt;1&lt;/R&gt;&lt;C&gt;1&lt;/C&gt;&lt;D xsi:type="xsd:double"&gt;69.4915254237288&lt;/D&gt;&lt;/FQL&gt;&lt;FQL&gt;&lt;Q&gt;VGK^SIZE(FG_CONSTITUENTS)&lt;/Q&gt;&lt;R&gt;1&lt;/R&gt;&lt;C&gt;1&lt;/C&gt;&lt;D xsi:type="xsd:long"&gt;1283&lt;/D&gt;&lt;/FQL&gt;&lt;FQL&gt;&lt;Q&gt;EWA^FMA_RBICS_REV_CURRENT(30, LOC, "PORTAGG")&lt;/Q&gt;&lt;R&gt;1&lt;/R&gt;&lt;C&gt;1&lt;/C&gt;&lt;D xsi:type="xsd:double"&gt;42.4062571267776&lt;/D&gt;&lt;/FQL&gt;&lt;FQL&gt;&lt;Q&gt;REFSEREPO-FDS^FG_YIELD(NOW,,,0)&lt;/Q&gt;&lt;R&gt;1&lt;/R&gt;&lt;C&gt;1&lt;/C&gt;&lt;D xsi:type="xsd:double"&gt;3.75&lt;/D&gt;&lt;/FQL&gt;&lt;FQL&gt;&lt;Q&gt;REFJPTON-FDS^(SUBARRAY(NOT_NA(NO_REPEAT_F(FG_YIELD(NOW,-10AY,D))),0,1)-SUBARRAY(NOT_NA(NO_REPEAT_F(FG_YIELD(NOW,-10AY,D))),1,1))*100&lt;/Q&gt;&lt;R&gt;1&lt;/R&gt;&lt;C&gt;1&lt;/C&gt;&lt;D xsi:type="xsd:double"&gt;15&lt;/D&gt;&lt;/FQL&gt;&lt;FQL&gt;&lt;Q&gt;TRYNL10Y-FDS^PCTCHG(FG_YIELD(0,,,,"YTM"),FG_YIELD(-1AM,,,,"YTM"))&lt;/Q&gt;&lt;R&gt;1&lt;/R&gt;&lt;C&gt;1&lt;/C&gt;&lt;D xsi:type="xsd:double"&gt;-12.952125&lt;/D&gt;&lt;/FQL&gt;&lt;FQL&gt;&lt;Q&gt;TRYIT10Y-FDS^FG_YIELD(0,,,,"YTM")&lt;/Q&gt;&lt;R&gt;1&lt;/R&gt;&lt;C&gt;1&lt;/C&gt;&lt;D xsi:type="xsd:double"&gt;3.634&lt;/D&gt;&lt;/FQL&gt;&lt;FQL&gt;&lt;Q&gt;VWO^FMA_EVAL_EBIT(LTMA,NOW,NOW,M,"PORTAGG","MEANR")&lt;/Q&gt;&lt;R&gt;1&lt;/R&gt;&lt;C&gt;1&lt;/C&gt;&lt;D xsi:type="xsd:double"&gt;14.4128499874666&lt;/D&gt;&lt;/FQL&gt;&lt;FQL&gt;&lt;Q&gt;EWD^FMA_EVAL_EBITDA(NTMA,0,,,"PORTAGG","MEANR")&lt;/Q&gt;&lt;R&gt;1&lt;/R&gt;&lt;C&gt;1&lt;/C&gt;&lt;D xsi:type="xsd:double"&gt;10.819534446448&lt;/D&gt;&lt;/FQL&gt;&lt;FQL&gt;&lt;Q&gt;EWU^JULIAN(FMA_DIV_YLD(NTMA,NOW,NOW,M,"PORTAGG","MEANR").DATES)&lt;/Q&gt;&lt;R&gt;1&lt;/R&gt;&lt;C&gt;1&lt;/C&gt;&lt;D xsi:type="xsd:long"&gt;45502&lt;/D&gt;&lt;/FQL&gt;&lt;FQL&gt;&lt;Q&gt;GLD^P_PRICE(0)/P_PRICE_HIGH_PR(0,,,USD,,,"PRICE","INTRA","52W")&lt;/Q&gt;&lt;R&gt;1&lt;/R&gt;&lt;C&gt;1&lt;/C&gt;&lt;D xsi:type="xsd:double"&gt;0.98310477&lt;/D&gt;&lt;/FQL&gt;&lt;FQL&gt;&lt;Q&gt;ENZL^FG_TOTAL_RETURNC(0,-6AM)&lt;/Q&gt;&lt;R&gt;1&lt;/R&gt;&lt;C&gt;1&lt;/C&gt;&lt;D xsi:type="xsd:double"&gt;-1.5956163&lt;/D&gt;&lt;/FQL&gt;&lt;FQL&gt;&lt;Q&gt;EWU^SIZE(FG_CONSTITUENTS)&lt;/Q&gt;&lt;R&gt;1&lt;/R&gt;&lt;C&gt;1&lt;/C&gt;&lt;D xsi:type="xsd:long"&gt;81&lt;/D&gt;&lt;/FQL&gt;&lt;FQL&gt;&lt;Q&gt;TRYGB10Y-FDS^FG_YIELD_NAME&lt;/Q&gt;&lt;R&gt;1&lt;/R&gt;&lt;C&gt;1&lt;/C&gt;&lt;D xsi:type="xsd:string"&gt;United Kingdom Benchmark Bond - 10 Year&lt;/D&gt;&lt;/FQL&gt;&lt;FQL&gt;&lt;Q&gt;TRYFR10Y-FDS^PCTCHG(FG_YIELD(0,,,,"YTM"),FG_YIELD(-1AM,,,,"YTM"))&lt;/Q&gt;&lt;R&gt;1&lt;/R&gt;&lt;C&gt;1&lt;/C&gt;&lt;D xsi:type="xsd:double"&gt;-9.512197&lt;/D&gt;&lt;/FQL&gt;&lt;FQL&gt;&lt;Q&gt;TRYCA10Y-FDS^FG_YIELD(0,,,,"YTM")&lt;/Q&gt;&lt;R&gt;1&lt;/R&gt;&lt;C&gt;1&lt;/C&gt;&lt;D xsi:type="xsd:double"&gt;3.1223&lt;/D&gt;&lt;/FQL&gt;&lt;FQL&gt;&lt;Q&gt;EWD^FG_FCF_YIELD_NTM(0)&lt;/Q&gt;&lt;R&gt;1&lt;/R&gt;&lt;C&gt;1&lt;/C&gt;&lt;D xsi:type="xsd:double"&gt;5.10419200521326&lt;/D&gt;&lt;/FQL&gt;&lt;FQL&gt;&lt;Q&gt;SPY^FMA_EVAL_EBITDA(NTMA,0,,,"PORTAGG","MEANR")&lt;/Q&gt;&lt;R&gt;1&lt;/R&gt;&lt;C&gt;1&lt;/C&gt;&lt;D xsi:type="xsd:double"&gt;14.1894037846237&lt;/D&gt;&lt;/FQL&gt;&lt;FQL&gt;&lt;Q&gt;EWG^FMA_PE(LTM,0,,,"PORTAGG","MEANR")&lt;/Q&gt;&lt;R&gt;1&lt;/R&gt;&lt;C&gt;1&lt;/C&gt;&lt;D xsi:type="xsd:double"&gt;16.2784914979858&lt;/D&gt;&lt;/FQL&gt;&lt;FQL&gt;&lt;Q&gt;CC_US^IMF_IFS_RCPI_Q(0)&lt;/Q&gt;&lt;R&gt;1&lt;/R&gt;&lt;C&gt;1&lt;/C&gt;&lt;D xsi:type="xsd:double"&gt;3.19889&lt;/D&gt;&lt;/FQL&gt;&lt;FQL&gt;&lt;Q&gt;TLT^FG_TOTAL_RETURNC(0,-3AM)&lt;/Q&gt;&lt;R&gt;1&lt;/R&gt;&lt;C&gt;1&lt;/C&gt;&lt;D xsi:type="xsd:double"&gt;8.691681&lt;/D&gt;&lt;/FQL&gt;&lt;FQL&gt;&lt;Q&gt;SPY^SIZE(FG_CONSTITUENTS)&lt;/Q&gt;&lt;R&gt;1&lt;/R&gt;&lt;C&gt;1&lt;/C&gt;&lt;D xsi:type="xsd:long"&gt;503&lt;/D&gt;&lt;/FQL&gt;&lt;FQL&gt;&lt;Q&gt;EWU^FG_COMPANY_NAME&lt;/Q&gt;&lt;R&gt;1&lt;/R&gt;&lt;C&gt;1&lt;/C&gt;&lt;D xsi:type="xsd:string"&gt;iShares MSCI United Kingdom ETF&lt;/D&gt;&lt;/FQL&gt;&lt;FQL&gt;&lt;Q&gt;CAGDPY@CH^EE_ACTUAL_ANNUAL(MED,+1)&lt;/Q&gt;&lt;R&gt;1&lt;/R&gt;&lt;C&gt;1&lt;/C&gt;&lt;D xsi:type="xsd:double"&gt;8&lt;/D&gt;&lt;/FQL&gt;&lt;FQL&gt;&lt;Q&gt;USDCAD^STD(FG_PRICE_CHANGE(0,-1AY,AM))&lt;/Q&gt;&lt;R&gt;1&lt;/R&gt;&lt;C&gt;1&lt;/C&gt;&lt;D xsi:type="xsd:double"&gt;1.63430157588994&lt;/D&gt;&lt;/FQL&gt;&lt;FQL&gt;&lt;Q&gt;PASP-FDS^FG_PRICE_CHANGE(0,-3AM)&lt;/Q&gt;&lt;R&gt;1&lt;/R&gt;&lt;C&gt;1&lt;/C&gt;&lt;D xsi:type="xsd:double"&gt;-2.09424083769634&lt;/D&gt;&lt;/FQL&gt;&lt;FQL&gt;&lt;Q&gt;W-FDS^FG_PRICE_CHANGE(0,-1AY)&lt;/Q&gt;&lt;R&gt;1&lt;/R&gt;&lt;C&gt;1&lt;/C&gt;&lt;D xsi:type="xsd:double"&gt;-18.4361824453814&lt;/D&gt;&lt;/FQL&gt;&lt;FQL&gt;&lt;Q&gt;URTH^FG_TOTAL_RETURNC(0,-12AM)&lt;/Q&gt;&lt;R&gt;1&lt;/R&gt;&lt;C&gt;1&lt;/C&gt;&lt;D xsi:type="xsd:double"&gt;17.073488&lt;/D&gt;&lt;/FQL&gt;&lt;FQL&gt;&lt;Q&gt;EWN^P_PRICE(0)/P_PRICE_HIGH_PR(0,,,,,,"PRICE","INTRA","52W")&lt;/Q&gt;&lt;R&gt;1&lt;/R&gt;&lt;C&gt;1&lt;/C&gt;&lt;D xsi:type="xsd:double"&gt;0.902508&lt;/D&gt;&lt;/FQL&gt;&lt;FQL&gt;&lt;Q&gt;SPY^FG_TOTAL_RETURNC(0,-1AM)&lt;/Q&gt;&lt;R&gt;1&lt;/R&gt;&lt;C&gt;1&lt;/C&gt;&lt;D xsi:type="xsd:double"&gt;-0.427258&lt;/D&gt;&lt;/FQL&gt;&lt;FQL&gt;&lt;Q&gt;EWG^PERCENT_CHANGE(FMA_EPS(+1,0,,,,"PORTAGG","MEAN"),FMA_EPS(+1,-3AM,,,,"PORTAGG","MEAN"))&lt;/Q&gt;&lt;R&gt;1&lt;/R&gt;&lt;C&gt;1&lt;/C&gt;&lt;D xsi:type="xsd:double"&gt;0.765933443557587&lt;/D&gt;&lt;/FQL&gt;&lt;FQL&gt;&lt;Q&gt;TLT^P_PRICE(0)/P_PRICE_HIGH_PR(0,,,USD,,,"PRICE","INTRA","52W")&lt;/Q&gt;&lt;R&gt;1&lt;/R&gt;&lt;C&gt;1&lt;/C&gt;&lt;D xsi:type="xsd:double"&gt;0.9476981&lt;/D&gt;&lt;/FQL&gt;&lt;FQL&gt;&lt;Q&gt;TRYCA10Y-FDS^FG_YIELD_NAME&lt;/Q&gt;&lt;R&gt;1&lt;/R&gt;&lt;C&gt;1&lt;/C&gt;&lt;D xsi:type="xsd:string"&gt;Canada Benchmark Bond - 10 Year&lt;/D&gt;&lt;/FQL&gt;&lt;FQL&gt;&lt;Q&gt;EWC^FMA_EVAL_EBITDA(NTMA,0,,,"PORTAGG","MEANR")&lt;/Q&gt;&lt;R&gt;1&lt;/R&gt;&lt;C&gt;1&lt;/C&gt;&lt;D xsi:type="xsd:double"&gt;9.8004290381923&lt;/D&gt;&lt;/FQL&gt;&lt;FQL&gt;&lt;Q&gt;EWD^FMA_PE(LTM,0,,,"PORTAGG","MEANR")&lt;/Q&gt;&lt;R&gt;1&lt;/R&gt;&lt;C&gt;1&lt;/C&gt;&lt;D xsi:type="xsd:double"&gt;14.1665136942902&lt;/D&gt;&lt;/FQL&gt;&lt;FQL&gt;&lt;Q&gt;EWL^FG_FCF_YIELD_NTM(0)&lt;/Q&gt;&lt;R&gt;1&lt;/R&gt;&lt;C&gt;1&lt;/C&gt;&lt;D xsi:type="xsd:double"&gt;4.67898613565472&lt;/D&gt;&lt;/FQL&gt;&lt;FQL&gt;&lt;Q&gt;EWC^FMA_PE(NTMA,0,,,"PORTAGG","MEANR")&lt;/Q&gt;&lt;R&gt;1&lt;/R&gt;&lt;C&gt;1&lt;/C&gt;&lt;D xsi:type="xsd:double"&gt;14.3643577959352&lt;/D&gt;&lt;/FQL&gt;&lt;FQL&gt;&lt;Q&gt;GLD^FG_TOTAL_RETURNC(0,-1AM)&lt;/Q&gt;&lt;R&gt;1&lt;/R&gt;&lt;C&gt;1&lt;/C&gt;&lt;D xsi:type="xsd:double"&gt;4.731643&lt;/D&gt;&lt;/FQL&gt;&lt;FQL&gt;&lt;Q&gt;EWJ^FG_ROE(0)&lt;/Q&gt;&lt;R&gt;1&lt;/R&gt;&lt;C&gt;1&lt;/C&gt;&lt;D xsi:type="xsd:double"&gt;9.59721983058479&lt;/D&gt;&lt;/FQL&gt;&lt;FQL&gt;&lt;Q&gt;REFEUREFI-FDS^FG_YIELD(NOW,,,0)&lt;/Q&gt;&lt;R&gt;1&lt;/R&gt;&lt;C&gt;1&lt;/C&gt;&lt;D xsi:type="xsd:double"&gt;4.25&lt;/D&gt;&lt;/FQL&gt;&lt;FQL&gt;&lt;Q&gt;CC_SE^IMF_IFS_RCPI_Q(0)&lt;/Q&gt;&lt;R&gt;1&lt;/R&gt;&lt;C&gt;1&lt;/C&gt;&lt;D xsi:type="xsd:double"&gt;3.39215&lt;/D&gt;&lt;/FQL&gt;&lt;FQL&gt;&lt;Q&gt;EWD^FMA_COS_DOWN("EPS","1M",+1,0,,,"PORTAGG","MEANR")&lt;/Q&gt;&lt;R&gt;1&lt;/R&gt;&lt;C&gt;1&lt;/C&gt;&lt;D xsi:type="xsd:double"&gt;26&lt;/D&gt;&lt;/FQL&gt;&lt;FQL&gt;&lt;Q&gt;EWG^FMA_COS_UP("EPS","1M",+1,0,,,"PORTAGG","MEANR")&lt;/Q&gt;&lt;R&gt;1&lt;/R&gt;&lt;C&gt;1&lt;/C&gt;&lt;D xsi:type="xsd:double"&gt;24&lt;/D&gt;&lt;/FQL&gt;&lt;FQL&gt;&lt;Q&gt;EWA^FMA_EVAL_EBITDA(NTMA,0,,,"PORTAGG","MEANR")&lt;/Q&gt;&lt;R&gt;1&lt;/R&gt;&lt;C&gt;1&lt;/C&gt;&lt;D xsi:type="xsd:double"&gt;8.68366841523128&lt;/D&gt;&lt;/FQL&gt;&lt;FQL&gt;&lt;Q&gt;TRYJP10Y-FDS^PCTCHG(FG_YIELD(0,,,,"YTM"),FG_YIELD(-3AM,,,,"YTM"))&lt;/Q&gt;&lt;R&gt;1&lt;/R&gt;&lt;C&gt;1&lt;/C&gt;&lt;D xsi:type="xsd:double"&gt;15.227918&lt;/D&gt;&lt;/FQL&gt;&lt;FQL&gt;&lt;Q&gt;TRYPH10Y-FDS^FG_YIELD(-10AY,0,Y,,"YTM")&lt;/Q&gt;&lt;R&gt;10&lt;/R&gt;&lt;C&gt;1&lt;/C&gt;&lt;D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xsi:type="xsd:double"&gt;6.0028777&lt;/D&gt;&lt;/FQL&gt;&lt;FQL&gt;&lt;Q&gt;USDSEK^FG_PRICE(0)&lt;/Q&gt;&lt;R&gt;1&lt;/R&gt;&lt;C&gt;1&lt;/C&gt;&lt;D xsi:type="xsd:double"&gt;10.68705&lt;/D&gt;&lt;/FQL&gt;&lt;FQL&gt;&lt;Q&gt;EWN^P_PRICE_RETURNS_PR('52W',2,-10AY,0,AM)&lt;/Q&gt;&lt;R&gt;121&lt;/R&gt;&lt;C&gt;1&lt;/C&gt;&lt;D xsi:type="xsd:double"&gt;5.7920814&lt;/D&gt;&lt;D xsi:type="xsd:double"&gt;10.342562&lt;/D&gt;&lt;D xsi:type="xsd:double"&gt;1.2026548&lt;/D&gt;&lt;D xsi:type="xsd:double"&gt;-2.9666722&lt;/D&gt;&lt;D xsi:type="xsd:double"&gt;0.80422163&lt;/D&gt;&lt;D xsi:type="xsd:double"&gt;-5.7940125&lt;/D&gt;&lt;D xsi:type="xsd:double"&gt;-0.9115875&lt;/D&gt;&lt;D xsi:type="xsd:double"&gt;2.1462917&lt;/D&gt;&lt;D xsi:type="xsd:double"&gt;-1.3454795&lt;/D&gt;&lt;D xsi:type="xsd:double"&gt;4.788029&lt;/D&gt;&lt;D xsi:type="xsd:double"&gt;3.9996982&lt;/D&gt;&lt;D xsi:type="xsd:double"&gt;2.4312258&lt;/D&gt;&lt;D xsi:type="xsd:double"&gt;11.588025&lt;/D&gt;&lt;D xsi:type="xsd:double"&gt;-1.6124666&lt;/D&gt;&lt;D xsi:type="xsd:double"&gt;-0.90333223&lt;/D&gt;&lt;D xsi:type="xsd:double"&gt;8.188462&lt;/D&gt;&lt;D xsi:type="xsd:double"&gt;0.95391273&lt;/D&gt;&lt;D xsi:type="xsd:double"&gt;1.5233636&lt;/D&gt;&lt;D xsi:type="xsd:double"&gt;-0.70346&lt;/D&gt;&lt;D xsi:type="xsd:double"&gt;-6.3549757&lt;/D&gt;&lt;D xsi:type="xsd:double"&gt;-1.9242287&lt;/D&gt;&lt;D xsi:type="xsd:double"&gt;-3.7667215&lt;/D&gt;&lt;D xsi:type="xsd:double"&gt;-3.3708632&lt;/D&gt;&lt;D xsi:type="xsd:double"&gt;-9.170872&lt;/D&gt;&lt;D xsi:type="xsd:double"&gt;-8.060169&lt;/D&gt;&lt;D xsi:type="xsd:double"&gt;7.079065&lt;/D&gt;&lt;D xsi:type="xsd:double"&gt;9.310616&lt;/D&gt;&lt;D xsi:type="xsd:double"&gt;-0.5432129&lt;/D&gt;&lt;D xsi:type="xsd:double"&gt;-4.106295&lt;/D&gt;&lt;D xsi:type="xsd:double"&gt;2.3715615&lt;/D&gt;&lt;D xsi:type="xsd:double"&gt;8.768976&lt;/D&gt;&lt;D xsi:type="xsd:double"&gt;12.487125&lt;/D&gt;&lt;D xsi:type="xsd:double"&gt;11.984146&lt;/D&gt;&lt;D xsi:type="xsd:double"&gt;17.426168&lt;/D&gt;&lt;D xsi:type="xsd:double"&gt;21.834612&lt;/D&gt;&lt;D xsi:type="xsd:double"&gt;28.129732&lt;/D&gt;&lt;D xsi:type="xsd:double"&gt;32.42607&lt;/D&gt;&lt;D xsi:type="xsd:double"&gt;25.774944&lt;/D&gt;&lt;D xsi:type="xsd:double"&gt;30.671036&lt;/D&gt;&lt;D xsi:type="xsd:double"&gt;33.29786&lt;/D&gt;&lt;D xsi:type="xsd:double"&gt;38.057182&lt;/D&gt;&lt;D xsi:type="xsd:double"&gt;34.362614&lt;/D&gt;&lt;D xsi:type="xsd:double"&gt;38.581253&lt;/D&gt;&lt;D xsi:type="xsd:double"&gt;24.433983&lt;/D&gt;&lt;D xsi:type="xsd:double"&gt;20.895588&lt;/D&gt;&lt;D xsi:type="xsd:double"&gt;15.16782&lt;/D&gt;&lt;D xsi:type="xsd:double"&gt;8.519161&lt;/D&gt;&lt;D xsi:type="xsd:double"&gt;8.1945305&lt;/D&gt;&lt;D xsi:type="xsd:double"&gt;4.9529076&lt;/D&gt;&lt;D xsi:type="xsd:double"&gt;3.535688&lt;/D&gt;&lt;D xsi:type="xsd:double"&gt;-1.5102208&lt;/D&gt;&lt;D xsi:type="xsd:double"&gt;-7.8024745&lt;/D&gt;&lt;D xsi:type="xsd:double"&gt;-7.846892&lt;/D&gt;&lt;D xsi:type="xsd:double"&gt;-15.359479&lt;/D&gt;&lt;D xsi:type="xsd:double"&gt;-13.873922&lt;/D&gt;&lt;D xsi:type="xsd:double"&gt;-3.3952773&lt;/D&gt;&lt;D xsi:type="xsd:double"&gt;-3.3142507&lt;/D&gt;&lt;D xsi:type="xsd:double"&gt;0.6779313&lt;/D&gt;&lt;D xsi:type="xsd:double"&gt;-3.4216404&lt;/D&gt;&lt;D xsi:type="xsd:double"&gt;4.8778176&lt;/D&gt;&lt;D xsi:type="xsd:double"&gt;0.1577735&lt;/D&gt;&lt;D xsi:type="xsd:double"&gt;0.5555153&lt;/D&gt;&lt;D xsi:type="xsd:double"&gt;6.017494&lt;/D&gt;&lt;D xsi:type="xsd:double"&gt;16.50387&lt;/D&gt;&lt;D xsi:type="xsd:double"&gt;17.68278&lt;/D&gt;&lt;D xsi:type="xsd:double"&gt;32.45555&lt;/D&gt;&lt;D xsi:type="xsd:double"&gt;18.715454&lt;/D&gt;&lt;D xsi:type="xsd:double"&gt;5.658746&lt;/D&gt;&lt;D xsi:type="xsd:double"&gt;-15.505653&lt;/D&gt;&lt;D xsi:type="xsd:double"&gt;-9.231461&lt;/D&gt;&lt;D xsi:type="xsd:double"&gt;7.91322&lt;/D&gt;&lt;D xsi:type="xsd:double"&gt;7.124114&lt;/D&gt;&lt;D xsi:type="xsd:double"&gt;11.269247&lt;/D&gt;&lt;D xsi:type="xsd:double"&gt;17.750477&lt;/D&gt;&lt;D xsi:type="xsd:double"&gt;14.860714&lt;/D&gt;&lt;D xsi:type="xsd:double"&gt;6.9336295&lt;/D&gt;&lt;D xsi:type="xsd:double"&gt;23.788488&lt;/D&gt;&lt;D xsi:type="xsd:double"&gt;23.225773&lt;/D&gt;&lt;D xsi:type="xsd:double"&gt;33.564068&lt;/D&gt;&lt;D xsi:type="xsd:double"&gt;48.675346&lt;/D&gt;&lt;D xsi:type="xsd:double"&gt;92.31813&lt;/D&gt;&lt;D xsi:type="xsd:double"&gt;70.473656&lt;/D&gt;&lt;D xsi:type="xsd:double"&gt;62.071323&lt;/D&gt;&lt;D xsi:type="xsd:double"&gt;48.024654&lt;/D&gt;&lt;D xsi:type="xsd:double"&gt;46.16245&lt;/D&gt;&lt;D xsi:type="xsd:double"&gt;50.87831&lt;/D&gt;&lt;D xsi:type="xsd:double"&gt;40.851868&lt;/D&gt;&lt;D xsi:type="xsd:double"&gt;55.620647&lt;/D&gt;&lt;D xsi:type="xsd:double"&gt;23.36365&lt;/D&gt;&lt;D xsi:type="xsd:double"&gt;22.740162&lt;/D&gt;&lt;D xsi:type="xsd:double"&gt;9.351646&lt;/D&gt;&lt;D xsi:type="xsd:double"&gt;-7.0072055&lt;/D&gt;&lt;D xsi:type="xsd:double"&gt;-8.838474&lt;/D&gt;&lt;D xsi:type="xsd:double"&gt;-20.70958&lt;/D&gt;&lt;D xsi:type="xsd:double"&gt;-21.703403&lt;/D&gt;&lt;D xsi:type="xsd:double"&gt;-26.87679&lt;/D&gt;&lt;D xsi:type="xsd:double"&gt;-22.880423&lt;/D&gt;&lt;D xsi:type="xsd:double"&gt;-36.20993&lt;/D&gt;&lt;D xsi:type="xsd:double"&gt;-36.88223&lt;/D&gt;&lt;D xsi:type="xsd:double"&gt;-35.933556&lt;/D&gt;&lt;D xsi:type="xsd:double"&gt;-17.838299&lt;/D&gt;&lt;D xsi:type="xsd:double"&gt;-24.333632&lt;/D&gt;&lt;D xsi:type="xsd:double"&gt;-5.9868693&lt;/D&gt;&lt;D xsi:type="xsd:double"&gt;1.3701677&lt;/D&gt;&lt;D xsi:type="xsd:double"&gt;1.6252041&lt;/D&gt;&lt;D xsi:type="xsd:double"&gt;12.097609&lt;/D&gt;&lt;D xsi:type="xsd:double"&gt;11.605274&lt;/D&gt;&lt;D xsi:type="xsd:double"&gt;25.603724&lt;/D&gt;&lt;D xsi:type="xsd:double"&gt;19.310581&lt;/D&gt;&lt;D xsi:type="xsd:double"&gt;25.123346&lt;/D&gt;&lt;D xsi:type="xsd:double"&gt;26.503313&lt;/D&gt;&lt;D xsi:type="xsd:double"&gt;16.314638&lt;/D&gt;&lt;D xsi:type="xsd:double"&gt;9.567165&lt;/D&gt;&lt;D xsi:type="xsd:double"&gt;20.292355&lt;/D&gt;&lt;D xsi:type="xsd:double"&gt;8.749437&lt;/D&gt;&lt;D xsi:type="xsd:double"&gt;19.980967&lt;/D&gt;&lt;D xsi:type="xsd:double"&gt;20.37679&lt;/D&gt;&lt;D xsi:type="xsd:double"&gt;14.757323&lt;/D&gt;&lt;D xsi:type="xsd:double"&gt;24.56186&lt;/D&gt;&lt;D xsi:type="xsd:double"&gt;18.770933&lt;/D&gt;&lt;D xsi:type="xsd:double"&gt;9.757101&lt;/D&gt;&lt;/FQL&gt;&lt;FQL&gt;&lt;Q&gt;EWU^FMA_DIV_YLD(NTMA,-10AY,0,AM,"PORTAGG","MEANR")&lt;/Q&gt;&lt;R&gt;121&lt;/R&gt;&lt;C&gt;1&lt;/C&gt;&lt;D xsi:type="xsd:double"&gt;3.94472150285523&lt;/D&gt;&lt;D xsi:type="xsd:double"&gt;3.8939000024378&lt;/D&gt;&lt;D xsi:type="xsd:double"&gt;4.08740370330205&lt;/D&gt;&lt;D xsi:type="xsd:double"&gt;4.09206953370175&lt;/D&gt;&lt;D xsi:type="xsd:double"&gt;4.06350973527636&lt;/D&gt;&lt;D xsi:type="xsd:double"&gt;4.13171988007349&lt;/D&gt;&lt;D xsi:type="xsd:double"&gt;4.07422576221118&lt;/D&gt;&lt;D xsi:type="xsd:double"&gt;3.88455792026231&lt;/D&gt;&lt;D xsi:type="xsd:double"&gt;4.03350979397316&lt;/D&gt;&lt;D xsi:type="xsd:double"&gt;3.90727354923853&lt;/D&gt;&lt;D xsi:type="xsd:double"&gt;3.94401885606583&lt;/D&gt;&lt;D xsi:type="xsd:double"&gt;4.15665087168762&lt;/D&gt;&lt;D xsi:type="xsd:double"&gt;4.096417008216&lt;/D&gt;&lt;D xsi:type="xsd:double"&gt;4.54183384843056&lt;/D&gt;&lt;D xsi:type="xsd:double"&gt;4.47706794942708&lt;/D&gt;&lt;D xsi:type="xsd:double"&gt;4.24491806245958&lt;/D&gt;&lt;D xsi:type="xsd:double"&gt;4.17471441285135&lt;/D&gt;&lt;D xsi:type="xsd:double"&gt;4.30856301942377&lt;/D&gt;&lt;D xsi:type="xsd:double"&gt;4.433412305322&lt;/D&gt;&lt;D xsi:type="xsd:double"&gt;4.45193507180467&lt;/D&gt;&lt;D xsi:type="xsd:double"&gt;4.3902824733655&lt;/D&gt;&lt;D xsi:type="xsd:double"&gt;4.27161646826222&lt;/D&gt;&lt;D xsi:type="xsd:double"&gt;4.3463062631528&lt;/D&gt;&lt;D xsi:type="xsd:double"&gt;4.18327853364226&lt;/D&gt;&lt;D xsi:type="xsd:double"&gt;4.14891037063421&lt;/D&gt;&lt;D xsi:type="xsd:double"&gt;4.12597458434389&lt;/D&gt;&lt;D xsi:type="xsd:double"&gt;4.1564709474935&lt;/D&gt;&lt;D xsi:type="xsd:double"&gt;4.3668141237444&lt;/D&gt;&lt;D xsi:type="xsd:double"&gt;4.42791166696293&lt;/D&gt;&lt;D xsi:type="xsd:double"&gt;4.27151734515527&lt;/D&gt;&lt;D xsi:type="xsd:double"&gt;4.31596796827998&lt;/D&gt;&lt;D xsi:type="xsd:double"&gt;4.2655251903389&lt;/D&gt;&lt;D xsi:type="xsd:double"&gt;4.32479324020005&lt;/D&gt;&lt;D xsi:type="xsd:double"&gt;4.38763198172017&lt;/D&gt;&lt;D xsi:type="xsd:double"&gt;4.21570041800816&lt;/D&gt;&lt;D xsi:type="xsd:double"&gt;4.35243963248784&lt;/D&gt;&lt;D xsi:type="xsd:double"&gt;4.24744428585637&lt;/D&gt;&lt;D xsi:type="xsd:double"&gt;4.31442701168876&lt;/D&gt;&lt;D xsi:type="xsd:double"&gt;4.29549488536781&lt;/D&gt;&lt;D xsi:type="xsd:double"&gt;4.29524370717001&lt;/D&gt;&lt;D xsi:type="xsd:double"&gt;4.4051747101624&lt;/D&gt;&lt;D xsi:type="xsd:double"&gt;4.19117596008474&lt;/D&gt;&lt;D xsi:type="xsd:double"&gt;4.23620721304884&lt;/D&gt;&lt;D xsi:type="xsd:double"&gt;4.65804464854088&lt;/D&gt;&lt;D xsi:type="xsd:double"&gt;4.56453427272181&lt;/D&gt;&lt;D xsi:type="xsd:double"&gt;4.36572748621448&lt;/D&gt;&lt;D xsi:type="xsd:double"&gt;4.32964674886198&lt;/D&gt;&lt;D xsi:type="xsd:double"&gt;4.40328539217437&lt;/D&gt;&lt;D xsi:type="xsd:double"&gt;4.41499875454365&lt;/D&gt;&lt;D xsi:type="xsd:double"&gt;4.5766306421935&lt;/D&gt;&lt;D xsi:type="xsd:double"&gt;4.52436096649175&lt;/D&gt;&lt;D xsi:type="xsd:double"&gt;4.82096450704078&lt;/D&gt;&lt;D xsi:type="xsd:double"&gt;4.97924386808332&lt;/D&gt;&lt;D xsi:type="xsd:double"&gt;5.34221032429731&lt;/D&gt;&lt;D xsi:type="xsd:double"&gt;5.04855046991584&lt;/D&gt;&lt;D xsi:type="xsd:double"&gt;4.97145053687759&lt;/D&gt;&lt;D xsi:type="xsd:double"&gt;4.8663529990935&lt;/D&gt;&lt;D xsi:type="xsd:double"&gt;4.85790827099594&lt;/D&gt;&lt;D xsi:type="xsd:double"&gt;4.95177272056864&lt;/D&gt;&lt;D xsi:type="xsd:double"&gt;4.74979838651254&lt;/D&gt;&lt;D xsi:type="xsd:double"&gt;4.8294055450787&lt;/D&gt;&lt;D xsi:type="xsd:double"&gt;5.08460971741738&lt;/D&gt;&lt;D xsi:type="xsd:double"&gt;4.934818195519&lt;/D&gt;&lt;D xsi:type="xsd:double"&gt;4.81277347025238&lt;/D&gt;&lt;D xsi:type="xsd:double"&gt;4.74565832707939&lt;/D&gt;&lt;D xsi:type="xsd:double"&gt;4.57016464918843&lt;/D&gt;&lt;D xsi:type="xsd:double"&gt;4.74674136843967&lt;/D&gt;&lt;D xsi:type="xsd:double"&gt;5.33492581494781&lt;/D&gt;&lt;D xsi:type="xsd:double"&gt;6.32539307134055&lt;/D&gt;&lt;D xsi:type="xsd:double"&gt;4.83977258060537&lt;/D&gt;&lt;D xsi:type="xsd:double"&gt;4.12931399959462&lt;/D&gt;&lt;D xsi:type="xsd:double"&gt;4.13830932250629&lt;/D&gt;&lt;D xsi:type="xsd:double"&gt;4.16555743888254&lt;/D&gt;&lt;D xsi:type="xsd:double"&gt;4.11067560183804&lt;/D&gt;&lt;D xsi:type="xsd:double"&gt;4.25352906605318&lt;/D&gt;&lt;D xsi:type="xsd:double"&gt;4.60407563498861&lt;/D&gt;&lt;D xsi:type="xsd:double"&gt;3.95416245797212&lt;/D&gt;&lt;D xsi:type="xsd:double"&gt;3.94793589236662&lt;/D&gt;&lt;D xsi:type="xsd:double"&gt;4.10276096658978&lt;/D&gt;&lt;D xsi:type="xsd:double"&gt;4.00741988192849&lt;/D&gt;&lt;D xsi:type="xsd:double"&gt;4.04903206886778&lt;/D&gt;&lt;D xsi:type="xsd:double"&gt;3.96701519111743&lt;/D&gt;&lt;D xsi:type="xsd:double"&gt;3.87432085763111&lt;/D&gt;&lt;D xsi:type="xsd:double"&gt;3.99257280864693&lt;/D&gt;&lt;D xsi:type="xsd:double"&gt;4.1678669636605&lt;/D&gt;&lt;D xsi:type="xsd:double"&gt;4.18179349482681&lt;/D&gt;&lt;D xsi:type="xsd:double"&gt;4.20909519632657&lt;/D&gt;&lt;D xsi:type="xsd:double"&gt;4.02118872218172&lt;/D&gt;&lt;D xsi:type="xsd:double"&gt;4.09584207747177&lt;/D&gt;&lt;D xsi:type="xsd:double"&gt;3.90526117650779&lt;/D&gt;&lt;D xsi:type="xsd:double"&gt;3.79570362266808&lt;/D&gt;&lt;D xsi:type="xsd:double"&gt;3.97300032511446&lt;/D&gt;&lt;D xsi:type="xsd:double"&gt;4.00250060947123&lt;/D&gt;&lt;D xsi:type="xsd:double"&gt;4.05183836400289&lt;/D&gt;&lt;D xsi:type="xsd:double"&gt;4.07713197459036&lt;/D&gt;&lt;D xsi:type="xsd:double"&gt;4.32334616068937&lt;/D&gt;&lt;D xsi:type="xsd:double"&gt;4.15564085258363&lt;/D&gt;&lt;D xsi:type="xsd:double"&gt;4.52914436099727&lt;/D&gt;&lt;D xsi:type="xsd:double"&gt;4.77033447577741&lt;/D&gt;&lt;D xsi:type="xsd:double"&gt;4.49178982295791&lt;/D&gt;&lt;D xsi:type="xsd:double"&gt;4.20819788542195&lt;/D&gt;&lt;D xsi:type="xsd:double"&gt;4.28414621863373&lt;/D&gt;&lt;D xsi:type="xsd:double"&gt;4.11485904778986&lt;/D&gt;&lt;D xsi:type="xsd:double"&gt;4.1351307504642&lt;/D&gt;&lt;D xsi:type="xsd:double"&gt;4.22500012576091&lt;/D&gt;&lt;D xsi:type="xsd:double"&gt;4.11001593765321&lt;/D&gt;&lt;D xsi:type="xsd:double"&gt;4.40783305973383&lt;/D&gt;&lt;D xsi:type="xsd:double"&gt;4.36051243750182&lt;/D&gt;&lt;D xsi:type="xsd:double"&gt;4.32179310989557&lt;/D&gt;&lt;D xsi:type="xsd:double"&gt;4.47451368325211&lt;/D&gt;&lt;D xsi:type="xsd:double"&gt;4.4562728448942&lt;/D&gt;&lt;D xsi:type="xsd:double"&gt;4.64647006741197&lt;/D&gt;&lt;D xsi:type="xsd:double"&gt;4.41149014577362&lt;/D&gt;&lt;D xsi:type="xsd:double"&gt;4.2666636081457&lt;/D&gt;&lt;D xsi:type="xsd:double"&gt;4.29618954278413&lt;/D&gt;&lt;D xsi:type="xsd:double"&gt;4.15585058228488&lt;/D&gt;&lt;D xsi:type="xsd:double"&gt;4.04202134052383&lt;/D&gt;&lt;D xsi:type="xsd:double"&gt;3.95735768532043&lt;/D&gt;&lt;D xsi:type="xsd:double"&gt;3.86605294293263&lt;/D&gt;&lt;D xsi:type="xsd:double"&gt;3.97489727488061&lt;/D&gt;&lt;D xsi:type="xsd:double"&gt;3.86965093805217&lt;/D&gt;&lt;/FQL&gt;&lt;FQL&gt;&lt;Q&gt;SPY^FMA_PE(LTMA,-10AY,0,AM,"PORTAGG","MEANR")&lt;/Q&gt;&lt;R&gt;121&lt;/R&gt;&lt;C&gt;1&lt;/C&gt;&lt;D xsi:type="xsd:double"&gt;16.1409224392695&lt;/D&gt;&lt;D xsi:type="xsd:double"&gt;16.5165946550167&lt;/D&gt;&lt;D xsi:type="xsd:double"&gt;16.2231207766489&lt;/D&gt;&lt;D xsi:type="xsd:double"&gt;16.7341229559942&lt;/D&gt;&lt;D xsi:type="xsd:double"&gt;17.0410496778828&lt;/D&gt;&lt;D xsi:type="xsd:double"&gt;17.3010358861258&lt;/D&gt;&lt;D xsi:type="xsd:double"&gt;16.7185963770641&lt;/D&gt;&lt;D xsi:type="xsd:double"&gt;17.59103730002&lt;/D&gt;&lt;D xsi:type="xsd:double"&gt;17.4708665459372&lt;/D&gt;&lt;D xsi:type="xsd:double"&gt;17.5540375738837&lt;/D&gt;&lt;D xsi:type="xsd:double"&gt;17.5266290456961&lt;/D&gt;&lt;D xsi:type="xsd:double"&gt;17.3927586192537&lt;/D&gt;&lt;D xsi:type="xsd:double"&gt;17.5282892922124&lt;/D&gt;&lt;D xsi:type="xsd:double"&gt;16.4933308469838&lt;/D&gt;&lt;D xsi:type="xsd:double"&gt;16.4757543210512&lt;/D&gt;&lt;D xsi:type="xsd:double"&gt;17.3980491760626&lt;/D&gt;&lt;D xsi:type="xsd:double"&gt;17.5806980360076&lt;/D&gt;&lt;D xsi:type="xsd:double"&gt;17.1423143271944&lt;/D&gt;&lt;D xsi:type="xsd:double"&gt;16.2966838906097&lt;/D&gt;&lt;D xsi:type="xsd:double"&gt;16.18819342752&lt;/D&gt;&lt;D xsi:type="xsd:double"&gt;16.4452153070474&lt;/D&gt;&lt;D xsi:type="xsd:double"&gt;16.565182572191&lt;/D&gt;&lt;D xsi:type="xsd:double"&gt;16.7695779217635&lt;/D&gt;&lt;D xsi:type="xsd:double"&gt;16.9159239183927&lt;/D&gt;&lt;D xsi:type="xsd:double"&gt;17.3891686463266&lt;/D&gt;&lt;D xsi:type="xsd:double"&gt;17.5592781607908&lt;/D&gt;&lt;D xsi:type="xsd:double"&gt;17.7472227651928&lt;/D&gt;&lt;D xsi:type="xsd:double"&gt;17.4841755223491&lt;/D&gt;&lt;D xsi:type="xsd:double"&gt;18.2658113603508&lt;/D&gt;&lt;D xsi:type="xsd:double"&gt;18.7888782880815&lt;/D&gt;&lt;D xsi:type="xsd:double"&gt;18.9218325814042&lt;/D&gt;&lt;D xsi:type="xsd:double"&gt;19.5302641047429&lt;/D&gt;&lt;D xsi:type="xsd:double"&gt;19.3434696885449&lt;/D&gt;&lt;D xsi:type="xsd:double"&gt;19.2245542627826&lt;/D&gt;&lt;D xsi:type="xsd:double"&gt;19.2142330470779&lt;/D&gt;&lt;D xsi:type="xsd:double"&gt;19.0829110788387&lt;/D&gt;&lt;D xsi:type="xsd:double"&gt;19.1916965773107&lt;/D&gt;&lt;D xsi:type="xsd:double"&gt;19.0917620071552&lt;/D&gt;&lt;D xsi:type="xsd:double"&gt;19.3338918115731&lt;/D&gt;&lt;D xsi:type="xsd:double"&gt;19.6143294203677&lt;/D&gt;&lt;D xsi:type="xsd:double"&gt;19.9910531942729&lt;/D&gt;&lt;D xsi:type="xsd:double"&gt;20.2347233132771&lt;/D&gt;&lt;D xsi:type="xsd:double"&gt;20.8953245388979&lt;/D&gt;&lt;D xsi:type="xsd:double"&gt;19.7489415921184&lt;/D&gt;&lt;D xsi:type="xsd:double"&gt;19.442240691761&lt;/D&gt;&lt;D xsi:type="xsd:double"&gt;19.0802460947866&lt;/D&gt;&lt;D xsi:type="xsd:double"&gt;18.9236411247262&lt;/D&gt;&lt;D xsi:type="xsd:double"&gt;18.6134370089549&lt;/D&gt;&lt;D xsi:type="xsd:double"&gt;18.5893530387516&lt;/D&gt;&lt;D xsi:type="xsd:double"&gt;18.7016893540282&lt;/D&gt;&lt;D xsi:type="xsd:double"&gt;18.6282540014562&lt;/D&gt;&lt;D xsi:type="xsd:double"&gt;17.4334450420136&lt;/D&gt;&lt;D xsi:type="xsd:double"&gt;17.2533705877263&lt;/D&gt;&lt;D xsi:type="xsd:double"&gt;15.4897044891365&lt;/D&gt;&lt;D xsi:type="xsd:double"&gt;16.6963695379994&lt;/D&gt;&lt;D xsi:type="xsd:double"&gt;17.1278184580145&lt;/D&gt;&lt;D xsi:type="xsd:double"&gt;17.1818515495163&lt;/D&gt;&lt;D xsi:type="xsd:double"&gt;17.2746028188757&lt;/D&gt;&lt;D xsi:type="xsd:double"&gt;16.8699525537769&lt;/D&gt;&lt;D xsi:type="xsd:double"&gt;17.4840852732845&lt;/D&gt;&lt;D xsi:type="xsd:double"&gt;17.5565716887437&lt;/D&gt;&lt;D xsi:type="xsd:double"&gt;17.521408279488&lt;/D&gt;&lt;D xsi:type="xsd:double"&gt;17.7142092010553&lt;/D&gt;&lt;D xsi:type="xsd:double"&gt;18.4911433028593&lt;/D&gt;&lt;D xsi:type="xsd:double"&gt;19.0907003478438&lt;/D&gt;&lt;D xsi:type="xsd:double"&gt;19.8780204656155&lt;/D&gt;&lt;D xsi:type="xsd:double"&gt;19.6689283104631&lt;/D&gt;&lt;D xsi:type="xsd:double"&gt;17.9045011587721&lt;/D&gt;&lt;D xsi:type="xsd:double"&gt;17.4460255594161&lt;/D&gt;&lt;D xsi:type="xsd:double"&gt;19.1940771845246&lt;/D&gt;&lt;D xsi:type="xsd:double"&gt;20.5284765633829&lt;/D&gt;&lt;D xsi:type="xsd:double"&gt;21.2950004898311&lt;/D&gt;&lt;D xsi:type="xsd:double"&gt;22.0892593105201&lt;/D&gt;&lt;D xsi:type="xsd:double"&gt;23.8394233221223&lt;/D&gt;&lt;D xsi:type="xsd:double"&gt;23.6818370772191&lt;/D&gt;&lt;D xsi:type="xsd:double"&gt;22.8456466177565&lt;/D&gt;&lt;D xsi:type="xsd:double"&gt;25.6165097162059&lt;/D&gt;&lt;D xsi:type="xsd:double"&gt;27.4234729465894&lt;/D&gt;&lt;D xsi:type="xsd:double"&gt;26.6698862700779&lt;/D&gt;&lt;D xsi:type="xsd:double"&gt;26.3340527227785&lt;/D&gt;&lt;D xsi:type="xsd:double"&gt;26.0393846071496&lt;/D&gt;&lt;D xsi:type="xsd:double"&gt;25.579834144978&lt;/D&gt;&lt;D xsi:type="xsd:double"&gt;25.0592115312852&lt;/D&gt;&lt;D xsi:type="xsd:double"&gt;24.8597551525114&lt;/D&gt;&lt;D xsi:type="xsd:double"&gt;24.1699611156655&lt;/D&gt;&lt;D xsi:type="xsd:double"&gt;24.0012153618291&lt;/D&gt;&lt;D xsi:type="xsd:double"&gt;23.0654726328527&lt;/D&gt;&lt;D xsi:type="xsd:double"&gt;23.3267714576555&lt;/D&gt;&lt;D xsi:type="xsd:double"&gt;22.3912851780297&lt;/D&gt;&lt;D xsi:type="xsd:double"&gt;23.234786308636&lt;/D&gt;&lt;D xsi:type="xsd:double"&gt;21.9169919382277&lt;/D&gt;&lt;D xsi:type="xsd:double"&gt;20.6621791496812&lt;/D&gt;&lt;D xsi:type="xsd:double"&gt;20.7160794344275&lt;/D&gt;&lt;D xsi:type="xsd:double"&gt;20.0247566197936&lt;/D&gt;&lt;D xsi:type="xsd:double"&gt;19.6813869854655&lt;/D&gt;&lt;D xsi:type="xsd:double"&gt;18.8216824574513&lt;/D&gt;&lt;D xsi:type="xsd:double"&gt;19.3149965022114&lt;/D&gt;&lt;D xsi:type="xsd:double"&gt;18.6795224687752&lt;/D&gt;&lt;D xsi:type="xsd:double"&gt;17.2655556717882&lt;/D&gt;&lt;D xsi:type="xsd:double"&gt;17.9729925028488&lt;/D&gt;&lt;D xsi:type="xsd:double"&gt;18.6440558209937&lt;/D&gt;&lt;D xsi:type="xsd:double"&gt;17.4105939536194&lt;/D&gt;&lt;D xsi:type="xsd:double"&gt;18.7006300730504&lt;/D&gt;&lt;D xsi:type="xsd:double"&gt;18.0409962970088&lt;/D&gt;&lt;D xsi:type="xsd:double"&gt;18.2162863620187&lt;/D&gt;&lt;D xsi:type="xsd:double"&gt;18.3329645885525&lt;/D&gt;&lt;D xsi:type="xsd:double"&gt;18.4892348624994&lt;/D&gt;&lt;D xsi:type="xsd:double"&gt;19.1373266219121&lt;/D&gt;&lt;D xsi:type="xsd:double"&gt;19.6776643795275&lt;/D&gt;&lt;D xsi:type="xsd:double"&gt;19.5870327873821&lt;/D&gt;&lt;D xsi:type="xsd:double"&gt;19.0499238637416&lt;/D&gt;&lt;D xsi:type="xsd:double"&gt;19.0355700419529&lt;/D&gt;&lt;D xsi:type="xsd:double"&gt;20.5743720894247&lt;/D&gt;&lt;D xsi:type="xsd:double"&gt;21.7256395465349&lt;/D&gt;&lt;D xsi:type="xsd:double"&gt;22.2173049181565&lt;/D&gt;&lt;D xsi:type="xsd:double"&gt;22.7964879594996&lt;/D&gt;&lt;D xsi:type="xsd:double"&gt;22.7417667428864&lt;/D&gt;&lt;D xsi:type="xsd:double"&gt;22.2899579845372&lt;/D&gt;&lt;D xsi:type="xsd:double"&gt;22.4935693690674&lt;/D&gt;&lt;D xsi:type="xsd:double"&gt;22.8001139701329&lt;/D&gt;&lt;D xsi:type="xsd:double"&gt;22.6698875645989&lt;/D&gt;&lt;/FQL&gt;&lt;FQL&gt;&lt;Q&gt;PASP-FDS^FG_PRICE_CHANGE(0,-1AM)&lt;/Q&gt;&lt;R&gt;1&lt;/R&gt;&lt;C&gt;1&lt;/C&gt;&lt;D xsi:type="xsd:double"&gt;-6.40640640640641&lt;/D&gt;&lt;/FQL&gt;&lt;FQL&gt;&lt;Q&gt;EWI^FG_PRICE_MAVG(0,,,,30)&lt;/Q&gt;&lt;R&gt;1&lt;/R&gt;&lt;C&gt;1&lt;/C&gt;&lt;D xsi:type="xsd:double"&gt;36.988335&lt;/D&gt;&lt;/FQL&gt;&lt;FQL&gt;&lt;Q&gt;EWL^FG_PRICE(0)&lt;/Q&gt;&lt;R&gt;1&lt;/R&gt;&lt;C&gt;1&lt;/C&gt;&lt;D xsi:type="xsd:double"&gt;50.1&lt;/D&gt;&lt;/FQL&gt;&lt;FQL&gt;&lt;Q&gt;FXI^FG_TOTAL_RETURNC(0,-1AM)&lt;/Q&gt;&lt;R&gt;1&lt;/R&gt;&lt;C&gt;1&lt;/C&gt;&lt;D xsi:type="xsd:double"&gt;-2.9141128&lt;/D&gt;&lt;/FQL&gt;&lt;FQL&gt;&lt;Q&gt;EWL^FG_TOTAL_RETURNC(0,-3AM)&lt;/Q&gt;&lt;R&gt;1&lt;/R&gt;&lt;C&gt;1&lt;/C&gt;&lt;D xsi:type="xsd:double"&gt;13.040792&lt;/D&gt;&lt;/FQL&gt;&lt;FQL&gt;&lt;Q&gt;ENZL^FG_TOTAL_RETURNC(0,-3AM)&lt;/Q&gt;&lt;R&gt;1&lt;/R&gt;&lt;C&gt;1&lt;/C&gt;&lt;D xsi:type="xsd:double"&gt;4.814291&lt;/D&gt;&lt;/FQL&gt;&lt;FQL&gt;&lt;Q&gt;VGK^FMA_COS_DOWN("EPS","1M",+1,0,,,"PORTAGG","MEANR")&lt;/Q&gt;&lt;R&gt;1&lt;/R&gt;&lt;C&gt;1&lt;/C&gt;&lt;D xsi:type="xsd:double"&gt;487&lt;/D&gt;&lt;/FQL&gt;&lt;FQL&gt;&lt;Q&gt;ENZL^FMA_RBICS_REV_CURRENT(30, LOC, "PORTAGG")&lt;/Q&gt;&lt;R&gt;1&lt;/R&gt;&lt;C&gt;1&lt;/C&gt;&lt;D xsi:type="xsd:double"&gt;14.6753056662198&lt;/D&gt;&lt;/FQL&gt;&lt;FQL&gt;&lt;Q&gt;REFSEREPO-FDS^PROPER_NAME(0,,,"SECURITY","NAME")&lt;/Q&gt;&lt;R&gt;1&lt;/R&gt;&lt;C&gt;1&lt;/C&gt;&lt;D xsi:type="xsd:string"&gt;Sweden Repo Rate&lt;/D&gt;&lt;/FQL&gt;&lt;FQL&gt;&lt;Q&gt;REFJPTON-FDS^FG_YIELD(NOW,,,0)&lt;/Q&gt;&lt;R&gt;1&lt;/R&gt;&lt;C&gt;1&lt;/C&gt;&lt;D xsi:type="xsd:double"&gt;0.25&lt;/D&gt;&lt;/FQL&gt;&lt;FQL&gt;&lt;Q&gt;TRYUS10Y-FDS^PCTCHG(FG_YIELD(0,,,,"YTM"),FG_YIELD(-3AM,,,,"YTM"))&lt;/Q&gt;&lt;R&gt;1&lt;/R&gt;&lt;C&gt;1&lt;/C&gt;&lt;D xsi:type="xsd:double"&gt;-13.88547&lt;/D&gt;&lt;/FQL&gt;&lt;FQL&gt;&lt;Q&gt;TRYIT10Y-FDS^FG_YIELD_NAME&lt;/Q&gt;&lt;R&gt;1&lt;/R&gt;&lt;C&gt;1&lt;/C&gt;&lt;D xsi:type="xsd:string"&gt;Italy Benchmark Bond - 10 Year&lt;/D&gt;&lt;/FQL&gt;&lt;FQL&gt;&lt;Q&gt;VWO^FMA_EVAL_EBITDA(NTMA,0,,,"PORTAGG","MEANR")&lt;/Q&gt;&lt;R&gt;1&lt;/R&gt;&lt;C&gt;1&lt;/C&gt;&lt;D xsi:type="xsd:double"&gt;9.07400417748812&lt;/D&gt;&lt;/FQL&gt;&lt;FQL&gt;&lt;Q&gt;EWD^FMA_DIV_YLD(NTMA,NOW,NOW,M,"PORTAGG","MEANR")&lt;/Q&gt;&lt;R&gt;1&lt;/R&gt;&lt;C&gt;1&lt;/C&gt;&lt;D xsi:type="xsd:double"&gt;3.22436381294799&lt;/D&gt;&lt;/FQL&gt;&lt;FQL&gt;&lt;Q&gt;EWL^FMA_EVAL_EBIT(LTMA,NOW,NOW,M,"PORTAGG","MEANR")&lt;/Q&gt;&lt;R&gt;1&lt;/R&gt;&lt;C&gt;1&lt;/C&gt;&lt;D xsi:type="xsd:double"&gt;16.6816999603866&lt;/D&gt;&lt;/FQL&gt;&lt;FQL&gt;&lt;Q&gt;EWC^FMA_EVAL_EBIT(LTMA,NOW,NOW,M,"PORTAGG","MEANR")&lt;/Q&gt;&lt;R&gt;1&lt;/R&gt;&lt;C&gt;1&lt;/C&gt;&lt;D xsi:type="xsd:double"&gt;16.0746079471989&lt;/D&gt;&lt;/FQL&gt;&lt;FQL&gt;&lt;Q&gt;TLT^FG_TOTAL_RETURNC(0,-6AM)&lt;/Q&gt;&lt;R&gt;1&lt;/R&gt;&lt;C&gt;1&lt;/C&gt;&lt;D xsi:type="xsd:double"&gt;-1.0374606&lt;/D&gt;&lt;/FQL&gt;&lt;FQL&gt;&lt;Q&gt;GLD^FG_TOTAL_RETURNC(0,-6AM)&lt;/Q&gt;&lt;R&gt;1&lt;/R&gt;&lt;C&gt;1&lt;/C&gt;&lt;D xsi:type="xsd:double"&gt;18.57046&lt;/D&gt;&lt;/FQL&gt;&lt;FQL&gt;&lt;Q&gt;W-FDS^FG_PRICE_CHANGE(0,-6AM)&lt;/Q&gt;&lt;R&gt;1&lt;/R&gt;&lt;C&gt;1&lt;/C&gt;&lt;D xsi:type="xsd:double"&gt;-11.5544472152951&lt;/D&gt;&lt;/FQL&gt;&lt;FQL&gt;&lt;Q&gt;FXI^PERCENT_CHANGE(FMA_EPS(+1,0,,,,"PORTAGG","MEAN"),FMA_EPS(+1,-3AM,,,,"PORTAGG","MEAN"))&lt;/Q&gt;&lt;R&gt;1&lt;/R&gt;&lt;C&gt;1&lt;/C&gt;&lt;D xsi:type="xsd:double"&gt;4.77850644874207&lt;/D&gt;&lt;/FQL&gt;&lt;FQL&gt;&lt;Q&gt;URTH^P_PRICE(0)/P_PRICE_LOW_PR(0,,,,,,"PRICE","INTRA","52W")-1&lt;/Q&gt;&lt;R&gt;1&lt;/R&gt;&lt;C&gt;1&lt;/C&gt;&lt;D xsi:type="xsd:double"&gt;0.28430688&lt;/D&gt;&lt;/FQL&gt;&lt;FQL&gt;&lt;Q&gt;VGK^FMA_PCT_ABOVE_MAVG(200,0,,,,"PORTAGG")&lt;/Q&gt;&lt;R&gt;1&lt;/R&gt;&lt;C&gt;1&lt;/C&gt;&lt;D xsi:type="xsd:double"&gt;60.1114649681529&lt;/D&gt;&lt;/FQL&gt;&lt;FQL&gt;&lt;Q&gt;EWN^FG_TOTAL_RETURNC(0,-6AM)&lt;/Q&gt;&lt;R&gt;1&lt;/R&gt;&lt;C&gt;1&lt;/C&gt;&lt;D xsi:type="xsd:double"&gt;5.011761&lt;/D&gt;&lt;/FQL&gt;&lt;FQL&gt;&lt;Q&gt;SPY^PERCENT_CHANGE(FMA_EPS(+1,0,,,,"PORTAGG","MEAN"),FMA_EPS(+1,-3AM,,,,"PORTAGG","MEAN"))&lt;/Q&gt;&lt;R&gt;1&lt;/R&gt;&lt;C&gt;1&lt;/C&gt;&lt;D xsi:type="xsd:double"&gt;-0.154177246442902&lt;/D&gt;&lt;/FQL&gt;&lt;FQL&gt;&lt;Q&gt;EWG^PERCENT_CHANGE(FMA_EPS(+1,0,,,,"PORTAGG","MEAN"),FMA_EPS(+1,-1AM,,,,"PORTAGG","MEAN"))&lt;/Q&gt;&lt;R&gt;1&lt;/R&gt;&lt;C&gt;1&lt;/C&gt;&lt;D xsi:type="xsd:double"&gt;-0.220679520822511&lt;/D&gt;&lt;/FQL&gt;&lt;FQL&gt;&lt;Q&gt;ENZL^FG_TOTAL_RETURNC(0,-1AM)&lt;/Q&gt;&lt;R&gt;1&lt;/R&gt;&lt;C&gt;1&lt;/C&gt;&lt;D xsi:type="xsd:double"&gt;1.5735865&lt;/D&gt;&lt;/FQL&gt;&lt;FQL&gt;&lt;Q&gt;EWU^FMA_COS_DOWN("EPS","1M",+1,0,,,"PORTAGG","MEANR")&lt;/Q&gt;&lt;R&gt;1&lt;/R&gt;&lt;C&gt;1&lt;/C&gt;&lt;D xsi:type="xsd:double"&gt;44&lt;/D&gt;&lt;/FQL&gt;&lt;FQL&gt;&lt;Q&gt;REFAUCASH-FDS^FG_YIELD(NOW,,,0)&lt;/Q&gt;&lt;R&gt;1&lt;/R&gt;&lt;C&gt;1&lt;/C&gt;&lt;D xsi:type="xsd:double"&gt;4.35&lt;/D&gt;&lt;/FQL&gt;&lt;FQL&gt;&lt;Q&gt;EWJ^FMA_EVAL_EBITDA(NTMA,0,,,"PORTAGG","MEANR")&lt;/Q&gt;&lt;R&gt;1&lt;/R&gt;&lt;C&gt;1&lt;/C&gt;&lt;D xsi:type="xsd:double"&gt;10.1549401427385&lt;/D&gt;&lt;/FQL&gt;&lt;FQL&gt;&lt;Q&gt;EWA^FMA_EVAL_EBIT(LTMA,NOW,NOW,M,"PORTAGG","MEANR")&lt;/Q&gt;&lt;R&gt;1&lt;/R&gt;&lt;C&gt;1&lt;/C&gt;&lt;D xsi:type="xsd:double"&gt;12.542192676817&lt;/D&gt;&lt;/FQL&gt;&lt;FQL&gt;&lt;Q&gt;EWN^FMA_DIV_YLD(NTMA,NOW,NOW,M,"PORTAGG","MEANR")&lt;/Q&gt;&lt;R&gt;1&lt;/R&gt;&lt;C&gt;1&lt;/C&gt;&lt;D xsi:type="xsd:double"&gt;2.59603241445544&lt;/D&gt;&lt;/FQL&gt;&lt;FQL&gt;&lt;Q&gt;VWO^P_PRICE(0)/P_PRICE_HIGH_PR(0,,,USD,,,"PRICE","INTRA","52W")&lt;/Q&gt;&lt;R&gt;1&lt;/R&gt;&lt;C&gt;1&lt;/C&gt;&lt;D xsi:type="xsd:double"&gt;0.9526518&lt;/D&gt;&lt;/FQL&gt;&lt;FQL&gt;&lt;Q&gt;WL-FDS^FG_PRICE_CHANGE(0,-1AM)&lt;/Q&gt;&lt;R&gt;1&lt;/R&gt;&lt;C&gt;1&lt;/C&gt;&lt;D xsi:type="xsd:double"&gt;-10.6502816180235&lt;/D&gt;&lt;/FQL&gt;&lt;FQL&gt;&lt;Q&gt;VGK^P_PRICE(0)/P_PRICE_HIGH_PR(0,,,USD,,,"PRICE","INTRA","52W")&lt;/Q&gt;&lt;R&gt;1&lt;/R&gt;&lt;C&gt;1&lt;/C&gt;&lt;D xsi:type="xsd:double"&gt;0.94856733&lt;/D&gt;&lt;/FQL&gt;&lt;FQL&gt;&lt;Q&gt;CAGDPY@CH^EE_ACTUAL_ANNUAL(MED,0)&lt;/Q&gt;&lt;R&gt;1&lt;/R&gt;&lt;C&gt;1&lt;/C&gt;&lt;D xsi:type="xsd:double"&gt;6.98087557861584&lt;/D&gt;&lt;/FQL&gt;&lt;FQL&gt;&lt;Q&gt;USDGBP^STD(FG_PRICE_CHANGE(0,-3AY,M))&lt;/Q&gt;&lt;R&gt;1&lt;/R&gt;&lt;C&gt;1&lt;/C&gt;&lt;D xsi:type="xsd:double"&gt;2.35418337899108&lt;/D&gt;&lt;/FQL&gt;&lt;FQL&gt;&lt;Q&gt;EWL^FMA_DIV_YLD(NTMA,-10AY,0,AM,"PORTAGG","MEANR")&lt;/Q&gt;&lt;R&gt;121&lt;/R&gt;&lt;C&gt;1&lt;/C&gt;&lt;D xsi:type="xsd:double"&gt;3.39158893225524&lt;/D&gt;&lt;D xsi:type="xsd:double"&gt;3.32530100104957&lt;/D&gt;&lt;D xsi:type="xsd:double"&gt;3.35021603646178&lt;/D&gt;&lt;D xsi:type="xsd:double"&gt;3.32346860354946&lt;/D&gt;&lt;D xsi:type="xsd:double"&gt;3.23096473582838&lt;/D&gt;&lt;D xsi:type="xsd:double"&gt;3.30343855307156&lt;/D&gt;&lt;D xsi:type="xsd:double"&gt;3.38086836776971&lt;/D&gt;&lt;D xsi:type="xsd:double"&gt;3.15848356988339&lt;/D&gt;&lt;D xsi:type="xsd:double"&gt;3.14184298215429&lt;/D&gt;&lt;D xsi:type="xsd:double"&gt;3.09952287960115&lt;/D&gt;&lt;D xsi:type="xsd:double"&gt;3.12179549947914&lt;/D&gt;&lt;D xsi:type="xsd:double"&gt;3.25594346569372&lt;/D&gt;&lt;D xsi:type="xsd:double"&gt;3.1022687086928&lt;/D&gt;&lt;D xsi:type="xsd:double"&gt;3.39137571869915&lt;/D&gt;&lt;D xsi:type="xsd:double"&gt;3.45124196958065&lt;/D&gt;&lt;D xsi:type="xsd:double"&gt;3.26121053829813&lt;/D&gt;&lt;D xsi:type="xsd:double"&gt;3.24483552927835&lt;/D&gt;&lt;D xsi:type="xsd:double"&gt;3.27040945041367&lt;/D&gt;&lt;D xsi:type="xsd:double"&gt;3.45046108964601&lt;/D&gt;&lt;D xsi:type="xsd:double"&gt;3.50360116603976&lt;/D&gt;&lt;D xsi:type="xsd:double"&gt;3.59224856747807&lt;/D&gt;&lt;D xsi:type="xsd:double"&gt;3.50550200625508&lt;/D&gt;&lt;D xsi:type="xsd:double"&gt;3.46306686831616&lt;/D&gt;&lt;D xsi:type="xsd:double"&gt;3.5203014955333&lt;/D&gt;&lt;D xsi:type="xsd:double"&gt;3.48763979720684&lt;/D&gt;&lt;D xsi:type="xsd:double"&gt;3.48638634033545&lt;/D&gt;&lt;D xsi:type="xsd:double"&gt;3.4921843468164&lt;/D&gt;&lt;D xsi:type="xsd:double"&gt;3.65106073725145&lt;/D&gt;&lt;D xsi:type="xsd:double"&gt;3.72254753625881&lt;/D&gt;&lt;D xsi:type="xsd:double"&gt;3.5533111966061&lt;/D&gt;&lt;D xsi:type="xsd:double"&gt;3.47380404547395&lt;/D&gt;&lt;D xsi:type="xsd:double"&gt;3.36106751562458&lt;/D&gt;&lt;D xsi:type="xsd:double"&gt;3.41799191065289&lt;/D&gt;&lt;D xsi:type="xsd:double"&gt;3.35829843888038&lt;/D&gt;&lt;D xsi:type="xsd:double"&gt;3.28282381623927&lt;/D&gt;&lt;D xsi:type="xsd:double"&gt;3.28848308107885&lt;/D&gt;&lt;D xsi:type="xsd:double"&gt;3.27841624612382&lt;/D&gt;&lt;D xsi:type="xsd:double"&gt;3.31966903233124&lt;/D&gt;&lt;D xsi:type="xsd:double"&gt;3.26883982541692&lt;/D&gt;&lt;D xsi:type="xsd:double"&gt;3.24533698826426&lt;/D&gt;&lt;D xsi:type="xsd:double"&gt;3.2504472447529&lt;/D&gt;&lt;D xsi:type="xsd:double"&gt;3.21930724944088&lt;/D&gt;&lt;D xsi:type="xsd:double"&gt;3.19994988989626&lt;/D&gt;&lt;D xsi:type="xsd:double"&gt;3.47256126560313&lt;/D&gt;&lt;D xsi:type="xsd:double"&gt;3.49854681834639&lt;/D&gt;&lt;D xsi:type="xsd:double"&gt;3.47283148356733&lt;/D&gt;&lt;D xsi:type="xsd:double"&gt;3.55352667181163&lt;/D&gt;&lt;D xsi:type="xsd:double"&gt;3.5660646339402&lt;/D&gt;&lt;D xsi:type="xsd:double"&gt;3.37542029819816&lt;/D&gt;&lt;D xsi:type="xsd:double"&gt;3.41830060980553&lt;/D&gt;&lt;D xsi:type="xsd:double"&gt;3.40356357205802&lt;/D&gt;&lt;D xsi:type="xsd:double"&gt;3.50525490631455&lt;/D&gt;&lt;D xsi:type="xsd:double"&gt;3.52407662738803&lt;/D&gt;&lt;D xsi:type="xsd:double"&gt;3.70550297641543&lt;/D&gt;&lt;D xsi:type="xsd:double"&gt;3.46170458346392&lt;/D&gt;&lt;D xsi:type="xsd:double"&gt;3.33694159663307&lt;/D&gt;&lt;D xsi:type="xsd:double"&gt;3.3053112884017&lt;/D&gt;&lt;D xsi:type="xsd:double"&gt;3.24704682104972&lt;/D&gt;&lt;D xsi:type="xsd:double"&gt;3.3445579813945&lt;/D&gt;&lt;D xsi:type="xsd:double"&gt;3.20639597785414&lt;/D&gt;&lt;D xsi:type="xsd:double"&gt;3.23028045697428&lt;/D&gt;&lt;D xsi:type="xsd:double"&gt;3.24884662076499&lt;/D&gt;&lt;D xsi:type="xsd:double"&gt;3.23974663681299&lt;/D&gt;&lt;D xsi:type="xsd:double"&gt;3.14559545770692&lt;/D&gt;&lt;D xsi:type="xsd:double"&gt;3.09756733932483&lt;/D&gt;&lt;D xsi:type="xsd:double"&gt;3.04328914915543&lt;/D&gt;&lt;D xsi:type="xsd:double"&gt;3.02734981477521&lt;/D&gt;&lt;D xsi:type="xsd:double"&gt;3.30262117982551&lt;/D&gt;&lt;D xsi:type="xsd:double"&gt;3.54175456863544&lt;/D&gt;&lt;D xsi:type="xsd:double"&gt;3.26156325188524&lt;/D&gt;&lt;D xsi:type="xsd:double"&gt;3.16567902165986&lt;/D&gt;&lt;D xsi:type="xsd:double"&gt;3.07102444145075&lt;/D&gt;&lt;D xsi:type="xsd:double"&gt;3.02019645615973&lt;/D&gt;&lt;D xsi:type="xsd:double"&gt;2.95327931980375&lt;/D&gt;&lt;D xsi:type="xsd:double"&gt;2.95815041718759&lt;/D&gt;&lt;D xsi:type="xsd:double"&gt;3.15198115057443&lt;/D&gt;&lt;D xsi:type="xsd:double"&gt;2.90733355265474&lt;/D&gt;&lt;D xsi:type="xsd:double"&gt;2.82077523850231&lt;/D&gt;&lt;D xsi:type="xsd:double"&gt;2.8533894840034&lt;/D&gt;&lt;D xsi:type="xsd:</t>
        </r>
      </text>
    </comment>
    <comment ref="A9" authorId="0" shapeId="0" xr:uid="{1B32E586-CFB5-46CB-9845-AD719DDC90A0}">
      <text>
        <r>
          <rPr>
            <b/>
            <sz val="9"/>
            <color indexed="81"/>
            <rFont val="Tahoma"/>
            <charset val="1"/>
          </rPr>
          <t>double"&gt;2.88809956733931&lt;/D&gt;&lt;D xsi:type="xsd:double"&gt;2.79350069710843&lt;/D&gt;&lt;D xsi:type="xsd:double"&gt;2.77483059944566&lt;/D&gt;&lt;D xsi:type="xsd:double"&gt;2.69657200419108&lt;/D&gt;&lt;D xsi:type="xsd:double"&gt;2.63268393206782&lt;/D&gt;&lt;D xsi:type="xsd:double"&gt;2.59129954385517&lt;/D&gt;&lt;D xsi:type="xsd:double"&gt;2.5599470040229&lt;/D&gt;&lt;D xsi:type="xsd:double"&gt;2.77919579426776&lt;/D&gt;&lt;D xsi:type="xsd:double"&gt;2.62830002731877&lt;/D&gt;&lt;D xsi:type="xsd:double"&gt;2.65090889390494&lt;/D&gt;&lt;D xsi:type="xsd:double"&gt;2.52766057359219&lt;/D&gt;&lt;D xsi:type="xsd:double"&gt;2.7096189486267&lt;/D&gt;&lt;D xsi:type="xsd:double"&gt;2.82808219096313&lt;/D&gt;&lt;D xsi:type="xsd:double"&gt;2.78158936299687&lt;/D&gt;&lt;D xsi:type="xsd:double"&gt;2.84152955009802&lt;/D&gt;&lt;D xsi:type="xsd:double"&gt;2.98523766102859&lt;/D&gt;&lt;D xsi:type="xsd:double"&gt;3.1965228346668&lt;/D&gt;&lt;D xsi:type="xsd:double"&gt;3.05468744334425&lt;/D&gt;&lt;D xsi:type="xsd:double"&gt;3.26923098253261&lt;/D&gt;&lt;D xsi:type="xsd:double"&gt;3.4263138214808&lt;/D&gt;&lt;D xsi:type="xsd:double"&gt;3.29550665285148&lt;/D&gt;&lt;D xsi:type="xsd:double"&gt;3.07435137435244&lt;/D&gt;&lt;D xsi:type="xsd:double"&gt;3.22514247311463&lt;/D&gt;&lt;D xsi:type="xsd:double"&gt;3.06225410097286&lt;/D&gt;&lt;D xsi:type="xsd:double"&gt;3.17701626787977&lt;/D&gt;&lt;D xsi:type="xsd:double"&gt;3.15678083781982&lt;/D&gt;&lt;D xsi:type="xsd:double"&gt;3.07700993467882&lt;/D&gt;&lt;D xsi:type="xsd:double"&gt;3.16826945755237&lt;/D&gt;&lt;D xsi:type="xsd:double"&gt;3.16485288239112&lt;/D&gt;&lt;D xsi:type="xsd:double"&gt;3.14713263005057&lt;/D&gt;&lt;D xsi:type="xsd:double"&gt;3.245367403327&lt;/D&gt;&lt;D xsi:type="xsd:double"&gt;3.35482479377066&lt;/D&gt;&lt;D xsi:type="xsd:double"&gt;3.5163441237358&lt;/D&gt;&lt;D xsi:type="xsd:double"&gt;3.3647868004724&lt;/D&gt;&lt;D xsi:type="xsd:double"&gt;3.27188692633068&lt;/D&gt;&lt;D xsi:type="xsd:double"&gt;3.31160617183323&lt;/D&gt;&lt;D xsi:type="xsd:double"&gt;3.29531729714116&lt;/D&gt;&lt;D xsi:type="xsd:double"&gt;3.26405138439594&lt;/D&gt;&lt;D xsi:type="xsd:double"&gt;3.42060043955727&lt;/D&gt;&lt;D xsi:type="xsd:double"&gt;3.19702705627753&lt;/D&gt;&lt;D xsi:type="xsd:double"&gt;3.23101538593108&lt;/D&gt;&lt;D xsi:type="xsd:double"&gt;3.17389595200055&lt;/D&gt;&lt;/FQL&gt;&lt;FQL&gt;&lt;Q&gt;TRYAU10Y-FDS^FG_YIELD_NAME&lt;/Q&gt;&lt;R&gt;1&lt;/R&gt;&lt;C&gt;1&lt;/C&gt;&lt;D xsi:type="xsd:string"&gt;Australia Benchmark Bond - 10 Year&lt;/D&gt;&lt;/FQL&gt;&lt;FQL&gt;&lt;Q&gt;TRYUS10Y-FDS^PCTCHG(FG_YIELD(0,,,,"YTM"),FG_YIELD(-1AM,,,,"YTM"))&lt;/Q&gt;&lt;R&gt;1&lt;/R&gt;&lt;C&gt;1&lt;/C&gt;&lt;D xsi:type="xsd:double"&gt;-10.959975&lt;/D&gt;&lt;/FQL&gt;&lt;FQL&gt;&lt;Q&gt;SPY^FG_FCF_YIELD_NTM(0)&lt;/Q&gt;&lt;R&gt;1&lt;/R&gt;&lt;C&gt;1&lt;/C&gt;&lt;D xsi:type="xsd:double"&gt;4.20417561984736&lt;/D&gt;&lt;/FQL&gt;&lt;FQL&gt;&lt;Q&gt;REFEUREFI-FDS^(SUBARRAY(NOT_NA(NO_REPEAT_F(FG_YIELD(NOW,-10AY,D))),0,1)-SUBARRAY(NOT_NA(NO_REPEAT_F(FG_YIELD(NOW,-10AY,D))),1,1))*100&lt;/Q&gt;&lt;R&gt;1&lt;/R&gt;&lt;C&gt;1&lt;/C&gt;&lt;D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xsi:type="xsd:double"&gt;-25&lt;/D&gt;&lt;/FQL&gt;&lt;FQL&gt;&lt;Q&gt;VGK^FG_PE(0)&lt;/Q&gt;&lt;R&gt;1&lt;/R&gt;&lt;C&gt;1&lt;/C&gt;&lt;D xsi:type="xsd:double"&gt;14.2037753337727&lt;/D&gt;&lt;/FQL&gt;&lt;FQL&gt;&lt;Q&gt;EWJ^FG_TOTAL_RETURNC(0,-6AM)&lt;/Q&gt;&lt;R&gt;1&lt;/R&gt;&lt;C&gt;1&lt;/C&gt;&lt;D xsi:type="xsd:double"&gt;1.6958237&lt;/D&gt;&lt;/FQL&gt;&lt;FQL&gt;&lt;Q&gt;TRYCA10Y-FDS^PCTCHG(FG_YIELD(0,,,,"YTM"),FG_YIELD(-1AM,,,,"YTM"))&lt;/Q&gt;&lt;R&gt;1&lt;/R&gt;&lt;C&gt;1&lt;/C&gt;&lt;D xsi:type="xsd:double"&gt;-10.888179&lt;/D&gt;&lt;/FQL&gt;&lt;FQL&gt;&lt;Q&gt;EWI^JULIAN(FMA_DIV_YLD(NTMA,NOW,NOW,M,"PORTAGG","MEANR").DATES)&lt;/Q&gt;&lt;R&gt;1&lt;/R&gt;&lt;C&gt;1&lt;/C&gt;&lt;D xsi:type="xsd:long"&gt;45503&lt;/D&gt;&lt;/FQL&gt;&lt;FQL&gt;&lt;Q&gt;EWN^P_PRICE(0)/P_PRICE_LOW_PR(0,,,,,,"PRICE","INTRA","52W")-1&lt;/Q&gt;&lt;R&gt;1&lt;/R&gt;&lt;C&gt;1&lt;/C&gt;&lt;D xsi:type="xsd:double"&gt;0.3188206&lt;/D&gt;&lt;/FQL&gt;&lt;FQL&gt;&lt;Q&gt;EWG^FG_TOTAL_RETURNC(0,-1AM)&lt;/Q&gt;&lt;R&gt;1&lt;/R&gt;&lt;C&gt;1&lt;/C&gt;&lt;D xsi:type="xsd:double"&gt;-1.332897&lt;/D&gt;&lt;/FQL&gt;&lt;FQL&gt;&lt;Q&gt;EWG^FMA_PE(NTMA,0,,,"PORTAGG","MEANR")&lt;/Q&gt;&lt;R&gt;1&lt;/R&gt;&lt;C&gt;1&lt;/C&gt;&lt;D xsi:type="xsd:double"&gt;11.7568586327834&lt;/D&gt;&lt;/FQL&gt;&lt;FQL&gt;&lt;Q&gt;USDSEK^FG_COMPANY_NAME&lt;/Q&gt;&lt;R&gt;1&lt;/R&gt;&lt;C&gt;1&lt;/C&gt;&lt;D xsi:type="xsd:string"&gt;Swedish Krona per U.S. Dollar&lt;/D&gt;&lt;/FQL&gt;&lt;FQL&gt;&lt;Q&gt;USDGBP^STD(FG_PRICE_CHANGE(0,-1AY,AM))&lt;/Q&gt;&lt;R&gt;1&lt;/R&gt;&lt;C&gt;1&lt;/C&gt;&lt;D xsi:type="xsd:double"&gt;1.75299699740113&lt;/D&gt;&lt;/FQL&gt;&lt;FQL&gt;&lt;Q&gt;USDAUD^STD(FG_PRICE_CHANGE(0,-3AY,M))&lt;/Q&gt;&lt;R&gt;1&lt;/R&gt;&lt;C&gt;1&lt;/C&gt;&lt;D xsi:type="xsd:double"&gt;3.06365637155364&lt;/D&gt;&lt;/FQL&gt;&lt;FQL&gt;&lt;Q&gt;QQQ^P_PRICE_RETURNS_PR('52W',2,-10AY,0,AM)&lt;/Q&gt;&lt;R&gt;121&lt;/R&gt;&lt;C&gt;1&lt;/C&gt;&lt;D xsi:type="xsd:double"&gt;25.588966&lt;/D&gt;&lt;D xsi:type="xsd:double"&gt;33.3786&lt;/D&gt;&lt;D xsi:type="xsd:double"&gt;23.798645&lt;/D&gt;&lt;D xsi:type="xsd:double"&gt;24.283768&lt;/D&gt;&lt;D xsi:type="xsd:double"&gt;24.057829&lt;/D&gt;&lt;D xsi:type="xsd:double"&gt;19.179333&lt;/D&gt;&lt;D xsi:type="xsd:double"&gt;18.667316&lt;/D&gt;&lt;D xsi:type="xsd:double"&gt;21.192778&lt;/D&gt;&lt;D xsi:type="xsd:double"&gt;19.063246&lt;/D&gt;&lt;D xsi:type="xsd:double"&gt;25.796616&lt;/D&gt;&lt;D xsi:type="xsd:double"&gt;22.271324&lt;/D&gt;&lt;D xsi:type="xsd:double"&gt;14.891159&lt;/D&gt;&lt;D xsi:type="xsd:double"&gt;19.081152&lt;/D&gt;&lt;D xsi:type="xsd:double"&gt;2.3591757&lt;/D&gt;&lt;D xsi:type="xsd:double"&gt;6.291294&lt;/D&gt;&lt;D xsi:type="xsd:double"&gt;14.533043&lt;/D&gt;&lt;D xsi:type="xsd:double"&gt;11.0636&lt;/D&gt;&lt;D xsi:type="xsd:double"&gt;9.446454&lt;/D&gt;&lt;D xsi:type="xsd:double"&gt;4.3296933&lt;/D&gt;&lt;D xsi:type="xsd:double"&gt;-1.4101267&lt;/D&gt;&lt;D xsi:type="xsd:double"&gt;6.2000275&lt;/D&gt;&lt;D xsi:type="xsd:double"&gt;-2.2656262&lt;/D&gt;&lt;D xsi:type="xsd:double"&gt;1.026094&lt;/D&gt;&lt;D xsi:type="xsd:double"&gt;1.2783289&lt;/D&gt;&lt;D xsi:type="xsd:double"&gt;4.6423793&lt;/D&gt;&lt;D xsi:type="xsd:double"&gt;16.830576&lt;/D&gt;&lt;D xsi:type="xsd:double"&gt;17.987537&lt;/D&gt;&lt;D xsi:type="xsd:double"&gt;3.6129594&lt;/D&gt;&lt;D xsi:type="xsd:double"&gt;1.4044046&lt;/D&gt;&lt;D xsi:type="xsd:double"&gt;5.768156&lt;/D&gt;&lt;D xsi:type="xsd:double"&gt;21.474218&lt;/D&gt;&lt;D xsi:type="xsd:double"&gt;25.634146&lt;/D&gt;&lt;D xsi:type="xsd:double"&gt;22.474062&lt;/D&gt;&lt;D xsi:type="xsd:double"&gt;31.111658&lt;/D&gt;&lt;D xsi:type="xsd:double"&gt;29.8586&lt;/D&gt;&lt;D xsi:type="xsd:double"&gt;29.312193&lt;/D&gt;&lt;D xsi:type="xsd:double"&gt;25.210226&lt;/D&gt;&lt;D xsi:type="xsd:double"&gt;26.356638&lt;/D&gt;&lt;D xsi:type="xsd:double"&gt;24.666859&lt;/D&gt;&lt;D xsi:type="xsd:double"&gt;32.309067&lt;/D&gt;&lt;D xsi:type="xsd:double"&gt;35.132946&lt;/D&gt;&lt;D xsi:type="xsd:double"&gt;31.301426&lt;/D&gt;&lt;D xsi:type="xsd:double"&gt;35.12894&lt;/D&gt;&lt;D xsi:type="xsd:double"&gt;26.278507&lt;/D&gt;&lt;D xsi:type="xsd:double"&gt;22.133816&lt;/D&gt;&lt;D xsi:type="xsd:double"&gt;19.675673&lt;/D&gt;&lt;D xsi:type="xsd:double"&gt;22.843765&lt;/D&gt;&lt;D xsi:type="xsd:double"&gt;25.764442&lt;/D&gt;&lt;D xsi:type="xsd:double"&gt;24.375582&lt;/D&gt;&lt;D xsi:type="xsd:double"&gt;28.700888&lt;/D&gt;&lt;D xsi:type="xsd:double"&gt;28.980196&lt;/D&gt;&lt;D xsi:type="xsd:double"&gt;13.992882&lt;/D&gt;&lt;D xsi:type="xsd:double"&gt;10.00483&lt;/D&gt;&lt;D xsi:type="xsd:double"&gt;-0.11628866&lt;/D&gt;&lt;D xsi:type="xsd:double"&gt;0.5487323&lt;/D&gt;&lt;D xsi:type="xsd:double"&gt;6.9315434&lt;/D&gt;&lt;D xsi:type="xsd:double"&gt;14.673101&lt;/D&gt;&lt;D xsi:type="xsd:double"&gt;17.075848&lt;/D&gt;&lt;D xsi:type="xsd:double"&gt;3.1725526&lt;/D&gt;&lt;D xsi:type="xsd:double"&gt;11.227119&lt;/D&gt;&lt;D xsi:type="xsd:double"&gt;8.298981&lt;/D&gt;&lt;D xsi:type="xsd:double"&gt;1.4514327&lt;/D&gt;&lt;D xsi:type="xsd:double"&gt;1.49647&lt;/D&gt;&lt;D xsi:type="xsd:double"&gt;16.622341&lt;/D&gt;&lt;D xsi:type="xsd:double"&gt;23.072565&lt;/D&gt;&lt;D xsi:type="xsd:double"&gt;38.959766&lt;/D&gt;&lt;D xsi:type="xsd:double"&gt;31.346619&lt;/D&gt;&lt;D xsi:type="xsd:double"&gt;19.806744&lt;/D&gt;&lt;D xsi:type="xsd:double"&gt;1.0036588&lt;/D&gt;&lt;D xsi:type="xsd:double"&gt;13.564264&lt;/D&gt;&lt;D xsi:type="xsd:double"&gt;35.705112&lt;/D&gt;&lt;D xsi:type="xsd:double"&gt;33.417572&lt;/D&gt;&lt;D xsi:type="xsd:double"&gt;40.203667&lt;/D&gt;&lt;D xsi:type="xsd:double"&gt;61.270557&lt;/D&gt;&lt;D xsi:type="xsd:double"&gt;51.845562&lt;/D&gt;&lt;D xsi:type="xsd:double"&gt;37.770927&lt;/D&gt;&lt;D xsi:type="xsd:double"&gt;49.063778&lt;/D&gt;&lt;D xsi:type="xsd:double"&gt;48.61877&lt;/D&gt;&lt;D xsi:type="xsd:double"&gt;48.226715&lt;/D&gt;&lt;D xsi:type="xsd:double"&gt;58.356964&lt;/D&gt;&lt;D xsi:type="xsd:double"&gt;79.143036&lt;/D&gt;&lt;D xsi:type="xsd:double"&gt;55.36039&lt;/D&gt;&lt;D xsi:type="xsd:double"&gt;43.08176&lt;/D&gt;&lt;D xsi:type="xsd:double"&gt;42.353333&lt;/D&gt;&lt;D xsi:type="xsd:double"&gt;40.404236&lt;/D&gt;&lt;D xsi:type="xsd:double"&gt;27.613485&lt;/D&gt;&lt;D xsi:type="xsd:double"&gt;28.29306&lt;/D&gt;&lt;D xsi:type="xsd:double"&gt;44.59238&lt;/D&gt;&lt;D xsi:type="xsd:double"&gt;28.251278&lt;/D&gt;&lt;D xsi:type="xsd:double"&gt;27.420341&lt;/D&gt;&lt;D xsi:type="xsd:double"&gt;13.914358&lt;/D&gt;&lt;D xsi:type="xsd:double"&gt;6.040609&lt;/D&gt;&lt;D xsi:type="xsd:double"&gt;12.023603&lt;/D&gt;&lt;D xsi:type="xsd:double"&gt;-7.483202&lt;/D&gt;&lt;D xsi:type="xsd:double"&gt;-7.6150236&lt;/D&gt;&lt;D xsi:type="xsd:double"&gt;-19.988829&lt;/D&gt;&lt;D xsi:type="xsd:double"&gt;-13.042909&lt;/D&gt;&lt;D xsi:type="xsd:double"&gt;-20.89405&lt;/D&gt;&lt;D xsi:type="xsd:double"&gt;-24.874979&lt;/D&gt;&lt;D xsi:type="xsd:double"&gt;-28.550661&lt;/D&gt;&lt;D xsi:type="xsd:double"&gt;-23.656326&lt;/D&gt;&lt;D xsi:type="xsd:double"&gt;-32.999577&lt;/D&gt;&lt;D xsi:type="xsd:double"&gt;-17.06865&lt;/D&gt;&lt;D xsi:type="xsd:double"&gt;-14.100188&lt;/D&gt;&lt;D xsi:type="xsd:double"&gt;-10.799914&lt;/D&gt;&lt;D xsi:type="xsd:double"&gt;3.6410809&lt;/D&gt;&lt;D xsi:type="xsd:double"&gt;15.9163&lt;/D&gt;&lt;D xsi:type="xsd:double"&gt;32.74591&lt;/D&gt;&lt;D xsi:type="xsd:double"&gt;22.28434&lt;/D&gt;&lt;D xsi:type="xsd:double"&gt;27.016926&lt;/D&gt;&lt;D xsi:type="xsd:double"&gt;32.6771&lt;/D&gt;&lt;D xsi:type="xsd:double"&gt;30.63513&lt;/D&gt;&lt;D xsi:type="xsd:double"&gt;33.662964&lt;/D&gt;&lt;D xsi:type="xsd:double"&gt;54.759644&lt;/D&gt;&lt;D xsi:type="xsd:double"&gt;41.16268&lt;/D&gt;&lt;D xsi:type="xsd:double"&gt;54.079758&lt;/D&gt;&lt;D xsi:type="xsd:double"&gt;39.566803&lt;/D&gt;&lt;D xsi:type="xsd:double"&gt;31.700468&lt;/D&gt;&lt;D xsi:type="xsd:double"&gt;30.380201&lt;/D&gt;&lt;D xsi:type="xsd:double"&gt;31.352043&lt;/D&gt;&lt;D xsi:type="xsd:double"&gt;20.90895&lt;/D&gt;&lt;/FQL&gt;&lt;FQL&gt;&lt;Q&gt;EWC^FMA_PE(LTMA,-10AY,0,AM,"PORTAGG","MEANR")&lt;/Q&gt;&lt;R&gt;121&lt;/R&gt;&lt;C&gt;1&lt;/C&gt;&lt;D xsi:type="xsd:double"&gt;16.2794343638855&lt;/D&gt;&lt;D xsi:type="xsd:double"&gt;16.4896600252732&lt;/D&gt;&lt;D xsi:type="xsd:double"&gt;15.8114847622967&lt;/D&gt;&lt;D xsi:type="xsd:double"&gt;15.6968746345144&lt;/D&gt;&lt;D xsi:type="xsd:double"&gt;15.6324437357216&lt;/D&gt;&lt;D xsi:type="xsd:double"&gt;15.5969389852536&lt;/D&gt;&lt;D xsi:type="xsd:double"&gt;15.7778455702872&lt;/D&gt;&lt;D xsi:type="xsd:double"&gt;17.0329169622469&lt;/D&gt;&lt;D xsi:type="xsd:double"&gt;17.0664854199883&lt;/D&gt;&lt;D xsi:type="xsd:double"&gt;17.3505916412903&lt;/D&gt;&lt;D xsi:type="xsd:double"&gt;17.2468631722311&lt;/D&gt;&lt;D xsi:type="xsd:double"&gt;17.0491009818518&lt;/D&gt;&lt;D xsi:type="xsd:double"&gt;17.0229383832672&lt;/D&gt;&lt;D xsi:type="xsd:double"&gt;16.3411393429818&lt;/D&gt;&lt;D xsi:type="xsd:double"&gt;16.302970366916&lt;/D&gt;&lt;D xsi:type="xsd:double"&gt;16.6370606081625&lt;/D&gt;&lt;D xsi:type="xsd:double"&gt;16.9217533376107&lt;/D&gt;&lt;D xsi:type="xsd:double"&gt;15.7794491987031&lt;/D&gt;&lt;D xsi:type="xsd:double"&gt;15.3708269286153&lt;/D&gt;&lt;D xsi:type="xsd:double"&gt;15.7564101827763&lt;/D&gt;&lt;D xsi:type="xsd:double"&gt;16.001157655848&lt;/D&gt;&lt;D xsi:type="xsd:double"&gt;16.4169682941824&lt;/D&gt;&lt;D xsi:type="xsd:double"&gt;16.6544333171183&lt;/D&gt;&lt;D xsi:type="xsd:double"&gt;16.7934665316453&lt;/D&gt;&lt;D xsi:type="xsd:double"&gt;17.2431935508894&lt;/D&gt;&lt;D xsi:type="xsd:double"&gt;17.5850219500058&lt;/D&gt;&lt;D xsi:type="xsd:double"&gt;17.8787659375175&lt;/D&gt;&lt;D xsi:type="xsd:double"&gt;18.173631370558&lt;/D&gt;&lt;D xsi:type="xsd:double"&gt;18.7730931844746&lt;/D&gt;&lt;D xsi:type="xsd:double"&gt;19.369708934889&lt;/D&gt;&lt;D xsi:type="xsd:double"&gt;19.5860410126195&lt;/D&gt;&lt;D xsi:type="xsd:double"&gt;19.4269843736793&lt;/D&gt;&lt;D xsi:type="xsd:double"&gt;19.1093046046532&lt;/D&gt;&lt;D xsi:type="xsd:double"&gt;18.7794306078942&lt;/D&gt;&lt;D xsi:type="xsd:double"&gt;18.4512339555032&lt;/D&gt;&lt;D xsi:type="xsd:double"&gt;18.0575223370907&lt;/D&gt;&lt;D xsi:type="xsd:double"&gt;18.0064838442803&lt;/D&gt;&lt;D xsi:type="xsd:double"&gt;17.5274265070569&lt;/D&gt;&lt;D xsi:type="xsd:double"&gt;17.6540699516057&lt;/D&gt;&lt;D xsi:type="xsd:double"&gt;17.6067486511393&lt;/D&gt;&lt;D xsi:type="xsd:double"&gt;17.315556170384&lt;/D&gt;&lt;D xsi:type="xsd:double"&gt;17.2069151729046&lt;/D&gt;&lt;D xsi:type="xsd:double"&gt;16.6506424868717&lt;/D&gt;&lt;D xsi:type="xsd:double"&gt;15.8202568992905&lt;/D&gt;&lt;D xsi:type="xsd:double"&gt;15.6942942467633&lt;/D&gt;&lt;D xsi:type="xsd:double"&gt;15.5967368982415&lt;/D&gt;&lt;D xsi:type="xsd:double"&gt;15.5170458711105&lt;/D&gt;&lt;D xsi:type="xsd:double"&gt;15.4956522413703&lt;/D&gt;&lt;D xsi:type="xsd:double"&gt;15.4706828697841&lt;/D&gt;&lt;D xsi:type="xsd:double"&gt;15.2389778780504&lt;/D&gt;&lt;D xsi:type="xsd:double"&gt;15.0742612271756&lt;/D&gt;&lt;D xsi:type="xsd:double"&gt;14.2366964060455&lt;/D&gt;&lt;D xsi:type="xsd:double"&gt;14.054323813253&lt;/D&gt;&lt;D xsi:type="xsd:double"&gt;13.1315578525348&lt;/D&gt;&lt;D xsi:type="xsd:double"&gt;14.5170878783775&lt;/D&gt;&lt;D xsi:type="xsd:double"&gt;14.7339208885223&lt;/D&gt;&lt;D xsi:type="xsd:double"&gt;14.7372885987207&lt;/D&gt;&lt;D xsi:type="xsd:double"&gt;14.6153659062406&lt;/D&gt;&lt;D xsi:type="xsd:double"&gt;14.3717500238412&lt;/D&gt;&lt;D xsi:type="xsd:double"&gt;14.4890949670935&lt;/D&gt;&lt;D xsi:type="xsd:double"&gt;14.4744053058873&lt;/D&gt;&lt;D xsi:type="xsd:double"&gt;14.4218130030175&lt;/D&gt;&lt;D xsi:type="xsd:double"&gt;14.5387906903177&lt;/D&gt;&lt;D xsi:type="xsd:double"&gt;14.8354397786325&lt;/D&gt;&lt;D xsi:type="xsd:double"&gt;15.1019996324581&lt;/D&gt;&lt;D xsi:type="xsd:double"&gt;15.2532362977261&lt;/D&gt;&lt;D xsi:type="xsd:double"&gt;15.3686742646582&lt;/D&gt;&lt;D xsi:type="xsd:double"&gt;14.3479619341519&lt;/D&gt;&lt;D xsi:type="xsd:double"&gt;14.1451230008571&lt;/D&gt;&lt;D xsi:type="xsd:double"&gt;15.5747218081999&lt;/D&gt;&lt;D xsi:type="xsd:double"&gt;16.8734333112294&lt;/D&gt;&lt;D xsi:type="xsd:double"&gt;17.3402868286934&lt;/D&gt;&lt;D xsi:type="xsd:double"&gt;17.9754653891431&lt;/D&gt;&lt;D xsi:type="xsd:double"&gt;18.4570714722875&lt;/D&gt;&lt;D xsi:type="xsd:double"&gt;18.3462045626291&lt;/D&gt;&lt;D xsi:type="xsd:double"&gt;17.9859032206936&lt;/D&gt;&lt;D xsi:type="xsd:double"&gt;19.8631866862076&lt;/D&gt;&lt;D xsi:type="xsd:double"&gt;20.3674881248119&lt;/D&gt;&lt;D xsi:type="xsd:double"&gt;20.4380919883984&lt;/D&gt;&lt;D xsi:type="xsd:double"&gt;19.9891448265538&lt;/D&gt;&lt;D xsi:type="xsd:double"&gt;19.6112449968824&lt;/D&gt;&lt;D xsi:type="xsd:double"&gt;19.2245259404903&lt;/D&gt;&lt;D xsi:type="xsd:double"&gt;18.8096887769834&lt;/D&gt;&lt;D xsi:type="xsd:double"&gt;18.4318011710174&lt;/D&gt;&lt;D xsi:type="xsd:double"&gt;17.7701510817431&lt;/D&gt;&lt;D xsi:type="xsd:double"&gt;17.189969061573&lt;/D&gt;&lt;D xsi:type="xsd:double"&gt;16.4144424371514&lt;/D&gt;&lt;D xsi:type="xsd:double"&gt;16.7301144290403&lt;/D&gt;&lt;D xsi:type="xsd:double"&gt;15.4228350631004&lt;/D&gt;&lt;D xsi:type="xsd:double"&gt;15.4052054193869&lt;/D&gt;&lt;D xsi:type="xsd:double"&gt;15.4559578512852&lt;/D&gt;&lt;D xsi:type="xsd:double"&gt;15.2223884554422&lt;/D&gt;&lt;D xsi:type="xsd:double"&gt;15.0357474837891&lt;/D&gt;&lt;D xsi:type="xsd:double"&gt;14.6000199213932&lt;/D&gt;&lt;D xsi:type="xsd:double"&gt;14.2677491688948&lt;/D&gt;&lt;D xsi:type="xsd:double"&gt;13.4335584086702&lt;/D&gt;&lt;D xsi:type="xsd:double"&gt;13.3331576955509&lt;/D&gt;&lt;D xsi:type="xsd:double"&gt;12.7322005112597&lt;/D&gt;&lt;D xsi:type="xsd:double"&gt;12.1689396395286&lt;/D&gt;&lt;D xsi:type="xsd:double"&gt;12.5354977249217&lt;/D&gt;&lt;D xsi:type="xsd:double"&gt;12.915765871406&lt;/D&gt;&lt;D xsi:type="xsd:double"&gt;12.0433714481908&lt;/D&gt;&lt;D xsi:type="xsd:double"&gt;12.8941868729574&lt;/D&gt;&lt;D xsi:type="xsd:double"&gt;12.5778044678252&lt;/D&gt;&lt;D xsi:type="xsd:double"&gt;12.6384051204375&lt;/D&gt;&lt;D xsi:type="xsd:double"&gt;12.8216210921448&lt;/D&gt;&lt;D xsi:type="xsd:double"&gt;12.7869830581798&lt;/D&gt;&lt;D xsi:type="xsd:double"&gt;13.0375879378741&lt;/D&gt;&lt;D xsi:type="xsd:double"&gt;13.5433262153808&lt;/D&gt;&lt;D xsi:type="xsd:double"&gt;13.6581067908403&lt;/D&gt;&lt;D xsi:type="xsd:double"&gt;13.3014635846757&lt;/D&gt;&lt;D xsi:type="xsd:double"&gt;13.0874726153313&lt;/D&gt;&lt;D xsi:type="xsd:double"&gt;14.0079271804528&lt;/D&gt;&lt;D xsi:type="xsd:double"&gt;14.6105070525951&lt;/D&gt;&lt;D xsi:type="xsd:double"&gt;14.6860330094323&lt;/D&gt;&lt;D xsi:type="xsd:double"&gt;14.8886833317143&lt;/D&gt;&lt;D xsi:type="xsd:double"&gt;14.9711868408308&lt;/D&gt;&lt;D xsi:type="xsd:double"&gt;14.8218683423403&lt;/D&gt;&lt;D xsi:type="xsd:double"&gt;14.954736798384&lt;/D&gt;&lt;D xsi:type="xsd:double"&gt;14.8145727362961&lt;/D&gt;&lt;D xsi:type="xsd:double"&gt;15.1870805903704&lt;/D&gt;&lt;/FQL&gt;&lt;FQL&gt;&lt;Q&gt;PASP-FDS^FG_PRICE_MAVG(0,,,,30)&lt;/Q&gt;&lt;R&gt;1&lt;/R&gt;&lt;C&gt;1&lt;/C&gt;&lt;D xsi:type="xsd:double"&gt;967.26666&lt;/D&gt;&lt;/FQL&gt;&lt;FQL&gt;&lt;Q&gt;EWD^FG_PRICE(0)&lt;/Q&gt;&lt;R&gt;1&lt;/R&gt;&lt;C&gt;1&lt;/C&gt;&lt;D xsi:type="xsd:double"&gt;39.28&lt;/D&gt;&lt;/FQL&gt;&lt;FQL&gt;&lt;Q&gt;EWJ^FG_PRICE_MAVG(0,,,,200)&lt;/Q&gt;&lt;R&gt;1&lt;/R&gt;&lt;C&gt;1&lt;/C&gt;&lt;D xsi:type="xsd:double"&gt;66.50105&lt;/D&gt;&lt;/FQL&gt;&lt;FQL&gt;&lt;Q&gt;FXI^PERCENT_CHANGE(FMA_EPS(+1,0,,,,"PORTAGG","MEAN"),FMA_EPS(+1,-1AM,,,,"PORTAGG","MEAN"))&lt;/Q&gt;&lt;R&gt;1&lt;/R&gt;&lt;C&gt;1&lt;/C&gt;&lt;D xsi:type="xsd:double"&gt;1.36570017043807&lt;/D&gt;&lt;/FQL&gt;&lt;FQL&gt;&lt;Q&gt;EWI^FG_TOTAL_RETURNC(0,-12AM)&lt;/Q&gt;&lt;R&gt;1&lt;/R&gt;&lt;C&gt;1&lt;/C&gt;&lt;D xsi:type="xsd:double"&gt;13.086033&lt;/D&gt;&lt;/FQL&gt;&lt;FQL&gt;&lt;Q&gt;EWL^FG_TOTAL_RETURNC(0,-1AM)&lt;/Q&gt;&lt;R&gt;1&lt;/R&gt;&lt;C&gt;1&lt;/C&gt;&lt;D xsi:type="xsd:double"&gt;4.1147113&lt;/D&gt;&lt;/FQL&gt;&lt;FQL&gt;&lt;Q&gt;VGK^FMA_COS_UP("EPS","1M",+1,0,,,"PORTAGG","MEANR")&lt;/Q&gt;&lt;R&gt;1&lt;/R&gt;&lt;C&gt;1&lt;/C&gt;&lt;D xsi:type="xsd:double"&gt;465&lt;/D&gt;&lt;/FQL&gt;&lt;FQL&gt;&lt;Q&gt;EWI^FG_ROE(0)&lt;/Q&gt;&lt;R&gt;1&lt;/R&gt;&lt;C&gt;1&lt;/C&gt;&lt;D xsi:type="xsd:double"&gt;13.8154750109472&lt;/D&gt;&lt;/FQL&gt;&lt;FQL&gt;&lt;Q&gt;TRYNZ10Y-FDS^FG_YIELD_NAME&lt;/Q&gt;&lt;R&gt;1&lt;/R&gt;&lt;C&gt;1&lt;/C&gt;&lt;D xsi:type="xsd:string"&gt;New Zealand Benchmark Bond - 10 Year&lt;/D&gt;&lt;/FQL&gt;&lt;FQL&gt;&lt;Q&gt;REFJPTON-FDS^PROPER_NAME(0,,,"SECURITY","NAME")&lt;/Q&gt;&lt;R&gt;1&lt;/R&gt;&lt;C&gt;1&lt;/C&gt;&lt;D xsi:type="xsd:string"&gt;Japan Policy Rate&lt;/D&gt;&lt;/FQL&gt;&lt;FQL&gt;&lt;Q&gt;TRYSE10Y-FDS^FG_YIELD(0,,,,"YTM")&lt;/Q&gt;&lt;R&gt;1&lt;/R&gt;&lt;C&gt;1&lt;/C&gt;&lt;D xsi:type="xsd:double"&gt;1.964&lt;/D&gt;&lt;/FQL&gt;&lt;FQL&gt;&lt;Q&gt;VWO^FG_FCF_YIELD_NTM(0)&lt;/Q&gt;&lt;R&gt;1&lt;/R&gt;&lt;C&gt;1&lt;/C&gt;&lt;D xsi:type="xsd:double"&gt;5.35529828793736&lt;/D&gt;&lt;/FQL&gt;&lt;FQL&gt;&lt;Q&gt;EWD^FMA_PE(NTMA,0,,,"PORTAGG","MEANR")&lt;/Q&gt;&lt;R&gt;1&lt;/R&gt;&lt;C&gt;1&lt;/C&gt;&lt;D xsi:type="xsd:double"&gt;16.1140208797994&lt;/D&gt;&lt;/FQL&gt;&lt;FQL&gt;&lt;Q&gt;EWL^FMA_EVAL_EBITDA(NTMA,0,,,"PORTAGG","MEANR")&lt;/Q&gt;&lt;R&gt;1&lt;/R&gt;&lt;C&gt;1&lt;/C&gt;&lt;D xsi:type="xsd:double"&gt;13.053234527699&lt;/D&gt;&lt;/FQL&gt;&lt;FQL&gt;&lt;Q&gt;EWC^FG_FCF_YIELD_NTM(0)&lt;/Q&gt;&lt;R&gt;1&lt;/R&gt;&lt;C&gt;1&lt;/C&gt;&lt;D xsi:type="xsd:double"&gt;5.92021484053265&lt;/D&gt;&lt;/FQL&gt;&lt;FQL&gt;&lt;Q&gt;GLD^FG_TOTAL_RETURNC(0,-3AM)&lt;/Q&gt;&lt;R&gt;1&lt;/R&gt;&lt;C&gt;1&lt;/C&gt;&lt;D xsi:type="xsd:double"&gt;5.6036353&lt;/D&gt;&lt;/FQL&gt;&lt;FQL&gt;&lt;Q&gt;SPY^FMA_DIV_YLD(NTMA,NOW,NOW,M,"PORTAGG","MEANR")&lt;/Q&gt;&lt;R&gt;1&lt;/R&gt;&lt;C&gt;1&lt;/C&gt;&lt;D xsi:type="xsd:double"&gt;1.42373350476822&lt;/D&gt;&lt;/FQL&gt;&lt;FQL&gt;&lt;Q&gt;EWC^FMA_DIV_YLD(NTMA,NOW,NOW,M,"PORTAGG","MEANR")&lt;/Q&gt;&lt;R&gt;1&lt;/R&gt;&lt;C&gt;1&lt;/C&gt;&lt;D xsi:type="xsd:double"&gt;3.21668898598266&lt;/D&gt;&lt;/FQL&gt;&lt;FQL&gt;&lt;Q&gt;EWL^PERCENT_CHANGE(FMA_EPS(+1,0,,,,"PORTAGG","MEAN"),FMA_EPS(+1,-3AM,,,,"PORTAGG","MEAN"))&lt;/Q&gt;&lt;R&gt;1&lt;/R&gt;&lt;C&gt;1&lt;/C&gt;&lt;D xsi:type="xsd:double"&gt;2.85651798608685&lt;/D&gt;&lt;/FQL&gt;&lt;FQL&gt;&lt;Q&gt;EWI^SIZE(FG_CONSTITUENTS)&lt;/Q&gt;&lt;R&gt;1&lt;/R&gt;&lt;C&gt;1&lt;/C&gt;&lt;D xsi:type="xsd:long"&gt;26&lt;/D&gt;&lt;/FQL&gt;&lt;FQL&gt;&lt;Q&gt;EWD^FG_ROE(0)&lt;/Q&gt;&lt;R&gt;1&lt;/R&gt;&lt;C&gt;1&lt;/C&gt;&lt;D xsi:type="xsd:double"&gt;16.243172505293&lt;/D&gt;&lt;/FQL&gt;&lt;FQL&gt;&lt;Q&gt;SPY^P_PRICE(0)/P_PRICE_HIGH_PR(0,,,USD,,,"PRICE","INTRA","52W")&lt;/Q&gt;&lt;R&gt;1&lt;/R&gt;&lt;C&gt;1&lt;/C&gt;&lt;D xsi:type="xsd:double"&gt;0.9608076&lt;/D&gt;&lt;/FQL&gt;&lt;FQL&gt;&lt;Q&gt;EWC^JULIAN(FMA_DIV_YLD(NTMA,NOW,NOW,M,"PORTAGG","MEANR").DATES)&lt;/Q&gt;&lt;R&gt;1&lt;/R&gt;&lt;C&gt;1&lt;/C&gt;&lt;D xsi:type="xsd:long"&gt;45503&lt;/D&gt;&lt;/FQL&gt;&lt;FQL&gt;&lt;Q&gt;SPY^FG_TOTAL_RETURNC(0,-6AM)&lt;/Q&gt;&lt;R&gt;1&lt;/R&gt;&lt;C&gt;1&lt;/C&gt;&lt;D xsi:type="xsd:double"&gt;11.706543&lt;/D&gt;&lt;/FQL&gt;&lt;FQL&gt;&lt;Q&gt;EWU^FG_TOTAL_RETURNC(0,-12AM)&lt;/Q&gt;&lt;R&gt;1&lt;/R&gt;&lt;C&gt;1&lt;/C&gt;&lt;D xsi:type="xsd:double"&gt;12.6791&lt;/D&gt;&lt;/FQL&gt;&lt;FQL&gt;&lt;Q&gt;EWA^FG_TOTAL_RETURNC(0,-6AM)&lt;/Q&gt;&lt;R&gt;1&lt;/R&gt;&lt;C&gt;1&lt;/C&gt;&lt;D xsi:type="xsd:double"&gt;4.9117208&lt;/D&gt;&lt;/FQL&gt;&lt;FQL&gt;&lt;Q&gt;EWN^JULIAN(FMA_DIV_YLD(NTMA,NOW,NOW,M,"PORTAGG","MEANR").DATES)&lt;/Q&gt;&lt;R&gt;1&lt;/R&gt;&lt;C&gt;1&lt;/C&gt;&lt;D xsi:type="xsd:long"&gt;45503&lt;/D&gt;&lt;/FQL&gt;&lt;FQL&gt;&lt;Q&gt;EWU^FMA_EVAL_EBITDA(NTMA,0,,,"PORTAGG","MEANR")&lt;/Q&gt;&lt;R&gt;1&lt;/R&gt;&lt;C&gt;1&lt;/C&gt;&lt;D xsi:type="xsd:double"&gt;7.51674326466273&lt;/D&gt;&lt;/FQL&gt;&lt;FQL&gt;&lt;Q&gt;EWA^FMA_PE(LTM,0,,,"PORTAGG","MEANR")&lt;/Q&gt;&lt;R&gt;1&lt;/R&gt;&lt;C&gt;1&lt;/C&gt;&lt;D xsi:type="xsd:double"&gt;19.0513694433058&lt;/D&gt;&lt;/FQL&gt;&lt;FQL&gt;&lt;Q&gt;COPP-FDS^FG_PRICE_CHANGE(0,-1AM)&lt;/Q&gt;&lt;R&gt;1&lt;/R&gt;&lt;C&gt;1&lt;/C&gt;&lt;D xsi:type="xsd:double"&gt;-8.13283632666893&lt;/D&gt;&lt;/FQL&gt;&lt;FQL&gt;&lt;Q&gt;EWG^FMA_DIV_YLD(NTMA,-10AY,0,AM,"PORTAGG","MEANR")&lt;/Q&gt;&lt;R&gt;121&lt;/R&gt;&lt;C&gt;1&lt;/C&gt;&lt;D xsi:type="xsd:double"&gt;3.25704295751316&lt;/D&gt;&lt;D xsi:type="xsd:double"&gt;3.17618926569511&lt;/D&gt;&lt;D xsi:type="xsd:double"&gt;3.22231765809683&lt;/D&gt;&lt;D xsi:type="xsd:double"&gt;3.26650999320345&lt;/D&gt;&lt;D xsi:type="xsd:double"&gt;3.13350522852649&lt;/D&gt;&lt;D xsi:type="xsd:double"&gt;3.19148978345338&lt;/D&gt;&lt;D xsi:type="xsd:double"&gt;2.94412797034923&lt;/D&gt;&lt;D xsi:type="xsd:double"&gt;2.78173214454678&lt;/D&gt;&lt;D xsi:type="xsd:double"&gt;2.67617777603095&lt;/D&gt;&lt;D xsi:type="xsd:double"&gt;2.85825084742977&lt;/D&gt;&lt;D xsi:type="xsd:double"&gt;2.93226550337666&lt;/D&gt;&lt;D xsi:type="xsd:double"&gt;3.03240810569487&lt;/D&gt;&lt;D xsi:type="xsd:double"&gt;3.01221055817859&lt;/D&gt;&lt;D xsi:type="xsd:double"&gt;3.41103565216772&lt;/D&gt;&lt;D xsi:type="xsd:double"&gt;3.51147868780938&lt;/D&gt;&lt;D xsi:type="xsd:double"&gt;2.99220050708342&lt;/D&gt;&lt;D xsi:type="xsd:double"&gt;2.89520021195596&lt;/D&gt;&lt;D xsi:type="xsd:double"&gt;3.02919339249765&lt;/D&gt;&lt;D xsi:type="xsd:double"&gt;3.35945111550105&lt;/D&gt;&lt;D xsi:type="xsd:double"&gt;3.38571269320653&lt;/D&gt;&lt;D xsi:type="xsd:double"&gt;3.34682933835506&lt;/D&gt;&lt;D xsi:type="xsd:double"&gt;3.2918871979604&lt;/D&gt;&lt;D xsi:type="xsd:double"&gt;3.29300305507476&lt;/D&gt;&lt;D xsi:type="xsd:double"&gt;3.45090564501753&lt;/D&gt;&lt;D xsi:type="xsd:double"&gt;3.26714463686329&lt;/D&gt;&lt;D xsi:type="xsd:double"&gt;3.20092977375196&lt;/D&gt;&lt;D xsi:type="xsd:double"&gt;3.17642683206914&lt;/D&gt;&lt;D xsi:type="xsd:double"&gt;3.19238156364056&lt;/D&gt;&lt;D xsi:type="xsd:double"&gt;3.22069452908108&lt;/D&gt;&lt;D xsi:type="xsd:double"&gt;2.9747084897089&lt;/D&gt;&lt;D xsi:type="xsd:double"&gt;2.95979320076035&lt;/D&gt;&lt;D xsi:type="xsd:double"&gt;2.90177153104679&lt;/D&gt;&lt;D xsi:type="xsd:double"&gt;2.9105466510859&lt;/D&gt;&lt;D xsi:type="xsd:double"&gt;2.89825926928436&lt;/D&gt;&lt;D xsi:type="xsd:double"&gt;2.92692709070001&lt;/D&gt;&lt;D xsi:type="xsd:double"&gt;3.0356339338288&lt;/D&gt;&lt;D xsi:type="xsd:double"&gt;3.06006517445688&lt;/D&gt;&lt;D xsi:type="xsd:double"&gt;3.12476873166622&lt;/D&gt;&lt;D xsi:type="xsd:double"&gt;2.99038375230085&lt;/D&gt;&lt;D xsi:type="xsd:double"&gt;2.85561800938279&lt;/D&gt;&lt;D xsi:type="xsd:double"&gt;2.95149356278972&lt;/D&gt;&lt;D xsi:type="xsd:double"&gt;2.95370495795088&lt;/D&gt;&lt;D xsi:type="xsd:double"&gt;2.98170548054883&lt;/D&gt;&lt;D xsi:type="xsd:double"&gt;3.19405465930477&lt;/D&gt;&lt;D xsi:type="xsd:double"&gt;3.24717650440132&lt;/D&gt;&lt;D xsi:type="xsd:double"&gt;3.15900905804478&lt;/D&gt;&lt;D xsi:type="xsd:double"&gt;3.15662323993141&lt;/D&gt;&lt;D xsi:type="xsd:double"&gt;3.27480156728605&lt;/D&gt;&lt;D xsi:type="xsd:double"&gt;3.17583856823455&lt;/D&gt;&lt;D xsi:type="xsd:double"&gt;3.25711693495655&lt;/D&gt;&lt;D xsi:type="xsd:double"&gt;3.29244309835281&lt;/D&gt;&lt;D xsi:type="xsd:double"&gt;3.61018803898043&lt;/D&gt;&lt;D xsi:type="xsd:double"&gt;3.68426508031226&lt;/D&gt;&lt;D xsi:type="xsd:double"&gt;3.97098544891004&lt;/D&gt;&lt;D xsi:type="xsd:double"&gt;3.71929133890379&lt;/D&gt;&lt;D xsi:type="xsd:double"&gt;3.58126323581273&lt;/D&gt;&lt;D xsi:type="xsd:double"&gt;3.57101010414303&lt;/D&gt;&lt;D xsi:type="xsd:double"&gt;3.39225499148554&lt;/D&gt;&lt;D xsi:type="xsd:double"&gt;3.65168275655261&lt;/D&gt;&lt;D xsi:type="xsd:double"&gt;3.4557832164084&lt;/D&gt;&lt;D xsi:type="xsd:double"&gt;3.43550931969415&lt;/D&gt;&lt;D xsi:type="xsd:double"&gt;3.55231236928533&lt;/D&gt;&lt;D xsi:type="xsd:double"&gt;3.43700265071634&lt;/D&gt;&lt;D xsi:type="xsd:double"&gt;3.25420404312015&lt;/D&gt;&lt;D xsi:type="xsd:double"&gt;3.09715514407385&lt;/D&gt;&lt;D xsi:type="xsd:double"&gt;3.10138985023865&lt;/D&gt;&lt;D xsi:type="xsd:double"&gt;3.16165671485229&lt;/D&gt;&lt;D xsi:type="xsd:double"&gt;3.43280005946778&lt;/D&gt;&lt;D xsi:type="xsd:double"&gt;4.0503090021436&lt;/D&gt;&lt;D xsi:type="xsd:double"&gt;3.34626637373&lt;/D&gt;&lt;D xsi:type="xsd:double"&gt;3.06695057214076&lt;/D&gt;&lt;D xsi:type="xsd:double"&gt;2.94019910991534&lt;/D&gt;&lt;D xsi:type="xsd:double"&gt;2.93759567526176&lt;/D&gt;&lt;D xsi:type="xsd:double"&gt;2.81564544240774&lt;/D&gt;&lt;D xsi:type="xsd:double"&gt;2.86937818660478&lt;/D&gt;&lt;D xsi:type="xsd:double"&gt;3.18210386302377&lt;/D&gt;&lt;D xsi:type="xsd:double"&gt;2.77436448274031&lt;/D&gt;&lt;D xsi:type="xsd:double"&gt;2.72025953204543&lt;/D&gt;&lt;D xsi:type="xsd:double"&gt;2.78117501759582&lt;/D&gt;&lt;D xsi:type="xsd:double"&gt;2.80302328766047&lt;/D&gt;&lt;D xsi:type="xsd:double"&gt;2.68998307807009&lt;/D&gt;&lt;D xsi:type="xsd:double"&gt;2.78465609579738&lt;/D&gt;&lt;D xsi:type="xsd:double"&gt;2.79620491681506&lt;/D&gt;&lt;D xsi:type="xsd:double"&gt;2.80984480507715&lt;/D&gt;&lt;D xsi:type="xsd:double"&gt;2.84320741617825&lt;/D&gt;&lt;D xsi:type="xsd:double"&gt;2.84012373618131&lt;/D&gt;&lt;D xsi:type="xsd:double"&gt;3.0078935552656&lt;/D&gt;&lt;D xsi:type="xsd:double"&gt;2.94099419478476&lt;/D&gt;&lt;D xsi:type="xsd:double"&gt;3.08930797363405&lt;/D&gt;&lt;D xsi:type="xsd:double"&gt;3.04424056811043&lt;/D&gt;&lt;D xsi:type="xsd:double"&gt;3.14306537707824&lt;/D&gt;&lt;D xsi:type="xsd:double"&gt;3.59926001025585&lt;/D&gt;&lt;D xsi:type="xsd:double"&gt;3.53484356274227&lt;/D&gt;&lt;D xsi:type="xsd:double"&gt;3.69682281990904&lt;/D&gt;&lt;D xsi:type="xsd:double"&gt;3.74839829271668&lt;/D&gt;&lt;D xsi:type="xsd:double"&gt;4.21178417068705&lt;/D&gt;&lt;D xsi:type="xsd:double"&gt;4.01266891507948&lt;/D&gt;&lt;D xsi:type="xsd:double"&gt;4.2808013615837&lt;/D&gt;&lt;D xsi:type="xsd:double"&gt;4.48461000593773&lt;/D&gt;&lt;D xsi:type="xsd:double"&gt;4.10394018604787&lt;/D&gt;&lt;D xsi:type="xsd:double"&gt;3.72168584319341&lt;/D&gt;&lt;D xsi:type="xsd:double"&gt;3.84751434283582&lt;/D&gt;&lt;D xsi:type="xsd:double"&gt;3.50244932568791&lt;/D&gt;&lt;D xsi:type="xsd:double"&gt;3.53976622008971&lt;/D&gt;&lt;D xsi:type="xsd:double"&gt;3.52030675913846&lt;/D&gt;&lt;D xsi:type="xsd:double"&gt;3.51138865267228&lt;/D&gt;&lt;D xsi:type="xsd:double"&gt;3.66391023894455&lt;/D&gt;&lt;D xsi:type="xsd:double"&gt;3.62045230888256&lt;/D&gt;&lt;D xsi:type="xsd:double"&gt;3.6288222655632&lt;/D&gt;&lt;D xsi:type="xsd:double"&gt;3.71753673276881&lt;/D&gt;&lt;D xsi:type="xsd:double"&gt;3.85852448007124&lt;/D&gt;&lt;D xsi:type="xsd:double"&gt;4.00750102241383&lt;/D&gt;&lt;D xsi:type="xsd:double"&gt;3.61815876891383&lt;/D&gt;&lt;D xsi:type="xsd:double"&gt;3.55310279376186&lt;/D&gt;&lt;D xsi:type="xsd:double"&gt;3.54564858416795&lt;/D&gt;&lt;D xsi:type="xsd:double"&gt;3.45238990658127&lt;/D&gt;&lt;D xsi:type="xsd:double"&gt;3.24527753414301&lt;/D&gt;&lt;D xsi:type="xsd:double"&gt;3.39291422411711&lt;/D&gt;&lt;D xsi:type="xsd:double"&gt;3.38109513912397&lt;/D&gt;&lt;D xsi:type="xsd:double"&gt;3.41031981452722&lt;/D&gt;&lt;D xsi:type="xsd:double"&gt;3.42362811988095&lt;/D&gt;&lt;/FQL&gt;&lt;FQL&gt;&lt;Q&gt;EWA^FMA_PE(LTMA,-10AY,0,AM,"PORTAGG","MEANR")&lt;/Q&gt;&lt;R&gt;121&lt;/R&gt;&lt;C&gt;1&lt;/C&gt;&lt;D xsi:type="xsd:double"&gt;15.4155976462339&lt;/D&gt;&lt;D xsi:type="xsd:double"&gt;15.4733873600374&lt;/D&gt;&lt;D xsi:type="xsd:double"&gt;14.7442280472244&lt;/D&gt;&lt;D xsi:type="xsd:double"&gt;15.3641044826555&lt;/D&gt;&lt;D xsi:type="xsd:double"&gt;14.2359905540101&lt;/D&gt;&lt;D xsi:type="xsd:double"&gt;14.8069956260328&lt;/D&gt;&lt;D xsi:type="xsd:double"&gt;15.1903814057501&lt;/D&gt;&lt;D xsi:type="xsd:double"&gt;16.2153413101021&lt;/D&gt;&lt;D xsi:type="xsd:double"&gt;16.2425853589346&lt;/D&gt;&lt;D xsi:type="xsd:double"&gt;16.3273988245437&lt;/D&gt;&lt;D xsi:type="xsd:double"&gt;16.1724349889938&lt;/D&gt;&lt;D xsi:type="xsd:double"&gt;15.9467637014206&lt;/D&gt;&lt;D xsi:type="xsd:double"&gt;16.1917626947425&lt;/D&gt;&lt;D xsi:type="xsd:double"&gt;15.2413576832367&lt;/D&gt;&lt;D xsi:type="xsd:double"&gt;15.2707772316948&lt;/D&gt;&lt;D xsi:type="xsd:double"&gt;15.6354822088134&lt;/D&gt;&lt;D xsi:type="xsd:double"&gt;15.7388969205548&lt;/D&gt;&lt;D xsi:type="xsd:double"&gt;16.060762601513&lt;/D&gt;&lt;D xsi:type="xsd:double"&gt;15.3410957732913&lt;/D&gt;&lt;D xsi:type="xsd:double"&gt;14.9539131521175&lt;/D&gt;&lt;D xsi:type="xsd:double"&gt;15.0999390080493&lt;/D&gt;&lt;D xsi:type="xsd:double"&gt;15.4385687174031&lt;/D&gt;&lt;D xsi:type="xsd:double"&gt;15.722020150496&lt;/D&gt;&lt;D xsi:type="xsd:double"&gt;15.7835404267062&lt;/D&gt;&lt;D xsi:type="xsd:double"&gt;16.5212454203445&lt;/D&gt;&lt;D xsi:type="xsd:double"&gt;16.4881311820149&lt;/D&gt;&lt;D xsi:type="xsd:double"&gt;16.7199617585058&lt;/D&gt;&lt;D xsi:type="xsd:double"&gt;16.7217563021785&lt;/D&gt;&lt;D xsi:type="xsd:double"&gt;17.2698636116085&lt;/D&gt;&lt;D xsi:type="xsd:double"&gt;17.7086539390355&lt;/D&gt;&lt;D xsi:type="xsd:double"&gt;17.5614864233131&lt;/D&gt;&lt;D xsi:type="xsd:double"&gt;17.5107295950144&lt;/D&gt;&lt;D xsi:type="xsd:double"&gt;17.3884455417508&lt;/D&gt;&lt;D xsi:type="xsd:double"&gt;17.3161127740132&lt;/D&gt;&lt;D xsi:type="xsd:double"&gt;16.853937213354&lt;/D&gt;&lt;D xsi:type="xsd:double"&gt;16.7910295964712&lt;/D&gt;&lt;D xsi:type="xsd:double"&gt;16.8928234231044&lt;/D&gt;&lt;D xsi:type="xsd:double"&gt;16.621429923767&lt;/D&gt;&lt;D xsi:type="xsd:double"&gt;16.3183191989285&lt;/D&gt;&lt;D xsi:type="xsd:double"&gt;16.6934743643464&lt;/D&gt;&lt;D xsi:type="xsd:double"&gt;16.6432391416311&lt;/D&gt;&lt;D xsi:type="xsd:double"&gt;16.8278911331571&lt;/D&gt;&lt;D xsi:type="xsd:double"&gt;16.8759341086374&lt;/D&gt;&lt;D xsi:type="xsd:double"&gt;16.5273599178474&lt;/D&gt;&lt;D xsi:type="xsd:double"&gt;16.2815090514869&lt;/D&gt;&lt;D xsi:type="xsd:double"&gt;16.3018042395324&lt;/D&gt;&lt;D xsi:type="xsd:double"&gt;16.1312538310613&lt;/D&gt;&lt;D xsi:type="xsd:double"&gt;16.2800875614586&lt;/D&gt;&lt;D xsi:type="xsd:double"&gt;16.348022536939&lt;/D&gt;&lt;D xsi:type="xsd:double"&gt;16.3597947840177&lt;/D&gt;&lt;D xsi:type="xsd:double"&gt;15.9883816470529&lt;/D&gt;&lt;D xsi:type="xsd:double"&gt;15.3013526523547&lt;/D&gt;&lt;D xsi:type="xsd:double"&gt;14.8672537208656&lt;/D&gt;&lt;D xsi:type="xsd:double"&gt;14.6223187067508&lt;/D&gt;&lt;D xsi:type="xsd:double"&gt;15.2545673380389&lt;/D&gt;&lt;D xsi:type="xsd:double"&gt;15.9237833795216&lt;/D&gt;&lt;D xsi:type="xsd:double"&gt;15.8795368562413&lt;/D&gt;&lt;D xsi:type="xsd:double"&gt;15.9028090299238&lt;/D&gt;&lt;D xsi:type="xsd:double"&gt;15.9137931434095&lt;/D&gt;&lt;D xsi:type="xsd:double"&gt;16.2710407853949&lt;/D&gt;&lt;D xsi:type="xsd:double"&gt;16.4894137458976&lt;/D&gt;&lt;D xsi:type="xsd:double"&gt;16.2495305438143&lt;/D&gt;&lt;D xsi:type="xsd:double"&gt;16.9476128919734&lt;/D&gt;&lt;D xsi:type="xsd:double"&gt;17.2934364679023&lt;/D&gt;&lt;D xsi:type="xsd:double"&gt;17.7420544241093&lt;/D&gt;&lt;D xsi:type="xsd:double"&gt;17.7688229253514&lt;/D&gt;&lt;D xsi:type="xsd:double"&gt;18.44603794122&lt;/D&gt;&lt;D xsi:type="xsd:double"&gt;16.9463800934025&lt;/D&gt;&lt;D xsi:type="xsd:double"&gt;16.4482678131092&lt;/D&gt;&lt;D xsi:type="xsd:double"&gt;17.0824387493561&lt;/D&gt;&lt;D xsi:type="xsd:double"&gt;18.1671032769987&lt;/D&gt;&lt;D xsi:type="xsd:double"&gt;18.4954283830442&lt;/D&gt;&lt;D xsi:type="xsd:double"&gt;18.9843454772302&lt;/D&gt;&lt;D xsi:type="xsd:double"&gt;19.5970548607426&lt;/D&gt;&lt;D xsi:type="xsd:double"&gt;19.2433376958491&lt;/D&gt;&lt;D xsi:type="xsd:double"&gt;19.5329044080874&lt;/D&gt;&lt;D xsi:type="xsd:double"&gt;22.4044079079365&lt;/D&gt;&lt;D xsi:type="xsd:double"&gt;22.9540612302639&lt;/D&gt;&lt;D xsi:type="xsd:double"&gt;22.5216435367592&lt;/D&gt;&lt;D xsi:type="xsd:double"&gt;21.8271429394159&lt;/D&gt;&lt;D xsi:type="xsd:double"&gt;21.3012038672565&lt;/D&gt;&lt;D xsi:type="xsd:double"&gt;21.0392869257868&lt;/D&gt;&lt;D xsi:type="xsd:double"&gt;20.6483396603594&lt;/D&gt;&lt;D xsi:type="xsd:double"&gt;19.848421447333&lt;/D&gt;&lt;D xsi:type="xsd:double"&gt;19.2280867786815&lt;/D&gt;&lt;D xsi:type="xsd:double"&gt;19.1497684252331&lt;/D&gt;&lt;D xsi:type="xsd:double"&gt;18.280316639501&lt;/D&gt;&lt;D xsi:type="xsd:double"&gt;18.5872726727719&lt;/D&gt;&lt;D xsi:type="xsd:double"&gt;17.6616775100105&lt;/D&gt;&lt;D xsi:type="xsd:double"&gt;17.8166424238212&lt;/D&gt;&lt;D xsi:type="xsd:double"&gt;15.7778765920654&lt;/D&gt;&lt;D xsi:type="xsd:double"&gt;15.6847576208229&lt;/D&gt;&lt;D xsi:type="xsd:double"&gt;15.796153789094&lt;/D&gt;&lt;D xsi:type="xsd:double"&gt;15.4451641663444&lt;/D&gt;&lt;D xsi:type="xsd:double"&gt;15.0346167727315&lt;/D&gt;&lt;D xsi:type="xsd:double"&gt;13.9861244999995&lt;/D&gt;&lt;D xsi:type="xsd:double"&gt;14.6056207350294&lt;/D&gt;&lt;D xsi:type="xsd:double"&gt;14.1170584290605&lt;/D&gt;&lt;D xsi:type="xsd:double"&gt;13.2218391737573&lt;/D&gt;&lt;D xsi:type="xsd:double"&gt;13.6787361233738&lt;/D&gt;&lt;D xsi:type="xsd:double"&gt;14.5953650799928&lt;/D&gt;&lt;D xsi:type="xsd:double"&gt;14.0289358848587&lt;/D&gt;&lt;D xsi:type="xsd:double"&gt;14.9973616243196&lt;/D&gt;&lt;D xsi:type="xsd:double"&gt;14.2578373391575&lt;/D&gt;&lt;D xsi:type="xsd:double"&gt;14.2408176993964&lt;/D&gt;&lt;D xsi:type="xsd:double"&gt;14.3644299546005&lt;/D&gt;&lt;D xsi:type="xsd:double"&gt;14.2362669547734&lt;/D&gt;&lt;D xsi:type="xsd:double"&gt;14.6024219137249&lt;/D&gt;&lt;D xsi:type="xsd:double"&gt;15.1429595486571&lt;/D&gt;&lt;D xsi:type="xsd:double"&gt;15.1076587386803&lt;/D&gt;&lt;D xsi:type="xsd:double"&gt;14.8131305964159&lt;/D&gt;&lt;D xsi:type="xsd:double"&gt;14.4922048778273&lt;/D&gt;&lt;D xsi:type="xsd:double"&gt;15.2643649937028&lt;/D&gt;&lt;D xsi:type="xsd:double"&gt;16.569398491349&lt;/D&gt;&lt;D xsi:type="xsd:double"&gt;16.4287747665095&lt;/D&gt;&lt;D xsi:type="xsd:double"&gt;16.6292710642533&lt;/D&gt;&lt;D xsi:type="xsd:double"&gt;16.6612782618708&lt;/D&gt;&lt;D xsi:type="xsd:double"&gt;16.5176699050301&lt;/D&gt;&lt;D xsi:type="xsd:double"&gt;16.6687307799717&lt;/D&gt;&lt;D xsi:type="xsd:double"&gt;16.8313022458407&lt;/D&gt;&lt;D xsi:type="xsd:double"&gt;17.1339755439403&lt;/D&gt;&lt;/FQL&gt;&lt;FQL&gt;&lt;Q&gt;W-FDS^FG_PRICE_CHANGE(0,-3AM)&lt;/Q&gt;&lt;R&gt;1&lt;/R&gt;&lt;C&gt;1&lt;/C&gt;&lt;D xsi:type="xsd:double"&gt;-8.51246775580395&lt;/D&gt;&lt;/FQL&gt;&lt;FQL&gt;&lt;Q&gt;EWN^FG_PRICE_MAVG(0,,,,200)&lt;/Q&gt;&lt;R&gt;1&lt;/R&gt;&lt;C&gt;1&lt;/C&gt;&lt;D xsi:type="xsd:double"&gt;46.677586&lt;/D&gt;&lt;/FQL&gt;&lt;FQL&gt;&lt;Q&gt;EWJ^FG_PRICE_MAVG(0,,,,60)&lt;/Q&gt;&lt;R&gt;1&lt;/R&gt;&lt;C&gt;1&lt;/C&gt;&lt;D xsi:type="xsd:double"&gt;68.771835&lt;/D&gt;&lt;/FQL&gt;&lt;FQL&gt;&lt;Q&gt;URTH^P_PRICE(0)/P_PRICE_HIGH_PR(0,,,,,,"PRICE","INTRA","52W")&lt;/Q&gt;&lt;R&gt;1&lt;/R&gt;&lt;C&gt;1&lt;/C&gt;&lt;D xsi:type="xsd:double"&gt;0.9601747&lt;/D&gt;&lt;/FQL&gt;&lt;FQL&gt;&lt;Q&gt;EWI^P_PRICE(0)/P_PRICE_LOW_PR(0,,,,,,"PRICE","INTRA","52W")-1&lt;/Q&gt;&lt;R&gt;1&lt;/R&gt;&lt;C&gt;1&lt;/C&gt;&lt;D xsi:type="xsd:double"&gt;0.24246085&lt;/D&gt;&lt;/FQL&gt;&lt;FQL&gt;&lt;Q&gt;EWN^FG_TOTAL_RETURNC(0,-3AM)&lt;/Q&gt;&lt;R&gt;1&lt;/R&gt;&lt;C&gt;1&lt;/C&gt;&lt;D xsi:type="xsd:double"&gt;1.6804934&lt;/D&gt;&lt;/FQL&gt;&lt;FQL&gt;&lt;Q&gt;QQQ^P_PRICE(0)/P_PRICE_HIGH_PR(0,,,,,,"PRICE","INTRA","52W")&lt;/Q&gt;&lt;R&gt;1&lt;/R&gt;&lt;C&gt;1&lt;/C&gt;&lt;D xsi:type="xsd:double"&gt;0.91289324&lt;/D&gt;&lt;/FQL&gt;&lt;FQL&gt;&lt;Q&gt;EWG^FMA_PCT_ABOVE_MAVG(200,0,,,,"PORTAGG")&lt;/Q&gt;&lt;R&gt;1&lt;/R&gt;&lt;C&gt;1&lt;/C&gt;&lt;D xsi:type="xsd:double"&gt;58.6206896551724&lt;/D&gt;&lt;/FQL&gt;&lt;FQL&gt;&lt;Q&gt;ENZL^PERCENT_CHANGE(FMA_EPS(+1,0,,,,"PORTAGG","MEAN"),FMA_EPS(+1,-3AM,,,,"PORTAGG","MEAN"))&lt;/Q&gt;&lt;R&gt;1&lt;/R&gt;&lt;C&gt;1&lt;/C&gt;&lt;D xsi:type="xsd:double"&gt;2.40075998245098&lt;/D&gt;&lt;/FQL&gt;&lt;FQL&gt;&lt;Q&gt;EWU^FMA_COS_UP("EPS","1M",+1,0,,,"PORTAGG","MEANR")&lt;/Q&gt;&lt;R&gt;1&lt;/R&gt;&lt;C&gt;1&lt;/C&gt;&lt;D xsi:type="xsd:double"&gt;26&lt;/D&gt;&lt;/FQL&gt;&lt;FQL&gt;&lt;Q&gt;TRYAU10Y-FDS^FG_YIELD(0,,,,"YTM")&lt;/Q&gt;&lt;R&gt;1&lt;/R&gt;&lt;C&gt;1&lt;/C&gt;&lt;D xsi:type="xsd:double"&gt;4.088&lt;/D&gt;&lt;/FQL&gt;&lt;FQL&gt;&lt;Q&gt;VWO^FG_PE_NTM(0,,,90,0)&lt;/Q&gt;&lt;R&gt;1&lt;/R&gt;&lt;C&gt;1&lt;/C&gt;&lt;D xsi:type="xsd:double"&gt;10.5196011178852&lt;/D&gt;&lt;/FQL&gt;&lt;FQL&gt;&lt;Q&gt;TLT^FG_TOTAL_RETURNC(0,-1AM)&lt;/Q&gt;&lt;R&gt;1&lt;/R&gt;&lt;C&gt;1&lt;/C&gt;&lt;D xsi:type="xsd:double"&gt;6.3561916&lt;/D&gt;&lt;/FQL&gt;&lt;FQL&gt;&lt;Q&gt;FXI^FMA_PCT_ABOVE_MAVG(200,0,,,,"PORTAGG")&lt;/Q&gt;&lt;R&gt;1&lt;/R&gt;&lt;C&gt;1&lt;/C&gt;&lt;D xsi:type="xsd:double"&gt;50.9803921568627&lt;/D&gt;&lt;/FQL&gt;&lt;FQL&gt;&lt;Q&gt;EWJ^SIZE(FG_CONSTITUENTS)&lt;/Q&gt;&lt;R&gt;1&lt;/R&gt;&lt;C&gt;1&lt;/C&gt;&lt;D xsi:type="xsd:long"&gt;204&lt;/D&gt;&lt;/FQL&gt;&lt;FQL&gt;&lt;Q&gt;TRYSE10Y-FDS^FG_YIELD_NAME&lt;/Q&gt;&lt;R&gt;1&lt;/R&gt;&lt;C&gt;1&lt;/C&gt;&lt;D xsi:type="xsd:string"&gt;Sweden Benchmark Bond - 10 Year&lt;/D&gt;&lt;/FQL&gt;&lt;FQL&gt;&lt;Q&gt;VWO^FG_PE(0)&lt;/Q&gt;&lt;R&gt;1&lt;/R&gt;&lt;C&gt;1&lt;/C&gt;&lt;D xsi:type="xsd:double"&gt;15.0513221569259&lt;/D&gt;&lt;/FQL&gt;&lt;FQL&gt;&lt;Q&gt;EWN^FMA_EVAL_EBITDA(NTMA,0,,,"PORTAGG","MEANR")&lt;/Q&gt;&lt;R&gt;1&lt;/R&gt;&lt;C&gt;1&lt;/C&gt;&lt;D xsi:type="xsd:double"&gt;11.9624320677821&lt;/D&gt;&lt;/FQL&gt;&lt;FQL&gt;&lt;Q&gt;SPY^FG_TOTAL_RETURNC(0,-3AM)&lt;/Q&gt;&lt;R&gt;1&lt;/R&gt;&lt;C&gt;1&lt;/C&gt;&lt;D xsi:type="xsd:double"&gt;8.876634&lt;/D&gt;&lt;/FQL&gt;&lt;FQL&gt;&lt;Q&gt;DBA^FG_TOTAL_RETURNC(0,-6AM)&lt;/Q&gt;&lt;R&gt;1&lt;/R&gt;&lt;C&gt;1&lt;/C&gt;&lt;D xsi:type="xsd:double"&gt;7.2383523&lt;/D&gt;&lt;/FQL&gt;&lt;FQL&gt;&lt;Q&gt;EWJ^FG_TOTAL_RETURNC(-10AY,0,AM)&lt;/Q&gt;&lt;R&gt;121&lt;/R&gt;&lt;C&gt;1&lt;/C&gt;&lt;D xsi:type="xsd:double"&gt;-2.1224499&lt;/D&gt;&lt;D xsi:type="xsd:double"&gt;-1.5846491&lt;/D&gt;&lt;D xsi:type="xsd:double"&gt;-1.8644094&lt;/D&gt;&lt;D xsi:type="xsd:double"&gt;4.145086&lt;/D&gt;&lt;D xsi:type="xsd:double"&gt;-3.1509101&lt;/D&gt;&lt;D xsi:type="xsd:double"&gt;-3.200823&lt;/D&gt;&lt;D xsi:type="xsd:double"&gt;2.224195&lt;/D&gt;&lt;D xsi:type="xsd:double"&gt;7.48477&lt;/D&gt;&lt;D xsi:type="xsd:double"&gt;1.8623471&lt;/D&gt;&lt;D xsi:type="xsd:double"&gt;3.4976244&lt;/D&gt;&lt;D xsi:type="xsd:double"&gt;0.69123507&lt;/D&gt;&lt;D xsi:type="xsd:double"&gt;-1.105386&lt;/D&gt;&lt;D xsi:type="xsd:double"&gt;0.2325654&lt;/D&gt;&lt;D xsi:type="xsd:double"&gt;-10.518181&lt;/D&gt;&lt;D xsi:type="xsd:double"&gt;-0.5185783&lt;/D&gt;&lt;D xsi:type="xsd:double"&gt;7.0373535&lt;/D&gt;&lt;D xsi:type="xsd:double"&gt;2.0292163&lt;/D&gt;&lt;D xsi:type="xsd:double"&gt;-2.8780162&lt;/D&gt;&lt;D xsi:type="xsd:double"&gt;-5.693066&lt;/D&gt;&lt;D xsi:type="xsd:double"&gt;-2.3622096&lt;/D&gt;&lt;D xsi:type="xsd:double"&gt;-0.26881695&lt;/D&gt;&lt;D xsi:type="xsd:double"&gt;2.6055694&lt;/D&gt;&lt;D xsi:type="xsd:double"&gt;3.1523585&lt;/D&gt;&lt;D xsi:type="xsd:double"&gt;-1.7733932&lt;/D&gt;&lt;D xsi:type="xsd:double"&gt;5.4007053&lt;/D&gt;&lt;D xsi:type="xsd:double"&gt;2.2313952&lt;/D&gt;&lt;D xsi:type="xsd:double"&gt;1.3742924&lt;/D&gt;&lt;D xsi:type="xsd:double"&gt;0.31898022&lt;/D&gt;&lt;D xsi:type="xsd:double"&gt;-1.6891837&lt;/D&gt;&lt;D xsi:type="xsd:double"&gt;-0.0746727&lt;/D&gt;&lt;D xsi:type="xsd:double"&gt;4.0523887&lt;/D&gt;&lt;D xsi:type="xsd:double"&gt;1.9472837&lt;/D&gt;&lt;D xsi:type="xsd:double"&gt;-0.6367028&lt;/D&gt;&lt;D xsi:type="xsd:double"&gt;1.0873795&lt;/D&gt;&lt;D xsi:type="xsd:double"&gt;3.284669&lt;/D&gt;&lt;D xsi:type="xsd:double"&gt;0.41959286&lt;/D&gt;&lt;D xsi:type="xsd:double"&gt;2.6654243&lt;/D&gt;&lt;D xsi:type="xsd:double"&gt;-1.071167&lt;/D&gt;&lt;D xsi:type="xsd:double"&gt;2.2389412&lt;/D&gt;&lt;D xsi:type="xsd:double"&gt;5.8696866&lt;/D&gt;&lt;D xsi:type="xsd:double"&gt;1.1190176&lt;/D&gt;&lt;D xsi:type="xsd:double"&gt;1.1595488&lt;/D&gt;&lt;D xsi:type="xsd:double"&gt;5.5397987&lt;/D&gt;&lt;D xsi:type="xsd:double"&gt;-6.245059&lt;/D&gt;&lt;D xsi:type="xsd:double"&gt;2.327156&lt;/D&gt;&lt;D xsi:type="xsd:double"&gt;-0.1483202&lt;/D&gt;&lt;D xsi:type="xsd:double"&gt;-0.7261872&lt;/D&gt;&lt;D xsi:type="xsd:double"&gt;-2.970034&lt;/D&gt;&lt;D xsi:type="xsd:double"&gt;1.7268181&lt;/D&gt;&lt;D xsi:type="xsd:double"&gt;-1.171273&lt;/D&gt;&lt;D xsi:type="xsd:double"&gt;4.156649&lt;/D&gt;&lt;D xsi:type="xsd:double"&gt;-9.779024&lt;/D&gt;&lt;D xsi:type="xsd:double"&gt;1.151526&lt;/D&gt;&lt;D xsi:type="xsd:double"&gt;-7.692194&lt;/D&gt;&lt;D xsi:type="xsd:double"&gt;6.6482544&lt;/D&gt;&lt;D xsi:type="xsd:double"&gt;0.850904&lt;/D&gt;&lt;D xsi:type="xsd:double"&gt;1.6324282&lt;/D&gt;&lt;D xsi:type="xsd:double"&gt;-0.32485127&lt;/D&gt;&lt;D xsi:type="xsd</t>
        </r>
      </text>
    </comment>
    <comment ref="A10" authorId="0" shapeId="0" xr:uid="{19477787-4397-481E-8A00-A092A1BBD5C4}">
      <text>
        <r>
          <rPr>
            <b/>
            <sz val="9"/>
            <color indexed="81"/>
            <rFont val="Tahoma"/>
            <charset val="1"/>
          </rPr>
          <t>:double"&gt;-4.5446277&lt;/D&gt;&lt;D xsi:type="xsd:double"&gt;5.960989&lt;/D&gt;&lt;D xsi:type="xsd:double"&gt;-1.8424869&lt;/D&gt;&lt;D xsi:type="xsd:double"&gt;-0.7729173&lt;/D&gt;&lt;D xsi:type="xsd:double"&gt;4.766333&lt;/D&gt;&lt;D xsi:type="xsd:double"&gt;4.903519&lt;/D&gt;&lt;D xsi:type="xsd:double"&gt;0.28687716&lt;/D&gt;&lt;D xsi:type="xsd:double"&gt;0.8640766&lt;/D&gt;&lt;D xsi:type="xsd:double"&gt;-2.5151968&lt;/D&gt;&lt;D xsi:type="xsd:double"&gt;-8.2943735&lt;/D&gt;&lt;D xsi:type="xsd:double"&gt;-11.178244&lt;/D&gt;&lt;D xsi:type="xsd:double"&gt;8.099484&lt;/D&gt;&lt;D xsi:type="xsd:double"&gt;10.619473&lt;/D&gt;&lt;D xsi:type="xsd:double"&gt;-1.7787874&lt;/D&gt;&lt;D xsi:type="xsd:double"&gt;-0.87575316&lt;/D&gt;&lt;D xsi:type="xsd:double"&gt;7.0863247&lt;/D&gt;&lt;D xsi:type="xsd:double"&gt;1.5469313&lt;/D&gt;&lt;D xsi:type="xsd:double"&gt;-1.4218032&lt;/D&gt;&lt;D xsi:type="xsd:double"&gt;12.826228&lt;/D&gt;&lt;D xsi:type="xsd:double"&gt;3.2182932&lt;/D&gt;&lt;D xsi:type="xsd:double"&gt;0.19242764&lt;/D&gt;&lt;D xsi:type="xsd:double"&gt;2.4523497&lt;/D&gt;&lt;D xsi:type="xsd:double"&gt;-0.30280948&lt;/D&gt;&lt;D xsi:type="xsd:double"&gt;-2.4877071&lt;/D&gt;&lt;D xsi:type="xsd:double"&gt;1.082766&lt;/D&gt;&lt;D xsi:type="xsd:double"&gt;-0.24154782&lt;/D&gt;&lt;D xsi:type="xsd:double"&gt;-0.56304336&lt;/D&gt;&lt;D xsi:type="xsd:double"&gt;3.576219&lt;/D&gt;&lt;D xsi:type="xsd:double"&gt;0.6042242&lt;/D&gt;&lt;D xsi:type="xsd:double"&gt;-0.71499944&lt;/D&gt;&lt;D xsi:type="xsd:double"&gt;-4.9690304&lt;/D&gt;&lt;D xsi:type="xsd:double"&gt;2.8327703&lt;/D&gt;&lt;D xsi:type="xsd:double"&gt;-4.2712092&lt;/D&gt;&lt;D xsi:type="xsd:double"&gt;-3.1513214&lt;/D&gt;&lt;D xsi:type="xsd:double"&gt;-0.24162531&lt;/D&gt;&lt;D xsi:type="xsd:double"&gt;-8.5742&lt;/D&gt;&lt;D xsi:type="xsd:double"&gt;1.783824&lt;/D&gt;&lt;D xsi:type="xsd:double"&gt;-7.0466876&lt;/D&gt;&lt;D xsi:type="xsd:double"&gt;7.2007537&lt;/D&gt;&lt;D xsi:type="xsd:double"&gt;-6.8929076&lt;/D&gt;&lt;D xsi:type="xsd:double"&gt;-7.743156&lt;/D&gt;&lt;D xsi:type="xsd:double"&gt;3.111565&lt;/D&gt;&lt;D xsi:type="xsd:double"&gt;11.534643&lt;/D&gt;&lt;D xsi:type="xsd:double"&gt;-2.881825&lt;/D&gt;&lt;D xsi:type="xsd:double"&gt;8.137405&lt;/D&gt;&lt;D xsi:type="xsd:double"&gt;-4.824191&lt;/D&gt;&lt;D xsi:type="xsd:double"&gt;4.7474623&lt;/D&gt;&lt;D xsi:type="xsd:double"&gt;0.13631582&lt;/D&gt;&lt;D xsi:type="xsd:double"&gt;3.5051942&lt;/D&gt;&lt;D xsi:type="xsd:double"&gt;2.4773955&lt;/D&gt;&lt;D xsi:type="xsd:double"&gt;1.243937&lt;/D&gt;&lt;D xsi:type="xsd:double"&gt;-1.0052621&lt;/D&gt;&lt;D xsi:type="xsd:double"&gt;-2.82076&lt;/D&gt;&lt;D xsi:type="xsd:double"&gt;-0.53076744&lt;/D&gt;&lt;D xsi:type="xsd:double"&gt;5.402696&lt;/D&gt;&lt;D xsi:type="xsd:double"&gt;2.9015183&lt;/D&gt;&lt;D xsi:type="xsd:double"&gt;4.334271&lt;/D&gt;&lt;D xsi:type="xsd:double"&gt;5.095637&lt;/D&gt;&lt;D xsi:type="xsd:double"&gt;-0.07109642&lt;/D&gt;&lt;D xsi:type="xsd:double"&gt;-4.5105276&lt;/D&gt;&lt;D xsi:type="xsd:double"&gt;2.7715683&lt;/D&gt;&lt;D xsi:type="xsd:double"&gt;-0.9763181&lt;/D&gt;&lt;D xsi:type="xsd:double"&gt;-0.3540337&lt;/D&gt;&lt;/FQL&gt;&lt;FQL&gt;&lt;Q&gt;PLATI-FDS^FG_PRICE_MAVG(0,,,,30)&lt;/Q&gt;&lt;R&gt;1&lt;/R&gt;&lt;C&gt;1&lt;/C&gt;&lt;D xsi:type="xsd:double"&gt;987.93335&lt;/D&gt;&lt;/FQL&gt;&lt;FQL&gt;&lt;Q&gt;EWA^SIZE(FG_CONSTITUENTS)&lt;/Q&gt;&lt;R&gt;1&lt;/R&gt;&lt;C&gt;1&lt;/C&gt;&lt;D xsi:type="xsd:long"&gt;59&lt;/D&gt;&lt;/FQL&gt;&lt;FQL&gt;&lt;Q&gt;TRYIT10Y-FDS^PCTCHG(FG_YIELD(0,,,,"YTM"),FG_YIELD(-3AM,,,,"YTM"))&lt;/Q&gt;&lt;R&gt;1&lt;/R&gt;&lt;C&gt;1&lt;/C&gt;&lt;D xsi:type="xsd:double"&gt;-6.1709228&lt;/D&gt;&lt;/FQL&gt;&lt;FQL&gt;&lt;Q&gt;WL-FDS^FG_PRICE(0)&lt;/Q&gt;&lt;R&gt;1&lt;/R&gt;&lt;C&gt;1&lt;/C&gt;&lt;D xsi:type="xsd:double"&gt;523.5&lt;/D&gt;&lt;/FQL&gt;&lt;FQL&gt;&lt;Q&gt;EWL^FMA_RBICS_REV_CURRENT(30, LOC, "PORTAGG")&lt;/Q&gt;&lt;R&gt;1&lt;/R&gt;&lt;C&gt;1&lt;/C&gt;&lt;D xsi:type="xsd:double"&gt;17.7952826099754&lt;/D&gt;&lt;/FQL&gt;&lt;FQL&gt;&lt;Q&gt;EWA^JULIAN(FMA_DIV_YLD(NTMA,NOW,NOW,M,"PORTAGG","MEANR").DATES)&lt;/Q&gt;&lt;R&gt;1&lt;/R&gt;&lt;C&gt;1&lt;/C&gt;&lt;D xsi:type="xsd:long"&gt;45503&lt;/D&gt;&lt;/FQL&gt;&lt;FQL&gt;&lt;Q&gt;EWA^FG_TOTAL_RETURNC(0,-1AM)&lt;/Q&gt;&lt;R&gt;1&lt;/R&gt;&lt;C&gt;1&lt;/C&gt;&lt;D xsi:type="xsd:double"&gt;0.36976337&lt;/D&gt;&lt;/FQL&gt;&lt;FQL&gt;&lt;Q&gt;EWJ^FMA_RBICS_REV_CURRENT(30, LOC, "PORTAGG")&lt;/Q&gt;&lt;R&gt;1&lt;/R&gt;&lt;C&gt;1&lt;/C&gt;&lt;D xsi:type="xsd:double"&gt;18.9435007684702&lt;/D&gt;&lt;/FQL&gt;&lt;FQL&gt;&lt;Q&gt;EWU^FMA_PE(LTM,0,,,"PORTAGG","MEANR")&lt;/Q&gt;&lt;R&gt;1&lt;/R&gt;&lt;C&gt;1&lt;/C&gt;&lt;D xsi:type="xsd:double"&gt;13.0330735023347&lt;/D&gt;&lt;/FQL&gt;&lt;FQL&gt;&lt;Q&gt;EWJ^FMA_PCT_ABOVE_MAVG(200,0,,,,"PORTAGG")&lt;/Q&gt;&lt;R&gt;1&lt;/R&gt;&lt;C&gt;1&lt;/C&gt;&lt;D xsi:type="xsd:double"&gt;61.2745098039216&lt;/D&gt;&lt;/FQL&gt;&lt;FQL&gt;&lt;Q&gt;EWD^FMA_EVAL_EBIT(LTMA,NOW,NOW,M,"PORTAGG","MEANR")&lt;/Q&gt;&lt;R&gt;1&lt;/R&gt;&lt;C&gt;1&lt;/C&gt;&lt;D xsi:type="xsd:double"&gt;16.1280854003097&lt;/D&gt;&lt;/FQL&gt;&lt;FQL&gt;&lt;Q&gt;CAGDPY@JP^EE_ACTUAL_ANNUAL(MED,0)&lt;/Q&gt;&lt;R&gt;1&lt;/R&gt;&lt;C&gt;1&lt;/C&gt;&lt;D xsi:type="xsd:double"&gt;3.61295912215857&lt;/D&gt;&lt;/FQL&gt;&lt;FQL&gt;&lt;Q&gt;USDANG^STD(FG_PRICE_CHANGE(0,-3AY,M))&lt;/Q&gt;&lt;R&gt;1&lt;/R&gt;&lt;C&gt;1&lt;/C&gt;&lt;D xsi:type="xsd:double"&gt;0.0594600681310969&lt;/D&gt;&lt;/FQL&gt;&lt;FQL&gt;&lt;Q&gt;USDAUD^FG_PRICE_CHANGE(0,-3AM)&lt;/Q&gt;&lt;R&gt;1&lt;/R&gt;&lt;C&gt;1&lt;/C&gt;&lt;D xsi:type="xsd:double"&gt;-0.5744457&lt;/D&gt;&lt;/FQL&gt;&lt;FQL&gt;&lt;Q&gt;EWU^P_PRICE_RETURNS_PR('52W',2,-10AY,0,AM)&lt;/Q&gt;&lt;R&gt;121&lt;/R&gt;&lt;C&gt;1&lt;/C&gt;&lt;D xsi:type="xsd:double"&gt;13.33127&lt;/D&gt;&lt;D xsi:type="xsd:double"&gt;15.797376999999999&lt;/D&gt;&lt;D xsi:type="xsd:double"&gt;3.6668181&lt;/D&gt;&lt;D xsi:type="xsd:double"&gt;-0.83319545&lt;/D&gt;&lt;D xsi:type="xsd:double"&gt;-1.451534&lt;/D&gt;&lt;D xsi:type="xsd:double"&gt;-7.6141834&lt;/D&gt;&lt;D xsi:type="xsd:double"&gt;-4.1665373&lt;/D&gt;&lt;D xsi:type="xsd:double"&gt;-3.8355708&lt;/D&gt;&lt;D xsi:type="xsd:double"&gt;-6.1125517&lt;/D&gt;&lt;D xsi:type="xsd:double"&gt;-4.7111692&lt;/D&gt;&lt;D xsi:type="xsd:double"&gt;-5.812061&lt;/D&gt;&lt;D xsi:type="xsd:double"&gt;-9.910255&lt;/D&gt;&lt;D xsi:type="xsd:double"&gt;-5.542195&lt;/D&gt;&lt;D xsi:type="xsd:double"&gt;-16.994864&lt;/D&gt;&lt;D xsi:type="xsd:double"&gt;-10.807287&lt;/D&gt;&lt;D xsi:type="xsd:double"&gt;-3.4619868&lt;/D&gt;&lt;D xsi:type="xsd:double"&gt;-5.3839564&lt;/D&gt;&lt;D xsi:type="xsd:double"&gt;-7.0310116&lt;/D&gt;&lt;D xsi:type="xsd:double"&gt;-11.457836&lt;/D&gt;&lt;D xsi:type="xsd:double"&gt;-17.024195&lt;/D&gt;&lt;D xsi:type="xsd:double"&gt;-11.038107&lt;/D&gt;&lt;D xsi:type="xsd:double"&gt;-12.776184&lt;/D&gt;&lt;D xsi:type="xsd:double"&gt;-12.974018&lt;/D&gt;&lt;D xsi:type="xsd:double"&gt;-12.171942&lt;/D&gt;&lt;D xsi:type="xsd:double"&gt;-13.018006&lt;/D&gt;&lt;D xsi:type="xsd:double"&gt;1.0129213&lt;/D&gt;&lt;D xsi:type="xsd:double"&gt;1.0065198&lt;/D&gt;&lt;D xsi:type="xsd:double"&gt;-10.562128&lt;/D&gt;&lt;D xsi:type="xsd:double"&gt;-9.341156&lt;/D&gt;&lt;D xsi:type="xsd:double"&gt;-2.2000492&lt;/D&gt;&lt;D xsi:type="xsd:double"&gt;6.7234993&lt;/D&gt;&lt;D xsi:type="xsd:double"&gt;9.128534&lt;/D&gt;&lt;D xsi:type="xsd:double"&gt;7.828665&lt;/D&gt;&lt;D xsi:type="xsd:double"&gt;5.5107713&lt;/D&gt;&lt;D xsi:type="xsd:double"&gt;12.927198&lt;/D&gt;&lt;D xsi:type="xsd:double"&gt;12.39264&lt;/D&gt;&lt;D xsi:type="xsd:double"&gt;15.381765&lt;/D&gt;&lt;D xsi:type="xsd:double"&gt;11.007082&lt;/D&gt;&lt;D xsi:type="xsd:double"&gt;14.755737&lt;/D&gt;&lt;D xsi:type="xsd:double"&gt;20.889103&lt;/D&gt;&lt;D xsi:type="xsd:double"&gt;20.292473&lt;/D&gt;&lt;D xsi:type="xsd:double"&gt;22.385906&lt;/D&gt;&lt;D xsi:type="xsd:double"&gt;22.504448&lt;/D&gt;&lt;D xsi:type="xsd:double"&gt;11.421037&lt;/D&gt;&lt;D xsi:type="xsd:double"&gt;11.250126&lt;/D&gt;&lt;D xsi:type="xsd:double"&gt;13.419557&lt;/D&gt;&lt;D xsi:type="xsd:double"&gt;8.419668&lt;/D&gt;&lt;D xsi:type="xsd:double"&gt;8.916473&lt;/D&gt;&lt;D xsi:type="xsd:double"&gt;5.284822&lt;/D&gt;&lt;D xsi:type="xsd:double"&gt;3.4807682&lt;/D&gt;&lt;D xsi:type="xsd:double"&gt;2.0382285&lt;/D&gt;&lt;D xsi:type="xsd:double"&gt;-2.9562473&lt;/D&gt;&lt;D xsi:type="xsd:double"&gt;-6.380373&lt;/D&gt;&lt;D xsi:type="xsd:double"&gt;-14.279747&lt;/D&gt;&lt;D xsi:type="xsd:double"&gt;-11.036414&lt;/D&gt;&lt;D xsi:type="xsd:double"&gt;-0.44788718&lt;/D&gt;&lt;D xsi:type="xsd:double"&gt;0.70296526&lt;/D&gt;&lt;D xsi:type="xsd:double"&gt;-3.1853378&lt;/D&gt;&lt;D xsi:type="xsd:double"&gt;-7.9849424&lt;/D&gt;&lt;D xsi:type="xsd:double"&gt;-2.1225274&lt;/D&gt;&lt;D xsi:type="xsd:double"&gt;-5.7721434&lt;/D&gt;&lt;D xsi:type="xsd:double"&gt;-6.363696&lt;/D&gt;&lt;D xsi:type="xsd:double"&gt;-4.4456778&lt;/D&gt;&lt;D xsi:type="xsd:double"&gt;5.5838704&lt;/D&gt;&lt;D xsi:type="xsd:double"&gt;8.943892&lt;/D&gt;&lt;D xsi:type="xsd:double"&gt;21.251917&lt;/D&gt;&lt;D xsi:type="xsd:double"&gt;8.173239&lt;/D&gt;&lt;D xsi:type="xsd:double"&gt;-6.1158657&lt;/D&gt;&lt;D xsi:type="xsd:double"&gt;-29.08377&lt;/D&gt;&lt;D xsi:type="xsd:double"&gt;-23.1198&lt;/D&gt;&lt;D xsi:type="xsd:double"&gt;-12.927389&lt;/D&gt;&lt;D xsi:type="xsd:double"&gt;-17.505402&lt;/D&gt;&lt;D xsi:type="xsd:double"&gt;-15.07954&lt;/D&gt;&lt;D xsi:type="xsd:double"&gt;-10.018521&lt;/D&gt;&lt;D xsi:type="xsd:double"&gt;-15.1188135&lt;/D&gt;&lt;D xsi:type="xsd:double"&gt;-23.161512&lt;/D&gt;&lt;D xsi:type="xsd:double"&gt;-8.75197&lt;/D&gt;&lt;D xsi:type="xsd:double"&gt;-11.804509&lt;/D&gt;&lt;D xsi:type="xsd:double"&gt;-6.915748&lt;/D&gt;&lt;D xsi:type="xsd:double"&gt;8.180857&lt;/D&gt;&lt;D xsi:type="xsd:double"&gt;43.06388&lt;/D&gt;&lt;D xsi:type="xsd:double"&gt;32.282997&lt;/D&gt;&lt;D xsi:type="xsd:double"&gt;32.193302&lt;/D&gt;&lt;D xsi:type="xsd:double"&gt;30.491554&lt;/D&gt;&lt;D xsi:type="xsd:double"&gt;27.412487&lt;/D&gt;&lt;D xsi:type="xsd:double"&gt;29.239773&lt;/D&gt;&lt;D xsi:type="xsd:double"&gt;30.44113&lt;/D&gt;&lt;D xsi:type="xsd:double"&gt;43.21071&lt;/D&gt;&lt;D xsi:type="xsd:double"&gt;12.47201&lt;/D&gt;&lt;D xsi:type="xsd:double"&gt;18.223583&lt;/D&gt;&lt;D xsi:type="xsd:double"&gt;21.05056&lt;/D&gt;&lt;D xsi:type="xsd:double"&gt;11.732578&lt;/D&gt;&lt;D xsi:type="xsd:double"&gt;11.945545&lt;/D&gt;&lt;D xsi:type="xsd:double"&gt;2.7083993&lt;/D&gt;&lt;D xsi:type="xsd:double"&gt;0.40653944&lt;/D&gt;&lt;D xsi:type="xsd:double"&gt;-4.9628735&lt;/D&gt;&lt;D xsi:type="xsd:double"&gt;-1.3919592&lt;/D&gt;&lt;D xsi:type="xsd:double"&gt;-10.453117&lt;/D&gt;&lt;D xsi:type="xsd:double"&gt;-14.958173&lt;/D&gt;&lt;D xsi:type="xsd:double"&gt;-12.435121&lt;/D&gt;&lt;D xsi:type="xsd:double"&gt;4.672301&lt;/D&gt;&lt;D xsi:type="xsd:double"&gt;-4.375112&lt;/D&gt;&lt;D xsi:type="xsd:double"&gt;-1.4645457&lt;/D&gt;&lt;D xsi:type="xsd:double"&gt;1.7001867&lt;/D&gt;&lt;D xsi:type="xsd:double"&gt;-0.8803785&lt;/D&gt;&lt;D xsi:type="xsd:double"&gt;8.223701&lt;/D&gt;&lt;D xsi:type="xsd:double"&gt;2.0957708&lt;/D&gt;&lt;D xsi:type="xsd:double"&gt;11.721849&lt;/D&gt;&lt;D xsi:type="xsd:double"&gt;10.533178&lt;/D&gt;&lt;D xsi:type="xsd:double"&gt;16.719936&lt;/D&gt;&lt;D xsi:type="xsd:double"&gt;25.046766&lt;/D&gt;&lt;D xsi:type="xsd:double"&gt;11.786186&lt;/D&gt;&lt;D xsi:type="xsd:double"&gt;6.9146633&lt;/D&gt;&lt;D xsi:type="xsd:double"&gt;11.871648&lt;/D&gt;&lt;D xsi:type="xsd:double"&gt;4.608536&lt;/D&gt;&lt;D xsi:type="xsd:double"&gt;5.7022095&lt;/D&gt;&lt;D xsi:type="xsd:double"&gt;10.237741&lt;/D&gt;&lt;D xsi:type="xsd:double"&gt;6.663835&lt;/D&gt;&lt;D xsi:type="xsd:double"&gt;18.739557&lt;/D&gt;&lt;D xsi:type="xsd:double"&gt;12.269556&lt;/D&gt;&lt;D xsi:type="xsd:double"&gt;12.6791&lt;/D&gt;&lt;/FQL&gt;&lt;FQL&gt;&lt;Q&gt;NI-FDS^FG_PRICE_CHANGE(0,-6AM)&lt;/Q&gt;&lt;R&gt;1&lt;/R&gt;&lt;C&gt;1&lt;/C&gt;&lt;D xsi:type="xsd:double"&gt;-0.71942446043165&lt;/D&gt;&lt;/FQL&gt;&lt;FQL&gt;&lt;Q&gt;W-FDS^FG_PRICE_CHANGE(0,-1AM)&lt;/Q&gt;&lt;R&gt;1&lt;/R&gt;&lt;C&gt;1&lt;/C&gt;&lt;D xsi:type="xsd:double"&gt;-6.54369784804567&lt;/D&gt;&lt;/FQL&gt;&lt;FQL&gt;&lt;Q&gt;EWN^FG_PRICE_MAVG(0,,,,60)&lt;/Q&gt;&lt;R&gt;1&lt;/R&gt;&lt;C&gt;1&lt;/C&gt;&lt;D xsi:type="xsd:double"&gt;50.8535&lt;/D&gt;&lt;/FQL&gt;&lt;FQL&gt;&lt;Q&gt;USDANG^STD(FG_PRICE_CHANGE(0,-1AY,AM))&lt;/Q&gt;&lt;R&gt;1&lt;/R&gt;&lt;C&gt;1&lt;/C&gt;&lt;D xsi:type="xsd:double"&gt;0.000141134267256493&lt;/D&gt;&lt;/FQL&gt;&lt;FQL&gt;&lt;Q&gt;EWC^FMA_DIV_YLD(NTMA,-10AY,0,AM,"PORTAGG","MEANR")&lt;/Q&gt;&lt;R&gt;121&lt;/R&gt;&lt;C&gt;1&lt;/C&gt;&lt;D xsi:type="xsd:double"&gt;2.80101167644883&lt;/D&gt;&lt;D xsi:type="xsd:double"&gt;2.75013004366271&lt;/D&gt;&lt;D xsi:type="xsd:double"&gt;2.91163807525448&lt;/D&gt;&lt;D xsi:type="xsd:double"&gt;2.96281853899497&lt;/D&gt;&lt;D xsi:type="xsd:double"&gt;2.95535439610653&lt;/D&gt;&lt;D xsi:type="xsd:double"&gt;2.92691965115154&lt;/D&gt;&lt;D xsi:type="xsd:double"&gt;2.9582966929684&lt;/D&gt;&lt;D xsi:type="xsd:double"&gt;2.84975029796081&lt;/D&gt;&lt;D xsi:type="xsd:double"&gt;2.90615539859722&lt;/D&gt;&lt;D xsi:type="xsd:double"&gt;2.82023525804275&lt;/D&gt;&lt;D xsi:type="xsd:double"&gt;2.88916952310388&lt;/D&gt;&lt;D xsi:type="xsd:double"&gt;3.01368472075686&lt;/D&gt;&lt;D xsi:type="xsd:double"&gt;3.06299969268628&lt;/D&gt;&lt;D xsi:type="xsd:double"&gt;3.25070679775797&lt;/D&gt;&lt;D xsi:type="xsd:double"&gt;3.3235318406121&lt;/D&gt;&lt;D xsi:type="xsd:double"&gt;3.26721661089548&lt;/D&gt;&lt;D xsi:type="xsd:double"&gt;3.24607263590736&lt;/D&gt;&lt;D xsi:type="xsd:double"&gt;3.3535405693637&lt;/D&gt;&lt;D xsi:type="xsd:double"&gt;3.40460104945315&lt;/D&gt;&lt;D xsi:type="xsd:double"&gt;3.30678179789041&lt;/D&gt;&lt;D xsi:type="xsd:double"&gt;3.16722468171465&lt;/D&gt;&lt;D xsi:type="xsd:double"&gt;3.05014927767596&lt;/D&gt;&lt;D xsi:type="xsd:double"&gt;3.04437030371098&lt;/D&gt;&lt;D xsi:type="xsd:double"&gt;3.0768974137006&lt;/D&gt;&lt;D xsi:type="xsd:double"&gt;2.97485888589722&lt;/D&gt;&lt;D xsi:type="xsd:double"&gt;2.95521242215834&lt;/D&gt;&lt;D xsi:type="xsd:double"&gt;2.93724662923556&lt;/D&gt;&lt;D xsi:type="xsd:double"&gt;2.93461962636795&lt;/D&gt;&lt;D xsi:type="xsd:double"&gt;2.88805649951556&lt;/D&gt;&lt;D xsi:type="xsd:double"&gt;2.84844159413114&lt;/D&gt;&lt;D xsi:type="xsd:double"&gt;2.83868981732376&lt;/D&gt;&lt;D xsi:type="xsd:double"&gt;2.87470876776292&lt;/D&gt;&lt;D xsi:type="xsd:double"&gt;2.91893378364749&lt;/D&gt;&lt;D xsi:type="xsd:double"&gt;2.93736772546394&lt;/D&gt;&lt;D xsi:type="xsd:double"&gt;2.97305967845699&lt;/D&gt;&lt;D xsi:type="xsd:double"&gt;3.04960316508655&lt;/D&gt;&lt;D xsi:type="xsd:double"&gt;3.0345450913062&lt;/D&gt;&lt;D xsi:type="xsd:double"&gt;3.0708359150307&lt;/D&gt;&lt;D xsi:type="xsd:double"&gt;2.98033222192467&lt;/D&gt;&lt;D xsi:type="xsd:double"&gt;2.91539216720979&lt;/D&gt;&lt;D xsi:type="xsd:double"&gt;2.91855330962318&lt;/D&gt;&lt;D xsi:type="xsd:double"&gt;2.90768089224411&lt;/D&gt;&lt;D xsi:type="xsd:double"&gt;2.98710038040065&lt;/D&gt;&lt;D xsi:type="xsd:double"&gt;3.15897135771853&lt;/D&gt;&lt;D xsi:type="xsd:double"&gt;3.18679481647357&lt;/D&gt;&lt;D xsi:type="xsd:double"&gt;3.15234261323912&lt;/D&gt;&lt;D xsi:type="xsd:double"&gt;3.09338401957996&lt;/D&gt;&lt;D xsi:type="xsd:double"&gt;3.06731781683034&lt;/D&gt;&lt;D xsi:type="xsd:double"&gt;3.07757283146572&lt;/D&gt;&lt;D xsi:type="xsd:double"&gt;3.12182649824625&lt;/D&gt;&lt;D xsi:type="xsd:double"&gt;3.16617141777281&lt;/D&gt;&lt;D xsi:type="xsd:double"&gt;3.38380649603749&lt;/D&gt;&lt;D xsi:type="xsd:double"&gt;3.39016347737641&lt;/D&gt;&lt;D xsi:type="xsd:double"&gt;3.58980144760299&lt;/D&gt;&lt;D xsi:type="xsd:double"&gt;3.34214490413316&lt;/D&gt;&lt;D xsi:type="xsd:double"&gt;3.26225225955191&lt;/D&gt;&lt;D xsi:type="xsd:double"&gt;3.25161949945889&lt;/D&gt;&lt;D xsi:type="xsd:double"&gt;3.2072240416835&lt;/D&gt;&lt;D xsi:type="xsd:double"&gt;3.38181444492034&lt;/D&gt;&lt;D xsi:type="xsd:double"&gt;3.32075928352516&lt;/D&gt;&lt;D xsi:type="xsd:double"&gt;3.36072959551562&lt;/D&gt;&lt;D xsi:type="xsd:double"&gt;3.39213479429931&lt;/D&gt;&lt;D xsi:type="xsd:double"&gt;3.37355327372155&lt;/D&gt;&lt;D xsi:type="xsd:double"&gt;3.3378159641193&lt;/D&gt;&lt;D xsi:type="xsd:double"&gt;3.24688046235831&lt;/D&gt;&lt;D xsi:type="xsd:double"&gt;3.26356056899418&lt;/D&gt;&lt;D xsi:type="xsd:double"&gt;3.28104813208701&lt;/D&gt;&lt;D xsi:type="xsd:double"&gt;3.54561819129622&lt;/D&gt;&lt;D xsi:type="xsd:double"&gt;4.46207832086337&lt;/D&gt;&lt;D xsi:type="xsd:double"&gt;3.9094621829445&lt;/D&gt;&lt;D xsi:type="xsd:double"&gt;3.61751689528373&lt;/D&gt;&lt;D xsi:type="xsd:double"&gt;3.54982011841636&lt;/D&gt;&lt;D xsi:type="xsd:double"&gt;3.42456447855619&lt;/D&gt;&lt;D xsi:type="xsd:double"&gt;3.32994289757591&lt;/D&gt;&lt;D xsi:type="xsd:double"&gt;3.4435613288864&lt;/D&gt;&lt;D xsi:type="xsd:double"&gt;3.55025297501576&lt;/D&gt;&lt;D xsi:type="xsd:double"&gt;3.17677434138542&lt;/D&gt;&lt;D xsi:type="xsd:double"&gt;3.13893857768554&lt;/D&gt;&lt;D xsi:type="xsd:double"&gt;3.09173440799837&lt;/D&gt;&lt;D xsi:type="xsd:double"&gt;2.93169872830081&lt;/D&gt;&lt;D xsi:type="xsd:double"&gt;2.80258135035122&lt;/D&gt;&lt;D xsi:type="xsd:double"&gt;2.76250451755712&lt;/D&gt;&lt;D xsi:type="xsd:double"&gt;2.6028620728651&lt;/D&gt;&lt;D xsi:type="xsd:double"&gt;2.70857773104228&lt;/D&gt;&lt;D xsi:type="xsd:double"&gt;2.71174355517182&lt;/D&gt;&lt;D xsi:type="xsd:double"&gt;2.73051158308324&lt;/D&gt;&lt;D xsi:type="xsd:double"&gt;2.82619890035866&lt;/D&gt;&lt;D xsi:type="xsd:double"&gt;2.71569075806898&lt;/D&gt;&lt;D xsi:type="xsd:double"&gt;2.86543604751418&lt;/D&gt;&lt;D xsi:type="xsd:double"&gt;2.78733273169164&lt;/D&gt;&lt;D xsi:type="xsd:double"&gt;2.79678950149346&lt;/D&gt;&lt;D xsi:type="xsd:double"&gt;2.89015157900717&lt;/D&gt;&lt;D xsi:type="xsd:double"&gt;2.8310748335118&lt;/D&gt;&lt;D xsi:type="xsd:double"&gt;3.07116332644503&lt;/D&gt;&lt;D xsi:type="xsd:double"&gt;3.1092023377313&lt;/D&gt;&lt;D xsi:type="xsd:double"&gt;3.42241268976922&lt;/D&gt;&lt;D xsi:type="xsd:double"&gt;3.32249176557966&lt;/D&gt;&lt;D xsi:type="xsd:double"&gt;3.50136277054284&lt;/D&gt;&lt;D xsi:type="xsd:double"&gt;3.63468459642186&lt;/D&gt;&lt;D xsi:type="xsd:double"&gt;3.42996893882819&lt;/D&gt;&lt;D xsi:type="xsd:double"&gt;3.27361151994725&lt;/D&gt;&lt;D xsi:type="xsd:double"&gt;3.4707922433344&lt;/D&gt;&lt;D xsi:type="xsd:double"&gt;3.2703478014262&lt;/D&gt;&lt;D xsi:type="xsd:double"&gt;3.34654197826021&lt;/D&gt;&lt;D xsi:type="xsd:double"&gt;3.34640317213685&lt;/D&gt;&lt;D xsi:type="xsd:double"&gt;3.23027208872632&lt;/D&gt;&lt;D xsi:type="xsd:double"&gt;3.37471637877423&lt;/D&gt;&lt;D xsi:type="xsd:double"&gt;3.25212688231186&lt;/D&gt;&lt;D xsi:type="xsd:double"&gt;3.14794244772468&lt;/D&gt;&lt;D xsi:type="xsd:double"&gt;3.44666746973776&lt;/D&gt;&lt;D xsi:type="xsd:double"&gt;3.63507319957846&lt;/D&gt;&lt;D xsi:type="xsd:double"&gt;3.74913194476478&lt;/D&gt;&lt;D xsi:type="xsd:double"&gt;3.440610777263&lt;/D&gt;&lt;D xsi:type="xsd:double"&gt;3.35843963849128&lt;/D&gt;&lt;D xsi:type="xsd:double"&gt;3.32423241704779&lt;/D&gt;&lt;D xsi:type="xsd:double"&gt;3.22415572385246&lt;/D&gt;&lt;D xsi:type="xsd:double"&gt;3.09871529296753&lt;/D&gt;&lt;D xsi:type="xsd:double"&gt;3.14664858147289&lt;/D&gt;&lt;D xsi:type="xsd:double"&gt;3.26116660149813&lt;/D&gt;&lt;D xsi:type="xsd:double"&gt;3.35019113048088&lt;/D&gt;&lt;D xsi:type="xsd:double"&gt;3.21668898598266&lt;/D&gt;&lt;/FQL&gt;&lt;FQL&gt;&lt;Q&gt;ENZL^JULIAN(FMA_DIV_YLD(LTMA,-10AY,0,AM,"PORTAGG","MEANR").DATES)&lt;/Q&gt;&lt;R&gt;121&lt;/R&gt;&lt;C&gt;1&lt;/C&gt;&lt;D xsi:type="xsd:long"&gt;41852&lt;/D&gt;&lt;D xsi:type="xsd:long"&gt;41880&lt;/D&gt;&lt;D xsi:type="xsd:long"&gt;41913&lt;/D&gt;&lt;D xsi:type="xsd:long"&gt;41943&lt;/D&gt;&lt;D xsi:type="xsd:long"&gt;41974&lt;/D&gt;&lt;D xsi:type="xsd:long"&gt;42004&lt;/D&gt;&lt;D xsi:type="xsd:long"&gt;42034&lt;/D&gt;&lt;D xsi:type="xsd:long"&gt;42062&lt;/D&gt;&lt;D xsi:type="xsd:long"&gt;42095&lt;/D&gt;&lt;D xsi:type="xsd:long"&gt;42125&lt;/D&gt;&lt;D xsi:type="xsd:long"&gt;42156&lt;/D&gt;&lt;D xsi:type="xsd:long"&gt;42186&lt;/D&gt;&lt;D xsi:type="xsd:long"&gt;42216&lt;/D&gt;&lt;D xsi:type="xsd:long"&gt;42248&lt;/D&gt;&lt;D xsi:type="xsd:long"&gt;42278&lt;/D&gt;&lt;D xsi:type="xsd:long"&gt;42307&lt;/D&gt;&lt;D xsi:type="xsd:long"&gt;42339&lt;/D&gt;&lt;D xsi:type="xsd:long"&gt;42369&lt;/D&gt;&lt;D xsi:type="xsd:long"&gt;42401&lt;/D&gt;&lt;D xsi:type="xsd:long"&gt;42430&lt;/D&gt;&lt;D xsi:type="xsd:long"&gt;42461&lt;/D&gt;&lt;D xsi:type="xsd:long"&gt;42489&lt;/D&gt;&lt;D xsi:type="xsd:long"&gt;42522&lt;/D&gt;&lt;D xsi:type="xsd:long"&gt;42552&lt;/D&gt;&lt;D xsi:type="xsd:long"&gt;42583&lt;/D&gt;&lt;D xsi:type="xsd:long"&gt;42614&lt;/D&gt;&lt;D xsi:type="xsd:long"&gt;42643&lt;/D&gt;&lt;D xsi:type="xsd:long"&gt;42675&lt;/D&gt;&lt;D xsi:type="xsd:long"&gt;42705&lt;/D&gt;&lt;D xsi:type="xsd:long"&gt;42734&lt;/D&gt;&lt;D xsi:type="xsd:long"&gt;42767&lt;/D&gt;&lt;D xsi:type="xsd:long"&gt;42795&lt;/D&gt;&lt;D xsi:type="xsd:long"&gt;42825&lt;/D&gt;&lt;D xsi:type="xsd:long"&gt;42856&lt;/D&gt;&lt;D xsi:type="xsd:long"&gt;42887&lt;/D&gt;&lt;D xsi:type="xsd:long"&gt;42916&lt;/D&gt;&lt;D xsi:type="xsd:long"&gt;42948&lt;/D&gt;&lt;D xsi:type="xsd:long"&gt;42979&lt;/D&gt;&lt;D xsi:type="xsd:long"&gt;43007&lt;/D&gt;&lt;D xsi:type="xsd:long"&gt;43040&lt;/D&gt;&lt;D xsi:type="xsd:long"&gt;43070&lt;/D&gt;&lt;D xsi:type="xsd:long"&gt;43098&lt;/D&gt;&lt;D xsi:type="xsd:long"&gt;43132&lt;/D&gt;&lt;D xsi:type="xsd:long"&gt;43160&lt;/D&gt;&lt;D xsi:type="xsd:long"&gt;43188&lt;/D&gt;&lt;D xsi:type="xsd:long"&gt;43221&lt;/D&gt;&lt;D xsi:type="xsd:long"&gt;43252&lt;/D&gt;&lt;D xsi:type="xsd:long"&gt;43280&lt;/D&gt;&lt;D xsi:type="xsd:long"&gt;43313&lt;/D&gt;&lt;D xsi:type="xsd:long"&gt;43343&lt;/D&gt;&lt;D xsi:type="xsd:long"&gt;43374&lt;/D&gt;&lt;D xsi:type="xsd:long"&gt;43405&lt;/D&gt;&lt;D xsi:type="xsd:long"&gt;43434&lt;/D&gt;&lt;D xsi:type="xsd:long"&gt;43465&lt;/D&gt;&lt;D xsi:type="xsd:long"&gt;43497&lt;/D&gt;&lt;D xsi:type="xsd:long"&gt;43525&lt;/D&gt;&lt;D xsi:type="xsd:long"&gt;43556&lt;/D&gt;&lt;D xsi:type="xsd:long"&gt;43586&lt;/D&gt;&lt;D xsi:type="xsd:long"&gt;43616&lt;/D&gt;&lt;D xsi:type="xsd:long"&gt;43647&lt;/D&gt;&lt;D xsi:type="xsd:long"&gt;43678&lt;/D&gt;&lt;D xsi:type="xsd:long"&gt;43706&lt;/D&gt;&lt;D xsi:type="xsd:long"&gt;43739&lt;/D&gt;&lt;D xsi:type="xsd:long"&gt;43770&lt;/D&gt;&lt;D xsi:type="xsd:long"&gt;43798&lt;/D&gt;&lt;D xsi:type="xsd:long"&gt;43830&lt;/D&gt;&lt;D xsi:type="xsd:long"&gt;43861&lt;/D&gt;&lt;D xsi:type="xsd:long"&gt;43889&lt;/D&gt;&lt;D xsi:type="xsd:long"&gt;43922&lt;/D&gt;&lt;D xsi:type="xsd:long"&gt;43952&lt;/D&gt;&lt;D xsi:type="xsd:long"&gt;43983&lt;/D&gt;&lt;D xsi:type="xsd:long"&gt;44013&lt;/D&gt;&lt;D xsi:type="xsd:long"&gt;44043&lt;/D&gt;&lt;D xsi:type="xsd:long"&gt;44075&lt;/D&gt;&lt;D xsi:type="xsd:long"&gt;44105&lt;/D&gt;&lt;D xsi:type="xsd:long"&gt;44134&lt;/D&gt;&lt;D xsi:type="xsd:long"&gt;44166&lt;/D&gt;&lt;D xsi:type="xsd:long"&gt;44196&lt;/D&gt;&lt;D xsi:type="xsd:long"&gt;44228&lt;/D&gt;&lt;D xsi:type="xsd:long"&gt;44256&lt;/D&gt;&lt;D xsi:type="xsd:long"&gt;44287&lt;/D&gt;&lt;D xsi:type="xsd:long"&gt;44316&lt;/D&gt;&lt;D xsi:type="xsd:long"&gt;44348&lt;/D&gt;&lt;D xsi:type="xsd:long"&gt;44378&lt;/D&gt;&lt;D xsi:type="xsd:long"&gt;44407&lt;/D&gt;&lt;D xsi:type="xsd:long"&gt;44440&lt;/D&gt;&lt;D xsi:type="xsd:long"&gt;44470&lt;/D&gt;&lt;D xsi:type="xsd:long"&gt;44501&lt;/D&gt;&lt;D xsi:type="xsd:long"&gt;44531&lt;/D&gt;&lt;D xsi:type="xsd:long"&gt;44561&lt;/D&gt;&lt;D xsi:type="xsd:long"&gt;44593&lt;/D&gt;&lt;D xsi:type="xsd:long"&gt;44621&lt;/D&gt;&lt;D xsi:type="xsd:long"&gt;44652&lt;/D&gt;&lt;D xsi:type="xsd:long"&gt;44680&lt;/D&gt;&lt;D xsi:type="xsd:long"&gt;44713&lt;/D&gt;&lt;D xsi:type="xsd:long"&gt;44743&lt;/D&gt;&lt;D xsi:type="xsd:long"&gt;44774&lt;/D&gt;&lt;D xsi:type="xsd:long"&gt;44805&lt;/D&gt;&lt;D xsi:type="xsd:long"&gt;44834&lt;/D&gt;&lt;D xsi:type="xsd:long"&gt;44866&lt;/D&gt;&lt;D xsi:type="xsd:long"&gt;44896&lt;/D&gt;&lt;D xsi:type="xsd:long"&gt;44925&lt;/D&gt;&lt;D xsi:type="xsd:long"&gt;44958&lt;/D&gt;&lt;D xsi:type="xsd:long"&gt;44986&lt;/D&gt;&lt;D xsi:type="xsd:long"&gt;45016&lt;/D&gt;&lt;D xsi:type="xsd:long"&gt;45047&lt;/D&gt;&lt;D xsi:type="xsd:long"&gt;45078&lt;/D&gt;&lt;D xsi:type="xsd:long"&gt;45107&lt;/D&gt;&lt;D xsi:type="xsd:long"&gt;45139&lt;/D&gt;&lt;D xsi:type="xsd:long"&gt;45170&lt;/D&gt;&lt;D xsi:type="xsd:long"&gt;45198&lt;/D&gt;&lt;D xsi:type="xsd:long"&gt;45231&lt;/D&gt;&lt;D xsi:type="xsd:long"&gt;45261&lt;/D&gt;&lt;D xsi:type="xsd:long"&gt;45289&lt;/D&gt;&lt;D xsi:type="xsd:long"&gt;45323&lt;/D&gt;&lt;D xsi:type="xsd:long"&gt;45352&lt;/D&gt;&lt;D xsi:type="xsd:long"&gt;45383&lt;/D&gt;&lt;D xsi:type="xsd:long"&gt;45413&lt;/D&gt;&lt;D xsi:type="xsd:long"&gt;45443&lt;/D&gt;&lt;D xsi:type="xsd:long"&gt;45474&lt;/D&gt;&lt;D xsi:type="xsd:long"&gt;45502&lt;/D&gt;&lt;/FQL&gt;&lt;FQL&gt;&lt;Q&gt;NI-FDS^FG_PRICE_CHANGE(0,-3AM)&lt;/Q&gt;&lt;R&gt;1&lt;/R&gt;&lt;C&gt;1&lt;/C&gt;&lt;D xsi:type="xsd:double"&gt;-14.7690655209452&lt;/D&gt;&lt;/FQL&gt;&lt;FQL&gt;&lt;Q&gt;EWJ^FG_PRICE_MAVG(0,,,,30)&lt;/Q&gt;&lt;R&gt;1&lt;/R&gt;&lt;C&gt;1&lt;/C&gt;&lt;D xsi:type="xsd:double"&gt;69.205&lt;/D&gt;&lt;/FQL&gt;&lt;FQL&gt;&lt;Q&gt;URTH^FG_TOTAL_RETURNC(0,-6AM)&lt;/Q&gt;&lt;R&gt;1&lt;/R&gt;&lt;C&gt;1&lt;/C&gt;&lt;D xsi:type="xsd:double"&gt;9.399807&lt;/D&gt;&lt;/FQL&gt;&lt;FQL&gt;&lt;Q&gt;EWI^P_PRICE(0)/P_PRICE_HIGH_PR(0,,,,,,"PRICE","INTRA","52W")&lt;/Q&gt;&lt;R&gt;1&lt;/R&gt;&lt;C&gt;1&lt;/C&gt;&lt;D xsi:type="xsd:double"&gt;0.9156718&lt;/D&gt;&lt;/FQL&gt;&lt;FQL&gt;&lt;Q&gt;EWN^FG_TOTAL_RETURNC(0,-1AM)&lt;/Q&gt;&lt;R&gt;1&lt;/R&gt;&lt;C&gt;1&lt;/C&gt;&lt;D xsi:type="xsd:double"&gt;-5.1337957&lt;/D&gt;&lt;/FQL&gt;&lt;FQL&gt;&lt;Q&gt;QQQ^FG_TOTAL_RETURNC(0,-3AM)&lt;/Q&gt;&lt;R&gt;1&lt;/R&gt;&lt;C&gt;1&lt;/C&gt;&lt;D xsi:type="xsd:double"&gt;9.223413&lt;/D&gt;&lt;/FQL&gt;&lt;FQL&gt;&lt;Q&gt;EWC^FG_TOTAL_RETURNC(0,-12AM)&lt;/Q&gt;&lt;R&gt;1&lt;/R&gt;&lt;C&gt;1&lt;/C&gt;&lt;D xsi:type="xsd:double"&gt;9.302675&lt;/D&gt;&lt;/FQL&gt;&lt;FQL&gt;&lt;Q&gt;ENZL^PERCENT_CHANGE(FMA_EPS(+1,0,,,,"PORTAGG","MEAN"),FMA_EPS(+1,-1AM,,,,"PORTAGG","MEAN"))&lt;/Q&gt;&lt;R&gt;1&lt;/R&gt;&lt;C&gt;1&lt;/C&gt;&lt;D xsi:type="xsd:double"&gt;-3.8247479269627&lt;/D&gt;&lt;/FQL&gt;&lt;FQL&gt;&lt;Q&gt;TRYGB10Y-FDS^PCTCHG(FG_YIELD(0,,,,"YTM"),FG_YIELD(-3AM,,,,"YTM"))&lt;/Q&gt;&lt;R&gt;1&lt;/R&gt;&lt;C&gt;1&lt;/C&gt;&lt;D xsi:type="xsd:double"&gt;-11.026884&lt;/D&gt;&lt;/FQL&gt;&lt;FQL&gt;&lt;Q&gt;VWO^JULIAN(FMA_DIV_YLD(NTMA,NOW,NOW,M,"PORTAGG","MEANR").DATES)&lt;/Q&gt;&lt;R&gt;1&lt;/R&gt;&lt;C&gt;1&lt;/C&gt;&lt;D xsi:type="xsd:long"&gt;45471&lt;/D&gt;&lt;/FQL&gt;&lt;FQL&gt;&lt;Q&gt;SPY^FMA_PE(NTMA,0,,,"PORTAGG","MEANR")&lt;/Q&gt;&lt;R&gt;1&lt;/R&gt;&lt;C&gt;1&lt;/C&gt;&lt;D xsi:type="xsd:double"&gt;20.6871366245101&lt;/D&gt;&lt;/FQL&gt;&lt;FQL&gt;&lt;Q&gt;USO^P_PRICE(0)/P_PRICE_HIGH_PR(0,,,USD,,,"PRICE","INTRA","52W")&lt;/Q&gt;&lt;R&gt;1&lt;/R&gt;&lt;C&gt;1&lt;/C&gt;&lt;D xsi:type="xsd:double"&gt;0.9146385&lt;/D&gt;&lt;/FQL&gt;&lt;FQL&gt;&lt;Q&gt;TRYNL10Y-FDS^FG_YIELD(0,,,,"YTM")&lt;/Q&gt;&lt;R&gt;1&lt;/R&gt;&lt;C&gt;1&lt;/C&gt;&lt;D xsi:type="xsd:double"&gt;2.527&lt;/D&gt;&lt;/FQL&gt;&lt;FQL&gt;&lt;Q&gt;VGK^FMA_EVAL_EBIT(LTMA,NOW,NOW,M,"PORTAGG","MEANR")&lt;/Q&gt;&lt;R&gt;1&lt;/R&gt;&lt;C&gt;1&lt;/C&gt;&lt;D xsi:type="xsd:double"&gt;13.2235333636842&lt;/D&gt;&lt;/FQL&gt;&lt;FQL&gt;&lt;Q&gt;EWL^FMA_DIV_YLD(NTMA,NOW,NOW,M,"PORTAGG","MEANR")&lt;/Q&gt;&lt;R&gt;1&lt;/R&gt;&lt;C&gt;1&lt;/C&gt;&lt;D xsi:type="xsd:double"&gt;3.17389595200055&lt;/D&gt;&lt;/FQL&gt;&lt;FQL&gt;&lt;Q&gt;EWC^FMA_PE(LTM,0,,,"PORTAGG","MEANR")&lt;/Q&gt;&lt;R&gt;1&lt;/R&gt;&lt;C&gt;1&lt;/C&gt;&lt;D xsi:type="xsd:double"&gt;17.62414904935&lt;/D&gt;&lt;/FQL&gt;&lt;FQL&gt;&lt;Q&gt;TRYEU10Y-FDS^FG_YIELD(-10AY,0,Y,,"YTM")&lt;/Q&gt;&lt;R&gt;10&lt;/R&gt;&lt;C&gt;1&lt;/C&gt;&lt;D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xsi:type="xsd:double"&gt;2.004&lt;/D&gt;&lt;/FQL&gt;&lt;FQL&gt;&lt;Q&gt;CAGDPY@DE^EE_ACTUAL_ANNUAL(MED,+1)&lt;/Q&gt;&lt;R&gt;1&lt;/R&gt;&lt;C&gt;1&lt;/C&gt;&lt;D xsi:type="xsd:double"&gt;6.5&lt;/D&gt;&lt;/FQL&gt;&lt;FQL&gt;&lt;Q&gt;USDCHF^FG_PRICE_CHANGE(0,-3AM)&lt;/Q&gt;&lt;R&gt;1&lt;/R&gt;&lt;C&gt;1&lt;/C&gt;&lt;D xsi:type="xsd:double"&gt;-4.921955&lt;/D&gt;&lt;/FQL&gt;&lt;FQL&gt;&lt;Q&gt;USDAUD^FG_PRICE_CHANGE(0,-1AM)&lt;/Q&gt;&lt;R&gt;1&lt;/R&gt;&lt;C&gt;1&lt;/C&gt;&lt;D xsi:type="xsd:double"&gt;1.876533&lt;/D&gt;&lt;/FQL&gt;&lt;FQL&gt;&lt;Q&gt;NI-FDS^FG_PRICE_CHANGE(0,-1AM)&lt;/Q&gt;&lt;R&gt;1&lt;/R&gt;&lt;C&gt;1&lt;/C&gt;&lt;D xsi:type="xsd:double"&gt;-7.8397212543554&lt;/D&gt;&lt;/FQL&gt;&lt;FQL&gt;&lt;Q&gt;W-FDS^FG_PRICE_MAVG(0,,,,30)&lt;/Q&gt;&lt;R&gt;1&lt;/R&gt;&lt;C&gt;1&lt;/C&gt;&lt;D xsi:type="xsd:double"&gt;5.4590836&lt;/D&gt;&lt;/FQL&gt;&lt;FQL&gt;&lt;Q&gt;EWN^FG_PRICE(0)&lt;/Q&gt;&lt;R&gt;1&lt;/R&gt;&lt;C&gt;1&lt;/C&gt;&lt;D xsi:type="xsd:double"&gt;47.86&lt;/D&gt;&lt;/FQL&gt;&lt;FQL&gt;&lt;Q&gt;SPY^FG_TOTAL_RETURNC(0,-12AM)&lt;/Q&gt;&lt;R&gt;1&lt;/R&gt;&lt;C&gt;1&lt;/C&gt;&lt;D xsi:type="xsd:double"&gt;20.62894&lt;/D&gt;&lt;/FQL&gt;&lt;FQL&gt;&lt;Q&gt;EWL^PERCENT_CHANGE(FMA_EPS(+1,0,,,,"PORTAGG","MEAN"),FMA_EPS(+1,-1AM,,,,"PORTAGG","MEAN"))&lt;/Q&gt;&lt;R&gt;1&lt;/R&gt;&lt;C&gt;1&lt;/C&gt;&lt;D xsi:type="xsd:double"&gt;1.56279700289822&lt;/D&gt;&lt;/FQL&gt;&lt;FQL&gt;&lt;Q&gt;EWI^FMA_COS_DOWN("EPS","1M",+1,0,,,"PORTAGG","MEANR")&lt;/Q&gt;&lt;R&gt;1&lt;/R&gt;&lt;C&gt;1&lt;/C&gt;&lt;D xsi:type="xsd:double"&gt;9&lt;/D&gt;&lt;/FQL&gt;&lt;FQL&gt;&lt;Q&gt;EWN^FG_ROE(0)&lt;/Q&gt;&lt;R&gt;1&lt;/R&gt;&lt;C&gt;1&lt;/C&gt;&lt;D xsi:type="xsd:double"&gt;10.8934609383566&lt;/D&gt;&lt;/FQL&gt;&lt;FQL&gt;&lt;Q&gt;EWD^JULIAN(FMA_DIV_YLD(NTMA,NOW,NOW,M,"PORTAGG","MEANR").DATES)&lt;/Q&gt;&lt;R&gt;1&lt;/R&gt;&lt;C&gt;1&lt;/C&gt;&lt;D xsi:type="xsd:long"&gt;45502&lt;/D&gt;&lt;/FQL&gt;&lt;FQL&gt;&lt;Q&gt;USDUSD^STD(FG_PRICE_CHANGE(0,-3AY,M))&lt;/Q&gt;&lt;R&gt;1&lt;/R&gt;&lt;C&gt;1&lt;/C&gt;&lt;D xsi:type="xsd:double"&gt;0&lt;/D&gt;&lt;/FQL&gt;&lt;FQL&gt;&lt;Q&gt;TRYNL10Y-FDS^FG_YIELD_NAME&lt;/Q&gt;&lt;R&gt;1&lt;/R&gt;&lt;C&gt;1&lt;/C&gt;&lt;D xsi:type="xsd:string"&gt;Netherlands Benchmark Bond - 10 Year&lt;/D&gt;&lt;/FQL&gt;&lt;FQL&gt;&lt;Q&gt;VGK^P_PRICE(0)/P_PRICE_HIGH_PR(0,,,,,,"PRICE","INTRA","52W")&lt;/Q&gt;&lt;R&gt;1&lt;/R&gt;&lt;C&gt;1&lt;/C&gt;&lt;D xsi:type="xsd:double"&gt;0.94856733&lt;/D&gt;&lt;/FQL&gt;&lt;FQL&gt;&lt;Q&gt;QQQ^FMA_COS_UP("EPS","1M",+1,0,,,"PORTAGG","MEANR")&lt;/Q&gt;&lt;R&gt;1&lt;/R&gt;&lt;C&gt;1&lt;/C&gt;&lt;D xsi:type="xsd:double"&gt;41&lt;/D&gt;&lt;/FQL&gt;&lt;FQL&gt;&lt;Q&gt;ENZL^JULIAN(FMA_DIV_YLD(NTMA,NOW,NOW,M,"PORTAGG","MEANR").DATES)&lt;/Q&gt;&lt;R&gt;1&lt;/R&gt;&lt;C&gt;1&lt;/C&gt;&lt;D xsi:type="xsd:long"&gt;45502&lt;/D&gt;&lt;/FQL&gt;&lt;FQL&gt;&lt;Q&gt;EWJ^P_PRICE_RETURNS_PR('52W',2,-10AY,0,AM)&lt;/Q&gt;&lt;R&gt;121&lt;/R&gt;&lt;C&gt;1&lt;/C&gt;&lt;D xsi:type="xsd:double"&gt;5.4751277&lt;/D&gt;&lt;D xsi:type="xsd:double"&gt;7.9221606&lt;/D&gt;&lt;D xsi:type="xsd:double"&gt;-1.0494888&lt;/D&gt;&lt;D xsi:type="xsd:double"&gt;2.7491212&lt;/D&gt;&lt;D xsi:type="xsd:double"&gt;-1.767379&lt;/D&gt;&lt;D xsi:type="xsd:double"&gt;-6.22353&lt;/D&gt;&lt;D xsi:type="xsd:double"&gt;0.01475811&lt;/D&gt;&lt;D xsi:type="xsd:double"&gt;8.291769&lt;/D&gt;&lt;D xsi:type="xsd:double"&gt;12.153506&lt;/D&gt;&lt;D xsi:type="xsd:double"&gt;17.524565&lt;/D&gt;&lt;D xsi:type="xsd:double"&gt;14.658058&lt;/D&gt;&lt;D xsi:type="xsd:double"&gt;6.4602375&lt;/D&gt;&lt;D xsi:type="xsd:double"&gt;8.93091&lt;/D&gt;&lt;D xsi:type="xsd:double"&gt;-0.8745551&lt;/D&gt;&lt;D xsi:type="xsd:double"&gt;0.48485994&lt;/D&gt;&lt;D xsi:type="xsd:double"&gt;8.398808&lt;/D&gt;&lt;D xsi:type="xsd:double"&gt;8.799338&lt;/D&gt;&lt;D xsi:type="xsd:double"&gt;9.162164&lt;/D&gt;&lt;D xsi:type="xsd:double"&gt;0.7075429&lt;/D&gt;&lt;D xsi:type="xsd:double"&gt;-8.518553&lt;/D&gt;&lt;D xsi:type="xsd:double"&gt;-10.432518&lt;/D&gt;&lt;D xsi:type="xsd:double"&gt;-12.41535&lt;/D&gt;&lt;D xsi:type="xsd:double"&gt;-9.034145&lt;/D&gt;&lt;D xsi:type="xsd:double"&gt;-9.648591&lt;/D&gt;&lt;D xsi:type="xsd:double"&gt;-4.989934&lt;/D&gt;&lt;D xsi:type="xsd:double"&gt;8.5473175&lt;/D&gt;&lt;D xsi:type="xsd:double"&gt;11.386883&lt;/D&gt;&lt;D xsi:type="xsd:double"&gt;3.6699057&lt;/D&gt;&lt;D xsi:type="xsd:double"&gt;-0.10828972&lt;/D&gt;&lt;D xsi:type="xsd:double"&gt;1.7673969&lt;/D&gt;&lt;D xsi:type="xsd:double"&gt;13.395536&lt;/D&gt;&lt;D xsi:type="xsd:double"&gt;18.40055&lt;/D&gt;&lt;D xsi:type="xsd:double"&gt;15.068984&lt;/D&gt;&lt;D xsi:type="xsd:double"&gt;16.218353&lt;/D&gt;&lt;D xsi:type="xsd:double"&gt;16.367413&lt;/D&gt;&lt;D xsi:type="xsd:double"&gt;18.7585&lt;/D&gt;&lt;D xsi:type="xsd:double"&gt;15.878105&lt;/D&gt;&lt;D xsi:type="xsd:double"&gt;12.134684&lt;/D&gt;&lt;D xsi:type="xsd:double"&gt;12.911022&lt;/D&gt;&lt;D xsi:type="xsd:double"&gt;19.34849&lt;/D&gt;&lt;D xsi:type="xsd:double"&gt;22.757626&lt;/D&gt;&lt;D xsi:type="xsd:double"&gt;24.223019&lt;/D&gt;&lt;D xsi:type="xsd:double"&gt;26.050318&lt;/D&gt;&lt;D xsi:type="xsd:double"&gt;15.92108&lt;/D&gt;&lt;D xsi:type="xsd:double"&gt;17.620241&lt;/D&gt;&lt;D xsi:type="xsd:double"&gt;17.919529&lt;/D&gt;&lt;D xsi:type="xsd:double"&gt;13.340366&lt;/D&gt;&lt;D xsi:type="xsd:double"&gt;9.883261&lt;/D&gt;&lt;D xsi:type="xsd:double"&gt;8.513379&lt;/D&gt;&lt;D xsi:type="xsd:double"&gt;7.967663&lt;/D&gt;&lt;D xsi:type="xsd:double"&gt;10.436905&lt;/D&gt;&lt;D xsi:type="xsd:double"&gt;-5.886883&lt;/D&gt;&lt;D xsi:type="xsd:double"&gt;-6.280917&lt;/D&gt;&lt;D xsi:type="xsd:double"&gt;-14.094437&lt;/D&gt;&lt;D xsi:type="xsd:double"&gt;-13.192195&lt;/D&gt;&lt;D xsi:type="xsd:double"&gt;-6.6220284&lt;/D&gt;&lt;D xsi:type="xsd:double"&gt;-7.255989&lt;/D&gt;&lt;D xsi:type="xsd:double"&gt;-7.4199557&lt;/D&gt;&lt;D xsi:type="xsd:double"&gt;-10.369987&lt;/D&gt;&lt;D xsi:type="xsd:double"&gt;-2.7872562&lt;/D&gt;&lt;D xsi:type="xsd:double"&gt;-6.1981797&lt;/D&gt;&lt;D xsi:type="xsd:double"&gt;-5.625552&lt;/D&gt;&lt;D xsi:type="xsd:double"&gt;-5.268794&lt;/D&gt;&lt;D xsi:type="xsd:double"&gt;10.147738&lt;/D&gt;&lt;D xsi:type="xsd:double"&gt;9.304941&lt;/D&gt;&lt;D xsi:type="xsd:double"&gt;19.328808&lt;/D&gt;&lt;D xsi:type="xsd:double"&gt;8.633733&lt;/D&gt;&lt;D xsi:type="xsd:double"&gt;-0.5233705&lt;/D&gt;&lt;D xsi:type="xsd:double"&gt;-13.317442&lt;/D&gt;&lt;D xsi:type="xsd:double"&gt;-5.9912148&lt;/D&gt;&lt;D xsi:type="xsd:double"&gt;8.943081&lt;/D&gt;&lt;D xsi:type="xsd:double"&gt;0.98546743&lt;/D&gt;&lt;D xsi:type="xsd:double"&gt;1.9612908&lt;/D&gt;&lt;D xsi:type="xsd:double"&gt;10.057343&lt;/D&gt;&lt;D xsi:type="xsd:double"&gt;6.6753387&lt;/D&gt;&lt;D xsi:type="xsd:double"&gt;1.2512684&lt;/D&gt;&lt;D xsi:type="xsd:double"&gt;12.77709&lt;/D&gt;&lt;D xsi:type="xsd:double"&gt;15.40935&lt;/D&gt;&lt;D xsi:type="xsd:double"&gt;18.614828&lt;/D&gt;&lt;D xsi:type="xsd:double"&gt;32.514965&lt;/D&gt;&lt;D xsi:type="xsd:double"&gt;48.74023&lt;/D&gt;&lt;D xsi:type="xsd:double"&gt;31.813824&lt;/D&gt;&lt;D xsi:type="xsd:double"&gt;22.605455&lt;/D&gt;&lt;D xsi:type="xsd:double"&gt;24.52433&lt;/D&gt;&lt;D xsi:type="xsd:double"&gt;21.691776&lt;/D&gt;&lt;D xsi:type="xsd:double"&gt;20.822609&lt;/D&gt;&lt;D xsi:type="xsd:double"&gt;19.700968&lt;/D&gt;&lt;D xsi:type="xsd:double"&gt;20.559216&lt;/D&gt;&lt;D xsi:type="xsd:double"&gt;1.5442967&lt;/D&gt;&lt;D xsi:type="xsd:double"&gt;1.1650205&lt;/D&gt;&lt;D xsi:type="xsd:double"&gt;-3.341943&lt;/D&gt;&lt;D xsi:type="xsd:double"&gt;-8.628702&lt;/D&gt;&lt;D xsi:type="xsd:double"&gt;-8.57262&lt;/D&gt;&lt;D xsi:type="xsd:double"&gt;-15.060425&lt;/D&gt;&lt;D xsi:type="xsd:double"&gt;-13.684792&lt;/D&gt;&lt;D xsi:type="xsd:double"&gt;-19.572884&lt;/D&gt;&lt;D xsi:type="xsd:double"&gt;-13.293325&lt;/D&gt;&lt;D xsi:type="xsd:double"&gt;-22.057343&lt;/D&gt;&lt;D xsi:type="xsd:double"&gt;-28.85003&lt;/D&gt;&lt;D xsi:type="xsd:double"&gt;-25.769688&lt;/D&gt;&lt;D xsi:type="xsd:double"&gt;-12.878376&lt;/D&gt;&lt;D xsi:type="xsd:double"&gt;-17.658394&lt;/D&gt;&lt;D xsi:type="xsd:double"&gt;-7.0545254&lt;/D&gt;&lt;D xsi:type="xsd:double"&gt;-8.659971&lt;/D&gt;&lt;D xsi:type="xsd:double"&gt;-3.5937607&lt;/D&gt;&lt;D xsi:type="xsd:double"&gt;5.0456524&lt;/D&gt;&lt;D xsi:type="xsd:double"&gt;6.8221927&lt;/D&gt;&lt;D xsi:type="xsd:double"&gt;18.257702&lt;/D&gt;&lt;D xsi:type="xsd:double"&gt;11.223316&lt;/D&gt;&lt;D xsi:type="xsd:double"&gt;18.256546&lt;/D&gt;&lt;D xsi:type="xsd:double"&gt;23.529387&lt;/D&gt;&lt;D xsi:type="xsd:double"&gt;20.16598&lt;/D&gt;&lt;D xsi:type="xsd:double"&gt;13.559496&lt;/D&gt;&lt;D xsi:type="xsd:double"&gt;19.378971&lt;/D&gt;&lt;D xsi:type="xsd:double"&gt;16.090261&lt;/D&gt;&lt;D xsi:type="xsd:double"&gt;28.189934&lt;/D&gt;&lt;D xsi:type="xsd:double"&gt;22.292973&lt;/D&gt;&lt;D xsi:type="xsd:double"&gt;16.617954&lt;/D&gt;&lt;D xsi:type="xsd:double"&gt;18.69886&lt;/D&gt;&lt;D xsi:type="xsd:double"&gt;11.888957&lt;/D&gt;&lt;D xsi:type="xsd:double"&gt;10.122978&lt;/D&gt;&lt;/FQL&gt;&lt;FQL&gt;&lt;Q&gt;DDR3512M-FDS^MAX(FG_PRICE(0,-5AY))&lt;/Q&gt;&lt;R&gt;1&lt;/R&gt;&lt;C&gt;1&lt;/C&gt;&lt;D xsi:type="xsd:double"&gt;3.3053632&lt;/D&gt;&lt;/FQL&gt;&lt;FQL&gt;&lt;Q&gt;EWG^FG_PRICE(0)&lt;/Q&gt;&lt;R&gt;1&lt;/R&gt;&lt;C&gt;1&lt;/C&gt;&lt;D xsi:type="xsd:double"&gt;30.35&lt;/D&gt;&lt;/FQL&gt;&lt;FQL&gt;&lt;Q&gt;URTH^FG_TOTAL_RETURNC(0,-3AM)&lt;/Q&gt;&lt;R&gt;1&lt;/R&gt;&lt;C&gt;1&lt;/C&gt;&lt;D xsi:type="xsd:double"&gt;7.1502447&lt;/D&gt;&lt;/FQL&gt;&lt;FQL&gt;&lt;Q&gt;EWI^FG_TOTAL_RETURNC(0,-6AM)&lt;/Q&gt;&lt;R&gt;1&lt;/R&gt;&lt;C&gt;1&lt;/C&gt;&lt;D xsi:type="xsd:double"&gt;8.943642&lt;/D&gt;&lt;/FQL&gt;&lt;FQL&gt;&lt;Q&gt;EWN^PERCENT_CHANGE(FMA_EPS(+1,0,,,,"PORTAGG","MEAN"),FMA_EPS(+1,-3AM,,,,"PORTAGG","MEAN"))&lt;/Q&gt;&lt;R&gt;1&lt;/R&gt;&lt;C&gt;1&lt;/C&gt;&lt;D xsi:type="xsd:double"&gt;-1.5588751340384&lt;/D&gt;&lt;/FQL&gt;&lt;FQL&gt;&lt;Q&gt;QQQ^FG_TOTAL_RETURNC(0,-1AM)&lt;/Q&gt;&lt;R&gt;1&lt;/R&gt;&lt;C&gt;1&lt;/C&gt;&lt;D xsi:type="xsd:double"&gt;-4.619026&lt;/D&gt;&lt;/FQL&gt;&lt;FQL&gt;&lt;Q&gt;EWC^P_PRICE(0)/P_PRICE_LOW_PR(0,,,,,,"PRICE","INTRA","52W")-1&lt;/Q&gt;&lt;R&gt;1&lt;/R&gt;&lt;C&gt;1&lt;/C&gt;&lt;D xsi:type="xsd:double"&gt;0.21139765&lt;/D&gt;&lt;/FQL&gt;&lt;FQL&gt;&lt;Q&gt;ENZL^FMA_PCT_ABOVE_MAVG(200,0,,,,"PORTAGG")&lt;/Q&gt;&lt;R&gt;1&lt;/R&gt;&lt;C&gt;1&lt;/C&gt;&lt;D xsi:type="xsd:double"&gt;50&lt;/D&gt;&lt;/FQL&gt;&lt;FQL&gt;&lt;Q&gt;REFCATARG-FDS^(SUBARRAY(NOT_NA(NO_REPEAT_F(FG_YIELD(NOW,-10AY,D))),0,1)-SUBARRAY(NOT_NA(NO_REPEAT_F(FG_YIELD(NOW,-10AY,D))),1,1))*100&lt;/Q&gt;&lt;R&gt;1&lt;/R&gt;&lt;C&gt;1&lt;/C&gt;&lt;D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xsi:type="xsd:double"&gt;-25&lt;/D&gt;&lt;/FQL&gt;&lt;FQL&gt;&lt;Q&gt;TRYGB10Y-FDS^PCTCHG(FG_YIELD(0,,,,"YTM"),FG_YIELD(-1AM,,,,"YTM"))&lt;/Q&gt;&lt;R&gt;1&lt;/R&gt;&lt;C&gt;1&lt;/C&gt;&lt;D xsi:type="xsd:double"&gt;-9.084514&lt;/D&gt;&lt;/FQL&gt;&lt;FQL&gt;&lt;Q&gt;TRYNZ10Y-FDS^FG_YIELD(0,,,,"YTM")&lt;/Q&gt;&lt;R&gt;1&lt;/R&gt;&lt;C&gt;1&lt;/C&gt;&lt;D xsi:type="xsd:double"&gt;4.2695&lt;/D&gt;&lt;/FQL&gt;&lt;FQL&gt;&lt;Q&gt;VGK^FMA_EVAL_EBITDA(NTMA,0,,,"PORTAGG","MEANR")&lt;/Q&gt;&lt;R&gt;1&lt;/R&gt;&lt;C&gt;1&lt;/C&gt;&lt;D xsi:type="xsd:double"&gt;8.80699440864635&lt;/D&gt;&lt;/FQL&gt;&lt;FQL&gt;&lt;Q&gt;SPY^FMA_PE(LTM,0,,,"PORTAGG","MEANR")&lt;/Q&gt;&lt;R&gt;1&lt;/R&gt;&lt;C&gt;1&lt;/C&gt;&lt;D xsi:type="xsd:double"&gt;25.8164295246352&lt;/D&gt;&lt;/FQL&gt;&lt;FQL&gt;&lt;Q&gt;EWL^FMA_PE(LTM,0,,,"PORTAGG","MEANR")&lt;/Q&gt;&lt;R&gt;1&lt;/R&gt;&lt;C&gt;1&lt;/C&gt;&lt;D xsi:type="xsd:double"&gt;17.3773954137081&lt;/D&gt;&lt;/FQL&gt;&lt;FQL&gt;&lt;Q&gt;USO^FG_TOTAL_RETURNC(0,-6AM)&lt;/Q&gt;&lt;R&gt;1&lt;/R&gt;&lt;C&gt;1&lt;/C&gt;&lt;D xsi:type="xsd:double"&gt;10.453165&lt;/D&gt;&lt;/FQL&gt;&lt;FQL&gt;&lt;Q&gt;VGK^FG_PE_NTM(0,,,90,0)&lt;/Q&gt;&lt;R&gt;1&lt;/R&gt;&lt;C&gt;1&lt;/C&gt;&lt;D xsi:type="xsd:double"&gt;13.0888032913833&lt;/D&gt;&lt;/FQL&gt;&lt;FQL&gt;&lt;Q&gt;QQQ^FMA_EVAL_EBITDA(NTMA,0,,,"PORTAGG","MEANR")&lt;/Q&gt;&lt;R&gt;1&lt;/R&gt;&lt;C&gt;1&lt;/C&gt;&lt;D xsi:type="xsd:double"&gt;16.4670855129409&lt;/D&gt;&lt;/FQL&gt;&lt;FQL&gt;&lt;Q&gt;REFNZOCR-FDS^(SUBARRAY(NOT_NA(NO_REPEAT_F(FG_YIELD(NOW,-10AY,D))),0,1)-SUBARRAY(NOT_NA(NO_REPEAT_F(FG_YIELD(NOW,-10AY,D))),1,1))*100&lt;/Q&gt;&lt;R&gt;1&lt;/R&gt;&lt;C&gt;1&lt;/C&gt;&lt;D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xsi:type="xsd:double"&gt;25&lt;/D&gt;&lt;/FQL&gt;&lt;FQL&gt;&lt;Q&gt;EWQ^PERCENT_CHANGE(FMA_EPS(+1,0,,,,"PORTAGG","MEAN"),FMA_EPS(+1,-3AM,,,,"PORTAGG","MEAN"))&lt;/Q&gt;&lt;R&gt;1&lt;/R&gt;&lt;C&gt;1&lt;/C&gt;&lt;D xsi:type="xsd:double"&gt;-0.767226556460929&lt;/D&gt;&lt;/FQL&gt;&lt;FQL&gt;&lt;Q&gt;VWO^FG_TOTAL_RETURNC(0,-3AM)&lt;/Q&gt;&lt;R&gt;1&lt;/R&gt;&lt;C&gt;1&lt;/C&gt;&lt;D xsi:type="xsd:double"&gt;3.5738707&lt;/D&gt;&lt;/FQL&gt;&lt;FQL&gt;&lt;Q&gt;ENZL^FG_PRICE_MAVG(0,,,,60)&lt;/Q&gt;&lt;R&gt;1&lt;/R&gt;&lt;C&gt;1&lt;/C&gt;&lt;D xsi:type="xsd:double"&gt;45.75905&lt;/D&gt;&lt;/FQL&gt;&lt;FQL&gt;&lt;Q&gt;EWA^FG_TOTAL_RETURNC(0,-3AM)&lt;/Q&gt;&lt;R&gt;1&lt;/R&gt;&lt;C&gt;1&lt;/C&gt;&lt;D xsi:type="xsd:double"&gt;6.481588&lt;/D&gt;&lt;/FQL&gt;&lt;FQL&gt;&lt;Q&gt;URTH^FMA_COS_DOWN("EPS","1M",+1,0,,,"PORTAGG","MEANR")&lt;/Q&gt;&lt;R&gt;1&lt;/R&gt;&lt;C&gt;1&lt;/C&gt;&lt;D xsi:type="xsd:double"&gt;605&lt;/D&gt;&lt;/FQL&gt;&lt;FQL&gt;&lt;Q&gt;TRYIT10Y-FDS^PCTCHG(FG_YIELD(0,,,,"YTM"),FG_YIELD(-1AM,,,,"YTM"))&lt;/Q&gt;&lt;R&gt;1&lt;/R&gt;&lt;C&gt;1&lt;/C&gt;&lt;D xsi:type="xsd:double"&gt;-11.0839205&lt;/D&gt;&lt;/FQL&gt;&lt;FQL&gt;&lt;Q&gt;TRYJP10Y-FDS^FG_YIELD(0,,,,"YTM")&lt;/Q&gt;&lt;R&gt;1&lt;/R&gt;&lt;C&gt;1&lt;/C&gt;&lt;D xsi:type="xsd:double"&gt;1.0238&lt;/D&gt;&lt;/FQL&gt;&lt;FQL&gt;&lt;Q&gt;EWQ^FMA_PE(NTMA,0,,,"PORTAGG","MEANR")&lt;/Q&gt;&lt;R&gt;1&lt;/R&gt;&lt;C&gt;1&lt;/C&gt;&lt;D xsi:type="xsd:double"&gt;13.5012279936373&lt;/D&gt;&lt;/FQL&gt;&lt;FQL&gt;&lt;Q&gt;ENZL^FMA_EVAL_EBIT(LTMA,NOW,NOW,M,"PORTAGG","MEANR")&lt;/Q&gt;&lt;R&gt;1&lt;/R&gt;&lt;C&gt;1&lt;/C&gt;&lt;D xsi:type="xsd:double"&gt;21.0660890276935&lt;/D&gt;&lt;/FQL&gt;&lt;FQL&gt;&lt;Q&gt;TRYNL10Y-FDS^PCTCHG(FG_YIELD(0,,,,"YTM"),FG_YIELD(-3AM,,,,"YTM"))&lt;/Q&gt;&lt;R&gt;1&lt;/R&gt;&lt;C&gt;1&lt;/C&gt;&lt;D xsi:type="xsd:double"&gt;-11.828332&lt;/D&gt;&lt;/FQL&gt;&lt;FQL&gt;&lt;Q&gt;TIPSCL10Y-FDS^FG_YIELD(-10AY,0,Y,,"YTM")&lt;/Q&gt;&lt;R&gt;10&lt;/R&gt;&lt;C&gt;1&lt;/C&gt;&lt;D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xsi:type="xsd:string"&gt;@NA&lt;/D&gt;&lt;/FQL&gt;&lt;FQL&gt;&lt;Q&gt;CAGDPY@DE^EE_ACTUAL_ANNUAL(MED,0)&lt;/Q&gt;&lt;R&gt;1&lt;/R&gt;&lt;C&gt;1&lt;/C&gt;&lt;D xsi:type="xsd:double"&gt;6.05795477572622&lt;/D&gt;&lt;/FQL&gt;&lt;FQL&gt;&lt;Q&gt;USDCHF^FG_PRICE_CHANGE(0,-1AM)&lt;/Q&gt;&lt;R&gt;1&lt;/R&gt;&lt;C&gt;1&lt;/C&gt;&lt;D xsi:type="xsd:double"&gt;-3.3128679&lt;/D&gt;&lt;/FQL&gt;&lt;FQL&gt;&lt;Q&gt;ENZL^FMA_DIV_YLD(NTMA,-10AY,0,AM,"PORTAGG","MEANR")&lt;/Q&gt;&lt;R&gt;121&lt;/R&gt;&lt;C&gt;1&lt;/C&gt;&lt;D xsi:type="xsd:double"&gt;4.50732319290417&lt;/D&gt;&lt;D xsi:type="xsd:double"&gt;4.53899776998386&lt;/D&gt;&lt;D xsi:type="xsd:double"&gt;4.56579862887424&lt;/D&gt;&lt;D xsi:type="xsd:double"&gt;4.50483954106414&lt;/D&gt;&lt;D xsi:type="xsd:double"&gt;4.57422024771937&lt;/D&gt;&lt;D xsi:type="xsd:double"&gt;4.43603649853718&lt;/D&gt;&lt;D xsi:type="xsd:double"&gt;4.33415341945234&lt;/D&gt;&lt;D xsi:type="xsd:double"&gt;4.26227285815805&lt;/D&gt;&lt;D xsi:type="xsd:double"&gt;4.40717639045626&lt;/D&gt;&lt;D xsi:type="xsd:double"&gt;4.45989456357006&lt;/D&gt;&lt;D xsi:type="xsd:double"&gt;4.43117537005023&lt;/D&gt;&lt;D xsi:type="xsd:double"&gt;4.6451646509475&lt;/D&gt;&lt;D xsi:type="xsd:double"&gt;4.55337120119166&lt;/D&gt;&lt;D xsi:type="xsd:double"&gt;5.1055569414482&lt;/D&gt;&lt;D xsi:type="xsd:double"&gt;5.30548390315785&lt;/D&gt;&lt;D xsi:type="xsd:double"&gt;4.92397416743627&lt;/D&gt;&lt;D xsi:type="xsd:double"&gt;4.77788435301112&lt;/D&gt;&lt;D xsi:type="xsd:double"&gt;4.72515980905889&lt;/D&gt;&lt;D xsi:type="xsd:double"&gt;4.8367552548639&lt;/D&gt;&lt;D xsi:type="xsd:double"&gt;4.82713169252641&lt;/D&gt;&lt;D xsi:type="xsd:double"&gt;4.57794648713835&lt;/D&gt;&lt;D xsi:type="xsd:double"&gt;4.58125161388613&lt;/D&gt;&lt;D xsi:type="xsd:double"&gt;4.32188370551051&lt;/D&gt;&lt;D xsi:type="xsd:double"&gt;4.39813902459698&lt;/D&gt;&lt;D xsi:type="xsd:double"&gt;4.1211147843807&lt;/D&gt;&lt;D xsi:type="xsd:double"&gt;4.19822911323599&lt;/D&gt;&lt;D xsi:type="xsd:double"&gt;4.320404394</t>
        </r>
      </text>
    </comment>
    <comment ref="A11" authorId="0" shapeId="0" xr:uid="{765C6A3A-28F7-4C3D-AD93-82A5CADB8E42}">
      <text>
        <r>
          <rPr>
            <b/>
            <sz val="9"/>
            <color indexed="81"/>
            <rFont val="Tahoma"/>
            <charset val="1"/>
          </rPr>
          <t>52407&lt;/D&gt;&lt;D xsi:type="xsd:double"&gt;4.59803227706207&lt;/D&gt;&lt;D xsi:type="xsd:double"&gt;4.56259080934994&lt;/D&gt;&lt;D xsi:type="xsd:double"&gt;4.6345425267273&lt;/D&gt;&lt;D xsi:type="xsd:double"&gt;4.54160001978176&lt;/D&gt;&lt;D xsi:type="xsd:double"&gt;4.66053775616143&lt;/D&gt;&lt;D xsi:type="xsd:double"&gt;4.57882710059766&lt;/D&gt;&lt;D xsi:type="xsd:double"&gt;4.46322409263077&lt;/D&gt;&lt;D xsi:type="xsd:double"&gt;4.43648168554314&lt;/D&gt;&lt;D xsi:type="xsd:double"&gt;4.39307428705327&lt;/D&gt;&lt;D xsi:type="xsd:double"&gt;4.3773969193248&lt;/D&gt;&lt;D xsi:type="xsd:double"&gt;4.38776912924581&lt;/D&gt;&lt;D xsi:type="xsd:double"&gt;4.41229401725204&lt;/D&gt;&lt;D xsi:type="xsd:double"&gt;4.38704919050838&lt;/D&gt;&lt;D xsi:type="xsd:double"&gt;4.31485409915926&lt;/D&gt;&lt;D xsi:type="xsd:double"&gt;4.20128758471335&lt;/D&gt;&lt;D xsi:type="xsd:double"&gt;4.20498522388518&lt;/D&gt;&lt;D xsi:type="xsd:double"&gt;4.25594810238436&lt;/D&gt;&lt;D xsi:type="xsd:double"&gt;4.3162273701021&lt;/D&gt;&lt;D xsi:type="xsd:double"&gt;4.28130506940988&lt;/D&gt;&lt;D xsi:type="xsd:double"&gt;4.16799857437243&lt;/D&gt;&lt;D xsi:type="xsd:double"&gt;4.05433947621799&lt;/D&gt;&lt;D xsi:type="xsd:double"&gt;4.13311553077338&lt;/D&gt;&lt;D xsi:type="xsd:double"&gt;3.89557331235409&lt;/D&gt;&lt;D xsi:type="xsd:double"&gt;3.98954277623311&lt;/D&gt;&lt;D xsi:type="xsd:double"&gt;4.21845798760549&lt;/D&gt;&lt;D xsi:type="xsd:double"&gt;4.25832976064396&lt;/D&gt;&lt;D xsi:type="xsd:double"&gt;4.18061240383847&lt;/D&gt;&lt;D xsi:type="xsd:double"&gt;4.0989739418008&lt;/D&gt;&lt;D xsi:type="xsd:double"&gt;3.92348559420387&lt;/D&gt;&lt;D xsi:type="xsd:double"&gt;3.75467848051936&lt;/D&gt;&lt;D xsi:type="xsd:double"&gt;3.7194425120364&lt;/D&gt;&lt;D xsi:type="xsd:double"&gt;3.70790683248854&lt;/D&gt;&lt;D xsi:type="xsd:double"&gt;3.57194516734684&lt;/D&gt;&lt;D xsi:type="xsd:double"&gt;3.40576334367879&lt;/D&gt;&lt;D xsi:type="xsd:double"&gt;3.43300478864385&lt;/D&gt;&lt;D xsi:type="xsd:double"&gt;3.30680766283215&lt;/D&gt;&lt;D xsi:type="xsd:double"&gt;3.37994590382817&lt;/D&gt;&lt;D xsi:type="xsd:double"&gt;3.22070206143111&lt;/D&gt;&lt;D xsi:type="xsd:double"&gt;3.180368626039&lt;/D&gt;&lt;D xsi:type="xsd:double"&gt;3.10302790525696&lt;/D&gt;&lt;D xsi:type="xsd:double"&gt;3.16993345843362&lt;/D&gt;&lt;D xsi:type="xsd:double"&gt;3.27081133833935&lt;/D&gt;&lt;D xsi:type="xsd:double"&gt;2.71491786574694&lt;/D&gt;&lt;D xsi:type="xsd:double"&gt;2.6132165941173&lt;/D&gt;&lt;D xsi:type="xsd:double"&gt;2.50715230684145&lt;/D&gt;&lt;D xsi:type="xsd:double"&gt;2.39843697141942&lt;/D&gt;&lt;D xsi:type="xsd:double"&gt;2.38228781168829&lt;/D&gt;&lt;D xsi:type="xsd:double"&gt;2.45226748743542&lt;/D&gt;&lt;D xsi:type="xsd:double"&gt;2.43693764007441&lt;/D&gt;&lt;D xsi:type="xsd:double"&gt;2.37028398143554&lt;/D&gt;&lt;D xsi:type="xsd:double"&gt;2.40539263641599&lt;/D&gt;&lt;D xsi:type="xsd:double"&gt;2.48127837683859&lt;/D&gt;&lt;D xsi:type="xsd:double"&gt;2.57726652025901&lt;/D&gt;&lt;D xsi:type="xsd:double"&gt;2.59513839586019&lt;/D&gt;&lt;D xsi:type="xsd:double"&gt;2.58809487322422&lt;/D&gt;&lt;D xsi:type="xsd:double"&gt;2.68439214191093&lt;/D&gt;&lt;D xsi:type="xsd:double"&gt;2.62621090721439&lt;/D&gt;&lt;D xsi:type="xsd:double"&gt;2.6580797025583&lt;/D&gt;&lt;D xsi:type="xsd:double"&gt;2.58032537566294&lt;/D&gt;&lt;D xsi:type="xsd:double"&gt;2.61871249573644&lt;/D&gt;&lt;D xsi:type="xsd:double"&gt;2.67725322201043&lt;/D&gt;&lt;D xsi:type="xsd:double"&gt;2.77487075851725&lt;/D&gt;&lt;D xsi:type="xsd:double"&gt;2.76511566800919&lt;/D&gt;&lt;D xsi:type="xsd:double"&gt;3.01673757463895&lt;/D&gt;&lt;D xsi:type="xsd:double"&gt;2.97364029857693&lt;/D&gt;&lt;D xsi:type="xsd:double"&gt;3.06349188681102&lt;/D&gt;&lt;D xsi:type="xsd:double"&gt;3.05983317463859&lt;/D&gt;&lt;D xsi:type="xsd:double"&gt;3.19646067333717&lt;/D&gt;&lt;D xsi:type="xsd:double"&gt;3.40633923200343&lt;/D&gt;&lt;D xsi:type="xsd:double"&gt;3.24355990454516&lt;/D&gt;&lt;D xsi:type="xsd:double"&gt;3.2116481119588&lt;/D&gt;&lt;D xsi:type="xsd:double"&gt;3.42620608411407&lt;/D&gt;&lt;D xsi:type="xsd:double"&gt;3.36838224921471&lt;/D&gt;&lt;D xsi:type="xsd:double"&gt;3.3846111053827&lt;/D&gt;&lt;D xsi:type="xsd:double"&gt;3.48175951513012&lt;/D&gt;&lt;D xsi:type="xsd:double"&gt;3.28877882601057&lt;/D&gt;&lt;D xsi:type="xsd:double"&gt;3.38004001078602&lt;/D&gt;&lt;D xsi:type="xsd:double"&gt;3.3968483428021&lt;/D&gt;&lt;D xsi:type="xsd:double"&gt;3.393617328936&lt;/D&gt;&lt;D xsi:type="xsd:double"&gt;3.4012233634042&lt;/D&gt;&lt;D xsi:type="xsd:double"&gt;3.41941461587257&lt;/D&gt;&lt;D xsi:type="xsd:double"&gt;3.4083844106208&lt;/D&gt;&lt;D xsi:type="xsd:double"&gt;3.30573007834377&lt;/D&gt;&lt;D xsi:type="xsd:double"&gt;3.42427644033148&lt;/D&gt;&lt;D xsi:type="xsd:double"&gt;3.54846246127422&lt;/D&gt;&lt;D xsi:type="xsd:double"&gt;3.10567909452213&lt;/D&gt;&lt;D xsi:type="xsd:double"&gt;2.96827759625584&lt;/D&gt;&lt;D xsi:type="xsd:double"&gt;2.97986155650469&lt;/D&gt;&lt;D xsi:type="xsd:double"&gt;2.76217459590191&lt;/D&gt;&lt;D xsi:type="xsd:double"&gt;2.7459057298638&lt;/D&gt;&lt;D xsi:type="xsd:double"&gt;2.77097148103343&lt;/D&gt;&lt;D xsi:type="xsd:double"&gt;2.70122124532592&lt;/D&gt;&lt;D xsi:type="xsd:double"&gt;2.75412721520257&lt;/D&gt;&lt;D xsi:type="xsd:double"&gt;2.67421207278863&lt;/D&gt;&lt;/FQL&gt;&lt;FQL&gt;&lt;Q&gt;NI-FDS^FG_PRICE(0)&lt;/Q&gt;&lt;R&gt;1&lt;/R&gt;&lt;C&gt;1&lt;/C&gt;&lt;D xsi:type="xsd:double"&gt;15870&lt;/D&gt;&lt;/FQL&gt;&lt;FQL&gt;&lt;Q&gt;BRENT-FDS^FG_PRICE_CHANGE(0,-6AM)&lt;/Q&gt;&lt;R&gt;1&lt;/R&gt;&lt;C&gt;1&lt;/C&gt;&lt;D xsi:type="xsd:double"&gt;0&lt;/D&gt;&lt;/FQL&gt;&lt;FQL&gt;&lt;Q&gt;EWQ^FG_PRICE_MAVG(0,,,,200)&lt;/Q&gt;&lt;R&gt;1&lt;/R&gt;&lt;C&gt;1&lt;/C&gt;&lt;D xsi:type="xsd:double"&gt;39.048923&lt;/D&gt;&lt;/FQL&gt;&lt;FQL&gt;&lt;Q&gt;EWC^FG_PRICE_MAVG(0,,,,200)&lt;/Q&gt;&lt;R&gt;1&lt;/R&gt;&lt;C&gt;1&lt;/C&gt;&lt;D xsi:type="xsd:double"&gt;36.5478&lt;/D&gt;&lt;/FQL&gt;&lt;FQL&gt;&lt;Q&gt;SPY^P_PRICE(0)/P_PRICE_LOW_PR(0,,,,,,"PRICE","INTRA","52W")-1&lt;/Q&gt;&lt;R&gt;1&lt;/R&gt;&lt;C&gt;1&lt;/C&gt;&lt;D xsi:type="xsd:double"&gt;0.32697153&lt;/D&gt;&lt;/FQL&gt;&lt;FQL&gt;&lt;Q&gt;EWL^FMA_PCT_ABOVE_MAVG(200,0,,,,"PORTAGG")&lt;/Q&gt;&lt;R&gt;1&lt;/R&gt;&lt;C&gt;1&lt;/C&gt;&lt;D xsi:type="xsd:double"&gt;69.5652173913043&lt;/D&gt;&lt;/FQL&gt;&lt;FQL&gt;&lt;Q&gt;EWC^FG_TOTAL_RETURNC(0,-1AM)&lt;/Q&gt;&lt;R&gt;1&lt;/R&gt;&lt;C&gt;1&lt;/C&gt;&lt;D xsi:type="xsd:double"&gt;3.0327559&lt;/D&gt;&lt;/FQL&gt;&lt;FQL&gt;&lt;Q&gt;EWI^FMA_COS_UP("EPS","1M",+1,0,,,"PORTAGG","MEANR")&lt;/Q&gt;&lt;R&gt;1&lt;/R&gt;&lt;C&gt;1&lt;/C&gt;&lt;D xsi:type="xsd:double"&gt;14&lt;/D&gt;&lt;/FQL&gt;&lt;FQL&gt;&lt;Q&gt;EWG^SIZE(FG_CONSTITUENTS)&lt;/Q&gt;&lt;R&gt;1&lt;/R&gt;&lt;C&gt;1&lt;/C&gt;&lt;D xsi:type="xsd:long"&gt;58&lt;/D&gt;&lt;/FQL&gt;&lt;FQL&gt;&lt;Q&gt;EWQ^FG_ROE(0)&lt;/Q&gt;&lt;R&gt;1&lt;/R&gt;&lt;C&gt;1&lt;/C&gt;&lt;D xsi:type="xsd:double"&gt;12.6860108172934&lt;/D&gt;&lt;/FQL&gt;&lt;FQL&gt;&lt;Q&gt;REFCATARG-FDS^PROPER_NAME(0,,,"SECURITY","NAME")&lt;/Q&gt;&lt;R&gt;1&lt;/R&gt;&lt;C&gt;1&lt;/C&gt;&lt;D xsi:type="xsd:string"&gt;Canada Target Rate&lt;/D&gt;&lt;/FQL&gt;&lt;FQL&gt;&lt;Q&gt;EWN^FMA_EVAL_EBIT(LTMA,NOW,NOW,M,"PORTAGG","MEANR")&lt;/Q&gt;&lt;R&gt;1&lt;/R&gt;&lt;C&gt;1&lt;/C&gt;&lt;D xsi:type="xsd:double"&gt;21.4382755497051&lt;/D&gt;&lt;/FQL&gt;&lt;FQL&gt;&lt;Q&gt;EWL^JULIAN(FMA_DIV_YLD(NTMA,NOW,NOW,M,"PORTAGG","MEANR").DATES)&lt;/Q&gt;&lt;R&gt;1&lt;/R&gt;&lt;C&gt;1&lt;/C&gt;&lt;D xsi:type="xsd:long"&gt;45502&lt;/D&gt;&lt;/FQL&gt;&lt;FQL&gt;&lt;Q&gt;ENZL^FG_PRICE_MAVG(0,,,,30)&lt;/Q&gt;&lt;R&gt;1&lt;/R&gt;&lt;C&gt;1&lt;/C&gt;&lt;D xsi:type="xsd:double"&gt;45.875656&lt;/D&gt;&lt;/FQL&gt;&lt;FQL&gt;&lt;Q&gt;ENZL^FMA_PE(LTM,0,,,"PORTAGG","MEANR")&lt;/Q&gt;&lt;R&gt;1&lt;/R&gt;&lt;C&gt;1&lt;/C&gt;&lt;D xsi:type="xsd:double"&gt;32.5688046149113&lt;/D&gt;&lt;/FQL&gt;&lt;FQL&gt;&lt;Q&gt;TRYFR10Y-FDS^FG_YIELD(-10AY,0,Y,,"YTM")&lt;/Q&gt;&lt;R&gt;10&lt;/R&gt;&lt;C&gt;1&lt;/C&gt;&lt;D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xsi:type="xsd:double"&gt;2.534&lt;/D&gt;&lt;/FQL&gt;&lt;FQL&gt;&lt;Q&gt;CAGDPY@CA^EE_ACTUAL_ANNUAL(MED,+1)&lt;/Q&gt;&lt;R&gt;1&lt;/R&gt;&lt;C&gt;1&lt;/C&gt;&lt;D xsi:type="xsd:double"&gt;-0.65&lt;/D&gt;&lt;/FQL&gt;&lt;FQL&gt;&lt;Q&gt;USDAUD^FG_PRICE(0)&lt;/Q&gt;&lt;R&gt;1&lt;/R&gt;&lt;C&gt;1&lt;/C&gt;&lt;D xsi:type="xsd:double"&gt;1.5318627&lt;/D&gt;&lt;/FQL&gt;&lt;FQL&gt;&lt;Q&gt;EWG^P_PRICE_RETURNS_PR('52W',2,-10AY,0,AM)&lt;/Q&gt;&lt;R&gt;121&lt;/R&gt;&lt;C&gt;1&lt;/C&gt;&lt;D xsi:type="xsd:double"&gt;9.54442&lt;/D&gt;&lt;D xsi:type="xsd:double"&gt;13.956749&lt;/D&gt;&lt;D xsi:type="xsd:double"&gt;-0.77521205&lt;/D&gt;&lt;D xsi:type="xsd:double"&gt;-5.319333&lt;/D&gt;&lt;D xsi:type="xsd:double"&gt;-3.8394332&lt;/D&gt;&lt;D xsi:type="xsd:double"&gt;-11.955476&lt;/D&gt;&lt;D xsi:type="xsd:double"&gt;-5.8379354&lt;/D&gt;&lt;D xsi:type="xsd:double"&gt;-3.5980344&lt;/D&gt;&lt;D xsi:type="xsd:double"&gt;-2.7637541&lt;/D&gt;&lt;D xsi:type="xsd:double"&gt;-3.5145342&lt;/D&gt;&lt;D xsi:type="xsd:double"&gt;-7.886058&lt;/D&gt;&lt;D xsi:type="xsd:double"&gt;-9.007597&lt;/D&gt;&lt;D xsi:type="xsd:double"&gt;-1.1263967&lt;/D&gt;&lt;D xsi:type="xsd:double"&gt;-9.591931&lt;/D&gt;&lt;D xsi:type="xsd:double"&gt;-8.787614&lt;/D&gt;&lt;D xsi:type="xsd:double"&gt;2.7588725&lt;/D&gt;&lt;D xsi:type="xsd:double"&gt;-3.7193894&lt;/D&gt;&lt;D xsi:type="xsd:double"&gt;-2.79271&lt;/D&gt;&lt;D xsi:type="xsd:double"&gt;-11.829269&lt;/D&gt;&lt;D xsi:type="xsd:double"&gt;-16.967428&lt;/D&gt;&lt;D xsi:type="xsd:double"&gt;-13.744556&lt;/D&gt;&lt;D xsi:type="xsd:double"&gt;-9.938538&lt;/D&gt;&lt;D xsi:type="xsd:double"&gt;-8.991999&lt;/D&gt;&lt;D xsi:type="xsd:double"&gt;-12.140441&lt;/D&gt;&lt;D xsi:type="xsd:double"&gt;-7.621402&lt;/D&gt;&lt;D xsi:type="xsd:double"&gt;4.8213243&lt;/D&gt;&lt;D xsi:type="xsd:double"&gt;8.764577&lt;/D&gt;&lt;D xsi:type="xsd:double"&gt;-2.859676&lt;/D&gt;&lt;D xsi:type="xsd:double"&gt;-7.298434&lt;/D&gt;&lt;D xsi:type="xsd:double"&gt;1.9262791&lt;/D&gt;&lt;D xsi:type="xsd:double"&gt;16.332317&lt;/D&gt;&lt;D xsi:type="xsd:double"&gt;17.978657&lt;/D&gt;&lt;D xsi:type="xsd:double"&gt;14.491785&lt;/D&gt;&lt;D xsi:type="xsd:double"&gt;16.68451&lt;/D&gt;&lt;D xsi:type="xsd:double"&gt;22.950304&lt;/D&gt;&lt;D xsi:type="xsd:double"&gt;28.358067&lt;/D&gt;&lt;D xsi:type="xsd:double"&gt;23.736143&lt;/D&gt;&lt;D xsi:type="xsd:double"&gt;19.625902&lt;/D&gt;&lt;D xsi:type="xsd:double"&gt;28.738546&lt;/D&gt;&lt;D xsi:type="xsd:double"&gt;32.287727&lt;/D&gt;&lt;D xsi:type="xsd:double"&gt;36.155773&lt;/D&gt;&lt;D xsi:type="xsd:double"&gt;28.124655&lt;/D&gt;&lt;D xsi:type="xsd:double"&gt;28.496658&lt;/D&gt;&lt;D xsi:type="xsd:double"&gt;16.486395&lt;/D&gt;&lt;D xsi:type="xsd:double"&gt;13.781881&lt;/D&gt;&lt;D xsi:type="xsd:double"&gt;10.656298&lt;/D&gt;&lt;D xsi:type="xsd:double"&gt;4.370308&lt;/D&gt;&lt;D xsi:type="xsd:double"&gt;1.3211012&lt;/D&gt;&lt;D xsi:type="xsd:double"&gt;2.8716683&lt;/D&gt;&lt;D xsi:type="xsd:double"&gt;0.9038806&lt;/D&gt;&lt;D xsi:type="xsd:double"&gt;-5.336994&lt;/D&gt;&lt;D xsi:type="xsd:double"&gt;-15.029276&lt;/D&gt;&lt;D xsi:type="xsd:double"&gt;-17.095613&lt;/D&gt;&lt;D xsi:type="xsd:double"&gt;-21.374733&lt;/D&gt;&lt;D xsi:type="xsd:double"&gt;-20.872295&lt;/D&gt;&lt;D xsi:type="xsd:double"&gt;-11.139929&lt;/D&gt;&lt;D xsi:type="xsd:double"&gt;-12.736755&lt;/D&gt;&lt;D xsi:type="xsd:double"&gt;-9.397734&lt;/D&gt;&lt;D xsi:type="xsd:double"&gt;-12.863559&lt;/D&gt;&lt;D xsi:type="xsd:double"&gt;-3.6334515&lt;/D&gt;&lt;D xsi:type="xsd:double"&gt;-11.350573&lt;/D&gt;&lt;D xsi:type="xsd:double"&gt;-12.065733&lt;/D&gt;&lt;D xsi:type="xsd:double"&gt;-8.42675&lt;/D&gt;&lt;D xsi:type="xsd:double"&gt;7.1332574&lt;/D&gt;&lt;D xsi:type="xsd:double"&gt;9.797514&lt;/D&gt;&lt;D xsi:type="xsd:double"&gt;19.154919&lt;/D&gt;&lt;D xsi:type="xsd:double"&gt;9.413683&lt;/D&gt;&lt;D xsi:type="xsd:double"&gt;-1.3237476&lt;/D&gt;&lt;D xsi:type="xsd:double"&gt;-23.301983&lt;/D&gt;&lt;D xsi:type="xsd:double"&gt;-17.153847&lt;/D&gt;&lt;D xsi:type="xsd:double"&gt;1.1377811&lt;/D&gt;&lt;D xsi:type="xsd:double"&gt;-2.6582122&lt;/D&gt;&lt;D xsi:type="xsd:double"&gt;6.430316&lt;/D&gt;&lt;D xsi:type="xsd:double"&gt;15.939463&lt;/D&gt;&lt;D xsi:type="xsd:double"&gt;11.16612&lt;/D&gt;&lt;D xsi:type="xsd:double"&gt;-7.218504&lt;/D&gt;&lt;D xsi:type="xsd:double"&gt;8.828819&lt;/D&gt;&lt;D xsi:type="xsd:double"&gt;10.563791&lt;/D&gt;&lt;D xsi:type="xsd:double"&gt;13.935339&lt;/D&gt;&lt;D xsi:type="xsd:double"&gt;26.704681&lt;/D&gt;&lt;D xsi:type="xsd:double"&gt;70.44282&lt;/D&gt;&lt;D xsi:type="xsd:double"&gt;50.21949&lt;/D&gt;&lt;D xsi:type="xsd:double"&gt;39.38124&lt;/D&gt;&lt;D xsi:type="xsd:double"&gt;31.83316&lt;/D&gt;&lt;D xsi:type="xsd:double"&gt;23.347795&lt;/D&gt;&lt;D xsi:type="xsd:double"&gt;19.801903&lt;/D&gt;&lt;D xsi:type="xsd:double"&gt;15.694893&lt;/D&gt;&lt;D xsi:type="xsd:double"&gt;33.937218&lt;/D&gt;&lt;D xsi:type="xsd:double"&gt;4.9627066&lt;/D&gt;&lt;D xsi:type="xsd:double"&gt;5.840075&lt;/D&gt;&lt;D xsi:type="xsd:double"&gt;4.225683&lt;/D&gt;&lt;D xsi:type="xsd:double"&gt;-11.447823&lt;/D&gt;&lt;D xsi:type="xsd:double"&gt;-13.5556755&lt;/D&gt;&lt;D xsi:type="xsd:double"&gt;-23.92131&lt;/D&gt;&lt;D xsi:type="xsd:double"&gt;-23.250448&lt;/D&gt;&lt;D xsi:type="xsd:double"&gt;-30.947208&lt;/D&gt;&lt;D xsi:type="xsd:double"&gt;-29.00052&lt;/D&gt;&lt;D xsi:type="xsd:double"&gt;-36.07835&lt;/D&gt;&lt;D xsi:type="xsd:double"&gt;-37.647526&lt;/D&gt;&lt;D xsi:type="xsd:double"&gt;-33.13144&lt;/D&gt;&lt;D xsi:type="xsd:double"&gt;-16.276062&lt;/D&gt;&lt;D xsi:type="xsd:double"&gt;-22.198814&lt;/D&gt;&lt;D xsi:type="xsd:double"&gt;-8.885598&lt;/D&gt;&lt;D xsi:type="xsd:double"&gt;1.1399388&lt;/D&gt;&lt;D xsi:type="xsd:double"&gt;3.3809423&lt;/D&gt;&lt;D xsi:type="xsd:double"&gt;16.686583&lt;/D&gt;&lt;D xsi:type="xsd:double"&gt;8.548367&lt;/D&gt;&lt;D xsi:type="xsd:double"&gt;27.615654&lt;/D&gt;&lt;D xsi:type="xsd:double"&gt;26.022648&lt;/D&gt;&lt;D xsi:type="xsd:double"&gt;31.744062&lt;/D&gt;&lt;D xsi:type="xsd:double"&gt;36.277664&lt;/D&gt;&lt;D xsi:type="xsd:double"&gt;18.585598&lt;/D&gt;&lt;D xsi:type="xsd:double"&gt;15.437115&lt;/D&gt;&lt;D xsi:type="xsd:double"&gt;21.783829&lt;/D&gt;&lt;D xsi:type="xsd:double"&gt;6.281984&lt;/D&gt;&lt;D xsi:type="xsd:double"&gt;15.048528&lt;/D&gt;&lt;D xsi:type="xsd:double"&gt;14.557195&lt;/D&gt;&lt;D xsi:type="xsd:double"&gt;6.102979&lt;/D&gt;&lt;D xsi:type="xsd:double"&gt;17.7343&lt;/D&gt;&lt;D xsi:type="xsd:double"&gt;10.326815&lt;/D&gt;&lt;D xsi:type="xsd:double"&gt;7.6132774&lt;/D&gt;&lt;/FQL&gt;&lt;FQL&gt;&lt;Q&gt;BRENT-FDS^FG_PRICE_CHANGE(0,-3AM)&lt;/Q&gt;&lt;R&gt;1&lt;/R&gt;&lt;C&gt;1&lt;/C&gt;&lt;D xsi:type="xsd:double"&gt;0&lt;/D&gt;&lt;/FQL&gt;&lt;FQL&gt;&lt;Q&gt;EWC^FG_PRICE_MAVG(0,,,,60)&lt;/Q&gt;&lt;R&gt;1&lt;/R&gt;&lt;C&gt;1&lt;/C&gt;&lt;D xsi:type="xsd:double"&gt;37.827835&lt;/D&gt;&lt;/FQL&gt;&lt;FQL&gt;&lt;Q&gt;URTH^FG_TOTAL_RETURNC(0,-1AM)&lt;/Q&gt;&lt;R&gt;1&lt;/R&gt;&lt;C&gt;1&lt;/C&gt;&lt;D xsi:type="xsd:double"&gt;-0.33827424&lt;/D&gt;&lt;/FQL&gt;&lt;FQL&gt;&lt;Q&gt;EWI^FG_TOTAL_RETURNC(0,-3AM)&lt;/Q&gt;&lt;R&gt;1&lt;/R&gt;&lt;C&gt;1&lt;/C&gt;&lt;D xsi:type="xsd:double"&gt;1.1576891&lt;/D&gt;&lt;/FQL&gt;&lt;FQL&gt;&lt;Q&gt;EWN^PERCENT_CHANGE(FMA_EPS(+1,0,,,,"PORTAGG","MEAN"),FMA_EPS(+1,-1AM,,,,"PORTAGG","MEAN"))&lt;/Q&gt;&lt;R&gt;1&lt;/R&gt;&lt;C&gt;1&lt;/C&gt;&lt;D xsi:type="xsd:double"&gt;-0.443511483226128&lt;/D&gt;&lt;/FQL&gt;&lt;FQL&gt;&lt;Q&gt;QQQ^PERCENT_CHANGE(FMA_EPS(+1,0,,,,"PORTAGG","MEAN"),FMA_EPS(+1,-3AM,,,,"PORTAGG","MEAN"))&lt;/Q&gt;&lt;R&gt;1&lt;/R&gt;&lt;C&gt;1&lt;/C&gt;&lt;D xsi:type="xsd:double"&gt;0.487468142508781&lt;/D&gt;&lt;/FQL&gt;&lt;FQL&gt;&lt;Q&gt;EWC^PERCENT_CHANGE(FMA_EPS(+1,0,,,,"PORTAGG","MEAN"),FMA_EPS(+1,-3AM,,,,"PORTAGG","MEAN"))&lt;/Q&gt;&lt;R&gt;1&lt;/R&gt;&lt;C&gt;1&lt;/C&gt;&lt;D xsi:type="xsd:double"&gt;-1.54158750389843&lt;/D&gt;&lt;/FQL&gt;&lt;FQL&gt;&lt;Q&gt;FXI^SIZE(FG_CONSTITUENTS)&lt;/Q&gt;&lt;R&gt;1&lt;/R&gt;&lt;C&gt;1&lt;/C&gt;&lt;D xsi:type="xsd:long"&gt;52&lt;/D&gt;&lt;/FQL&gt;&lt;FQL&gt;&lt;Q&gt;EWL^FG_ROE(0)&lt;/Q&gt;&lt;R&gt;1&lt;/R&gt;&lt;C&gt;1&lt;/C&gt;&lt;D xsi:type="xsd:double"&gt;23.531210944667&lt;/D&gt;&lt;/FQL&gt;&lt;FQL&gt;&lt;Q&gt;REFAUCASH-FDS^(SUBARRAY(NOT_NA(NO_REPEAT_F(FG_YIELD(NOW,-10AY,D))),0,1)-SUBARRAY(NOT_NA(NO_REPEAT_F(FG_YIELD(NOW,-10AY,D))),1,1))*100&lt;/Q&gt;&lt;R&gt;1&lt;/R&gt;&lt;C&gt;1&lt;/C&gt;&lt;D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xsi:type="xsd:double"&gt;25&lt;/D&gt;&lt;/FQL&gt;&lt;FQL&gt;&lt;Q&gt;TRYCH10Y-FDS^PCTCHG(FG_YIELD(0,,,,"YTM"),FG_YIELD(-3AM,,,,"YTM"))&lt;/Q&gt;&lt;R&gt;1&lt;/R&gt;&lt;C&gt;1&lt;/C&gt;&lt;D xsi:type="xsd:double"&gt;-39.252335&lt;/D&gt;&lt;/FQL&gt;&lt;FQL&gt;&lt;Q&gt;VGK^FG_FCF_YIELD_NTM(0)&lt;/Q&gt;&lt;R&gt;1&lt;/R&gt;&lt;C&gt;1&lt;/C&gt;&lt;D xsi:type="xsd:double"&gt;5.31233478244949&lt;/D&gt;&lt;/FQL&gt;&lt;FQL&gt;&lt;Q&gt;SPY^JULIAN(FMA_DIV_YLD(NTMA,NOW,NOW,M,"PORTAGG","MEANR").DATES)&lt;/Q&gt;&lt;R&gt;1&lt;/R&gt;&lt;C&gt;1&lt;/C&gt;&lt;D xsi:type="xsd:long"&gt;45503&lt;/D&gt;&lt;/FQL&gt;&lt;FQL&gt;&lt;Q&gt;EWJ^FMA_EVAL_EBIT(LTMA,NOW,NOW,M,"PORTAGG","MEANR")&lt;/Q&gt;&lt;R&gt;1&lt;/R&gt;&lt;C&gt;1&lt;/C&gt;&lt;D xsi:type="xsd:double"&gt;17.3324531266661&lt;/D&gt;&lt;/FQL&gt;&lt;FQL&gt;&lt;Q&gt;USO^FG_TOTAL_RETURNC(0,-3AM)&lt;/Q&gt;&lt;R&gt;1&lt;/R&gt;&lt;C&gt;1&lt;/C&gt;&lt;D xsi:type="xsd:double"&gt;0.4741192&lt;/D&gt;&lt;/FQL&gt;&lt;FQL&gt;&lt;Q&gt;TRYFR10Y-FDS^FG_YIELD(0,,,,"YTM")&lt;/Q&gt;&lt;R&gt;1&lt;/R&gt;&lt;C&gt;1&lt;/C&gt;&lt;D xsi:type="xsd:double"&gt;2.968&lt;/D&gt;&lt;/FQL&gt;&lt;FQL&gt;&lt;Q&gt;EWA^FG_FCF_YIELD_NTM(0)&lt;/Q&gt;&lt;R&gt;1&lt;/R&gt;&lt;C&gt;1&lt;/C&gt;&lt;D xsi:type="xsd:double"&gt;5.04675955523857&lt;/D&gt;&lt;/FQL&gt;&lt;FQL&gt;&lt;Q&gt;TRYJP10Y-FDS^PCTCHG(FG_YIELD(0,,,,"YTM"),FG_YIELD(-1AM,,,,"YTM"))&lt;/Q&gt;&lt;R&gt;1&lt;/R&gt;&lt;C&gt;1&lt;/C&gt;&lt;D xsi:type="xsd:double"&gt;-4.021746&lt;/D&gt;&lt;/FQL&gt;&lt;FQL&gt;&lt;Q&gt;EWJ^P_PRICE(0)/P_PRICE_HIGH_PR(0,,,USD,,,"PRICE","INTRA","52W")&lt;/Q&gt;&lt;R&gt;1&lt;/R&gt;&lt;C&gt;1&lt;/C&gt;&lt;D xsi:type="xsd:double"&gt;0.93734825&lt;/D&gt;&lt;/FQL&gt;&lt;FQL&gt;&lt;Q&gt;ENZL^FMA_PE(NTMA,-10AY,0,AM,"PORTAGG","MEANR")&lt;/Q&gt;&lt;R&gt;121&lt;/R&gt;&lt;C&gt;1&lt;/C&gt;&lt;D xsi:type="xsd:double"&gt;17.0318048653562&lt;/D&gt;&lt;D xsi:type="xsd:double"&gt;17.4259904450878&lt;/D&gt;&lt;D xsi:type="xsd:double"&gt;17.2021361959173&lt;/D&gt;&lt;D xsi:type="xsd:double"&gt;17.6075494605871&lt;/D&gt;&lt;D xsi:type="xsd:double"&gt;17.912529650664&lt;/D&gt;&lt;D xsi:type="xsd:double"&gt;18.2147707871206&lt;/D&gt;&lt;D xsi:type="xsd:double"&gt;18.934546597998&lt;/D&gt;&lt;D xsi:type="xsd:double"&gt;19.3006254187479&lt;/D&gt;&lt;D xsi:type="xsd:double"&gt;18.5206822809259&lt;/D&gt;&lt;D xsi:type="xsd:double"&gt;18.319896868662&lt;/D&gt;&lt;D xsi:type="xsd:double"&gt;18.3720383335325&lt;/D&gt;&lt;D xsi:type="xsd:double"&gt;18.052552964462&lt;/D&gt;&lt;D xsi:type="xsd:double"&gt;18.3374247523085&lt;/D&gt;&lt;D xsi:type="xsd:double"&gt;17.5815166159994&lt;/D&gt;&lt;D xsi:type="xsd:double"&gt;16.9631282100019&lt;/D&gt;&lt;D xsi:type="xsd:double"&gt;18.038295420771&lt;/D&gt;&lt;D xsi:type="xsd:double"&gt;18.254436495243&lt;/D&gt;&lt;D xsi:type="xsd:double"&gt;18.2879518587097&lt;/D&gt;&lt;D xsi:type="xsd:double"&gt;17.4635338805658&lt;/D&gt;&lt;D xsi:type="xsd:double"&gt;17.6481700214258&lt;/D&gt;&lt;D xsi:type="xsd:double"&gt;18.4156126192307&lt;/D&gt;&lt;D xsi:type="xsd:double"&gt;18.7141378948304&lt;/D&gt;&lt;D xsi:type="xsd:double"&gt;19.5262857810472&lt;/D&gt;&lt;D xsi:type="xsd:double"&gt;19.059687665176&lt;/D&gt;&lt;D xsi:type="xsd:double"&gt;20.2950128539833&lt;/D&gt;&lt;D xsi:type="xsd:double"&gt;20.7222896069427&lt;/D&gt;&lt;D xsi:type="xsd:double"&gt;20.2681896418316&lt;/D&gt;&lt;D xsi:type="xsd:double"&gt;18.8366354647071&lt;/D&gt;&lt;D xsi:type="xsd:double"&gt;18.8249690663342&lt;/D&gt;&lt;D xsi:type="xsd:double"&gt;18.4825680079845&lt;/D&gt;&lt;D xsi:type="xsd:double"&gt;18.9191691263602&lt;/D&gt;&lt;D xsi:type="xsd:double"&gt;18.3189241801169&lt;/D&gt;&lt;D xsi:type="xsd:double"&gt;19.0001722152101&lt;/D&gt;&lt;D xsi:type="xsd:double"&gt;19.4590418431261&lt;/D&gt;&lt;D xsi:type="xsd:double"&gt;19.3776399637034&lt;/D&gt;&lt;D xsi:type="xsd:double"&gt;19.5189489585176&lt;/D&gt;&lt;D xsi:type="xsd:double"&gt;19.7801493902805&lt;/D&gt;&lt;D xsi:type="xsd:double"&gt;19.9205763536595&lt;/D&gt;&lt;D xsi:type="xsd:double"&gt;19.8317741727984&lt;/D&gt;&lt;D xsi:type="xsd:double"&gt;20.2676915133957&lt;/D&gt;&lt;D xsi:type="xsd:double"&gt;20.2190870835144&lt;/D&gt;&lt;D xsi:type="xsd:double"&gt;20.939465306716&lt;/D&gt;&lt;D xsi:type="xsd:double"&gt;20.9074493598059&lt;/D&gt;&lt;D xsi:type="xsd:double"&gt;20.4153376839368&lt;/D&gt;&lt;D xsi:type="xsd:double"&gt;19.9684626391939&lt;/D&gt;&lt;D xsi:type="xsd:double"&gt;20.0490123902159&lt;/D&gt;&lt;D xsi:type="xsd:double"&gt;20.4909780057569&lt;/D&gt;&lt;D xsi:type="xsd:double"&gt;21.160631644616&lt;/D&gt;&lt;D xsi:type="xsd:double"&gt;20.8616705874022&lt;/D&gt;&lt;D xsi:type="xsd:double"&gt;22.0706051942858&lt;/D&gt;&lt;D xsi:type="xsd:double"&gt;21.4082138979402&lt;/D&gt;&lt;D xsi:type="xsd:double"&gt;20.3153639064618&lt;/D&gt;&lt;D xsi:type="xsd:double"&gt;19.9671800715046&lt;/D&gt;&lt;D xsi:type="xsd:double"&gt;20.0329836146318&lt;/D&gt;&lt;D xsi:type="xsd:double"&gt;20.4586874128021&lt;/D&gt;&lt;D xsi:type="xsd:double"&gt;21.6303992254278&lt;/D&gt;&lt;D xsi:type="xsd:double"&gt;22.3155645926634&lt;/D&gt;&lt;D xsi:type="xsd:double"&gt;22.6068747668835&lt;/D&gt;&lt;D xsi:type="xsd:double"&gt;22.9748409037613&lt;/D&gt;&lt;D xsi:type="xsd:double"&gt;23.7107730923999&lt;/D&gt;&lt;D xsi:type="xsd:double"&gt;24.7189614300096&lt;/D&gt;&lt;D xsi:type="xsd:double"&gt;25.2753786879671&lt;/D&gt;&lt;D xsi:type="xsd:double"&gt;25.6411909087515&lt;/D&gt;&lt;D xsi:type="xsd:double"&gt;24.8057520303655&lt;/D&gt;&lt;D xsi:type="xsd:double"&gt;26.0413182788816&lt;/D&gt;&lt;D xsi:type="xsd:double"&gt;25.6972104380638&lt;/D&gt;&lt;D xsi:type="xsd:double"&gt;26.1755926613487&lt;/D&gt;&lt;D xsi:type="xsd:double"&gt;25.9075376731227&lt;/D&gt;&lt;D xsi:type="xsd:double"&gt;25.0945463464861&lt;/D&gt;&lt;D xsi:type="xsd:double"&gt;28.8627775748998&lt;/D&gt;&lt;D xsi:type="xsd:double"&gt;29.6712336295665&lt;/D&gt;&lt;D xsi:type="xsd:double"&gt;30.67085396369&lt;/D&gt;&lt;D xsi:type="xsd:double"&gt;31.9189685382122&lt;/D&gt;&lt;D xsi:type="xsd:double"&gt;32.4227084055267&lt;/D&gt;&lt;D xsi:type="xsd:double"&gt;32.0420286274797&lt;/D&gt;&lt;D xsi:type="xsd:double"&gt;32.448419462001&lt;/D&gt;&lt;D xsi:type="xsd:double"&gt;32.9771264507569&lt;/D&gt;&lt;D xsi:type="xsd:double"&gt;34.2882844266682&lt;/D&gt;&lt;D xsi:type="xsd:double"&gt;33.2725048391632&lt;/D&gt;&lt;D xsi:type="xsd:double"&gt;32.2140588755369&lt;/D&gt;&lt;D xsi:type="xsd:double"&gt;32.1646560824619&lt;/D&gt;&lt;D xsi:type="xsd:double"&gt;32.4086247751355&lt;/D&gt;&lt;D xsi:type="xsd:double"&gt;32.9660836453104&lt;/D&gt;&lt;D xsi:type="xsd:double"&gt;34.2527174981591&lt;/D&gt;&lt;D xsi:type="xsd:double"&gt;33.5849621611838&lt;/D&gt;&lt;D xsi:type="xsd:double"&gt;34.8963869131203&lt;/D&gt;&lt;D xsi:type="xsd:double"&gt;34.5365152662788&lt;/D&gt;&lt;D xsi:type="xsd:double"&gt;33.5999016107012&lt;/D&gt;&lt;D xsi:type="xsd:double"&gt;31.7038352045088&lt;/D&gt;&lt;D xsi:type="xsd:double"&gt;32.3350031307077&lt;/D&gt;&lt;D xsi:type="xsd:double"&gt;29.5916766882078&lt;/D&gt;&lt;D xsi:type="xsd:double"&gt;29.234373477264&lt;/D&gt;&lt;D xsi:type="xsd:double"&gt;29.4533379080064&lt;/D&gt;&lt;D xsi:type="xsd:double"&gt;28.7863079035269&lt;/D&gt;&lt;D xsi:type="xsd:double"&gt;26.9905825066219&lt;/D&gt;&lt;D xsi:type="xsd:double"&gt;25.335570939777&lt;/D&gt;&lt;D xsi:type="xsd:double"&gt;26.319375566797&lt;/D&gt;&lt;D xsi:type="xsd:double"&gt;26.9340602815171&lt;/D&gt;&lt;D xsi:type="xsd:double"&gt;24.0408495534085&lt;/D&gt;&lt;D xsi:type="xsd:double"&gt;23.8126293785404&lt;/D&gt;&lt;D xsi:type="xsd:double"&gt;23.6985958383961&lt;/D&gt;&lt;D xsi:type="xsd:double"&gt;23.0087732743656&lt;/D&gt;&lt;D xsi:type="xsd:double"&gt;24.2021736706055&lt;/D&gt;&lt;D xsi:type="xsd:double"&gt;23.7435266515661&lt;/D&gt;&lt;D xsi:type="xsd:double"&gt;23.3553361619522&lt;/D&gt;&lt;D xsi:type="xsd:double"&gt;23.6783541943469&lt;/D&gt;&lt;D xsi:type="xsd:double"&gt;21.2206191316454&lt;/D&gt;&lt;D xsi:type="xsd:double"&gt;20.9845942104727&lt;/D&gt;&lt;D xsi:type="xsd:double"&gt;21.020468757726&lt;/D&gt;&lt;D xsi:type="xsd:double"&gt;20.8795334368409&lt;/D&gt;&lt;D xsi:type="xsd:double"&gt;20.166110375564&lt;/D&gt;&lt;D xsi:type="xsd:double"&gt;19.6210550321753&lt;/D&gt;&lt;D xsi:type="xsd:double"&gt;21.6659634908041&lt;/D&gt;&lt;D xsi:type="xsd:double"&gt;22.9720675812572&lt;/D&gt;&lt;D xsi:type="xsd:double"&gt;22.406450007676&lt;/D&gt;&lt;D xsi:type="xsd:double"&gt;24.6771374112755&lt;/D&gt;&lt;D xsi:type="xsd:double"&gt;25.2411476226376&lt;/D&gt;&lt;D xsi:type="xsd:double"&gt;25.0880161924635&lt;/D&gt;&lt;D xsi:type="xsd:double"&gt;25.3782164821703&lt;/D&gt;&lt;D xsi:type="xsd:double"&gt;23.9811635015743&lt;/D&gt;&lt;D xsi:type="xsd:double"&gt;24.8893087607956&lt;/D&gt;&lt;/FQL&gt;&lt;FQL&gt;&lt;Q&gt;REFCHMPR-FDS^(SUBARRAY(NOT_NA(NO_REPEAT_F(FG_YIELD(NOW,-10AY,D))),0,1)-SUBARRAY(NOT_NA(NO_REPEAT_F(FG_YIELD(NOW,-10AY,D))),1,1))*100&lt;/Q&gt;&lt;R&gt;1&lt;/R&gt;&lt;C&gt;1&lt;/C&gt;&lt;D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xsi:type="xsd:double"&gt;-25&lt;/D&gt;&lt;/FQL&gt;&lt;FQL&gt;&lt;Q&gt;USDSEK^FG_PRICE_CHANGE(0,-1AM)&lt;/Q&gt;&lt;R&gt;1&lt;/R&gt;&lt;C&gt;1&lt;/C&gt;&lt;D xsi:type="xsd:double"&gt;0.49698353&lt;/D&gt;&lt;/FQL&gt;&lt;FQL&gt;&lt;Q&gt;EWI^FG_PRICE_MAVG(0,,,,200)&lt;/Q&gt;&lt;R&gt;1&lt;/R&gt;&lt;C&gt;1&lt;/C&gt;&lt;D xsi:type="xsd:double"&gt;35.22745&lt;/D&gt;&lt;/FQL&gt;&lt;FQL&gt;&lt;Q&gt;EWI^FMA_ROE(NTMA,-20AY,NOW,FY,"PORTAGG","MEANR")&lt;/Q&gt;&lt;R&gt;20&lt;/R&gt;&lt;C&gt;1&lt;/C&gt;&lt;D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xsi:type="xsd:double"&gt;13.3572149047324&lt;/D&gt;&lt;/FQL&gt;&lt;FQL&gt;&lt;Q&gt;DDR3512M-FDS^FG_PRICE_CHANGE(0,-1AY)&lt;/Q&gt;&lt;R&gt;1&lt;/R&gt;&lt;C&gt;1&lt;/C&gt;&lt;D xsi:type="xsd:double"&gt;-6.54286181750986&lt;/D&gt;&lt;/FQL&gt;&lt;FQL&gt;&lt;Q&gt;PLATI-FDS^MAX(FG_PRICE(0,-5AY))&lt;/Q&gt;&lt;R&gt;1&lt;/R&gt;&lt;C&gt;1&lt;/C&gt;&lt;D xsi:type="xsd:double"&gt;1272.59&lt;/D&gt;&lt;/FQL&gt;&lt;FQL&gt;&lt;Q&gt;BRENT-FDS^FG_PRICE_CHANGE(0,-1AM)&lt;/Q&gt;&lt;R&gt;1&lt;/R&gt;&lt;C&gt;1&lt;/C&gt;&lt;D xsi:type="xsd:double"&gt;0&lt;/D&gt;&lt;/FQL&gt;&lt;FQL&gt;&lt;Q&gt;EWC^FG_PRICE_MAVG(0,,,,30)&lt;/Q&gt;&lt;R&gt;1&lt;/R&gt;&lt;C&gt;1&lt;/C&gt;&lt;D xsi:type="xsd:double"&gt;37.885&lt;/D&gt;&lt;/FQL&gt;&lt;FQL&gt;&lt;Q&gt;SPY^P_PRICE(0)/P_PRICE_HIGH_PR(0,,,,,,"PRICE","INTRA","52W")&lt;/Q&gt;&lt;R&gt;1&lt;/R&gt;&lt;C&gt;1&lt;/C&gt;&lt;D xsi:type="xsd:double"&gt;0.9608076&lt;/D&gt;&lt;/FQL&gt;&lt;FQL&gt;&lt;Q&gt;EWC^PERCENT_CHANGE(FMA_EPS(+1,0,,,,"PORTAGG","MEAN"),FMA_EPS(+1,-1AM,,,,"PORTAGG","MEAN"))&lt;/Q&gt;&lt;R&gt;1&lt;/R&gt;&lt;C&gt;1&lt;/C&gt;&lt;D xsi:type="xsd:double"&gt;-0.752008348547406&lt;/D&gt;&lt;/FQL&gt;&lt;FQL&gt;&lt;Q&gt;EWD^SIZE(FG_CONSTITUENTS)&lt;/Q&gt;&lt;R&gt;1&lt;/R&gt;&lt;C&gt;1&lt;/C&gt;&lt;D xsi:type="xsd:long"&gt;45&lt;/D&gt;&lt;/FQL&gt;&lt;FQL&gt;&lt;Q&gt;EWG^FMA_COS_DOWN("EPS","1M",+1,0,,,"PORTAGG","MEANR")&lt;/Q&gt;&lt;R&gt;1&lt;/R&gt;&lt;C&gt;1&lt;/C&gt;&lt;D xsi:type="xsd:double"&gt;29&lt;/D&gt;&lt;/FQL&gt;&lt;FQL&gt;&lt;Q&gt;EWJ^FMA_PE(NTMA,0,,,"PORTAGG","MEANR")&lt;/Q&gt;&lt;R&gt;1&lt;/R&gt;&lt;C&gt;1&lt;/C&gt;&lt;D xsi:type="xsd:double"&gt;15.0398202360288&lt;/D&gt;&lt;/FQL&gt;&lt;FQL&gt;&lt;Q&gt;DBA^FG_TOTAL_RETURNC(0,-1AM)&lt;/Q&gt;&lt;R&gt;1&lt;/R&gt;&lt;C&gt;1&lt;/C&gt;&lt;D xsi:type="xsd:double"&gt;-1.5241325&lt;/D&gt;&lt;/FQL&gt;&lt;FQL&gt;&lt;Q&gt;TRYCH10Y-FDS^FG_YIELD(0,,,,"YTM")&lt;/Q&gt;&lt;R&gt;1&lt;/R&gt;&lt;C&gt;1&lt;/C&gt;&lt;D xsi:type="xsd:double"&gt;0.455&lt;/D&gt;&lt;/FQL&gt;&lt;FQL&gt;&lt;Q&gt;TRYSE10Y-FDS^PCTCHG(FG_YIELD(0,,,,"YTM"),FG_YIELD(-3AM,,,,"YTM"))&lt;/Q&gt;&lt;R&gt;1&lt;/R&gt;&lt;C&gt;1&lt;/C&gt;&lt;D xsi:type="xsd:double"&gt;-21.314104&lt;/D&gt;&lt;/FQL&gt;&lt;FQL&gt;&lt;Q&gt;EWU^FMA_DIV_YLD(NTMA,NOW,NOW,M,"PORTAGG","MEANR")&lt;/Q&gt;&lt;R&gt;1&lt;/R&gt;&lt;C&gt;1&lt;/C&gt;&lt;D xsi:type="xsd:double"&gt;3.86965093805217&lt;/D&gt;&lt;/FQL&gt;&lt;FQL&gt;&lt;Q&gt;CC_NZ^IMF_IFS_RCPI_Q(0)&lt;/Q&gt;&lt;R&gt;0&lt;/R&gt;&lt;C&gt;0&lt;/C&gt;&lt;/FQL&gt;&lt;FQL&gt;&lt;Q&gt;USDCHF^FG_PRICE(0)&lt;/Q&gt;&lt;R&gt;1&lt;/R&gt;&lt;C&gt;1&lt;/C&gt;&lt;D xsi:type="xsd:double"&gt;0.8741&lt;/D&gt;&lt;/FQL&gt;&lt;FQL&gt;&lt;Q&gt;USDAUD^FG_COMPANY_NAME&lt;/Q&gt;&lt;R&gt;1&lt;/R&gt;&lt;C&gt;1&lt;/C&gt;&lt;D xsi:type="xsd:string"&gt;Australian Dollar per U.S. Dollar&lt;/D&gt;&lt;/FQL&gt;&lt;FQL&gt;&lt;Q&gt;EWC^P_PRICE_RETURNS_PR('52W',2,-10AY,0,AM)&lt;/Q&gt;&lt;R&gt;121&lt;/R&gt;&lt;C&gt;1&lt;/C&gt;&lt;D xsi:type="xsd:double"&gt;17.422855&lt;/D&gt;&lt;D xsi:type="xsd:double"&gt;22.249817&lt;/D&gt;&lt;D xsi:type="xsd:double"&gt;9.378874&lt;/D&gt;&lt;D xsi:type="xsd:double"&gt;4.0884495&lt;/D&gt;&lt;D xsi:type="xsd:double"&gt;4.7733545&lt;/D&gt;&lt;D xsi:type="xsd:double"&gt;1.0822177&lt;/D&gt;&lt;D xsi:type="xsd:double"&gt;-3.384763&lt;/D&gt;&lt;D xsi:type="xsd:double"&gt;-1.3864279&lt;/D&gt;&lt;D xsi:type="xsd:double"&gt;-6.120205&lt;/D&gt;&lt;D xsi:type="xsd:double"&gt;-2.3891568&lt;/D&gt;&lt;D xsi:type="xsd:double"&gt;-7.8807235&lt;/D&gt;&lt;D xsi:type="xsd:double"&gt;-16.175276&lt;/D&gt;&lt;D xsi:type="xsd:double"&gt;-18.836344&lt;/D&gt;&lt;D xsi:type="xsd:double"&gt;-26.938766&lt;/D&gt;&lt;D xsi:type="xsd:double"&gt;-22.833776&lt;/D&gt;&lt;D xsi:type="xsd:double"&gt;-18.298363&lt;/D&gt;&lt;D xsi:type="xsd:double"&gt;-19.215662&lt;/D&gt;&lt;D xsi:type="xsd:double"&gt;-23.909348&lt;/D&gt;&lt;D xsi:type="xsd:double"&gt;-19.61041&lt;/D&gt;&lt;D xsi:type="xsd:double"&gt;-19.404686&lt;/D&gt;&lt;D xsi:type="xsd:double"&gt;-11.667085&lt;/D&gt;&lt;D xsi:type="xsd:double"&gt;-12.176168&lt;/D&gt;&lt;D xsi:type="xsd:double"&gt;-9.480786&lt;/D&gt;&lt;D xsi:type="xsd:double"&gt;-4.4914007&lt;/D&gt;&lt;D xsi:type="xsd:double"&gt;-0.31605363&lt;/D&gt;&lt;D xsi:type="xsd:double"&gt;10.814297&lt;/D&gt;&lt;D xsi:type="xsd:double"&gt;14.111673&lt;/D&gt;&lt;D xsi:type="xsd:double"&gt;8.945298&lt;/D&gt;&lt;D xsi:type="xsd:double"&gt;13.028693&lt;/D&gt;&lt;D xsi:type="xsd:double"&gt;22.90405&lt;/D&gt;&lt;D xsi:type="xsd:double"&gt;32.571507&lt;/D&gt;&lt;D xsi:type="xsd:double"&gt;23.763752&lt;/D&gt;&lt;D xsi:type="xsd:double"&gt;15.411925&lt;/D&gt;&lt;D xsi:type="xsd:double"&gt;5.0877094&lt;/D&gt;&lt;D xsi:type="xsd:double"&gt;9.309769&lt;/D&gt;&lt;D xsi:type="xsd:double"&gt;11.180282&lt;/D&gt;&lt;D xsi:type="xsd:double"&gt;13.677847&lt;/D&gt;&lt;D xsi:type="xsd:double"&gt;12.299013&lt;/D&gt;&lt;D xsi:type="xsd:double"&gt;15.073109&lt;/D&gt;&lt;D xsi:type="xsd:double"&gt;15.915335&lt;/D&gt;&lt;D xsi:type="xsd:double"&gt;14.546561&lt;/D&gt;&lt;D xsi:type="xsd:double"&gt;15.656078&lt;/D&gt;&lt;D xsi:type="xsd:double"&gt;12.2146015&lt;/D&gt;&lt;D xsi:type="xsd:double"&gt;4.8892856&lt;/D&gt;&lt;D xsi:type="xsd:double"&gt;4.079807&lt;/D&gt;&lt;D xsi:type="xsd:double"&gt;9.5547085&lt;/D&gt;&lt;D xsi:type="xsd:double"&gt;11.223173&lt;/D&gt;&lt;D xsi:type="xsd:double"&gt;8.639013&lt;/D&gt;&lt;D xsi:type="xsd:double"&gt;6.780112&lt;/D&gt;&lt;D xsi:type="xsd:double"&gt;5.491352&lt;/D&gt;&lt;D xsi:type="xsd:double"&gt;2.7198195&lt;/D&gt;&lt;D xsi:type="xsd:double"&gt;-5.335629&lt;/D&gt;&lt;D xsi:type="xsd:double"&gt;-6.0283127&lt;/D&gt;&lt;D xsi:type="xsd:double"&gt;-17.157238&lt;/D&gt;&lt;D xsi:type="xsd:double"&gt;-6.637806&lt;/D&gt;&lt;D xsi:type="xsd:double"&gt;2.8898954&lt;/D&gt;&lt;D xsi:type="xsd:double"&gt;4.117763&lt;/D&gt;&lt;D xsi:type="xsd:double"&gt;3.2831073&lt;/D&gt;&lt;D xsi:type="xsd:double"&gt;-2.5461853&lt;/D&gt;&lt;D xsi:type="xsd:double"&gt;3.2459497&lt;/D&gt;&lt;D xsi:type="xsd:double"&gt;-0.46814084&lt;/D&gt;&lt;D xsi:type="xsd:double"&gt;-0.84872246&lt;/D&gt;&lt;D xsi:type="xsd:double"&gt;0.51944256&lt;/D&gt;&lt;D xsi:type="xsd:double"&gt;11.176753&lt;/D&gt;&lt;D xsi:type="xsd:double"&gt;14.156378&lt;/D&gt;&lt;D xsi:type="xsd:double"&gt;27.563404&lt;/D&gt;&lt;D xsi:type="xsd:double"&gt;12.159813&lt;/D&gt;&lt;D xsi:type="xsd:double"&gt;1.3009429&lt;/D&gt;&lt;D xsi:type="xsd:double"&gt;-24.075228&lt;/D&gt;&lt;D xsi:type="xsd:double"&gt;-14.37223&lt;/D&gt;&lt;D xsi:type="xsd:double"&gt;-4.030162&lt;/D&gt;&lt;D xsi:type="xsd:double"&gt;-7.5274467&lt;/D&gt;&lt;D xsi:type="xsd:double"&gt;-1.5388966&lt;/D&gt;&lt;D xsi:type="xsd:double"&gt;4.932773&lt;/D&gt;&lt;D xsi:type="xsd:double"&gt;-1.0892689&lt;/D&gt;&lt;D xsi:type="xsd:double"&gt;-6.023836&lt;/D&gt;&lt;D xsi:type="xsd:double"&gt;5.1874876&lt;/D&gt;&lt;D xsi:type="xsd:double"&gt;5.5211782&lt;/D&gt;&lt;D xsi:type="xsd:double"&gt;6.648302&lt;/D&gt;&lt;D xsi:type="xsd:double"&gt;21.916748&lt;/D&gt;&lt;D xsi:type="xsd:double"&gt;70.401955&lt;/D&gt;&lt;D xsi:type="xsd:double"&gt;49.994205&lt;/D&gt;&lt;D xsi:type="xsd:double"&gt;52.03048&lt;/D&gt;&lt;D xsi:type="xsd:double"&gt;47.89921&lt;/D&gt;&lt;D xsi:type="xsd:double"&gt;38.592754&lt;/D&gt;&lt;D xsi:type="xsd:double"&gt;32.472454&lt;/D&gt;&lt;D xsi:type="xsd:double"&gt;35.35266&lt;/D&gt;&lt;D xsi:type="xsd:double"&gt;52.561985&lt;/D&gt;&lt;D xsi:type="xsd:double"&gt;23.320316&lt;/D&gt;&lt;D xsi:type="xsd:double"&gt;27.000809&lt;/D&gt;&lt;D xsi:type="xsd:double"&gt;27.413857&lt;/D&gt;&lt;D xsi:type="xsd:double"&gt;16.822899&lt;/D&gt;&lt;D xsi:type="xsd:double"&gt;18.33539&lt;/D&gt;&lt;D xsi:type="xsd:double"&gt;4.8905015&lt;/D&gt;&lt;D xsi:type="xsd:double"&gt;0.9021878&lt;/D&gt;&lt;D xsi:type="xsd:double"&gt;-7.686311&lt;/D&gt;&lt;D xsi:type="xsd:double"&gt;-4.42943&lt;/D&gt;&lt;D xsi:type="xsd:double"&gt;-9.410048&lt;/D&gt;&lt;D xsi:type="xsd:double"&gt;-13.525009&lt;/D&gt;&lt;D xsi:type="xsd:double"&gt;-14.632678&lt;/D&gt;&lt;D xsi:type="xsd:double"&gt;-1.9649446&lt;/D&gt;&lt;D xsi:type="xsd:double"&gt;-12.537366&lt;/D&gt;&lt;D xsi:type="xsd:double"&gt;-5.3178015&lt;/D&gt;&lt;D xsi:type="xsd:double"&gt;-7.167429&lt;/D&gt;&lt;D xsi:type="xsd:double"&gt;-13.114768&lt;/D&gt;&lt;D xsi:type="xsd:double"&gt;-3.0558705&lt;/D&gt;&lt;D xsi:type="xsd:double"&gt;-8.671284&lt;/D&gt;&lt;D xsi:type="xsd:double"&gt;6.471312&lt;/D&gt;&lt;D xsi:type="xsd:double"&gt;4.419875&lt;/D&gt;&lt;D xsi:type="xsd:double"&gt;7.3082805&lt;/D&gt;&lt;D xsi:type="xsd:double"&gt;10.333061&lt;/D&gt;&lt;D xsi:type="xsd:double"&gt;-0.8836806&lt;/D&gt;&lt;D xsi:type="xsd:double"&gt;2.7166486&lt;/D&gt;&lt;D xsi:type="xsd:double"&gt;13.87651&lt;/D&gt;&lt;D xsi:type="xsd:double"&gt;4.5898914&lt;/D&gt;&lt;D xsi:type="xsd:double"&gt;10.971808&lt;/D&gt;&lt;D xsi:type="xsd:double"&gt;14.491725&lt;/D&gt;&lt;D xsi:type="xsd:double"&gt;7.634282&lt;/D&gt;&lt;D xsi:type="xsd:double"&gt;17.781807&lt;/D&gt;&lt;D xsi:type="xsd:double"&gt;7.9954386&lt;/D&gt;&lt;D xsi:type="xsd:double"&gt;9.302675&lt;/D&gt;&lt;/FQL&gt;&lt;FQL&gt;&lt;Q&gt;EWQ^FG_PRICE_MAVG(0,,,,30)&lt;/Q&gt;&lt;R&gt;1&lt;/R&gt;&lt;C&gt;1&lt;/C&gt;&lt;D xsi:type="xsd:double"&gt;38.565666&lt;/D&gt;&lt;/FQL&gt;&lt;FQL&gt;&lt;Q&gt;VWO^P_PRICE(0)/P_PRICE_LOW_PR(0,,,,,,"PRICE","INTRA","52W")-1&lt;/Q&gt;&lt;R&gt;1&lt;/R&gt;&lt;C&gt;1&lt;/C&gt;&lt;D xsi:type="xsd:double"&gt;0.16299558&lt;/D&gt;&lt;/FQL&gt;&lt;FQL&gt;&lt;Q&gt;EWI^FG_TOTAL_RETURNC(0,-1AM)&lt;/Q&gt;&lt;R&gt;1&lt;/R&gt;&lt;C&gt;1&lt;/C&gt;&lt;D xsi:type="xsd:double"&gt;-1.1245191&lt;/D&gt;&lt;/FQL&gt;&lt;FQL&gt;&lt;Q&gt;EWN^FMA_PCT_ABOVE_MAVG(200,0,,,,"PORTAGG")&lt;/Q&gt;&lt;R&gt;1&lt;/R&gt;&lt;C&gt;1&lt;/C&gt;&lt;D xsi:type="xsd:double"&gt;49.0566037735849&lt;/D&gt;&lt;/FQL&gt;&lt;FQL&gt;&lt;Q&gt;QQQ^PERCENT_CHANGE(FMA_EPS(+1,0,,,,"PORTAGG","MEAN"),FMA_EPS(+1,-1AM,,,,"PORTAGG","MEAN"))&lt;/Q&gt;&lt;R&gt;1&lt;/R&gt;&lt;C&gt;1&lt;/C&gt;&lt;D xsi:type="xsd:double"&gt;-0.0482458897959332&lt;/D&gt;&lt;/FQL&gt;&lt;FQL&gt;&lt;Q&gt;FXI^FMA_COS_DOWN("EPS","1M",+1,0,,,"PORTAGG","MEANR")&lt;/Q&gt;&lt;R&gt;1&lt;/R&gt;&lt;C&gt;1&lt;/C&gt;&lt;D xsi:type="xsd:double"&gt;25&lt;/D&gt;&lt;/FQL&gt;&lt;FQL&gt;&lt;Q&gt;EWG^FG_ROE(0)&lt;/Q&gt;&lt;R&gt;1&lt;/R&gt;&lt;C&gt;1&lt;/C&gt;&lt;D xsi:type="xsd:double"&gt;9.41806943764502&lt;/D&gt;&lt;/FQL&gt;&lt;FQL&gt;&lt;Q&gt;TRYCH10Y-FDS^PCTCHG(FG_YIELD(0,,,,"YTM"),FG_YIELD(-1AM,,,,"YTM"))&lt;/Q&gt;&lt;R&gt;1&lt;/R&gt;&lt;C&gt;1&lt;/C&gt;&lt;D xsi:type="xsd:double"&gt;-29.237947&lt;/D&gt;&lt;/FQL&gt;&lt;FQL&gt;&lt;Q&gt;CC_NL^IMF_IFS_RCPI_Q(0)&lt;/Q&gt;&lt;R&gt;1&lt;/R&gt;&lt;C&gt;1&lt;/C&gt;&lt;D xsi:type="xsd:double"&gt;2.888117&lt;/D&gt;&lt;/FQL&gt;&lt;FQL&gt;&lt;Q&gt;VGK^FMA_DIV_YLD(NTMA,NOW,NOW,M,"PORTAGG","MEANR")&lt;/Q&gt;&lt;R&gt;1&lt;/R&gt;&lt;C&gt;1&lt;/C&gt;&lt;D xsi:type="xsd:double"&gt;3.52191109143479&lt;/D&gt;&lt;/FQL&gt;&lt;FQL&gt;&lt;Q&gt;QQQ^FMA_EVAL_EBIT(LTMA,NOW,NOW,M,"PORTAGG","MEANR")&lt;/Q&gt;&lt;R&gt;1&lt;/R&gt;&lt;C&gt;1&lt;/C&gt;&lt;D xsi:type="xsd:double"&gt;24.4150877835161&lt;/D&gt;&lt;/FQL&gt;&lt;FQL&gt;&lt;Q&gt;EWJ^FG_FCF_YIELD_NTM(0)&lt;/Q&gt;&lt;R&gt;1&lt;/R&gt;&lt;C&gt;1&lt;/C&gt;&lt;D xsi:type="xsd:double"&gt;3.95100686556934&lt;/D&gt;&lt;/FQL&gt;&lt;FQL&gt;&lt;Q&gt;USO^FG_TOTAL_RETURNC(0,-1AM)&lt;/Q&gt;&lt;R&gt;1&lt;/R&gt;&lt;C&gt;1&lt;/C&gt;&lt;D xsi:type="xsd:double"&gt;-6.4385595&lt;/D&gt;&lt;/FQL&gt;&lt;FQL&gt;&lt;Q&gt;EWI^FMA_PE(NTMA,-10AY,0,AM,"PORTAGG","MEANR")&lt;/Q&gt;&lt;R&gt;121&lt;/R&gt;&lt;C&gt;1&lt;/C&gt;&lt;D xsi:type="xsd:double"&gt;13.6500259638654&lt;/D&gt;&lt;D xsi:type="xsd:double"&gt;13.8013716688956&lt;/D&gt;&lt;D xsi:type="xsd:double"&gt;13.5154493806152&lt;/D&gt;&lt;D xsi:type="xsd:double"&gt;12.859005925144&lt;/D&gt;&lt;D xsi:type="xsd:double"&gt;12.9367762046839&lt;/D&gt;&lt;D xsi:type="xsd:double"&gt;12.3383387133165&lt;/D&gt;&lt;D xsi:type="xsd:double"&gt;14.004178174042&lt;/D&gt;&lt;D xsi:type="xsd:double"&gt;15.5512236592378&lt;/D&gt;&lt;D xsi:type="xsd:double"&gt;15.9821345487538&lt;/D&gt;&lt;D xsi:type="xsd:double"&gt;15.78845062378&lt;/D&gt;&lt;D xsi:type="xsd:double"&gt;15.5988589626642&lt;/D&gt;&lt;D xsi:type="xsd:double"&gt;15.0572601254523&lt;/D&gt;&lt;D xsi:type="xsd:double"&gt;15.4666177640748&lt;/D&gt;&lt;D xsi:type="xsd:double"&gt;14.0914586258487&lt;/D&gt;&lt;D xsi:type="xsd:double"&gt;13.7711923112095&lt;/D&gt;&lt;D xsi:type="xsd:double"&gt;14.7406954620597&lt;/D&gt;&lt;D xsi:type="xsd:double"&gt;14.9754920118711&lt;/D&gt;&lt;D xsi:type="xsd:double"&gt;14.0570435212574&lt;/D&gt;&lt;D xsi:type="xsd:double"&gt;12.9842808096267&lt;/D&gt;&lt;D xsi:type="xsd:double"&gt;12.994645009678&lt;/D&gt;&lt;D xsi:type="xsd:double"&gt;12.8388132228063&lt;/D&gt;&lt;D xsi:type="xsd:double"&gt;13.4221143217494&lt;/D&gt;&lt;D xsi:type="xsd:double"&gt;13.0363837972069&lt;/D&gt;&lt;D xsi:type="xsd:double"&gt;11.8557083830139&lt;/D&gt;&lt;D xsi:type="xsd:double"&gt;12.2228720933673&lt;/D&gt;&lt;D xsi:type="xsd:double"&gt;12.327830080137&lt;/D&gt;&lt;D xsi:type="xsd:double"&gt;11.7803348217568&lt;/D&gt;&lt;D xsi:type="xsd:double"&gt;11.8736360485351&lt;/D&gt;&lt;D xsi:type="xsd:double"&gt;12.0085604273307&lt;/D&gt;&lt;D xsi:type="xsd:double"&gt;13.5567131574021&lt;/D&gt;&lt;D xsi:type="xsd:double"&gt;12.667026570166&lt;/D&gt;&lt;D xsi:type="xsd:double"&gt;13.1538039067673&lt;/D&gt;&lt;D xsi:type="xsd:double"&gt;13.682327478082&lt;/D&gt;&lt;D xsi:type="xsd:double"&gt;13.3835507872862&lt;/D&gt;&lt;D xsi:type="xsd:double"&gt;13.3073108132948&lt;/D&gt;&lt;D xsi:type="xsd:double"&gt;12.9922537854392&lt;/D&gt;&lt;D xsi:type="xsd:double"&gt;13.5384877737812&lt;/D&gt;&lt;D xsi:type="xsd:double"&gt;13.3394042700422&lt;/D&gt;&lt;D xsi:type="xsd:double"&gt;13.5903687427109&lt;/D&gt;&lt;D xsi:type="xsd:double"&gt;13.7224489992036&lt;/D&gt;&lt;D xsi:type="xsd:double"&gt;13.2668277987846&lt;/D&gt;&lt;D xsi:type="xsd:double"&gt;12.9476628628246&lt;/D&gt;&lt;D xsi:type="xsd:double"&gt;13.2870708447429&lt;/D&gt;&lt;D xsi:type="xsd:double"&gt;12.6102025980028&lt;/D&gt;&lt;D xsi:type="xsd:double"&gt;12.4578319062636&lt;/D&gt;&lt;D xsi:type="xsd:double"&gt;13.0384141087604&lt;/D&gt;&lt;D xsi:type="xsd:double"&gt;11.7420446539254&lt;/D&gt;&lt;D xsi:type="xsd:double"&gt;11.3692943819695&lt;/D&gt;&lt;D xsi:type="xsd:double"&gt;11.5172624788551&lt;/D&gt;&lt;D xsi:type="xsd:double"&gt;10.5885717201615&lt;/D&gt;&lt;D xsi:type="xsd:double"&gt;10.5403998608171&lt;/D&gt;&lt;D xsi:type="xsd:double"&gt;9.81774810197268&lt;/D&gt;&lt;D xsi:type="xsd:double"&gt;9.6810525954439&lt;/D&gt;&lt;D xsi:type="xsd:double"&gt;9.13844380576257&lt;/D&gt;&lt;D xsi:type="xsd:double"&gt;9.89504201309672&lt;/D&gt;&lt;D xsi:type="xsd:double"&gt;10.4911479274243&lt;/D&gt;&lt;D xsi:type="xsd:double"&gt;10.8802479273272&lt;/D&gt;&lt;D xsi:type="xsd:double"&gt;10.9453946443254&lt;/D&gt;&lt;D xsi:type="xsd:double"&gt;9.74880618893185&lt;/D&gt;&lt;D xsi:type="xsd:double"&gt;10.4687891497575&lt;/D&gt;&lt;D xsi:type="xsd:double"&gt;10.5793884403691&lt;/D&gt;&lt;D xsi:type="xsd:double"&gt;10.5133520374046&lt;/D&gt;&lt;D xsi:type="xsd:double"&gt;10.7292830795751&lt;/D&gt;&lt;D xsi:type="xsd:double"&gt;11.1590078572378&lt;/D&gt;&lt;D xsi:type="xsd:double"&gt;11.2325740446506&lt;/D&gt;&lt;D xsi:type="xsd:double"&gt;11.3789048915432&lt;/D&gt;&lt;D xsi:type="xsd:double"&gt;11.240492013789&lt;/D&gt;&lt;D xsi:type="xsd:double"&gt;10.5432842641668&lt;/D&gt;&lt;D xsi:type="xsd:double"&gt;9.4832047495702&lt;/D&gt;&lt;D xsi:type="xsd:double"&gt;13.3841180198839&lt;/D&gt;&lt;D xsi:type="xsd:double"&gt;16.6289952070213&lt;/D&gt;&lt;D xsi:type="xsd:double"&gt;17.4647267429648&lt;/D&gt;&lt;D xsi:type="xsd:double"&gt;16.4093384617975&lt;/D&gt;&lt;D xsi:type="xsd:double"&gt;15.6458830222348&lt;/D&gt;&lt;D xsi:type="xsd:double"&gt;14.6267243554734&lt;/D&gt;&lt;D xsi:type="xsd:double"&gt;13.1441012812624&lt;/D&gt;&lt;D xsi:type="xsd:double"&gt;15.3135493531248&lt;/D&gt;&lt;D xsi:type="xsd:double"&gt;14.7412461357557&lt;/D&gt;&lt;D xsi:type="xsd:double"&gt;13.4783883131916&lt;/D&gt;&lt;D xsi:type="xsd:double"&gt;13.7791945800182&lt;/D&gt;&lt;D xsi:type="xsd:double"&gt;14.0471705125076&lt;/D&gt;&lt;D xsi:type="xsd:double"&gt;13.4412207407004&lt;/D&gt;&lt;D xsi:type="xsd:double"&gt;13.6525597026969&lt;/D&gt;&lt;D xsi:type="xsd:double"&gt;13.4524929835424&lt;/D&gt;&lt;D xsi:type="xsd:double"&gt;12.9775278436631&lt;/D&gt;&lt;D xsi:type="xsd:double"&gt;11.9842937861978&lt;/D&gt;&lt;D xsi:type="xsd:double"&gt;11.5581456791629&lt;/D&gt;&lt;D xsi:type="xsd:double"&gt;11.7932502370981&lt;/D&gt;&lt;D xsi:type="xsd:double"&gt;10.9203286010892&lt;/D&gt;&lt;D xsi:type="xsd:double"&gt;11.069489560574&lt;/D&gt;&lt;D xsi:type="xsd:double"&gt;10.8605652579597&lt;/D&gt;&lt;D xsi:type="xsd:double"&gt;9.61532495669864&lt;/D&gt;&lt;D xsi:type="xsd:double"&gt;9.81421282883604&lt;/D&gt;&lt;D xsi:type="xsd:double"&gt;9.47563261783566&lt;/D&gt;&lt;D xsi:type="xsd:double"&gt;8.80121335408105&lt;/D&gt;&lt;D xsi:type="xsd:double"&gt;7.7034553</t>
        </r>
      </text>
    </comment>
    <comment ref="A12" authorId="0" shapeId="0" xr:uid="{61A5CF49-5BFE-4DF6-ADF8-EF4192228F85}">
      <text>
        <r>
          <rPr>
            <b/>
            <sz val="9"/>
            <color indexed="81"/>
            <rFont val="Tahoma"/>
            <charset val="1"/>
          </rPr>
          <t>3018875&lt;/D&gt;&lt;D xsi:type="xsd:double"&gt;7.74176238755893&lt;/D&gt;&lt;D xsi:type="xsd:double"&gt;7.40559627682527&lt;/D&gt;&lt;D xsi:type="xsd:double"&gt;7.21126707199346&lt;/D&gt;&lt;D xsi:type="xsd:double"&gt;7.8883196555244&lt;/D&gt;&lt;D xsi:type="xsd:double"&gt;7.90831202177905&lt;/D&gt;&lt;D xsi:type="xsd:double"&gt;7.59438441254583&lt;/D&gt;&lt;D xsi:type="xsd:double"&gt;8.38353825405403&lt;/D&gt;&lt;D xsi:type="xsd:double"&gt;8.61287937028007&lt;/D&gt;&lt;D xsi:type="xsd:double"&gt;8.4771354117954&lt;/D&gt;&lt;D xsi:type="xsd:double"&gt;8.58671493250029&lt;/D&gt;&lt;D xsi:type="xsd:double"&gt;8.37033372018449&lt;/D&gt;&lt;D xsi:type="xsd:double"&gt;8.79260716527943&lt;/D&gt;&lt;D xsi:type="xsd:double"&gt;8.64509274634946&lt;/D&gt;&lt;D xsi:type="xsd:double"&gt;8.48261079696335&lt;/D&gt;&lt;D xsi:type="xsd:double"&gt;8.26959023250955&lt;/D&gt;&lt;D xsi:type="xsd:double"&gt;7.9802880898967&lt;/D&gt;&lt;D xsi:type="xsd:double"&gt;8.64684142677665&lt;/D&gt;&lt;D xsi:type="xsd:double"&gt;8.90130129430784&lt;/D&gt;&lt;D xsi:type="xsd:double"&gt;8.99126512255449&lt;/D&gt;&lt;D xsi:type="xsd:double"&gt;9.34110330597422&lt;/D&gt;&lt;D xsi:type="xsd:double"&gt;9.80583156251822&lt;/D&gt;&lt;D xsi:type="xsd:double"&gt;9.55459083991221&lt;/D&gt;&lt;D xsi:type="xsd:double"&gt;9.70936086481188&lt;/D&gt;&lt;D xsi:type="xsd:double"&gt;9.43045566148109&lt;/D&gt;&lt;D xsi:type="xsd:double"&gt;9.68561787936273&lt;/D&gt;&lt;/FQL&gt;&lt;FQL&gt;&lt;Q&gt;DDR3512M-FDS^FG_PRICE_CHANGE(0,-6AM)&lt;/Q&gt;&lt;R&gt;1&lt;/R&gt;&lt;C&gt;1&lt;/C&gt;&lt;D xsi:type="xsd:double"&gt;-6.36816157978735&lt;/D&gt;&lt;/FQL&gt;&lt;FQL&gt;&lt;Q&gt;BRENT-FDS^FG_PRICE(0)&lt;/Q&gt;&lt;R&gt;1&lt;/R&gt;&lt;C&gt;1&lt;/C&gt;&lt;D xsi:type="xsd:double"&gt;85.86&lt;/D&gt;&lt;/FQL&gt;&lt;FQL&gt;&lt;Q&gt;EWC^FG_PRICE(0)&lt;/Q&gt;&lt;R&gt;1&lt;/R&gt;&lt;C&gt;1&lt;/C&gt;&lt;D xsi:type="xsd:double"&gt;38.05&lt;/D&gt;&lt;/FQL&gt;&lt;FQL&gt;&lt;Q&gt;VWO^P_PRICE(0)/P_PRICE_HIGH_PR(0,,,,,,"PRICE","INTRA","52W")&lt;/Q&gt;&lt;R&gt;1&lt;/R&gt;&lt;C&gt;1&lt;/C&gt;&lt;D xsi:type="xsd:double"&gt;0.9526518&lt;/D&gt;&lt;/FQL&gt;&lt;FQL&gt;&lt;Q&gt;EWC^FMA_PCT_ABOVE_MAVG(200,0,,,,"PORTAGG")&lt;/Q&gt;&lt;R&gt;1&lt;/R&gt;&lt;C&gt;1&lt;/C&gt;&lt;D xsi:type="xsd:double"&gt;75&lt;/D&gt;&lt;/FQL&gt;&lt;FQL&gt;&lt;Q&gt;REFAUCASH-FDS^PROPER_NAME(0,,,"SECURITY","NAME")&lt;/Q&gt;&lt;R&gt;1&lt;/R&gt;&lt;C&gt;1&lt;/C&gt;&lt;D xsi:type="xsd:string"&gt;Australia Target Cash Rate&lt;/D&gt;&lt;/FQL&gt;&lt;FQL&gt;&lt;Q&gt;TRYFR10Y-FDS^FG_YIELD_NAME&lt;/Q&gt;&lt;R&gt;1&lt;/R&gt;&lt;C&gt;1&lt;/C&gt;&lt;D xsi:type="xsd:string"&gt;France Benchmark Bond - 10 Year&lt;/D&gt;&lt;/FQL&gt;&lt;FQL&gt;&lt;Q&gt;CC_FR^IMF_IFS_RCPI_Q(0)&lt;/Q&gt;&lt;R&gt;1&lt;/R&gt;&lt;C&gt;1&lt;/C&gt;&lt;D xsi:type="xsd:double"&gt;2.2093682&lt;/D&gt;&lt;/FQL&gt;&lt;FQL&gt;&lt;Q&gt;EWN^FG_FCF_YIELD_NTM(0)&lt;/Q&gt;&lt;R&gt;1&lt;/R&gt;&lt;C&gt;1&lt;/C&gt;&lt;D xsi:type="xsd:double"&gt;4.12736480009455&lt;/D&gt;&lt;/FQL&gt;&lt;FQL&gt;&lt;Q&gt;EWJ^FMA_DIV_YLD(NTMA,NOW,NOW,M,"PORTAGG","MEANR")&lt;/Q&gt;&lt;R&gt;1&lt;/R&gt;&lt;C&gt;1&lt;/C&gt;&lt;D xsi:type="xsd:double"&gt;2.31215023004139&lt;/D&gt;&lt;/FQL&gt;&lt;FQL&gt;&lt;Q&gt;DBA^P_PRICE(0)/P_PRICE_HIGH_PR(0,,,USD,,,"PRICE","INTRA","52W")&lt;/Q&gt;&lt;R&gt;1&lt;/R&gt;&lt;C&gt;1&lt;/C&gt;&lt;D xsi:type="xsd:double"&gt;0.87427175&lt;/D&gt;&lt;/FQL&gt;&lt;FQL&gt;&lt;Q&gt;QQQ^FMA_DIV_YLD(NTMA,NOW,NOW,M,"PORTAGG","MEANR")&lt;/Q&gt;&lt;R&gt;1&lt;/R&gt;&lt;C&gt;1&lt;/C&gt;&lt;D xsi:type="xsd:double"&gt;0.851414417321313&lt;/D&gt;&lt;/FQL&gt;&lt;FQL&gt;&lt;Q&gt;EWI^PERCENT_CHANGE(FMA_EPS(+1,0,,,,"PORTAGG","MEAN"),FMA_EPS(+1,-1AM,,,,"PORTAGG","MEAN"))&lt;/Q&gt;&lt;R&gt;1&lt;/R&gt;&lt;C&gt;1&lt;/C&gt;&lt;D xsi:type="xsd:double"&gt;-1.16160986242208&lt;/D&gt;&lt;/FQL&gt;&lt;FQL&gt;&lt;Q&gt;EWQ^FMA_COS_DOWN("EPS","1M",+1,0,,,"PORTAGG","MEANR")&lt;/Q&gt;&lt;R&gt;1&lt;/R&gt;&lt;C&gt;1&lt;/C&gt;&lt;D xsi:type="xsd:double"&gt;40&lt;/D&gt;&lt;/FQL&gt;&lt;FQL&gt;&lt;Q&gt;CC_DE^IMF_IFS_RCPI_Q(0)&lt;/Q&gt;&lt;R&gt;1&lt;/R&gt;&lt;C&gt;1&lt;/C&gt;&lt;D xsi:type="xsd:double"&gt;2.2863681&lt;/D&gt;&lt;/FQL&gt;&lt;FQL&gt;&lt;Q&gt;EWG^P_PRICE(0)/P_PRICE_HIGH_PR(0,,,,,,"PRICE","INTRA","52W")&lt;/Q&gt;&lt;R&gt;1&lt;/R&gt;&lt;C&gt;1&lt;/C&gt;&lt;D xsi:type="xsd:double"&gt;0.9267883&lt;/D&gt;&lt;/FQL&gt;&lt;FQL&gt;&lt;Q&gt;EWG^FMA_EVAL_EBITDA(NTMA,0,,,"PORTAGG","MEANR")&lt;/Q&gt;&lt;R&gt;1&lt;/R&gt;&lt;C&gt;1&lt;/C&gt;&lt;D xsi:type="xsd:double"&gt;8.43331312080589&lt;/D&gt;&lt;/FQL&gt;&lt;FQL&gt;&lt;Q&gt;EWG^FMA_ROE(NTMA,-20AY,NOW,FY,"PORTAGG","MEANR")&lt;/Q&gt;&lt;R&gt;20&lt;/R&gt;&lt;C&gt;1&lt;/C&gt;&lt;D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xsi:type="xsd:double"&gt;9.71471543630714&lt;/D&gt;&lt;D xsi:type="xsd:double"&gt;12.1997093940908&lt;/D&gt;&lt;D xsi:type="xsd:double"&gt;11.8187115511422&lt;/D&gt;&lt;D xsi:type="xsd:double"&gt;11.9489916743573&lt;/D&gt;&lt;/FQL&gt;&lt;FQL&gt;&lt;Q&gt;EWA^P_PRICE_RETURNS_PR('52W',2,-10AY,0,AM)&lt;/Q&gt;&lt;R&gt;121&lt;/R&gt;&lt;C&gt;1&lt;/C&gt;&lt;D xsi:type="xsd:double"&gt;18.218935&lt;/D&gt;&lt;D xsi:type="xsd:double"&gt;20.751774&lt;/D&gt;&lt;D xsi:type="xsd:double"&gt;-2.0057857&lt;/D&gt;&lt;D xsi:type="xsd:double"&gt;-0.71719885&lt;/D&gt;&lt;D xsi:type="xsd:double"&gt;-4.4161797&lt;/D&gt;&lt;D xsi:type="xsd:double"&gt;-4.656953&lt;/D&gt;&lt;D xsi:type="xsd:double"&gt;-1.3607144&lt;/D&gt;&lt;D xsi:type="xsd:double"&gt;-0.88799596&lt;/D&gt;&lt;D xsi:type="xsd:double"&gt;-7.3352456&lt;/D&gt;&lt;D xsi:type="xsd:double"&gt;-6.2319813&lt;/D&gt;&lt;D xsi:type="xsd:double"&gt;-11.729252&lt;/D&gt;&lt;D xsi:type="xsd:double"&gt;-14.351278&lt;/D&gt;&lt;D xsi:type="xsd:double"&gt;-16.79867&lt;/D&gt;&lt;D xsi:type="xsd:double"&gt;-30.731922&lt;/D&gt;&lt;D xsi:type="xsd:double"&gt;-20.311451&lt;/D&gt;&lt;D xsi:type="xsd:double"&gt;-20.916193&lt;/D&gt;&lt;D xsi:type="xsd:double"&gt;-10.828882&lt;/D&gt;&lt;D xsi:type="xsd:double"&gt;-9.960371&lt;/D&gt;&lt;D xsi:type="xsd:double"&gt;-15.129435&lt;/D&gt;&lt;D xsi:type="xsd:double"&gt;-20.681541&lt;/D&gt;&lt;D xsi:type="xsd:double"&gt;-11.727208&lt;/D&gt;&lt;D xsi:type="xsd:double"&gt;-11.872995&lt;/D&gt;&lt;D xsi:type="xsd:double"&gt;-8.600396&lt;/D&gt;&lt;D xsi:type="xsd:double"&gt;-4.1840973&lt;/D&gt;&lt;D xsi:type="xsd:double"&gt;2.9543996&lt;/D&gt;&lt;D xsi:type="xsd:double"&gt;19.134544&lt;/D&gt;&lt;D xsi:type="xsd:double"&gt;21.586275&lt;/D&gt;&lt;D xsi:type="xsd:double"&gt;11.302912&lt;/D&gt;&lt;D xsi:type="xsd:double"&gt;9.720123&lt;/D&gt;&lt;D xsi:type="xsd:double"&gt;9.94482&lt;/D&gt;&lt;D xsi:type="xsd:double"&gt;25.815952&lt;/D&gt;&lt;D xsi:type="xsd:double"&gt;29.578377&lt;/D&gt;&lt;D xsi:type="xsd:double"&gt;21.861887&lt;/D&gt;&lt;D xsi:type="xsd:double"&gt;18.497776&lt;/D&gt;&lt;D xsi:type="xsd:double"&gt;15.014469&lt;/D&gt;&lt;D xsi:type="xsd:double"&gt;16.96211&lt;/D&gt;&lt;D xsi:type="xsd:double"&gt;15.698826&lt;/D&gt;&lt;D xsi:type="xsd:double"&gt;17.78332&lt;/D&gt;&lt;D xsi:type="xsd:double"&gt;13.532352&lt;/D&gt;&lt;D xsi:type="xsd:double"&gt;18.489384&lt;/D&gt;&lt;D xsi:type="xsd:double"&gt;16.054344&lt;/D&gt;&lt;D xsi:type="xsd:double"&gt;19.05055&lt;/D&gt;&lt;D xsi:type="xsd:double"&gt;17.124008&lt;/D&gt;&lt;D xsi:type="xsd:double"&gt;6.9320917&lt;/D&gt;&lt;D xsi:type="xsd:double"&gt;1.3550639&lt;/D&gt;&lt;D xsi:type="xsd:double"&gt;2.960658&lt;/D&gt;&lt;D xsi:type="xsd:double"&gt;10.915065&lt;/D&gt;&lt;D xsi:type="xsd:double"&gt;8.347929&lt;/D&gt;&lt;D xsi:type="xsd:double"&gt;4.2370796&lt;/D&gt;&lt;D xsi:type="xsd:double"&gt;3.7284255&lt;/D&gt;&lt;D xsi:type="xsd:double"&gt;2.8370023&lt;/D&gt;&lt;D xsi:type="xsd:double"&gt;-4.143733&lt;/D&gt;&lt;D xsi:type="xsd:double"&gt;-4.5717773&lt;/D&gt;&lt;D xsi:type="xsd:double"&gt;-12.024254&lt;/D&gt;&lt;D xsi:type="xsd:double"&gt;-8.83103&lt;/D&gt;&lt;D xsi:type="xsd:double"&gt;0.09881258&lt;/D&gt;&lt;D xsi:type="xsd:double"&gt;4.6405077&lt;/D&gt;&lt;D xsi:type="xsd:double"&gt;2.9942513&lt;/D&gt;&lt;D xsi:type="xsd:double"&gt;2.2782207&lt;/D&gt;&lt;D xsi:type="xsd:double"&gt;5.465448&lt;/D&gt;&lt;D xsi:type="xsd:double"&gt;3.9295197&lt;/D&gt;&lt;D xsi:type="xsd:double"&gt;1.1743426&lt;/D&gt;&lt;D xsi:type="xsd:double"&gt;5.4053307&lt;/D&gt;&lt;D xsi:type="xsd:double"&gt;15.24744&lt;/D&gt;&lt;D xsi:type="xsd:double"&gt;15.106928&lt;/D&gt;&lt;D xsi:type="xsd:double"&gt;22.4123&lt;/D&gt;&lt;D xsi:type="xsd:double"&gt;12.524784&lt;/D&gt;&lt;D xsi:type="xsd:double"&gt;-1.5908062&lt;/D&gt;&lt;D xsi:type="xsd:double"&gt;-28.203846&lt;/D&gt;&lt;D xsi:type="xsd:double"&gt;-22.309727&lt;/D&gt;&lt;D xsi:type="xsd:double"&gt;-9.524268&lt;/D&gt;&lt;D xsi:type="xsd:double"&gt;-10.474181&lt;/D&gt;&lt;D xsi:type="xsd:double"&gt;-8.036107&lt;/D&gt;&lt;D xsi:type="xsd:double"&gt;-0.8334577&lt;/D&gt;&lt;D xsi:type="xsd:double"&gt;-6.335658&lt;/D&gt;&lt;D xsi:type="xsd:double"&gt;-9.928715&lt;/D&gt;&lt;D xsi:type="xsd:double"&gt;5.052912&lt;/D&gt;&lt;D xsi:type="xsd:double"&gt;8.265495&lt;/D&gt;&lt;D xsi:type="xsd:double"&gt;11.079205&lt;/D&gt;&lt;D xsi:type="xsd:double"&gt;29.048645&lt;/D&gt;&lt;D xsi:type="xsd:double"&gt;71.34552&lt;/D&gt;&lt;D xsi:type="xsd:double"&gt;55.437447&lt;/D&gt;&lt;D xsi:type="xsd:double"&gt;45.063366&lt;/D&gt;&lt;D xsi:type="xsd:double"&gt;36.0412&lt;/D&gt;&lt;D xsi:type="xsd:double"&gt;29.80746&lt;/D&gt;&lt;D xsi:type="xsd:double"&gt;28.88857&lt;/D&gt;&lt;D xsi:type="xsd:double"&gt;28.280699&lt;/D&gt;&lt;D xsi:type="xsd:double"&gt;36.907887&lt;/D&gt;&lt;D xsi:type="xsd:double"&gt;7.0204973&lt;/D&gt;&lt;D xsi:type="xsd:double"&gt;8.950353&lt;/D&gt;&lt;D xsi:type="xsd:double"&gt;0.6523371&lt;/D&gt;&lt;D xsi:type="xsd:double"&gt;-1.248604&lt;/D&gt;&lt;D xsi:type="xsd:double"&gt;11.61269&lt;/D&gt;&lt;D xsi:type="xsd:double"&gt;-1.8955946&lt;/D&gt;&lt;D xsi:type="xsd:double"&gt;-3.1271458&lt;/D&gt;&lt;D xsi:type="xsd:double"&gt;-12.843555&lt;/D&gt;&lt;D xsi:type="xsd:double"&gt;-5.6286993&lt;/D&gt;&lt;D xsi:type="xsd:double"&gt;-11.193442&lt;/D&gt;&lt;D xsi:type="xsd:double"&gt;-15.423012&lt;/D&gt;&lt;D xsi:type="xsd:double"&gt;-15.076655&lt;/D&gt;&lt;D xsi:type="xsd:double"&gt;4.698622&lt;/D&gt;&lt;D xsi:type="xsd:double"&gt;-6.4979553&lt;/D&gt;&lt;D xsi:type="xsd:double"&gt;14.150536&lt;/D&gt;&lt;D xsi:type="xsd:double"&gt;1.8449187&lt;/D&gt;&lt;D xsi:type="xsd:double"&gt;-8.732128&lt;/D&gt;&lt;D xsi:type="xsd:double"&gt;-1.3067663&lt;/D&gt;&lt;D xsi:type="xsd:double"&gt;-4.9970684&lt;/D&gt;&lt;D xsi:type="xsd:double"&gt;10.292578&lt;/D&gt;&lt;D xsi:type="xsd:double"&gt;4.563749&lt;/D&gt;&lt;D xsi:type="xsd:double"&gt;6.2711596&lt;/D&gt;&lt;D xsi:type="xsd:double"&gt;11.6234665&lt;/D&gt;&lt;D xsi:type="xsd:double"&gt;4.3309093&lt;/D&gt;&lt;D xsi:type="xsd:double"&gt;0.28856993&lt;/D&gt;&lt;D xsi:type="xsd:double"&gt;13.24848&lt;/D&gt;&lt;D xsi:type="xsd:double"&gt;-1.7233372&lt;/D&gt;&lt;D xsi:type="xsd:double"&gt;8.943474&lt;/D&gt;&lt;D xsi:type="xsd:double"&gt;11.423742&lt;/D&gt;&lt;D xsi:type="xsd:double"&gt;5.4318786&lt;/D&gt;&lt;D xsi:type="xsd:double"&gt;17.20804&lt;/D&gt;&lt;D xsi:type="xsd:double"&gt;12.308418&lt;/D&gt;&lt;D xsi:type="xsd:double"&gt;11.000835&lt;/D&gt;&lt;/FQL&gt;&lt;FQL&gt;&lt;Q&gt;EWA^FG_ROE(0)&lt;/Q&gt;&lt;R&gt;1&lt;/R&gt;&lt;C&gt;1&lt;/C&gt;&lt;D xsi:type="xsd:double"&gt;12.4952153538427&lt;/D&gt;&lt;/FQL&gt;&lt;FQL&gt;&lt;Q&gt;TRYTR7Y-FDS^FG_YIELD(-10AY,0,Y,,"YTM")&lt;/Q&gt;&lt;R&gt;10&lt;/R&gt;&lt;C&gt;1&lt;/C&gt;&lt;D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xsi:type="xsd:double"&gt;21.984322&lt;/D&gt;&lt;/FQL&gt;&lt;FQL&gt;&lt;Q&gt;CC_JP^FG_COMPANY_NAME&lt;/Q&gt;&lt;R&gt;1&lt;/R&gt;&lt;C&gt;1&lt;/C&gt;&lt;D xsi:type="xsd:string"&gt;Japan&lt;/D&gt;&lt;/FQL&gt;&lt;FQL&gt;&lt;Q&gt;USDCHF^FG_COMPANY_NAME&lt;/Q&gt;&lt;R&gt;1&lt;/R&gt;&lt;C&gt;1&lt;/C&gt;&lt;D xsi:type="xsd:string"&gt;Swiss Franc per U.S. Dollar&lt;/D&gt;&lt;/FQL&gt;&lt;FQL&gt;&lt;Q&gt;USDNZD^STD(FG_PRICE_CHANGE(0,-3AY,M))&lt;/Q&gt;&lt;R&gt;1&lt;/R&gt;&lt;C&gt;1&lt;/C&gt;&lt;D xsi:type="xsd:double"&gt;3.47996847402444&lt;/D&gt;&lt;/FQL&gt;&lt;FQL&gt;&lt;Q&gt;EWD^FMA_PE(NTMA,-10AY,0,AM,"PORTAGG","MEANR")&lt;/Q&gt;&lt;R&gt;121&lt;/R&gt;&lt;C&gt;1&lt;/C&gt;&lt;D xsi:type="xsd:double"&gt;15.1825336425474&lt;/D&gt;&lt;D xsi:type="xsd:double"&gt;14.7457568698236&lt;/D&gt;&lt;D xsi:type="xsd:double"&gt;14.4493763961582&lt;/D&gt;&lt;D xsi:type="xsd:double"&gt;14.6907340445612&lt;/D&gt;&lt;D xsi:type="xsd:double"&gt;15.6051584247734&lt;/D&gt;&lt;D xsi:type="xsd:double"&gt;15.6107957364202&lt;/D&gt;&lt;D xsi:type="xsd:double"&gt;16.2029143239634&lt;/D&gt;&lt;D xsi:type="xsd:double"&gt;17.3936140410266&lt;/D&gt;&lt;D xsi:type="xsd:double"&gt;16.9888158875635&lt;/D&gt;&lt;D xsi:type="xsd:double"&gt;15.84340237342&lt;/D&gt;&lt;D xsi:type="xsd:double"&gt;16.5287399669058&lt;/D&gt;&lt;D xsi:type="xsd:double"&gt;15.7351006377004&lt;/D&gt;&lt;D xsi:type="xsd:double"&gt;15.9682175913571&lt;/D&gt;&lt;D xsi:type="xsd:double"&gt;14.6030391027339&lt;/D&gt;&lt;D xsi:type="xsd:double"&gt;14.0441893449648&lt;/D&gt;&lt;D xsi:type="xsd:double"&gt;15.4549049078493&lt;/D&gt;&lt;D xsi:type="xsd:double"&gt;15.6520679912042&lt;/D&gt;&lt;D xsi:type="xsd:double"&gt;14.9750159777383&lt;/D&gt;&lt;D xsi:type="xsd:double"&gt;14.4148181847924&lt;/D&gt;&lt;D xsi:type="xsd:double"&gt;15.3815493671203&lt;/D&gt;&lt;D xsi:type="xsd:double"&gt;14.9967251926417&lt;/D&gt;&lt;D xsi:type="xsd:double"&gt;15.2560793560229&lt;/D&gt;&lt;D xsi:type="xsd:double"&gt;14.8753315608947&lt;/D&gt;&lt;D xsi:type="xsd:double"&gt;14.6967790020612&lt;/D&gt;&lt;D xsi:type="xsd:double"&gt;15.1548782287795&lt;/D&gt;&lt;D xsi:type="xsd:double"&gt;15.4726733215774&lt;/D&gt;&lt;D xsi:type="xsd:double"&gt;15.7653590079957&lt;/D&gt;&lt;D xsi:type="xsd:double"&gt;15.8614897618413&lt;/D&gt;&lt;D xsi:type="xsd:double"&gt;16.0645565904209&lt;/D&gt;&lt;D xsi:type="xsd:double"&gt;16.4046723033614&lt;/D&gt;&lt;D xsi:type="xsd:double"&gt;16.382025282421&lt;/D&gt;&lt;D xsi:type="xsd:double"&gt;16.6003595715598&lt;/D&gt;&lt;D xsi:type="xsd:double"&gt;17.1510964012342&lt;/D&gt;&lt;D xsi:type="xsd:double"&gt;17.0766002013445&lt;/D&gt;&lt;D xsi:type="xsd:double"&gt;17.9878389972043&lt;/D&gt;&lt;D xsi:type="xsd:double"&gt;16.4637755011596&lt;/D&gt;&lt;D xsi:type="xsd:double"&gt;16.1570905062733&lt;/D&gt;&lt;D xsi:type="xsd:double"&gt;15.965060274012&lt;/D&gt;&lt;D xsi:type="xsd:double"&gt;16.8113671936394&lt;/D&gt;&lt;D xsi:type="xsd:double"&gt;17.3501144201067&lt;/D&gt;&lt;D xsi:type="xsd:double"&gt;16.3458888812158&lt;/D&gt;&lt;D xsi:type="xsd:double"&gt;16.113894235022&lt;/D&gt;&lt;D xsi:type="xsd:double"&gt;16.6302724178056&lt;/D&gt;&lt;D xsi:type="xsd:double"&gt;16.1371350434613&lt;/D&gt;&lt;D xsi:type="xsd:double"&gt;15.8207495332629&lt;/D&gt;&lt;D xsi:type="xsd:double"&gt;15.8369212130551&lt;/D&gt;&lt;D xsi:type="xsd:double"&gt;15.5701425212651&lt;/D&gt;&lt;D xsi:type="xsd:double"&gt;15.3503417864848&lt;/D&gt;&lt;D xsi:type="xsd:double"&gt;15.6133765833928&lt;/D&gt;&lt;D xsi:type="xsd:double"&gt;15.8653631698662&lt;/D&gt;&lt;D xsi:type="xsd:double"&gt;15.9142664102447&lt;/D&gt;&lt;D xsi:type="xsd:double"&gt;14.3953500385301&lt;/D&gt;&lt;D xsi:type="xsd:double"&gt;14.1492544826452&lt;/D&gt;&lt;D xsi:type="xsd:double"&gt;13.3494752250555&lt;/D&gt;&lt;D xsi:type="xsd:double"&gt;14.216734947416&lt;/D&gt;&lt;D xsi:type="xsd:double"&gt;14.8597644903292&lt;/D&gt;&lt;D xsi:type="xsd:double"&gt;14.8852210135399&lt;/D&gt;&lt;D xsi:type="xsd:double"&gt;15.6901470242924&lt;/D&gt;&lt;D xsi:type="xsd:double"&gt;14.0663539951271&lt;/D&gt;&lt;D xsi:type="xsd:double"&gt;15.1444669273921&lt;/D&gt;&lt;D xsi:type="xsd:double"&gt;15.0067978368082&lt;/D&gt;&lt;D xsi:type="xsd:double"&gt;13.7512240655399&lt;/D&gt;&lt;D xsi:type="xsd:double"&gt;14.9049628675975&lt;/D&gt;&lt;D xsi:type="xsd:double"&gt;15.7537412472901&lt;/D&gt;&lt;D xsi:type="xsd:double"&gt;15.6167541320281&lt;/D&gt;&lt;D xsi:type="xsd:double"&gt;16.0880122737669&lt;/D&gt;&lt;D xsi:type="xsd:double"&gt;16.1009192625618&lt;/D&gt;&lt;D xsi:type="xsd:double"&gt;15.0630381290316&lt;/D&gt;&lt;D xsi:type="xsd:double"&gt;13.9400866941386&lt;/D&gt;&lt;D xsi:type="xsd:double"&gt;17.2131256482661&lt;/D&gt;&lt;D xsi:type="xsd:double"&gt;18.9368594283782&lt;/D&gt;&lt;D xsi:type="xsd:double"&gt;19.3959375591274&lt;/D&gt;&lt;D xsi:type="xsd:double"&gt;18.1484750394544&lt;/D&gt;&lt;D xsi:type="xsd:double"&gt;18.1252247026708&lt;/D&gt;&lt;D xsi:type="xsd:double"&gt;18.2898991622872&lt;/D&gt;&lt;D xsi:type="xsd:double"&gt;15.5955476213829&lt;/D&gt;&lt;D xsi:type="xsd:double"&gt;17.3955964068999&lt;/D&gt;&lt;D xsi:type="xsd:double"&gt;17.9837525904741&lt;/D&gt;&lt;D xsi:type="xsd:double"&gt;18.7115436087003&lt;/D&gt;&lt;D xsi:type="xsd:double"&gt;19.1678118853339&lt;/D&gt;&lt;D xsi:type="xsd:double"&gt;20.2750642492587&lt;/D&gt;&lt;D xsi:type="xsd:double"&gt;18.6933291451288&lt;/D&gt;&lt;D xsi:type="xsd:double"&gt;18.6404297468043&lt;/D&gt;&lt;D xsi:type="xsd:double"&gt;18.5900452463142&lt;/D&gt;&lt;D xsi:type="xsd:double"&gt;18.4424423296399&lt;/D&gt;&lt;D xsi:type="xsd:double"&gt;18.4879702850761&lt;/D&gt;&lt;D xsi:type="xsd:double"&gt;17.8128266714756&lt;/D&gt;&lt;D xsi:type="xsd:double"&gt;18.255411848296&lt;/D&gt;&lt;D xsi:type="xsd:double"&gt;18.8039094618552&lt;/D&gt;&lt;D xsi:type="xsd:double"&gt;18.6078033352797&lt;/D&gt;&lt;D xsi:type="xsd:double"&gt;16.8378107942565&lt;/D&gt;&lt;D xsi:type="xsd:double"&gt;14.7063290408293&lt;/D&gt;&lt;D xsi:type="xsd:double"&gt;15.2776032536875&lt;/D&gt;&lt;D xsi:type="xsd:double"&gt;14.5433017398059&lt;/D&gt;&lt;D xsi:type="xsd:double"&gt;16.0150130656555&lt;/D&gt;&lt;D xsi:type="xsd:double"&gt;14.1175287461339&lt;/D&gt;&lt;D xsi:type="xsd:double"&gt;15.298965136462&lt;/D&gt;&lt;D xsi:type="xsd:double"&gt;13.5498486139129&lt;/D&gt;&lt;D xsi:type="xsd:double"&gt;13.06520295104&lt;/D&gt;&lt;D xsi:type="xsd:double"&gt;13.2204229404569&lt;/D&gt;&lt;D xsi:type="xsd:double"&gt;13.1682289691023&lt;/D&gt;&lt;D xsi:type="xsd:double"&gt;12.6115488420258&lt;/D&gt;&lt;D xsi:type="xsd:double"&gt;14.0250636281282&lt;/D&gt;&lt;D xsi:type="xsd:double"&gt;14.0144717341906&lt;/D&gt;&lt;D xsi:type="xsd:double"&gt;13.803344961689&lt;/D&gt;&lt;D xsi:type="xsd:double"&gt;14.029398836972&lt;/D&gt;&lt;D xsi:type="xsd:double"&gt;13.4230147533144&lt;/D&gt;&lt;D xsi:type="xsd:double"&gt;13.6055048185304&lt;/D&gt;&lt;D xsi:type="xsd:double"&gt;13.310351936608&lt;/D&gt;&lt;D xsi:type="xsd:double"&gt;12.9978133031696&lt;/D&gt;&lt;D xsi:type="xsd:double"&gt;12.9090225088888&lt;/D&gt;&lt;D xsi:type="xsd:double"&gt;12.4734073748227&lt;/D&gt;&lt;D xsi:type="xsd:double"&gt;14.6781321560517&lt;/D&gt;&lt;D xsi:type="xsd:double"&gt;15.7259900145403&lt;/D&gt;&lt;D xsi:type="xsd:double"&gt;15.6483554259479&lt;/D&gt;&lt;D xsi:type="xsd:double"&gt;16.3621203567738&lt;/D&gt;&lt;D xsi:type="xsd:double"&gt;16.3942716371151&lt;/D&gt;&lt;D xsi:type="xsd:double"&gt;16.0043479294402&lt;/D&gt;&lt;D xsi:type="xsd:double"&gt;16.1860377006783&lt;/D&gt;&lt;D xsi:type="xsd:double"&gt;16.0564984249383&lt;/D&gt;&lt;D xsi:type="xsd:double"&gt;16.1140208797994&lt;/D&gt;&lt;/FQL&gt;&lt;FQL&gt;&lt;Q&gt;PLATI-FDS^FG_PRICE_CHANGE(0,-1AY)&lt;/Q&gt;&lt;R&gt;1&lt;/R&gt;&lt;C&gt;1&lt;/C&gt;&lt;D xsi:type="xsd:double"&gt;4.59893048128341&lt;/D&gt;&lt;/FQL&gt;&lt;FQL&gt;&lt;Q&gt;EWQ^FG_PRICE(0)&lt;/Q&gt;&lt;R&gt;1&lt;/R&gt;&lt;C&gt;1&lt;/C&gt;&lt;D xsi:type="xsd:double"&gt;37.44&lt;/D&gt;&lt;/FQL&gt;&lt;FQL&gt;&lt;Q&gt;EWI^PERCENT_CHANGE(FMA_EPS(+1,0,,,,"PORTAGG","MEAN"),FMA_EPS(+1,-3AM,,,,"PORTAGG","MEAN"))&lt;/Q&gt;&lt;R&gt;1&lt;/R&gt;&lt;C&gt;1&lt;/C&gt;&lt;D xsi:type="xsd:double"&gt;-0.973179989491374&lt;/D&gt;&lt;/FQL&gt;&lt;FQL&gt;&lt;Q&gt;EWQ^FG_TOTAL_RETURNC(0,-3AM)&lt;/Q&gt;&lt;R&gt;1&lt;/R&gt;&lt;C&gt;1&lt;/C&gt;&lt;D xsi:type="xsd:double"&gt;-3.9614797&lt;/D&gt;&lt;/FQL&gt;&lt;FQL&gt;&lt;Q&gt;QQQ^FMA_PCT_ABOVE_MAVG(200,0,,,,"PORTAGG")&lt;/Q&gt;&lt;R&gt;1&lt;/R&gt;&lt;C&gt;1&lt;/C&gt;&lt;D xsi:type="xsd:double"&gt;68.6274509803922&lt;/D&gt;&lt;/FQL&gt;&lt;FQL&gt;&lt;Q&gt;FXI^FMA_COS_UP("EPS","1M",+1,0,,,"PORTAGG","MEANR")&lt;/Q&gt;&lt;R&gt;1&lt;/R&gt;&lt;C&gt;1&lt;/C&gt;&lt;D xsi:type="xsd:double"&gt;22&lt;/D&gt;&lt;/FQL&gt;&lt;FQL&gt;&lt;Q&gt;EWN^FMA_COS_UP("EPS","1M",+1,0,,,"PORTAGG","MEANR")&lt;/Q&gt;&lt;R&gt;1&lt;/R&gt;&lt;C&gt;1&lt;/C&gt;&lt;D xsi:type="xsd:double"&gt;18&lt;/D&gt;&lt;/FQL&gt;&lt;FQL&gt;&lt;Q&gt;EWC^FG_ROE(0)&lt;/Q&gt;&lt;R&gt;1&lt;/R&gt;&lt;C&gt;1&lt;/C&gt;&lt;D xsi:type="xsd:double"&gt;10.9493367250714&lt;/D&gt;&lt;/FQL&gt;&lt;FQL&gt;&lt;Q&gt;REFGBBANK-FDS^FG_YIELD(NOW,,,0)&lt;/Q&gt;&lt;R&gt;1&lt;/R&gt;&lt;C&gt;1&lt;/C&gt;&lt;D xsi:type="xsd:double"&gt;5&lt;/D&gt;&lt;/FQL&gt;&lt;FQL&gt;&lt;Q&gt;CPALM-FDS^FG_PRICE_CHANGE(0,-6AM)&lt;/Q&gt;&lt;R&gt;1&lt;/R&gt;&lt;C&gt;1&lt;/C&gt;&lt;D xsi:type="xsd:double"&gt;4.56213948610382&lt;/D&gt;&lt;/FQL&gt;&lt;FQL&gt;&lt;Q&gt;EWQ^FG_FCF_YIELD_NTM(0)&lt;/Q&gt;&lt;R&gt;1&lt;/R&gt;&lt;C&gt;1&lt;/C&gt;&lt;D xsi:type="xsd:double"&gt;6.09877059051081&lt;/D&gt;&lt;/FQL&gt;&lt;FQL&gt;&lt;Q&gt;SPY^FMA_COS_UP("EPS","1M",+1,0,,,"PORTAGG","MEANR")&lt;/Q&gt;&lt;R&gt;1&lt;/R&gt;&lt;C&gt;1&lt;/C&gt;&lt;D xsi:type="xsd:double"&gt;209&lt;/D&gt;&lt;/FQL&gt;&lt;FQL&gt;&lt;Q&gt;EWI^FG_FCF_YIELD_NTM(0)&lt;/Q&gt;&lt;R&gt;1&lt;/R&gt;&lt;C&gt;1&lt;/C&gt;&lt;D xsi:type="xsd:double"&gt;5.76674013577147&lt;/D&gt;&lt;/FQL&gt;&lt;FQL&gt;&lt;Q&gt;EWA^FMA_COS_UP("EPS","1M",+1,0,,,"PORTAGG","MEANR")&lt;/Q&gt;&lt;R&gt;1&lt;/R&gt;&lt;C&gt;1&lt;/C&gt;&lt;D xsi:type="xsd:double"&gt;19&lt;/D&gt;&lt;/FQL&gt;&lt;FQL&gt;&lt;Q&gt;SPY^FMA_EVAL_EBIT(LTMA,NOW,NOW,M,"PORTAGG","MEANR")&lt;/Q&gt;&lt;R&gt;1&lt;/R&gt;&lt;C&gt;1&lt;/C&gt;&lt;D xsi:type="xsd:double"&gt;20.5524142424094&lt;/D&gt;&lt;/FQL&gt;&lt;FQL&gt;&lt;Q&gt;EWC^FMA_ROE(NTMA,-20AY,NOW,FY,"PORTAGG","MEANR")&lt;/Q&gt;&lt;R&gt;20&lt;/R&gt;&lt;C&gt;1&lt;/C&gt;&lt;D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xsi:type="xsd:double"&gt;14.0029403106189&lt;/D&gt;&lt;D xsi:type="xsd:double"&gt;13.147116166704&lt;/D&gt;&lt;/FQL&gt;&lt;FQL&gt;&lt;Q&gt;USDNZD^STD(FG_PRICE_CHANGE(0,-1AY,AM))&lt;/Q&gt;&lt;R&gt;1&lt;/R&gt;&lt;C&gt;1&lt;/C&gt;&lt;D xsi:type="xsd:double"&gt;2.86080758185537&lt;/D&gt;&lt;/FQL&gt;&lt;FQL&gt;&lt;Q&gt;DDR3512M-FDS^FG_PRICE_CHANGE(0,-3AM)&lt;/Q&gt;&lt;R&gt;1&lt;/R&gt;&lt;C&gt;1&lt;/C&gt;&lt;D xsi:type="xsd:double"&gt;-6.45126804123711&lt;/D&gt;&lt;/FQL&gt;&lt;FQL&gt;&lt;Q&gt;COPP-FDS^MAX(FG_PRICE(0,-5AY))&lt;/Q&gt;&lt;R&gt;1&lt;/R&gt;&lt;C&gt;1&lt;/C&gt;&lt;D xsi:type="xsd:double"&gt;5.119&lt;/D&gt;&lt;/FQL&gt;&lt;FQL&gt;&lt;Q&gt;EWA^FG_PRICE_MAVG(0,,,,200)&lt;/Q&gt;&lt;R&gt;1&lt;/R&gt;&lt;C&gt;1&lt;/C&gt;&lt;D xsi:type="xsd:double"&gt;23.7253&lt;/D&gt;&lt;/FQL&gt;&lt;FQL&gt;&lt;Q&gt;EWQ^FG_TOTAL_RETURNC(0,-1AM)&lt;/Q&gt;&lt;R&gt;1&lt;/R&gt;&lt;C&gt;1&lt;/C&gt;&lt;D xsi:type="xsd:double"&gt;-2.194357&lt;/D&gt;&lt;/FQL&gt;&lt;FQL&gt;&lt;Q&gt;EWA^FG_TOTAL_RETURNC(0,-12AM)&lt;/Q&gt;&lt;R&gt;1&lt;/R&gt;&lt;C&gt;1&lt;/C&gt;&lt;D xsi:type="xsd:double"&gt;11.000835&lt;/D&gt;&lt;/FQL&gt;&lt;FQL&gt;&lt;Q&gt;EWQ^SIZE(FG_CONSTITUENTS)&lt;/Q&gt;&lt;R&gt;1&lt;/R&gt;&lt;C&gt;1&lt;/C&gt;&lt;D xsi:type="xsd:long"&gt;62&lt;/D&gt;&lt;/FQL&gt;&lt;FQL&gt;&lt;Q&gt;EWC^SIZE(FG_CONSTITUENTS)&lt;/Q&gt;&lt;R&gt;1&lt;/R&gt;&lt;C&gt;1&lt;/C&gt;&lt;D xsi:type="xsd:long"&gt;88&lt;/D&gt;&lt;/FQL&gt;&lt;FQL&gt;&lt;Q&gt;QQQ^FG_PRICE(0)&lt;/Q&gt;&lt;R&gt;1&lt;/R&gt;&lt;C&gt;1&lt;/C&gt;&lt;D xsi:type="xsd:double"&gt;459.66&lt;/D&gt;&lt;/FQL&gt;&lt;FQL&gt;&lt;Q&gt;EWA^FMA_ROE(NTMA,-20AY,NOW,FY,"PORTAGG","MEANR")&lt;/Q&gt;&lt;R&gt;20&lt;/R&gt;&lt;C&gt;1&lt;/C&gt;&lt;D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xsi:type="xsd:double"&gt;13.2261379950135&lt;/D&gt;&lt;/FQL&gt;&lt;FQL&gt;&lt;Q&gt;CC_DE^FG_COMPANY_NAME&lt;/Q&gt;&lt;R&gt;1&lt;/R&gt;&lt;C&gt;1&lt;/C&gt;&lt;D xsi:type="xsd:string"&gt;Germany&lt;/D&gt;&lt;/FQL&gt;&lt;FQL&gt;&lt;Q&gt;USDJPY^STD(FG_PRICE_CHANGE(0,-3AY,M))&lt;/Q&gt;&lt;R&gt;1&lt;/R&gt;&lt;C&gt;1&lt;/C&gt;&lt;D xsi:type="xsd:double"&gt;3.28220732526&lt;/D&gt;&lt;/FQL&gt;&lt;FQL&gt;&lt;Q&gt;SPY^FG_TOTAL_RETURNC(-10AY,0,AM)&lt;/Q&gt;&lt;R&gt;121&lt;/R&gt;&lt;C&gt;1&lt;/C&gt;&lt;D xsi:type="xsd:double"&gt;-2.299142&lt;/D&gt;&lt;D xsi:type="xsd:double"&gt;4.264939&lt;/D&gt;&lt;D xsi:type="xsd:double"&gt;-2.7156234&lt;/D&gt;&lt;D xsi:type="xsd:double"&gt;3.7612557&lt;/D&gt;&lt;D xsi:type="xsd:double"&gt;2.0331264&lt;/D&gt;&lt;D xsi:type="xsd:double"&gt;0.44203997&lt;/D&gt;&lt;D xsi:type="xsd:double"&gt;-2.962923&lt;/D&gt;&lt;D xsi:type="xsd:double"&gt;5.6204557&lt;/D&gt;&lt;D xsi:type="xsd:double"&gt;-1.9225419&lt;/D&gt;&lt;D xsi:type="xsd:double"&gt;2.4404526&lt;/D&gt;&lt;D xsi:type="xsd:double"&gt;0.4033804&lt;/D&gt;&lt;D xsi:type="xsd:double"&gt;-1.4444947&lt;/D&gt;&lt;D xsi:type="xsd:double"&gt;1.4457822&lt;/D&gt;&lt;D xsi:type="xsd:double"&gt;-8.897859&lt;/D&gt;&lt;D xsi:type="xsd:double"&gt;0.7174611&lt;/D&gt;&lt;D xsi:type="xsd:double"&gt;8.223593&lt;/D&gt;&lt;D xsi:type="xsd:double"&gt;1.3225555&lt;/D&gt;&lt;D xsi:type="xsd:double"&gt;-2.6462615&lt;/D&gt;&lt;D xsi:type="xsd:double"&gt;-5.013001&lt;/D&gt;&lt;D xsi:type="xsd:double"&gt;2.3031235&lt;/D&gt;&lt;D xsi:type="xsd:double"&gt;4.983413&lt;/D&gt;&lt;D xsi:type="xsd:double"&gt;-0.28474927&lt;/D&gt;&lt;D xsi:type="xsd:double"&gt;1.9091725&lt;/D&gt;&lt;D xsi:type="xsd:double"&gt;0.35526752&lt;/D&gt;&lt;D xsi:type="xsd:double"&gt;3.3437371&lt;/D&gt;&lt;D xsi:type="xsd:double"&gt;0.20742416&lt;/D&gt;&lt;D xsi:type="xsd:double"&gt;0.003194809&lt;/D&gt;&lt;D xsi:type="xsd:double"&gt;-2.44568&lt;/D&gt;&lt;D xsi:type="xsd:double"&gt;4.05668&lt;/D&gt;&lt;D xsi:type="xsd:double"&gt;2.4047017&lt;/D&gt;&lt;D xsi:type="xsd:double"&gt;1.8297315&lt;/D&gt;&lt;D xsi:type="xsd:double"&gt;5.342233&lt;/D&gt;&lt;D xsi:type="xsd:double"&gt;-1.2563586&lt;/D&gt;&lt;D xsi:type="xsd:double"&gt;1.2471318&lt;/D&gt;&lt;D xsi:type="xsd:double"&gt;1.9607902&lt;/D&gt;&lt;D xsi:type="xsd:double"&gt;-0.1565516&lt;/D&gt;&lt;D xsi:type="xsd:double"&gt;2.2828817&lt;/D&gt;&lt;D xsi:type="xsd:double"&gt;0.21024942&lt;/D&gt;&lt;D xsi:type="xsd:double"&gt;1.8700242&lt;/D&gt;&lt;D xsi:type="xsd:double"&gt;2.4917364&lt;/D&gt;&lt;D xsi:type="xsd:double"&gt;2.7068973&lt;/D&gt;&lt;D xsi:type="xsd:double"&gt;1.4191628&lt;/D&gt;&lt;D xsi:type="xsd:double"&gt;5.5160046&lt;/D&gt;&lt;D xsi:type="xsd:double"&gt;-4.929316&lt;/D&gt;&lt;D xsi:type="xsd:double"&gt;-1.3064802&lt;/D&gt;&lt;D xsi:type="xsd:double"&gt;0.69543123&lt;/D&gt;&lt;D xsi:type="xsd:double"&gt;3.2530785&lt;/D&gt;&lt;D xsi:type="xsd:double"&gt;-0.40231347&lt;/D&gt;&lt;D xsi:type="xsd:double"&gt;3.5313964&lt;/D&gt;&lt;D xsi:type="xsd:double"&gt;3.3646703&lt;/D&gt;&lt;D xsi:type="xsd:double"&gt;0.9443164&lt;/D&gt;&lt;D xsi:type="xsd:double"&gt;-6.2454996&lt;/D&gt;&lt;D xsi:type="xsd:double"&gt;0.78241825&lt;/D&gt;&lt;D xsi:type="xsd:double"&gt;-8.793616&lt;/D&gt;&lt;D xsi:type="xsd:double"&gt;8.058584&lt;/D&gt;&lt;D xsi:type="xsd:double"&gt;3.8361907&lt;/D&gt;&lt;D xsi:type="xsd:double"&gt;2.3760438&lt;/D&gt;&lt;D xsi:type="xsd:double"&gt;2.0921588&lt;/D&gt;&lt;D xsi:type="xsd:double"&gt;-5.6680737&lt;/D&gt;&lt;D xsi:type="xsd:double"&gt;7.9302907&lt;/D&gt;&lt;D xsi:type="xsd:double"&gt;-0.27734637&lt;/D&gt;&lt;D xsi:type="xsd:double"&gt;-0.8106053&lt;/D&gt;&lt;D xsi:type="xsd:double"&gt;0.73524714&lt;/D&gt;&lt;D xsi:type="xsd:double"&gt;4.3991327&lt;/D&gt;&lt;D xsi:type="xsd:double"&gt;2.6687026&lt;/D&gt;&lt;D xsi:type="xsd:double"&gt;2.9033542&lt;/D&gt;&lt;D xsi:type="xsd:double"&gt;-0.040382147&lt;/D&gt;&lt;D xsi:type="xsd:double"&gt;-7.9165754&lt;/D&gt;&lt;D xsi:type="xsd:double"&gt;-16.403793&lt;/D&gt;&lt;D xsi:type="xsd:double"&gt;14.885235&lt;/D&gt;&lt;D xsi:type="xsd:double"&gt;8.0483675&lt;/D&gt;&lt;D xsi:type="xsd:double"&gt;2.076435&lt;/D&gt;&lt;D xsi:type="xsd:double"&gt;5.1526427&lt;/D&gt;&lt;D xsi:type="xsd:double"&gt;7.987261&lt;/D&gt;&lt;D xsi:type="xsd:double"&gt;-4.025775&lt;/D&gt;&lt;D xsi:type="xsd:double"&gt;-3.115356&lt;/D&gt;&lt;D xsi:type="xsd:double"&gt;12.090397&lt;/D&gt;&lt;D xsi:type="xsd:double"&gt;2.5845885&lt;/D&gt;&lt;D xsi:type="xsd:double"&gt;0.6285429&lt;/D&gt;&lt;D xsi:type="xsd:double"&gt;3.5483599&lt;/D&gt;&lt;D xsi:type="xsd:double"&gt;3.1686187&lt;/D&gt;&lt;D xsi:type="xsd:double"&gt;4.16615&lt;/D&gt;&lt;D xsi:type="xsd:double"&gt;0.5679488&lt;/D&gt;&lt;D xsi:type="xsd:double"&gt;2.9040217&lt;/D&gt;&lt;D xsi:type="xsd:double"&gt;1.8772006&lt;/D&gt;&lt;D xsi:type="xsd:double"&gt;3.0307174&lt;/D&gt;&lt;D xsi:type="xsd:double"&gt;-3.5757065&lt;/D&gt;&lt;D xsi:type="xsd:double"&gt;5.941415&lt;/D&gt;&lt;D xsi:type="xsd:double"&gt;-2.073735&lt;/D&gt;&lt;D xsi:type="xsd:double"&gt;5.8046937&lt;/D&gt;&lt;D xsi:type="xsd:double"&gt;-4.6340704&lt;/D&gt;&lt;D xsi:type="xsd:double"&gt;-5.071199&lt;/D&gt;&lt;D xsi:type="xsd:double"&gt;5.658829&lt;/D&gt;&lt;D xsi:type="xsd:double"&gt;-9.034711&lt;/D&gt;&lt;D xsi:type="xsd:double"&gt;-0.584954&lt;/D&gt;&lt;D xsi:type="xsd:double"&gt;-6.520385&lt;/D&gt;&lt;D xsi:type="xsd:double"&gt;7.7457786&lt;/D&gt;&lt;D xsi:type="xsd:double"&gt;-3.4934342&lt;/D&gt;&lt;D xsi:type="xsd:double"&gt;-9.5255375&lt;/D&gt;&lt;D xsi:type="xsd:double"&gt;7.6544046&lt;/D&gt;&lt;D xsi:type="xsd:double"&gt;5.9450746&lt;/D&gt;&lt;D xsi:type="xsd:double"&gt;-5.6881847&lt;/D&gt;&lt;D xsi:type="xsd:double"&gt;7.4183464&lt;/D&gt;&lt;D xsi:type="xsd:double"&gt;-3.9094448&lt;/D&gt;&lt;D xsi:type="xsd:double"&gt;4.111862&lt;/D&gt;&lt;D xsi:type="xsd:double"&gt;1.4949083&lt;/D&gt;&lt;D xsi:type="xsd:double"&gt;1.5186191&lt;/D&gt;&lt;D xsi:type="xsd:double"&gt;5.4792523&lt;/D&gt;&lt;D xsi:type="xsd:double"&gt;2.9778004&lt;/D&gt;&lt;D xsi:type="xsd:double"&gt;-1.1588693&lt;/D&gt;&lt;D xsi:type="xsd:double"&gt;-4.9166737&lt;/D&gt;&lt;D xsi:type="xsd:double"&gt;-1.1275411&lt;/D&gt;&lt;D xsi:type="xsd:double"&gt;8.621586&lt;/D&gt;&lt;D xsi:type="xsd:double"&gt;3.9512873&lt;/D&gt;&lt;D xsi:type="xsd:double"&gt;2.9223084&lt;/D&gt;&lt;D xsi:type="xsd:double"&gt;4.8344135&lt;/D&gt;&lt;D xsi:type="xsd:double"&gt;2.1338582&lt;/D&gt;&lt;D xsi:type="xsd:double"&gt;-4.176873&lt;/D&gt;&lt;D xsi:type="xsd:double"&gt;5.4002166&lt;/D&gt;&lt;D xsi:type="xsd:double"&gt;3.7415385&lt;/D&gt;&lt;D xsi:type="xsd:double"&gt;-0.427258&lt;/D&gt;&lt;/FQL&gt;&lt;FQL&gt;&lt;Q&gt;EWN^FMA_PE(NTMA,-10AY,0,AM,"PORTAGG","MEANR")&lt;/Q&gt;&lt;R&gt;121&lt;/R&gt;&lt;C&gt;1&lt;/C&gt;&lt;D xsi:type="xsd:double"&gt;13.8612519222586&lt;/D&gt;&lt;D xsi:type="xsd:double"&gt;14.4572310569034&lt;/D&gt;&lt;D xsi:type="xsd:double"&gt;14.5183297068243&lt;/D&gt;&lt;D xsi:type="xsd:double"&gt;14.6029947441027&lt;/D&gt;&lt;D xsi:type="xsd:double"&gt;15.0756520747299&lt;/D&gt;&lt;D xsi:type="xsd:double"&gt;14.8474962949318&lt;/D&gt;&lt;D xsi:type="xsd:double"&gt;15.7673862704467&lt;/D&gt;&lt;D xsi:type="xsd:double"&gt;16.9244555464129&lt;/D&gt;&lt;D xsi:type="xsd:double"&gt;17.158007894023&lt;/D&gt;&lt;D xsi:type="xsd:double"&gt;16.8883612821547&lt;/D&gt;&lt;D xsi:type="xsd:double"&gt;16.9503402901938&lt;/D&gt;&lt;D xsi:type="xsd:double"&gt;16.5463519996948&lt;/D&gt;&lt;D xsi:type="xsd:double"&gt;16.8091333988136&lt;/D&gt;&lt;D xsi:type="xsd:double"&gt;14.6791923716135&lt;/D&gt;&lt;D xsi:type="xsd:double"&gt;14.2224090985233&lt;/D&gt;&lt;D xsi:type="xsd:double"&gt;15.8345823022642&lt;/D&gt;&lt;D xsi:type="xsd:double"&gt;16.3928469392427&lt;/D&gt;&lt;D xsi:type="xsd:double"&gt;15.3744123294909&lt;/D&gt;&lt;D xsi:type="xsd:double"&gt;15.0629184165664&lt;/D&gt;&lt;D xsi:type="xsd:double"&gt;15.2424495494411&lt;/D&gt;&lt;D xsi:type="xsd:double"&gt;15.1497446213715&lt;/D&gt;&lt;D xsi:type="xsd:double"&gt;14.946129809202&lt;/D&gt;&lt;D xsi:type="xsd:double"&gt;15.1136626537828&lt;/D&gt;&lt;D xsi:type="xsd:double"&gt;14.211112750831&lt;/D&gt;&lt;D xsi:type="xsd:double"&gt;14.6944898594773&lt;/D&gt;&lt;D xsi:type="xsd:double"&gt;15.0068261597007&lt;/D&gt;&lt;D xsi:type="xsd:double"&gt;14.9630416582273&lt;/D&gt;&lt;D xsi:type="xsd:double"&gt;14.5673891984479&lt;/D&gt;&lt;D xsi:type="xsd:double"&gt;14.3575768664828&lt;/D&gt;&lt;D xsi:type="xsd:double"&gt;15.0459531872303&lt;/D&gt;&lt;D xsi:type="xsd:double"&gt;14.9713606957398&lt;/D&gt;&lt;D xsi:type="xsd:double"&gt;15.7181675795303&lt;/D&gt;&lt;D xsi:type="xsd:double"&gt;16.086544809033&lt;/D&gt;&lt;D xsi:type="xsd:double"&gt;16.3458029265151&lt;/D&gt;&lt;D xsi:type="xsd:double"&gt;16.3567576150107&lt;/D&gt;&lt;D xsi:type="xsd:double"&gt;15.6412271612394&lt;/D&gt;&lt;D xsi:type="xsd:double"&gt;16.0302534437132&lt;/D&gt;&lt;D xsi:type="xsd:double"&gt;15.6909424418986&lt;/D&gt;&lt;D xsi:type="xsd:double"&gt;16.0204057170152&lt;/D&gt;&lt;D xsi:type="xsd:double"&gt;16.3588238205549&lt;/D&gt;&lt;D xsi:type="xsd:double"&gt;15.7640513277946&lt;/D&gt;&lt;D xsi:type="xsd:double"&gt;15.907886313488&lt;/D&gt;&lt;D xsi:type="xsd:double"&gt;16.2171815168603&lt;/D&gt;&lt;D xsi:type="xsd:double"&gt;15.4442060212217&lt;/D&gt;&lt;D xsi:type="xsd:double"&gt;15.3810444251276&lt;/D&gt;&lt;D xsi:type="xsd:double"&gt;15.659260052819&lt;/D&gt;&lt;D xsi:type="xsd:double"&gt;15.8200460711922&lt;/D&gt;&lt;D xsi:type="xsd:double"&gt;15.5222598755721&lt;/D&gt;&lt;D xsi:type="xsd:double"&gt;15.9701484964169&lt;/D&gt;&lt;D xsi:type="xsd:double"&gt;15.4862825689879&lt;/D&gt;&lt;D xsi:type="xsd:double"&gt;15.0231429095989&lt;/D&gt;&lt;D xsi:type="xsd:double"&gt;14.1652112522535&lt;/D&gt;&lt;D xsi:type="xsd:double"&gt;14.122416896252&lt;/D&gt;&lt;D xsi:type="xsd:double"&gt;13.0874773100853&lt;/D&gt;&lt;D xsi:type="xsd:double"&gt;14.1490824801262&lt;/D&gt;&lt;D xsi:type="xsd:double"&gt;14.979078434099&lt;/D&gt;&lt;D xsi:type="xsd:double"&gt;15.3354104883497&lt;/D&gt;&lt;D xsi:type="xsd:double"&gt;15.8049038339678&lt;/D&gt;&lt;D xsi:type="xsd:double"&gt;14.8405745987493&lt;/D&gt;&lt;D xsi:type="xsd:double"&gt;15.654701004396&lt;/D&gt;&lt;D xsi:type="xsd:double"&gt;15.8373428241743&lt;/D&gt;&lt;D xsi:type="xsd:double"&gt;15.411123426451&lt;/D&gt;&lt;D xsi:type="xsd:double"&gt;16.154735837528&lt;/D&gt;&lt;D xsi:type="xsd:double"&gt;16.3425801739007&lt;/D&gt;&lt;D xsi:type="xsd:double"&gt;16.7305213072439&lt;/D&gt;&lt;D xsi:type="xsd:double"&gt;17.007742429646&lt;/D&gt;&lt;D xsi:type="xsd:double"&gt;16.8189456167575&lt;/D&gt;&lt;D xsi:type="xsd:double"&gt;15.6522151155051&lt;/D&gt;&lt;D xsi:type="xsd:double"&gt;14.0425419905498&lt;/D&gt;&lt;D xsi:type="xsd:double"&gt;17.2144600259616&lt;/D&gt;&lt;D xsi:type="xsd:double"&gt;18.5871273373751&lt;/D&gt;&lt;D xsi:type="xsd:double"&gt;19.5233787220068&lt;/D&gt;&lt;D xsi:type="xsd:double"&gt;19.4070701657064&lt;/D&gt;&lt;D xsi:type="xsd:double"&gt;19.7723001853184&lt;/D&gt;&lt;D xsi:type="xsd:double"&gt;19.4228093834063&lt;/D&gt;&lt;D xsi:type="xsd:double"&gt;18.5871180103249&lt;/D&gt;&lt;D xsi:type="xsd:double"&gt;20.4159779139742&lt;/D&gt;&lt;D xsi:type="xsd:double"&gt;20.5781242257232&lt;/D&gt;&lt;D xsi:type="xsd:double"&gt;21.2819624622957&lt;/D&gt;&lt;D xsi:type="xsd:double"&gt;21.388505890049&lt;/D&gt;&lt;D xsi:type="xsd:double"&gt;22.7386615449256&lt;/D&gt;&lt;D xsi:type="xsd:double"&gt;21.8694192303021&lt;/D&gt;&lt;D xsi:type="xsd:double"&gt;21.3002708611311&lt;/D&gt;&lt;D xsi:type="xsd:double"&gt;21.2418654872644&lt;/D&gt;&lt;D xsi:type="xsd:double"&gt;21.4580485401318&lt;/D&gt;&lt;D xsi:type="xsd:double"&gt;22.0164183482002&lt;/D&gt;&lt;D xsi:type="xsd:double"&gt;20.2604898835083&lt;/D&gt;&lt;D xsi:type="xsd:double"&gt;21.2181100237521&lt;/D&gt;&lt;D xsi:type="xsd:double"&gt;20.4614652163441&lt;/D&gt;&lt;D xsi:type="xsd:double"&gt;20.6156105422855&lt;/D&gt;&lt;D xsi:type="xsd:double"&gt;18.9392248725958&lt;/D&gt;&lt;D xsi:type="xsd:double"&gt;17.3469503322023&lt;/D&gt;&lt;D xsi:type="xsd:double"&gt;18.3784351782723&lt;/D&gt;&lt;D xsi:type="xsd:double"&gt;17.1899384650319&lt;/D&gt;&lt;D xsi:type="xsd:double"&gt;17.1898699902436&lt;/D&gt;&lt;D xsi:type="xsd:double"&gt;15.8399377332913&lt;/D&gt;&lt;D xsi:type="xsd:double"&gt;17.9676133831939&lt;/D&gt;&lt;D xsi:type="xsd:double"&gt;15.6689388797343&lt;/D&gt;&lt;D xsi:type="xsd:double"&gt;14.3557537296509&lt;/D&gt;&lt;D xsi:type="xsd:double"&gt;15.3608831812473&lt;/D&gt;&lt;D xsi:type="xsd:double"&gt;16.4769659931692&lt;/D&gt;&lt;D xsi:type="xsd:double"&gt;15.3296391927015&lt;/D&gt;&lt;D xsi:type="xsd:double"&gt;17.1352736331275&lt;/D&gt;&lt;D xsi:type="xsd:double"&gt;16.42604630493&lt;/D&gt;&lt;D xsi:type="xsd:double"&gt;16.5539690403413&lt;/D&gt;&lt;D xsi:type="xsd:double"&gt;15.7953850703818&lt;/D&gt;&lt;D xsi:type="xsd:double"&gt;15.6090835620832&lt;/D&gt;&lt;D xsi:type="xsd:double"&gt;15.8423339530839&lt;/D&gt;&lt;D xsi:type="xsd:double"&gt;16.0909290167229&lt;/D&gt;&lt;D xsi:type="xsd:double"&gt;14.7321925748935&lt;/D&gt;&lt;D xsi:type="xsd:double"&gt;13.6306146163874&lt;/D&gt;&lt;D xsi:type="xsd:double"&gt;13.3931435141327&lt;/D&gt;&lt;D xsi:type="xsd:double"&gt;14.6385634864013&lt;/D&gt;&lt;D xsi:type="xsd:double"&gt;15.1008577463554&lt;/D&gt;&lt;D xsi:type="xsd:double"&gt;15.7137155650965&lt;/D&gt;&lt;D xsi:type="xsd:double"&gt;16.0014657078102&lt;/D&gt;&lt;D xsi:type="xsd:double"&gt;16.349763204004&lt;/D&gt;&lt;D xsi:type="xsd:double"&gt;15.5782376316087&lt;/D&gt;&lt;D xsi:type="xsd:double"&gt;16.0789608252623&lt;/D&gt;&lt;D xsi:type="xsd:double"&gt;16.2004373430057&lt;/D&gt;&lt;D xsi:type="xsd:double"&gt;15.3412227399393&lt;/D&gt;&lt;/FQL&gt;&lt;FQL&gt;&lt;Q&gt;DDR3512M-FDS^FG_PRICE_CHANGE(0,-1AM)&lt;/Q&gt;&lt;R&gt;1&lt;/R&gt;&lt;C&gt;1&lt;/C&gt;&lt;D xsi:type="xsd:double"&gt;-2.76008705980028&lt;/D&gt;&lt;/FQL&gt;&lt;FQL&gt;&lt;Q&gt;PLATI-FDS^FG_PRICE_CHANGE(0,-6AM)&lt;/Q&gt;&lt;R&gt;1&lt;/R&gt;&lt;C&gt;1&lt;/C&gt;&lt;D xsi:type="xsd:double"&gt;7.23684210526316&lt;/D&gt;&lt;/FQL&gt;&lt;FQL&gt;&lt;Q&gt;SPY^FG_PRICE_MAVG(0,,,,200)&lt;/Q&gt;&lt;R&gt;1&lt;/R&gt;&lt;C&gt;1&lt;/C&gt;&lt;D xsi:type="xsd:double"&gt;498.9899&lt;/D&gt;&lt;/FQL&gt;&lt;FQL&gt;&lt;Q&gt;REFFFUND-FDS^PROPER_NAME(0,,,"SECURITY","NAME")&lt;/Q&gt;&lt;R&gt;1&lt;/R&gt;&lt;C&gt;1&lt;/C&gt;&lt;D xsi:type="xsd:string"&gt;US Federal Funds Target Rate&lt;/D&gt;&lt;/FQL&gt;&lt;FQL&gt;&lt;Q&gt;QQQ^FMA_PE(NTMA,0,,,"PORTAGG","MEANR")&lt;/Q&gt;&lt;R&gt;1&lt;/R&gt;&lt;C&gt;1&lt;/C&gt;&lt;D xsi:type="xsd:double"&gt;26.0955667512413&lt;/D&gt;&lt;/FQL&gt;&lt;FQL&gt;&lt;Q&gt;CC_JP^IMF_IFS_RCPI_Q(0)&lt;/Q&gt;&lt;R&gt;0&lt;/R&gt;&lt;C&gt;0&lt;/C&gt;&lt;/FQL&gt;&lt;FQL&gt;&lt;Q&gt;REFGBBANK-FDS^PROPER_NAME(0,,,"SECURITY","NAME")&lt;/Q&gt;&lt;R&gt;1&lt;/R&gt;&lt;C&gt;1&lt;/C&gt;&lt;D xsi:type="xsd:string"&gt;UK Bank Rate&lt;/D&gt;&lt;/FQL&gt;&lt;FQL&gt;&lt;Q&gt;USDJPY^STD(FG_PRICE_CHANGE(0,-1AY,AM))&lt;/Q&gt;&lt;R&gt;1&lt;/R&gt;&lt;C&gt;1&lt;/C&gt;&lt;D xsi:type="xsd:double"&gt;3.31680610435094&lt;/D&gt;&lt;/FQL&gt;&lt;FQL&gt;&lt;Q&gt;QQQ^FG_TOTAL_RETURNC(-10AY,0,AM)&lt;/Q&gt;&lt;R&gt;121&lt;/R&gt;&lt;C&gt;1&lt;/C&gt;&lt;D xsi:type="xsd:double"&gt;-0.2843976&lt;/D&gt;&lt;D xsi:type="xsd:double"&gt;5.3977013&lt;/D&gt;&lt;D xsi:type="xsd:double"&gt;-2.3439407&lt;/D&gt;&lt;D xsi:type="xsd:double"&gt;4.310262&lt;/D&gt;&lt;D xsi:type="xsd:double"&gt;3.362918&lt;/D&gt;&lt;D xsi:type="xsd:double"&gt;-1.1231303&lt;/D&gt;&lt;D xsi:type="xsd:double"&gt;-2.082324&lt;/D&gt;&lt;D xsi:type="xsd:double"&gt;7.220578&lt;/D&gt;&lt;D xsi:type="xsd:double"&gt;-2.8689086&lt;/D&gt;&lt;D xsi:type="xsd:double"&gt;3.8077116&lt;/D&gt;&lt;D xsi:type="xsd:double"&gt;1.256299&lt;/D&gt;&lt;D xsi:type="xsd:double"&gt;-2.0380378&lt;/D&gt;&lt;D xsi:type="xsd:double"&gt;3.734243&lt;/D&gt;&lt;D xsi:type="xsd:double"&gt;-9.736485&lt;/D&gt;&lt;D xsi:type="xsd:double"&gt;1.407516&lt;/D&gt;&lt;D xsi:type="xsd:double"&gt;10.868716&lt;/D&gt;&lt;D xsi:type="xsd:double"&gt;1.6147494&lt;/D&gt;&lt;D xsi:type="xsd:double"&gt;-2.5628269&lt;/D&gt;&lt;D xsi:type="xsd:double"&gt;-6.6601095&lt;/D&gt;&lt;D xsi:type="xsd:double"&gt;1.3217092&lt;/D&gt;&lt;D xsi:type="xsd:double"&gt;4.6286583&lt;/D&gt;&lt;D xsi:type="xsd:double"&gt;-4.204422&lt;/D&gt;&lt;D xsi:type="xsd:double"&gt;4.379487&lt;/D&gt;&lt;D xsi:type="xsd:double"&gt;-1.7934501&lt;/D&gt;&lt;D xsi:type="xsd:double"&gt;7.1798563&lt;/D&gt;&lt;D xsi:type="xsd:double"&gt;0.7769346&lt;/D&gt;&lt;D xsi:type="xsd:double"&gt;1.9508839&lt;/D&gt;&lt;D xsi:type="xsd:double"&gt;-2.1984518&lt;/D&gt;&lt;D xsi:type="xsd:double"&gt;-0.5511999&lt;/D&gt;&lt;D xsi:type="xsd:double"&gt;2.9112458&lt;/D&gt;&lt;D xsi:type="xsd:double"&gt;5.8659673&lt;/D&gt;&lt;D xsi:type="xsd:double"&gt;4.791522&lt;/D&gt;&lt;D xsi:type="xsd:double"&gt;0.92482567&lt;/D&gt;&lt;D xsi:type="xsd:double"&gt;3.6410332&lt;/D&gt;&lt;D xsi:type="xsd:double"&gt;3.3819199&lt;/D&gt;&lt;D xsi:type="xsd:double"&gt;-2.6952684&lt;/D&gt;&lt;D xsi:type="xsd:double"&gt;4.301071&lt;/D&gt;&lt;D xsi:type="xsd:double"&gt;1.6996384&lt;/D&gt;&lt;D xsi:type="xsd:double"&gt;-0.15810728&lt;/D&gt;&lt;D xsi:type="xsd:double"&gt;4.572022&lt;/D&gt;&lt;D xsi:type="xsd:double"&gt;1.5713334&lt;/D&gt;&lt;D xsi:type="xsd:double"&gt;1.0313988&lt;/D&gt;&lt;D xsi:type="xsd:double"&gt;7.832575&lt;/D&gt;&lt;D xsi:type="xsd:double"&gt;-2.071929&lt;/D&gt;&lt;D xsi:type="</t>
        </r>
      </text>
    </comment>
    <comment ref="A13" authorId="0" shapeId="0" xr:uid="{7C3A6F5A-1966-48B3-A58F-67EF3B168EB6}">
      <text>
        <r>
          <rPr>
            <b/>
            <sz val="9"/>
            <color indexed="81"/>
            <rFont val="Tahoma"/>
            <charset val="1"/>
          </rPr>
          <t>xsd:double"&gt;-2.4835646&lt;/D&gt;&lt;D xsi:type="xsd:double"&gt;1.6548991&lt;/D&gt;&lt;D xsi:type="xsd:double"&gt;6.118691&lt;/D&gt;&lt;D xsi:type="xsd:double"&gt;-0.41799545&lt;/D&gt;&lt;D xsi:type="xsd:double"&gt;3.1867146&lt;/D&gt;&lt;D xsi:type="xsd:double"&gt;5.380535&lt;/D&gt;&lt;D xsi:type="xsd:double"&gt;-0.07830858&lt;/D&gt;&lt;D xsi:type="xsd:double"&gt;-7.579094&lt;/D&gt;&lt;D xsi:type="xsd:double"&gt;-1.563412&lt;/D&gt;&lt;D xsi:type="xsd:double"&gt;-8.654338&lt;/D&gt;&lt;D xsi:type="xsd:double"&gt;8.550501&lt;/D&gt;&lt;D xsi:type="xsd:double"&gt;4.1445255&lt;/D&gt;&lt;D xsi:type="xsd:double"&gt;4.576361&lt;/D&gt;&lt;D xsi:type="xsd:double"&gt;3.784883&lt;/D&gt;&lt;D xsi:type="xsd:double"&gt;-7.92886&lt;/D&gt;&lt;D xsi:type="xsd:double"&gt;9.041679&lt;/D&gt;&lt;D xsi:type="xsd:double"&gt;0.4702568&lt;/D&gt;&lt;D xsi:type="xsd:double"&gt;-1.4094114&lt;/D&gt;&lt;D xsi:type="xsd:double"&gt;0.094759464&lt;/D&gt;&lt;D xsi:type="xsd:double"&gt;6.1942577&lt;/D&gt;&lt;D xsi:type="xsd:double"&gt;3.132701&lt;/D&gt;&lt;D xsi:type="xsd:double"&gt;3.885603&lt;/D&gt;&lt;D xsi:type="xsd:double"&gt;3.0384302&lt;/D&gt;&lt;D xsi:type="xsd:double"&gt;-6.0574236&lt;/D&gt;&lt;D xsi:type="xsd:double"&gt;-11.22551&lt;/D&gt;&lt;D xsi:type="xsd:double"&gt;16.69135&lt;/D&gt;&lt;D xsi:type="xsd:double"&gt;10.021615&lt;/D&gt;&lt;D xsi:type="xsd:double"&gt;7.203591&lt;/D&gt;&lt;D xsi:type="xsd:double"&gt;6.1080337&lt;/D&gt;&lt;D xsi:type="xsd:double"&gt;12.840962&lt;/D&gt;&lt;D xsi:type="xsd:double"&gt;-5.7549953&lt;/D&gt;&lt;D xsi:type="xsd:double"&gt;-4.559785&lt;/D&gt;&lt;D xsi:type="xsd:double"&gt;12.651264&lt;/D&gt;&lt;D xsi:type="xsd:double"&gt;3.575468&lt;/D&gt;&lt;D xsi:type="xsd:double"&gt;2.766633&lt;/D&gt;&lt;D xsi:type="xsd:double"&gt;0.36287308&lt;/D&gt;&lt;D xsi:type="xsd:double"&gt;0.42710304&lt;/D&gt;&lt;D xsi:type="xsd:double"&gt;4.1346908&lt;/D&gt;&lt;D xsi:type="xsd:double"&gt;-1.529628&lt;/D&gt;&lt;D xsi:type="xsd:double"&gt;6.657815&lt;/D&gt;&lt;D xsi:type="xsd:double"&gt;2.820313&lt;/D&gt;&lt;D xsi:type="xsd:double"&gt;4.3914676&lt;/D&gt;&lt;D xsi:type="xsd:double"&gt;-5.253124&lt;/D&gt;&lt;D xsi:type="xsd:double"&gt;7.5656652&lt;/D&gt;&lt;D xsi:type="xsd:double"&gt;-0.080013275&lt;/D&gt;&lt;D xsi:type="xsd:double"&gt;2.9044032&lt;/D&gt;&lt;D xsi:type="xsd:double"&gt;-8.126182&lt;/D&gt;&lt;D xsi:type="xsd:double"&gt;-6.574196&lt;/D&gt;&lt;D xsi:type="xsd:double"&gt;6.093383&lt;/D&gt;&lt;D xsi:type="xsd:double"&gt;-13.430983&lt;/D&gt;&lt;D xsi:type="xsd:double"&gt;-2.3144424&lt;/D&gt;&lt;D xsi:type="xsd:double"&gt;-7.627654&lt;/D&gt;&lt;D xsi:type="xsd:double"&gt;11.746347&lt;/D&gt;&lt;D xsi:type="xsd:double"&gt;-5.033779&lt;/D&gt;&lt;D xsi:type="xsd:double"&gt;-10.575753&lt;/D&gt;&lt;D xsi:type="xsd:double"&gt;2.9372096&lt;/D&gt;&lt;D xsi:type="xsd:double"&gt;6.764579&lt;/D&gt;&lt;D xsi:type="xsd:double"&gt;-9.121961&lt;/D&gt;&lt;D xsi:type="xsd:double"&gt;13.008869&lt;/D&gt;&lt;D xsi:type="xsd:double"&gt;-3.230095&lt;/D&gt;&lt;D xsi:type="xsd:double"&gt;10.379577&lt;/D&gt;&lt;D xsi:type="xsd:double"&gt;0.3926158&lt;/D&gt;&lt;D xsi:type="xsd:double"&gt;9.255409&lt;/D&gt;&lt;D xsi:type="xsd:double"&gt;5.090022&lt;/D&gt;&lt;D xsi:type="xsd:double"&gt;3.619182&lt;/D&gt;&lt;D xsi:type="xsd:double"&gt;-1.3584495&lt;/D&gt;&lt;D xsi:type="xsd:double"&gt;-4.9795685&lt;/D&gt;&lt;D xsi:type="xsd:double"&gt;-0.3656447&lt;/D&gt;&lt;D xsi:type="xsd:double"&gt;9.239138&lt;/D&gt;&lt;D xsi:type="xsd:double"&gt;5.284989&lt;/D&gt;&lt;D xsi:type="xsd:double"&gt;3.0181766&lt;/D&gt;&lt;D xsi:type="xsd:double"&gt;5.624819&lt;/D&gt;&lt;D xsi:type="xsd:double"&gt;-0.017225742&lt;/D&gt;&lt;D xsi:type="xsd:double"&gt;-5.265766&lt;/D&gt;&lt;D xsi:type="xsd:double"&gt;6.924939&lt;/D&gt;&lt;D xsi:type="xsd:double"&gt;7.0964336&lt;/D&gt;&lt;D xsi:type="xsd:double"&gt;-4.619026&lt;/D&gt;&lt;/FQL&gt;&lt;FQL&gt;&lt;Q&gt;SPY^FG_PRICE_MAVG(0,,,,60)&lt;/Q&gt;&lt;R&gt;1&lt;/R&gt;&lt;C&gt;1&lt;/C&gt;&lt;D xsi:type="xsd:double"&gt;540.282&lt;/D&gt;&lt;/FQL&gt;&lt;FQL&gt;&lt;Q&gt;EWA^P_PRICE(0)/P_PRICE_LOW_PR(0,,,,,,"PRICE","INTRA","52W")-1&lt;/Q&gt;&lt;R&gt;1&lt;/R&gt;&lt;C&gt;1&lt;/C&gt;&lt;D xsi:type="xsd:double"&gt;0.1940372&lt;/D&gt;&lt;/FQL&gt;&lt;FQL&gt;&lt;Q&gt;EWC^FMA_COS_DOWN("EPS","1M",+1,0,,,"PORTAGG","MEANR")&lt;/Q&gt;&lt;R&gt;1&lt;/R&gt;&lt;C&gt;1&lt;/C&gt;&lt;D xsi:type="xsd:double"&gt;34&lt;/D&gt;&lt;/FQL&gt;&lt;FQL&gt;&lt;Q&gt;REFNZOCR-FDS^FG_YIELD(NOW,,,0)&lt;/Q&gt;&lt;R&gt;1&lt;/R&gt;&lt;C&gt;1&lt;/C&gt;&lt;D xsi:type="xsd:double"&gt;5.5&lt;/D&gt;&lt;/FQL&gt;&lt;FQL&gt;&lt;Q&gt;TRYUS10Y-FDS^FG_YIELD_NAME&lt;/Q&gt;&lt;R&gt;1&lt;/R&gt;&lt;C&gt;1&lt;/C&gt;&lt;D xsi:type="xsd:string"&gt;US Benchmark Bond - 10 Year&lt;/D&gt;&lt;/FQL&gt;&lt;FQL&gt;&lt;Q&gt;CC_GB^IMF_IFS_RCPI_Q(0)&lt;/Q&gt;&lt;R&gt;0&lt;/R&gt;&lt;C&gt;0&lt;/C&gt;&lt;/FQL&gt;&lt;FQL&gt;&lt;Q&gt;EWN^FMA_PE(NTMA,0,,,"PORTAGG","MEANR")&lt;/Q&gt;&lt;R&gt;1&lt;/R&gt;&lt;C&gt;1&lt;/C&gt;&lt;D xsi:type="xsd:double"&gt;15.3412227399393&lt;/D&gt;&lt;/FQL&gt;&lt;FQL&gt;&lt;Q&gt;QQQ^FMA_PE(LTM,0,,,"PORTAGG","MEANR")&lt;/Q&gt;&lt;R&gt;1&lt;/R&gt;&lt;C&gt;1&lt;/C&gt;&lt;D xsi:type="xsd:double"&gt;34.8219608535861&lt;/D&gt;&lt;/FQL&gt;&lt;FQL&gt;&lt;Q&gt;EWA^FMA_DIV_YLD(NTMA,NOW,NOW,M,"PORTAGG","MEANR")&lt;/Q&gt;&lt;R&gt;1&lt;/R&gt;&lt;C&gt;1&lt;/C&gt;&lt;D xsi:type="xsd:double"&gt;3.83874754053863&lt;/D&gt;&lt;/FQL&gt;&lt;FQL&gt;&lt;Q&gt;VWO^FG_TOTAL_RETURNC(0,-1AM)&lt;/Q&gt;&lt;R&gt;1&lt;/R&gt;&lt;C&gt;1&lt;/C&gt;&lt;D xsi:type="xsd:double"&gt;-0.6839931&lt;/D&gt;&lt;/FQL&gt;&lt;FQL&gt;&lt;Q&gt;VGK^JULIAN(FMA_DIV_YLD(NTMA,NOW,NOW,M,"PORTAGG","MEANR").DATES)&lt;/Q&gt;&lt;R&gt;1&lt;/R&gt;&lt;C&gt;1&lt;/C&gt;&lt;D xsi:type="xsd:long"&gt;45471&lt;/D&gt;&lt;/FQL&gt;&lt;FQL&gt;&lt;Q&gt;QQQ^JULIAN(FMA_DIV_YLD(NTMA,NOW,NOW,M,"PORTAGG","MEANR").DATES)&lt;/Q&gt;&lt;R&gt;1&lt;/R&gt;&lt;C&gt;1&lt;/C&gt;&lt;D xsi:type="xsd:long"&gt;45504&lt;/D&gt;&lt;/FQL&gt;&lt;FQL&gt;&lt;Q&gt;EWJ^FMA_PE(LTM,0,,,"PORTAGG","MEANR")&lt;/Q&gt;&lt;R&gt;1&lt;/R&gt;&lt;C&gt;1&lt;/C&gt;&lt;D xsi:type="xsd:double"&gt;16.6409094356515&lt;/D&gt;&lt;/FQL&gt;&lt;FQL&gt;&lt;Q&gt;QQQ^FMA_RBICS_REV_CURRENT(30, LOC, "PORTAGG")&lt;/Q&gt;&lt;R&gt;1&lt;/R&gt;&lt;C&gt;1&lt;/C&gt;&lt;D xsi:type="xsd:double"&gt;0.753235479992886&lt;/D&gt;&lt;/FQL&gt;&lt;FQL&gt;&lt;Q&gt;EWJ^JULIAN(FMA_DIV_YLD(NTMA,NOW,NOW,M,"PORTAGG","MEANR").DATES)&lt;/Q&gt;&lt;R&gt;1&lt;/R&gt;&lt;C&gt;1&lt;/C&gt;&lt;D xsi:type="xsd:long"&gt;45502&lt;/D&gt;&lt;/FQL&gt;&lt;FQL&gt;&lt;Q&gt;EWA^FMA_PE(NTMA,-10AY,0,AM,"PORTAGG","MEANR")&lt;/Q&gt;&lt;R&gt;121&lt;/R&gt;&lt;C&gt;1&lt;/C&gt;&lt;D xsi:type="xsd:double"&gt;14.8204287429637&lt;/D&gt;&lt;D xsi:type="xsd:double"&gt;14.8837061335486&lt;/D&gt;&lt;D xsi:type="xsd:double"&gt;13.955948541859&lt;/D&gt;&lt;D xsi:type="xsd:double"&gt;14.6171477501576&lt;/D&gt;&lt;D xsi:type="xsd:double"&gt;13.6225151931944&lt;/D&gt;&lt;D xsi:type="xsd:double"&gt;14.5931855361321&lt;/D&gt;&lt;D xsi:type="xsd:double"&gt;15.2362716214905&lt;/D&gt;&lt;D xsi:type="xsd:double"&gt;16.3202924327073&lt;/D&gt;&lt;D xsi:type="xsd:double"&gt;16.1744051216899&lt;/D&gt;&lt;D xsi:type="xsd:double"&gt;16.2534079600681&lt;/D&gt;&lt;D xsi:type="xsd:double"&gt;15.7521685962513&lt;/D&gt;&lt;D xsi:type="xsd:double"&gt;15.2648789160827&lt;/D&gt;&lt;D xsi:type="xsd:double"&gt;15.6963684051369&lt;/D&gt;&lt;D xsi:type="xsd:double"&gt;14.1788704331145&lt;/D&gt;&lt;D xsi:type="xsd:double"&gt;14.4841162629616&lt;/D&gt;&lt;D xsi:type="xsd:double"&gt;15.0311255121562&lt;/D&gt;&lt;D xsi:type="xsd:double"&gt;15.2822520086963&lt;/D&gt;&lt;D xsi:type="xsd:double"&gt;15.7577891400844&lt;/D&gt;&lt;D xsi:type="xsd:double"&gt;15.380540728003&lt;/D&gt;&lt;D xsi:type="xsd:double"&gt;15.2168801140055&lt;/D&gt;&lt;D xsi:type="xsd:double"&gt;15.4658529260418&lt;/D&gt;&lt;D xsi:type="xsd:double"&gt;16.1850679988962&lt;/D&gt;&lt;D xsi:type="xsd:double"&gt;16.3231242313008&lt;/D&gt;&lt;D xsi:type="xsd:double"&gt;15.999973819414&lt;/D&gt;&lt;D xsi:type="xsd:double"&gt;16.8597668262974&lt;/D&gt;&lt;D xsi:type="xsd:double"&gt;16.3645486578706&lt;/D&gt;&lt;D xsi:type="xsd:double"&gt;16.2714200349259&lt;/D&gt;&lt;D xsi:type="xsd:double"&gt;15.7124878274619&lt;/D&gt;&lt;D xsi:type="xsd:double"&gt;15.9092042968328&lt;/D&gt;&lt;D xsi:type="xsd:double"&gt;15.7804147186182&lt;/D&gt;&lt;D xsi:type="xsd:double"&gt;15.6510894924739&lt;/D&gt;&lt;D xsi:type="xsd:double"&gt;15.7063122255334&lt;/D&gt;&lt;D xsi:type="xsd:double"&gt;15.8592587383625&lt;/D&gt;&lt;D xsi:type="xsd:double"&gt;16.0425707137031&lt;/D&gt;&lt;D xsi:type="xsd:double"&gt;15.2269808529645&lt;/D&gt;&lt;D xsi:type="xsd:double"&gt;15.4265713988627&lt;/D&gt;&lt;D xsi:type="xsd:double"&gt;15.8372423211236&lt;/D&gt;&lt;D xsi:type="xsd:double"&gt;15.6384385009527&lt;/D&gt;&lt;D xsi:type="xsd:double"&gt;15.4254496003211&lt;/D&gt;&lt;D xsi:type="xsd:double"&gt;15.8497308142667&lt;/D&gt;&lt;D xsi:type="xsd:double"&gt;15.8621452188413&lt;/D&gt;&lt;D xsi:type="xsd:double"&gt;16.0258597214481&lt;/D&gt;&lt;D xsi:type="xsd:double"&gt;15.8673382937729&lt;/D&gt;&lt;D xsi:type="xsd:double"&gt;15.422031430463&lt;/D&gt;&lt;D xsi:type="xsd:double"&gt;14.7277990890281&lt;/D&gt;&lt;D xsi:type="xsd:double"&gt;15.2318540726896&lt;/D&gt;&lt;D xsi:type="xsd:double"&gt;15.0356792812731&lt;/D&gt;&lt;D xsi:type="xsd:double"&gt;15.4879372293169&lt;/D&gt;&lt;D xsi:type="xsd:double"&gt;15.6275612660485&lt;/D&gt;&lt;D xsi:type="xsd:double"&gt;15.6920441685479&lt;/D&gt;&lt;D xsi:type="xsd:double"&gt;15.1910963159558&lt;/D&gt;&lt;D xsi:type="xsd:double"&gt;14.367653808729&lt;/D&gt;&lt;D xsi:type="xsd:double"&gt;14.057780519792&lt;/D&gt;&lt;D xsi:type="xsd:double"&gt;13.9599013149694&lt;/D&gt;&lt;D xsi:type="xsd:double"&gt;14.6180898442541&lt;/D&gt;&lt;D xsi:type="xsd:double"&gt;15.4389791308334&lt;/D&gt;&lt;D xsi:type="xsd:double"&gt;15.3617798327976&lt;/D&gt;&lt;D xsi:type="xsd:double"&gt;15.5011668036274&lt;/D&gt;&lt;D xsi:type="xsd:double"&gt;15.5061517606689&lt;/D&gt;&lt;D xsi:type="xsd:double"&gt;16.2091093433349&lt;/D&gt;&lt;D xsi:type="xsd:double"&gt;16.4210275343788&lt;/D&gt;&lt;D xsi:type="xsd:double"&gt;15.9437412283025&lt;/D&gt;&lt;D xsi:type="xsd:double"&gt;16.7635581926263&lt;/D&gt;&lt;D xsi:type="xsd:double"&gt;16.908821260171&lt;/D&gt;&lt;D xsi:type="xsd:double"&gt;17.3687962440651&lt;/D&gt;&lt;D xsi:type="xsd:double"&gt;17.1775797198552&lt;/D&gt;&lt;D xsi:type="xsd:double"&gt;17.8997930548609&lt;/D&gt;&lt;D xsi:type="xsd:double"&gt;16.474077348146&lt;/D&gt;&lt;D xsi:type="xsd:double"&gt;14.5926014163013&lt;/D&gt;&lt;D xsi:type="xsd:double"&gt;16.6199755158604&lt;/D&gt;&lt;D xsi:type="xsd:double"&gt;18.8508555202161&lt;/D&gt;&lt;D xsi:type="xsd:double"&gt;18.9167723184463&lt;/D&gt;&lt;D xsi:type="xsd:double"&gt;19.0209536693887&lt;/D&gt;&lt;D xsi:type="xsd:double"&gt;19.1912067417959&lt;/D&gt;&lt;D xsi:type="xsd:double"&gt;18.1771577257187&lt;/D&gt;&lt;D xsi:type="xsd:double"&gt;17.7619109934881&lt;/D&gt;&lt;D xsi:type="xsd:double"&gt;19.6652027768605&lt;/D&gt;&lt;D xsi:type="xsd:double"&gt;18.9693708470683&lt;/D&gt;&lt;D xsi:type="xsd:double"&gt;18.5838490790294&lt;/D&gt;&lt;D xsi:type="xsd:double"&gt;18.3177926077925&lt;/D&gt;&lt;D xsi:type="xsd:double"&gt;17.6611665393569&lt;/D&gt;&lt;D xsi:type="xsd:double"&gt;17.9952989060456&lt;/D&gt;&lt;D xsi:type="xsd:double"&gt;18.015948492338&lt;/D&gt;&lt;D xsi:type="xsd:double"&gt;17.2239919994022&lt;/D&gt;&lt;D xsi:type="xsd:double"&gt;16.7884811693106&lt;/D&gt;&lt;D xsi:type="xsd:double"&gt;17.3651907229276&lt;/D&gt;&lt;D xsi:type="xsd:double"&gt;16.7414712683616&lt;/D&gt;&lt;D xsi:type="xsd:double"&gt;17.5555794330538&lt;/D&gt;&lt;D xsi:type="xsd:double"&gt;16.9593745702021&lt;/D&gt;&lt;D xsi:type="xsd:double"&gt;17.4970792673071&lt;/D&gt;&lt;D xsi:type="xsd:double"&gt;15.6082935604984&lt;/D&gt;&lt;D xsi:type="xsd:double"&gt;15.5647993379779&lt;/D&gt;&lt;D xsi:type="xsd:double"&gt;16.1527514548227&lt;/D&gt;&lt;D xsi:type="xsd:double"&gt;15.0445005468484&lt;/D&gt;&lt;D xsi:type="xsd:double"&gt;14.2739948813691&lt;/D&gt;&lt;D xsi:type="xsd:double"&gt;12.4724347323239&lt;/D&gt;&lt;D xsi:type="xsd:double"&gt;13.9943265734729&lt;/D&gt;&lt;D xsi:type="xsd:double"&gt;13.5691282557353&lt;/D&gt;&lt;D xsi:type="xsd:double"&gt;12.5463699651518&lt;/D&gt;&lt;D xsi:type="xsd:double"&gt;13.5963465076197&lt;/D&gt;&lt;D xsi:type="xsd:double"&gt;14.7952983059235&lt;/D&gt;&lt;D xsi:type="xsd:double"&gt;14.1727504256807&lt;/D&gt;&lt;D xsi:type="xsd:double"&gt;15.0357269506426&lt;/D&gt;&lt;D xsi:type="xsd:double"&gt;14.4501995011096&lt;/D&gt;&lt;D xsi:type="xsd:double"&gt;14.3117517505269&lt;/D&gt;&lt;D xsi:type="xsd:double"&gt;14.6573201466997&lt;/D&gt;&lt;D xsi:type="xsd:double"&gt;14.2552286364496&lt;/D&gt;&lt;D xsi:type="xsd:double"&gt;14.9313123571497&lt;/D&gt;&lt;D xsi:type="xsd:double"&gt;15.7029312571826&lt;/D&gt;&lt;D xsi:type="xsd:double"&gt;15.5104648620548&lt;/D&gt;&lt;D xsi:type="xsd:double"&gt;14.9055833664576&lt;/D&gt;&lt;D xsi:type="xsd:double"&gt;14.4188500798774&lt;/D&gt;&lt;D xsi:type="xsd:double"&gt;15.3253993852093&lt;/D&gt;&lt;D xsi:type="xsd:double"&gt;16.4578810774905&lt;/D&gt;&lt;D xsi:type="xsd:double"&gt;16.3724250598506&lt;/D&gt;&lt;D xsi:type="xsd:double"&gt;16.6808928800685&lt;/D&gt;&lt;D xsi:type="xsd:double"&gt;16.7326577932529&lt;/D&gt;&lt;D xsi:type="xsd:double"&gt;16.1777241479265&lt;/D&gt;&lt;D xsi:type="xsd:double"&gt;16.5526929776329&lt;/D&gt;&lt;D xsi:type="xsd:double"&gt;16.8136582350751&lt;/D&gt;&lt;D xsi:type="xsd:double"&gt;17.2480581309438&lt;/D&gt;&lt;/FQL&gt;&lt;FQL&gt;&lt;Q&gt;EWU^FMA_RBICS_REV_CURRENT(30, LOC, "PORTAGG")&lt;/Q&gt;&lt;R&gt;1&lt;/R&gt;&lt;C&gt;1&lt;/C&gt;&lt;D xsi:type="xsd:double"&gt;19.404935114088&lt;/D&gt;&lt;/FQL&gt;&lt;FQL&gt;&lt;Q&gt;VWO^SIZE(FG_CONSTITUENTS)&lt;/Q&gt;&lt;R&gt;1&lt;/R&gt;&lt;C&gt;1&lt;/C&gt;&lt;D xsi:type="xsd:long"&gt;4767&lt;/D&gt;&lt;/FQL&gt;&lt;FQL&gt;&lt;Q&gt;TRYAU10Y-FDS^PCTCHG(FG_YIELD(0,,,,"YTM"),FG_YIELD(-1AM,,,,"YTM"))&lt;/Q&gt;&lt;R&gt;1&lt;/R&gt;&lt;C&gt;1&lt;/C&gt;&lt;D xsi:type="xsd:double"&gt;-6.7305517&lt;/D&gt;&lt;/FQL&gt;&lt;FQL&gt;&lt;Q&gt;CC_CA^IMF_IFS_RCPI_Q(0)&lt;/Q&gt;&lt;R&gt;0&lt;/R&gt;&lt;C&gt;0&lt;/C&gt;&lt;/FQL&gt;&lt;FQL&gt;&lt;Q&gt;UUP^P_PRICE(0)/P_PRICE_HIGH_PR(0,,,USD,,,"PRICE","INTRA","52W")&lt;/Q&gt;&lt;R&gt;1&lt;/R&gt;&lt;C&gt;1&lt;/C&gt;&lt;D xsi:type="xsd:double"&gt;0.95673794&lt;/D&gt;&lt;/FQL&gt;&lt;FQL&gt;&lt;Q&gt;ENZL^FMA_ROE(NTMA,-20AY,NOW,FY,"PORTAGG","MEANR")&lt;/Q&gt;&lt;R&gt;20&lt;/R&gt;&lt;C&gt;1&lt;/C&gt;&lt;D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xsi:type="xsd:double"&gt;7.5322638919869&lt;/D&gt;&lt;D xsi:type="xsd:double"&gt;6.44400181202057&lt;/D&gt;&lt;D xsi:type="xsd:double"&gt;7.7689690341127&lt;/D&gt;&lt;D xsi:type="xsd:double"&gt;6.57910753918315&lt;/D&gt;&lt;/FQL&gt;&lt;FQL&gt;&lt;Q&gt;TRYTW10Y-FDS^FG_YIELD(-10AY,0,Y,,"YTM")&lt;/Q&gt;&lt;R&gt;10&lt;/R&gt;&lt;C&gt;1&lt;/C&gt;&lt;D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xsi:type="xsd:double"&gt;3.81180271683843&lt;/D&gt;&lt;/FQL&gt;&lt;FQL&gt;&lt;Q&gt;EWJ^FMA_PE(NTMA,-10AY,0,AM,"PORTAGG","MEANR")&lt;/Q&gt;&lt;R&gt;121&lt;/R&gt;&lt;C&gt;1&lt;/C&gt;&lt;D xsi:type="xsd:double"&gt;13.8186266306269&lt;/D&gt;&lt;D xsi:type="xsd:double"&gt;13.5853551672164&lt;/D&gt;&lt;D xsi:type="xsd:double"&gt;14.0037083848337&lt;/D&gt;&lt;D xsi:type="xsd:double"&gt;13.9869905302651&lt;/D&gt;&lt;D xsi:type="xsd:double"&gt;14.5701753839163&lt;/D&gt;&lt;D xsi:type="xsd:double"&gt;14.2976940656876&lt;/D&gt;&lt;D xsi:type="xsd:double"&gt;14.0144152447374&lt;/D&gt;&lt;D xsi:type="xsd:double"&gt;15.1015622612669&lt;/D&gt;&lt;D xsi:type="xsd:double"&gt;15.0649545109149&lt;/D&gt;&lt;D xsi:type="xsd:double"&gt;15.6616916730624&lt;/D&gt;&lt;D xsi:type="xsd:double"&gt;16.3510098822949&lt;/D&gt;&lt;D xsi:type="xsd:double"&gt;15.4448121585912&lt;/D&gt;&lt;D xsi:type="xsd:double"&gt;15.5549826524311&lt;/D&gt;&lt;D xsi:type="xsd:double"&gt;13.6441972916762&lt;/D&gt;&lt;D xsi:type="xsd:double"&gt;13.2591916261833&lt;/D&gt;&lt;D xsi:type="xsd:double"&gt;14.3851291143222&lt;/D&gt;&lt;D xsi:type="xsd:double"&gt;14.7711034545788&lt;/D&gt;&lt;D xsi:type="xsd:double"&gt;14.0592028995939&lt;/D&gt;&lt;D xsi:type="xsd:double"&gt;13.323653817854&lt;/D&gt;&lt;D xsi:type="xsd:double"&gt;12.3015127707037&lt;/D&gt;&lt;D xsi:type="xsd:double"&gt;12.3706974096579&lt;/D&gt;&lt;D xsi:type="xsd:double"&gt;12.8681650989449&lt;/D&gt;&lt;D xsi:type="xsd:double"&gt;13.6170175000058&lt;/D&gt;&lt;D xsi:type="xsd:double"&gt;12.6818555773172&lt;/D&gt;&lt;D xsi:type="xsd:double"&gt;13.3922993188955&lt;/D&gt;&lt;D xsi:type="xsd:double"&gt;13.5949036767571&lt;/D&gt;&lt;D xsi:type="xsd:double"&gt;13.3536745368456&lt;/D&gt;&lt;D xsi:type="xsd:double"&gt;13.842141569609&lt;/D&gt;&lt;D xsi:type="xsd:double"&gt;14.6735182133348&lt;/D&gt;&lt;D xsi:type="xsd:double"&gt;14.666066308777&lt;/D&gt;&lt;D xsi:type="xsd:double"&gt;14.4330201562073&lt;/D&gt;&lt;D xsi:type="xsd:double"&gt;14.2886708905287&lt;/D&gt;&lt;D xsi:type="xsd:double"&gt;13.7674669359031&lt;/D&gt;&lt;D xsi:type="xsd:double"&gt;13.924343181177&lt;/D&gt;&lt;D xsi:type="xsd:double"&gt;14.366157876494&lt;/D&gt;&lt;D xsi:type="xsd:double"&gt;14.3027048416095&lt;/D&gt;&lt;D xsi:type="xsd:double"&gt;14.2536317446626&lt;/D&gt;&lt;D xsi:type="xsd:double"&gt;13.7297054110204&lt;/D&gt;&lt;D xsi:type="xsd:double"&gt;14.0118512503269&lt;/D&gt;&lt;D xsi:type="xsd:double"&gt;14.7493862101983&lt;/D&gt;&lt;D xsi:type="xsd:double"&gt;14.7504364366261&lt;/D&gt;&lt;D xsi:type="xsd:double"&gt;14.7172858599221&lt;/D&gt;&lt;D xsi:type="xsd:double"&gt;14.9197210054985&lt;/D&gt;&lt;D xsi:type="xsd:double"&gt;13.0502538838804&lt;/D&gt;&lt;D xsi:type="xsd:double"&gt;12.6801796785625&lt;/D&gt;&lt;D xsi:type="xsd:double"&gt;13.2132149025556&lt;/D&gt;&lt;D xsi:type="xsd:double"&gt;12.9500813214387&lt;/D&gt;&lt;D xsi:type="xsd:double"&gt;12.7818554015054&lt;/D&gt;&lt;D xsi:type="xsd:double"&gt;13.030670362463&lt;/D&gt;&lt;D xsi:type="xsd:double"&gt;12.6994134229768&lt;/D&gt;&lt;D xsi:type="xsd:double"&gt;13.3312564007342&lt;/D&gt;&lt;D xsi:type="xsd:double"&gt;11.9128103240253&lt;/D&gt;&lt;D xsi:type="xsd:double"&gt;12.2456849881368&lt;/D&gt;&lt;D xsi:type="xsd:double"&gt;11.1043383882119&lt;/D&gt;&lt;D xsi:type="xsd:double"&gt;11.9182586991163&lt;/D&gt;&lt;D xsi:type="xsd:double"&gt;12.572848675728&lt;/D&gt;&lt;D xsi:type="xsd:double"&gt;12.6441539638234&lt;/D&gt;&lt;D xsi:type="xsd:double"&gt;12.7456676537944&lt;/D&gt;&lt;D xsi:type="xsd:double"&gt;12.1876913137614&lt;/D&gt;&lt;D xsi:type="xsd:double"&gt;12.9832117397877&lt;/D&gt;&lt;D xsi:type="xsd:double"&gt;12.8708386551993&lt;/D&gt;&lt;D xsi:type="xsd:double"&gt;12.3809222220557&lt;/D&gt;&lt;D xsi:type="xsd:double"&gt;13.3170996865814&lt;/D&gt;&lt;D xsi:type="xsd:double"&gt;13.8323194712722&lt;/D&gt;&lt;D xsi:type="xsd:double"&gt;14.2181336370353&lt;/D&gt;&lt;D xsi:type="xsd:double"&gt;14.5324935785119&lt;/D&gt;&lt;D xsi:type="xsd:double"&gt;14.2143773006561&lt;/D&gt;&lt;D xsi:type="xsd:double"&gt;12.9860798644863&lt;/D&gt;&lt;D xsi:type="xsd:double"&gt;11.8490628097768&lt;/D&gt;&lt;D xsi:type="xsd:double"&gt;13.8015097793768&lt;/D&gt;&lt;D xsi:type="xsd:double"&gt;16.5831804065256&lt;/D&gt;&lt;D xsi:type="xsd:double"&gt;17.4170401027676&lt;/D&gt;&lt;D xsi:type="xsd:double"&gt;17.0912511848955&lt;/D&gt;&lt;D xsi:type="xsd:double"&gt;18.1016751910541&lt;/D&gt;&lt;D xsi:type="xsd:double"&gt;18.0754288785973&lt;/D&gt;&lt;D xsi:type="xsd:double"&gt;17.118485615195&lt;/D&gt;&lt;D xsi:type="xsd:double"&gt;18.5865108446457&lt;/D&gt;&lt;D xsi:type="xsd:double"&gt;18.3692008225545&lt;/D&gt;&lt;D xsi:type="xsd:double"&gt;18.2421075945043&lt;/D&gt;&lt;D xsi:type="xsd:double"&gt;17.9538238552302&lt;/D&gt;&lt;D xsi:type="xsd:double"&gt;17.5855019315093&lt;/D&gt;&lt;D xsi:type="xsd:double"&gt;16.6871023988684&lt;/D&gt;&lt;D xsi:type="xsd:double"&gt;16.4494440791969&lt;/D&gt;&lt;D xsi:type="xsd:double"&gt;16.1847311242253&lt;/D&gt;&lt;D xsi:type="xsd:double"&gt;15.5393408717968&lt;/D&gt;&lt;D xsi:type="xsd:double"&gt;15.4817130004932&lt;/D&gt;&lt;D xsi:type="xsd:double"&gt;15.1591459762825&lt;/D&gt;&lt;D xsi:type="xsd:double"&gt;15.4692956078939&lt;/D&gt;&lt;D xsi:type="xsd:double"&gt;14.4276781040047&lt;/D&gt;&lt;D xsi:type="xsd:double"&gt;14.5056304866125&lt;/D&gt;&lt;D xsi:type="xsd:double"&gt;13.6185862687538&lt;/D&gt;&lt;D xsi:type="xsd:double"&gt;13.2023259118016&lt;/D&gt;&lt;D xsi:type="xsd:double"&gt;13.2659039327655&lt;/D&gt;&lt;D xsi:type="xsd:double"&gt;12.82540765537&lt;/D&gt;&lt;D xsi:type="xsd:double"&gt;12.9813462370993&lt;/D&gt;&lt;D xsi:type="xsd:double"&gt;12.1577786876913&lt;/D&gt;&lt;D xsi:type="xsd:double"&gt;12.8777035262305&lt;/D&gt;&lt;D xsi:type="xsd:double"&gt;12.6574474475612&lt;/D&gt;&lt;D xsi:type="xsd:double"&gt;11.8310228623086&lt;/D&gt;&lt;D xsi:type="xsd:double"&gt;12.566676979139&lt;/D&gt;&lt;D xsi:type="xsd:double"&gt;12.9080745770954&lt;/D&gt;&lt;D xsi:type="xsd:double"&gt;12.2038896558743&lt;/D&gt;&lt;D xsi:type="xsd:double"&gt;12.8652185385497&lt;/D&gt;&lt;D xsi:type="xsd:double"&gt;13.1155999099582&lt;/D&gt;&lt;D xsi:type="xsd:double"&gt;13.1586255534666&lt;/D&gt;&lt;D xsi:type="xsd:double"&gt;13.6151657328043&lt;/D&gt;&lt;D xsi:type="xsd:double"&gt;14.0961659755313&lt;/D&gt;&lt;D xsi:type="xsd:double"&gt;14.8859640232373&lt;/D&gt;&lt;D xsi:type="xsd:double"&gt;14.8934153522771&lt;/D&gt;&lt;D xsi:type="xsd:double"&gt;14.6649066233104&lt;/D&gt;&lt;D xsi:type="xsd:double"&gt;14.3534068686435&lt;/D&gt;&lt;D xsi:type="xsd:double"&gt;14.0696298448803&lt;/D&gt;&lt;D xsi:type="xsd:double"&gt;14.3052634214014&lt;/D&gt;&lt;D xsi:type="xsd:double"&gt;14.0456219856881&lt;/D&gt;&lt;D xsi:type="xsd:double"&gt;14.9467150374184&lt;/D&gt;&lt;D xsi:type="xsd:double"&gt;15.8135723186191&lt;/D&gt;&lt;D xsi:type="xsd:double"&gt;15.5937784303328&lt;/D&gt;&lt;D xsi:type="xsd:double"&gt;15.4138845295074&lt;/D&gt;&lt;D xsi:type="xsd:double"&gt;15.5762300076337&lt;/D&gt;&lt;D xsi:type="xsd:double"&gt;15.6683594386812&lt;/D&gt;&lt;D xsi:type="xsd:double"&gt;15.0398202360288&lt;/D&gt;&lt;/FQL&gt;&lt;FQL&gt;&lt;Q&gt;DDR3512M-FDS^FG_PRICE_MAVG(0,,,,30)&lt;/Q&gt;&lt;R&gt;1&lt;/R&gt;&lt;C&gt;1&lt;/C&gt;&lt;D xsi:type="xsd:double"&gt;0.92674845&lt;/D&gt;&lt;/FQL&gt;&lt;FQL&gt;&lt;Q&gt;PLATI-FDS^FG_PRICE_CHANGE(0,-3AM)&lt;/Q&gt;&lt;R&gt;1&lt;/R&gt;&lt;C&gt;1&lt;/C&gt;&lt;D xsi:type="xsd:double"&gt;2.73109243697478&lt;/D&gt;&lt;/FQL&gt;&lt;FQL&gt;&lt;Q&gt;COPP-FDS^FG_PRICE_CHANGE(0,-1AY)&lt;/Q&gt;&lt;R&gt;1&lt;/R&gt;&lt;C&gt;1&lt;/C&gt;&lt;D xsi:type="xsd:double"&gt;4.44330294079875&lt;/D&gt;&lt;/FQL&gt;&lt;FQL&gt;&lt;Q&gt;EWA^FG_PRICE_MAVG(0,,,,30)&lt;/Q&gt;&lt;R&gt;1&lt;/R&gt;&lt;C&gt;1&lt;/C&gt;&lt;D xsi:type="xsd:double"&gt;24.786&lt;/D&gt;&lt;/FQL&gt;&lt;FQL&gt;&lt;Q&gt;EWI^FMA_PCT_ABOVE_MAVG(200,0,,,,"PORTAGG")&lt;/Q&gt;&lt;R&gt;1&lt;/R&gt;&lt;C&gt;1&lt;/C&gt;&lt;D xsi:type="xsd:double"&gt;52&lt;/D&gt;&lt;/FQL&gt;&lt;FQL&gt;&lt;Q&gt;EWQ^PERCENT_CHANGE(FMA_EPS(+1,0,,,,"PORTAGG","MEAN"),FMA_EPS(+1,-1AM,,,,"PORTAGG","MEAN"))&lt;/Q&gt;&lt;R&gt;1&lt;/R&gt;&lt;C&gt;1&lt;/C&gt;&lt;D xsi:type="xsd:double"&gt;-1.01124248631536&lt;/D&gt;&lt;/FQL&gt;&lt;FQL&gt;&lt;Q&gt;EWU^P_PRICE(0)/P_PRICE_LOW_PR(0,,,,,,"PRICE","INTRA","52W")-1&lt;/Q&gt;&lt;R&gt;1&lt;/R&gt;&lt;C&gt;1&lt;/C&gt;&lt;D xsi:type="xsd:double"&gt;0.18314528&lt;/D&gt;&lt;/FQL&gt;&lt;FQL&gt;&lt;Q&gt;EWJ^PERCENT_CHANGE(FMA_EPS(+1,0,,,,"PORTAGG","MEAN"),FMA_EPS(+1,-1AM,,,,"PORTAGG","MEAN"))&lt;/Q&gt;&lt;R&gt;1&lt;/R&gt;&lt;C&gt;1&lt;/C&gt;&lt;D xsi:type="xsd:double"&gt;5.15312271522793&lt;/D&gt;&lt;/FQL&gt;&lt;FQL&gt;&lt;Q&gt;SPY^FMA_COS_DOWN("EPS","1M",+1,0,,,"PORTAGG","MEANR")&lt;/Q&gt;&lt;R&gt;1&lt;/R&gt;&lt;C&gt;1&lt;/C&gt;&lt;D xsi:type="xsd:double"&gt;207&lt;/D&gt;&lt;/FQL&gt;&lt;FQL&gt;&lt;Q&gt;EWQ^FMA_COS_UP("EPS","1M",+1,0,,,"PORTAGG","MEANR")&lt;/Q&gt;&lt;R&gt;1&lt;/R&gt;&lt;C&gt;1&lt;/C&gt;&lt;D xsi:type="xsd:double"&gt;15&lt;/D&gt;&lt;/FQL&gt;&lt;FQL&gt;&lt;Q&gt;EWI^FMA_RBICS_REV_CURRENT(30, LOC, "PORTAGG")&lt;/Q&gt;&lt;R&gt;1&lt;/R&gt;&lt;C&gt;1&lt;/C&gt;&lt;D xsi:type="xsd:double"&gt;37.0297073578114&lt;/D&gt;&lt;/FQL&gt;&lt;FQL&gt;&lt;Q&gt;ENZL^FG_ROE(0)&lt;/Q&gt;&lt;R&gt;1&lt;/R&gt;&lt;C&gt;1&lt;/C&gt;&lt;D xsi:type="xsd:double"&gt;4.86605863523276&lt;/D&gt;&lt;/FQL&gt;&lt;FQL&gt;&lt;Q&gt;TRYDE10Y-FDS^PCTCHG(FG_YIELD(0,,,,"YTM"),FG_YIELD(-3AM,,,,"YTM"))&lt;/Q&gt;&lt;R&gt;1&lt;/R&gt;&lt;C&gt;1&lt;/C&gt;&lt;D xsi:type="xsd:double"&gt;-12.896977&lt;/D&gt;&lt;/FQL&gt;&lt;FQL&gt;&lt;Q&gt;DBA^FG_TOTAL_RETURNC(0,-3AM)&lt;/Q&gt;&lt;R&gt;1&lt;/R&gt;&lt;C&gt;1&lt;/C&gt;&lt;D xsi:type="xsd:double"&gt;-2.4328828&lt;/D&gt;&lt;/FQL&gt;&lt;FQL&gt;&lt;Q&gt;TRYDE10Y-FDS^PCTCHG(FG_YIELD(0,,,,"YTM"),FG_YIELD(-1AM,,,,"YTM"))&lt;/Q&gt;&lt;R&gt;1&lt;/R&gt;&lt;C&gt;1&lt;/C&gt;&lt;D xsi:type="xsd:double"&gt;-13.166017&lt;/D&gt;&lt;/FQL&gt;&lt;FQL&gt;&lt;Q&gt;EWI^FMA_EVAL_EBIT(LTMA,NOW,NOW,M,"PORTAGG","MEANR")&lt;/Q&gt;&lt;R&gt;1&lt;/R&gt;&lt;C&gt;1&lt;/C&gt;&lt;D xsi:type="xsd:double"&gt;11.0234960739959&lt;/D&gt;&lt;/FQL&gt;&lt;FQL&gt;&lt;Q&gt;EWU^FG_FCF_YIELD_NTM(0)&lt;/Q&gt;&lt;R&gt;1&lt;/R&gt;&lt;C&gt;1&lt;/C&gt;&lt;D xsi:type="xsd:double"&gt;6.20086743533828&lt;/D&gt;&lt;/FQL&gt;&lt;FQL&gt;&lt;Q&gt;CC_AU^FG_COMPANY_NAME&lt;/Q&gt;&lt;R&gt;1&lt;/R&gt;&lt;C&gt;1&lt;/C&gt;&lt;D xsi:type="xsd:string"&gt;Australia&lt;/D&gt;&lt;/FQL&gt;&lt;FQL&gt;&lt;Q&gt;EWL^FG_TOTAL_RETURNC(-10AY,0,AM)&lt;/Q&gt;&lt;R&gt;121&lt;/R&gt;&lt;C&gt;1&lt;/C&gt;&lt;D xsi:type="xsd:double"&gt;-5.6391&lt;/D&gt;&lt;D xsi:type="xsd:double"&gt;3.0646682&lt;/D&gt;&lt;D xsi:type="xsd:double"&gt;-4.2818966&lt;/D&gt;&lt;D xsi:type="xsd:double"&gt;0.559175&lt;/D&gt;&lt;D xsi:type="xsd:double"&gt;2.6258945&lt;/D&gt;&lt;D xsi:type="xsd:double"&gt;-4.605663&lt;/D&gt;&lt;D xsi:type="xsd:double"&gt;0.1893282&lt;/D&gt;&lt;D xsi:type="xsd:double"&gt;4.944885&lt;/D&gt;&lt;D xsi:type="xsd:double"&gt;0.8403301&lt;/D&gt;&lt;D xsi:type="xsd:double"&gt;4.285717&lt;/D&gt;&lt;D xsi:type="xsd:double"&gt;0.42808056&lt;/D&gt;&lt;D xsi:type="xsd:double"&gt;-4.245466&lt;/D&gt;&lt;D xsi:type="xsd:double"&gt;3.6159158&lt;/D&gt;&lt;D xsi:type="xsd:double"&gt;-8.856302&lt;/D&gt;&lt;D xsi:type="xsd:double"&gt;-1.5765786&lt;/D&gt;&lt;D xsi:type="xsd:double"&gt;3.8574696&lt;/D&gt;&lt;D xsi:type="xsd:double"&gt;-2.2033393&lt;/D&gt;&lt;D xsi:type="xsd:double"&gt;-0.096553564&lt;/D&gt;&lt;D xsi:type="xsd:double"&gt;-6.1855674&lt;/D&gt;&lt;D xsi:type="xsd:double"&gt;-0.30906796&lt;/D&gt;&lt;D xsi:type="xsd:double"&gt;1.8601418&lt;/D&gt;&lt;D xsi:type="xsd:double"&gt;3.5170794&lt;/D&gt;&lt;D xsi:type="xsd:double"&gt;0.22867918&lt;/D&gt;&lt;D xsi:type="xsd:double"&gt;-0.24908781&lt;/D&gt;&lt;D xsi:type="xsd:double"&gt;0.87219477&lt;/D&gt;&lt;D xsi:type="xsd:double"&gt;0.6318569&lt;/D&gt;&lt;D xsi:type="xsd:double"&gt;0.95835924&lt;/D&gt;&lt;D xsi:type="xsd:double"&gt;-4.746312&lt;/D&gt;&lt;D xsi:type="xsd:double"&gt;-3.1615138&lt;/D&gt;&lt;D xsi:type="xsd:double"&gt;4.607451&lt;/D&gt;&lt;D xsi:type="xsd:double"&gt;4.3448806&lt;/D&gt;&lt;D xsi:type="xsd:double"&gt;1.7892003&lt;/D&gt;&lt;D xsi:type="xsd:double"&gt;2.2051692&lt;/D&gt;&lt;D xsi:type="xsd:double"&gt;4.3151975&lt;/D&gt;&lt;D xsi:type="xsd:double"&gt;5.125892&lt;/D&gt;&lt;D xsi:type="xsd:double"&gt;-0.07533431&lt;/D&gt;&lt;D xsi:type="xsd:double"&gt;0.990963&lt;/D&gt;&lt;D xsi:type="xsd:double"&gt;-1.1255503&lt;/D&gt;&lt;D xsi:type="xsd:double"&gt;2.2475243&lt;/D&gt;&lt;D xsi:type="xsd:double"&gt;-1.9982815&lt;/D&gt;&lt;D xsi:type="xsd:double"&gt;2.330315&lt;/D&gt;&lt;D xsi:type="xsd:double"&gt;1.2809634&lt;/D&gt;&lt;D xsi:type="xsd:double"&gt;4.7498584&lt;/D&gt;&lt;D xsi:type="xsd:double"&gt;-7.9688787&lt;/D&gt;&lt;D xsi:type="xsd:double"&gt;0.2040863&lt;/D&gt;&lt;D xsi:type="xsd:double"&gt;-1.3092816&lt;/D&gt;&lt;D xsi:type="xsd:double"&gt;-0.6191015&lt;/D&gt;&lt;D xsi:type="xsd:double"&gt;-0.92853904&lt;/D&gt;&lt;D xsi:type="xsd:double"&gt;6.1694264&lt;/D&gt;&lt;D xsi:type="xsd:double"&gt;0.5203843&lt;/D&gt;&lt;D xsi:type="xsd:double"&gt;-0.115042925&lt;/D&gt;&lt;D xsi:type="xsd:double"&gt;-3.8583338&lt;/D&gt;&lt;D xsi:type="xsd:double"&gt;-0.5390823&lt;/D&gt;&lt;D xsi:type="xsd:double"&gt;-5.0888243&lt;/D&gt;&lt;D xsi:type="xsd:double"&gt;5.298221&lt;/D&gt;&lt;D xsi:type="xsd:double"&gt;4.9111247&lt;/D&gt;&lt;D xsi:type="xsd:double"&gt;2.2400856&lt;/D&gt;&lt;D xsi:type="xsd:double"&gt;1.3483286&lt;/D&gt;&lt;D xsi:type="xsd:double"&gt;-0.33259988&lt;/D&gt;&lt;D xsi:type="xsd:double"&gt;6.283617&lt;/D&gt;&lt;D xsi:type="xsd:double"&gt;-0.48063993&lt;/D&gt;&lt;D xsi:type="xsd:double"&gt;0.53663254&lt;/D&gt;&lt;D xsi:type="xsd:double"&gt;-0.5871415&lt;/D&gt;&lt;D xsi:type="xsd:double"&gt;3.9194584&lt;/D&gt;&lt;D xsi:type="xsd:double"&gt;0.49083233&lt;/D&gt;&lt;D xsi:type="xsd:double"&gt;4.4730067&lt;/D&gt;&lt;D xsi:type="xsd:double"&gt;0.24607182&lt;/D&gt;&lt;D xsi:type="xsd:double"&gt;-7.020128&lt;/D&gt;&lt;D xsi:type="xsd:double"&gt;-8.922916&lt;/D&gt;&lt;D xsi:type="xsd:double"&gt;5.478263&lt;/D&gt;&lt;D xsi:type="xsd:double"&gt;6.622696&lt;/D&gt;&lt;D xsi:type="xsd:double"&gt;3.1190157&lt;/D&gt;&lt;D xsi:type="xsd:double"&gt;2.9464006&lt;/D&gt;&lt;D xsi:type="xsd:double"&gt;3.1828284&lt;/D&gt;&lt;D xsi:type="xsd:double"&gt;-1.0282159&lt;/D&gt;&lt;D xsi:type="xsd:double"&gt;-5.943465&lt;/D&gt;&lt;D xsi:type="xsd:double"&gt;11.045467&lt;/D&gt;&lt;D xsi:type="xsd:double"&gt;3.4081578&lt;/D&gt;&lt;D xsi:type="xsd:double"&gt;-0.51476955&lt;/D&gt;&lt;D xsi:type="xsd:double"&gt;-1.5298069&lt;/D&gt;&lt;D xsi:type="xsd:double"&gt;2.6959062&lt;/D&gt;&lt;D xsi:type="xsd:double"&gt;2.9810905&lt;/D&gt;&lt;D xsi:type="xsd:double"&gt;5.9624076&lt;/D&gt;&lt;D xsi:type="xsd:double"&gt;1.2838721&lt;/D&gt;&lt;D xsi:type="xsd:double"&gt;2.9930353&lt;/D&gt;&lt;D xsi:type="xsd:double"&gt;1.4729261&lt;/D&gt;&lt;D xsi:type="xsd:double"&gt;-7.8462124&lt;/D&gt;&lt;D xsi:type="xsd:double"&gt;7.492554&lt;/D&gt;&lt;D xsi:type="xsd:double"&gt;-3.0296981&lt;/D&gt;&lt;D xsi:type="xsd:double"&gt;7.678163&lt;/D&gt;&lt;D xsi:type="xsd:double"&gt;-5.1393867&lt;/D&gt;&lt;D xsi:type="xsd:double"&gt;-5.1979246&lt;/D&gt;&lt;D xsi:type="xsd:double"&gt;4.407418&lt;/D&gt;&lt;D xsi:type="xsd:double"&gt;-6.2815547&lt;/D&gt;&lt;D xsi:type="xsd:double"&gt;-3.8793147&lt;/D&gt;&lt;D xsi:type="xsd:double"&gt;-4.869169&lt;/D&gt;&lt;D xsi:type="xsd:double"&gt;4.54545&lt;/D&gt;&lt;D xsi:type="xsd:double"&gt;-7.7294707&lt;/D&gt;&lt;D xsi:type="xsd:double"&gt;-6.6317616&lt;/D&gt;&lt;D xsi:type="xsd:double"&gt;4.2456627&lt;/D&gt;&lt;D xsi:type="xsd:double"&gt;11.424171&lt;/D&gt;&lt;D xsi:type="xsd:double"&gt;-3.6091924&lt;/D&gt;&lt;D xsi:type="xsd:double"&gt;8.44264&lt;/D&gt;&lt;D xsi:type="xsd:double"&gt;-4.596436&lt;/D&gt;&lt;D xsi:type="xsd:double"&gt;4.4721007&lt;/D&gt;&lt;D xsi:type="xsd:double"&gt;6.1120987&lt;/D&gt;&lt;D xsi:type="xsd:double"&gt;-2.9320002&lt;/D&gt;&lt;D xsi:type="xsd:double"&gt;1.2154818&lt;/D&gt;&lt;D xsi:type="xsd:double"&gt;2.1856785&lt;/D&gt;&lt;D xsi:type="xsd:double"&gt;-2.7318954&lt;/D&gt;&lt;D xsi:type="xsd:double"&gt;-5.138254&lt;/D&gt;&lt;D xsi:type="xsd:double"&gt;-2.5935292&lt;/D&gt;&lt;D xsi:type="xsd:double"&gt;7.9877496&lt;/D&gt;&lt;D xsi:type="xsd:double"&gt;5.324018&lt;/D&gt;&lt;D xsi:type="xsd:double"&gt;-0.84939003&lt;/D&gt;&lt;D xsi:type="xsd:double"&gt;-1.6088605&lt;/D&gt;&lt;D xsi:type="xsd:double"&gt;0.7220268&lt;/D&gt;&lt;D xsi:type="xsd:double"&gt;-4.5962453&lt;/D&gt;&lt;D xsi:type="xsd:double"&gt;8.640885&lt;/D&gt;&lt;D xsi:type="xsd:double"&gt;-0.062185526&lt;/D&gt;&lt;D xsi:type="xsd:double"&gt;4.1147113&lt;/D&gt;&lt;/FQL&gt;&lt;FQL&gt;&lt;Q&gt;EWG^FMA_PE(NTMA,-10AY,0,AM,"PORTAGG","MEANR")&lt;/Q&gt;&lt;R&gt;121&lt;/R&gt;&lt;C&gt;1&lt;/C&gt;&lt;D xsi:type="xsd:double"&gt;12.3347824705966&lt;/D&gt;&lt;D xsi:type="xsd:double"&gt;12.5684138824964&lt;/D&gt;&lt;D xsi:type="xsd:double"&gt;12.3750566166674&lt;/D&gt;&lt;D xsi:type="xsd:double"&gt;12.2997736717441&lt;/D&gt;&lt;D xsi:type="xsd:double"&gt;13.1292981071664&lt;/D&gt;&lt;D xsi:type="xsd:double"&gt;12.8434669890816&lt;/D&gt;&lt;D xsi:type="xsd:double"&gt;13.9831599569778&lt;/D&gt;&lt;D xsi:type="xsd:double"&gt;14.8213749994138&lt;/D&gt;&lt;D xsi:type="xsd:double"&gt;15.4770747455457&lt;/D&gt;&lt;D xsi:type="xsd:double"&gt;14.5569971956958&lt;/D&gt;&lt;D xsi:type="xsd:double"&gt;14.1231698657779&lt;/D&gt;&lt;D xsi:type="xsd:double"&gt;13.6364668381086&lt;/D&gt;&lt;D xsi:type="xsd:double"&gt;13.7553346204986&lt;/D&gt;&lt;D xsi:type="xsd:double"&gt;12.1598747927558&lt;/D&gt;&lt;D xsi:type="xsd:double"&gt;11.6915773352854&lt;/D&gt;&lt;D xsi:type="xsd:double"&gt;13.3647461553588&lt;/D&gt;&lt;D xsi:type="xsd:double"&gt;14.0262353267374&lt;/D&gt;&lt;D xsi:type="xsd:double"&gt;13.3509645902165&lt;/D&gt;&lt;D xsi:type="xsd:double"&gt;12.3246399820035&lt;/D&gt;&lt;D xsi:type="xsd:double"&gt;12.4363342241899&lt;/D&gt;&lt;D xsi:type="xsd:double"&gt;12.5186064134994&lt;/D&gt;&lt;D xsi:type="xsd:double"&gt;12.7755065394228&lt;/D&gt;&lt;D xsi:type="xsd:double"&gt;12.6237239876012&lt;/D&gt;&lt;D xsi:type="xsd:double"&gt;12.0769572673331&lt;/D&gt;&lt;D xsi:type="xsd:double"&gt;12.7323195848768&lt;/D&gt;&lt;D xsi:type="xsd:double"&gt;12.8741092059004&lt;/D&gt;&lt;D xsi:type="xsd:double"&gt;12.875623321803&lt;/D&gt;&lt;D xsi:type="xsd:double"&gt;12.7482599579122&lt;/D&gt;&lt;D xsi:type="xsd:double"&gt;12.6638298847164&lt;/D&gt;&lt;D xsi:type="xsd:double"&gt;13.6385817263297&lt;/D&gt;&lt;D xsi:type="xsd:double"&gt;13.700727661715&lt;/D&gt;&lt;D xsi:type="xsd:double"&gt;13.9448709197979&lt;/D&gt;&lt;D xsi:type="xsd:double"&gt;14.0644180489508&lt;/D&gt;&lt;D xsi:type="xsd:double"&gt;13.961337440784&lt;/D&gt;&lt;D xsi:type="xsd:double"&gt;13.7756013569756&lt;/D&gt;&lt;D xsi:type="xsd:double"&gt;13.2857038333978&lt;/D&gt;&lt;D xsi:type="xsd:double"&gt;13.178051623269&lt;/D&gt;&lt;D xsi:type="xsd:double"&gt;13.0136614052677&lt;/D&gt;&lt;D xsi:type="xsd:double"&gt;13.6674893399511&lt;/D&gt;&lt;D xsi:type="xsd:double"&gt;14.2753490343753&lt;/D&gt;&lt;D xsi:type="xsd:double"&gt;13.7322685017056&lt;/D&gt;&lt;D xsi:type="xsd:double"&gt;13.7384136589018&lt;/D&gt;&lt;D xsi:type="xsd:double"&gt;13.6731725946708&lt;/D&gt;&lt;D xsi:type="xsd:double"&gt;12.8747004762825&lt;/D&gt;&lt;D xsi:type="xsd:double"&gt;12.7480705914781&lt;/D&gt;&lt;D xsi:type="xsd:double"&gt;13.1919646729993&lt;/D&gt;&lt;D xsi:type="xsd:double"&gt;13.1606055802944&lt;/D&gt;&lt;D xsi:type="xsd:double"&gt;12.7246507591889&lt;/D&gt;&lt;D xsi:type="xsd:double"&gt;13.1426179512201&lt;/D&gt;&lt;D xsi:type="xsd:double"&gt;12.8487783933063&lt;/D&gt;&lt;D xsi:type="xsd:double"&gt;12.7629835604686&lt;/D&gt;&lt;D xsi:type="xsd:double"&gt;11.7419156985559&lt;/D&gt;&lt;D xsi:type="xsd:double"&gt;11.5262510132241&lt;/D&gt;&lt;D xsi:type="xsd:double"&gt;10.9212601040765&lt;/D&gt;&lt;D xsi:type="xsd:double"&gt;11.7351785206771&lt;/D&gt;&lt;D xsi:type="xsd:double"&gt;12.2225715604446&lt;/D&gt;&lt;D xsi:type="xsd:double"&gt;12.2960618722553&lt;/D&gt;&lt;D xsi:type="xsd:double"&gt;12.9772311900107&lt;/D&gt;&lt;D xsi:type="xsd:double"&gt;12.1109148274646&lt;/D&gt;&lt;D xsi:type="xsd:double"&gt;12.8694261709758&lt;/D&gt;&lt;D xsi:type="xsd:double"&gt;12.9191006959106&lt;/D&gt;&lt;D xsi:type="xsd:double"&gt;12.5139450991495&lt;/D&gt;&lt;D xsi:type="xsd:double"&gt;12.8910676247318&lt;/D&gt;&lt;D xsi:type="xsd:double"&gt;13.651618672883&lt;/D&gt;&lt;D xsi:type="xsd:double"&gt;14.0872778464288&lt;/D&gt;&lt;D xsi:type="xsd:double"&gt;14.0793923786763&lt;/D&gt;&lt;D xsi:type="xsd:double"&gt;13.8458279539415&lt;/D&gt;&lt;D xsi:type="xsd:double"&gt;12.6907237186621&lt;/D&gt;&lt;D xsi:type="xsd:double"&gt;11.7096077329815&lt;/D&gt;&lt;D xsi:type="xsd:double"&gt;15.1729980028329&lt;/D&gt;&lt;D xsi:type="xsd:double"&gt;16.8760118230798&lt;/D&gt;&lt;D xsi:type="xsd:double"&gt;17.710278978973&lt;/D&gt;&lt;D xsi:type="xsd:double"&gt;17.4132627231127&lt;/D&gt;&lt;D xsi:type="xsd:double"&gt;17.7610998453495&lt;/D&gt;&lt;D xsi:type="xsd:double"&gt;16.8419299868708&lt;/D&gt;&lt;D xsi:type="xsd:double"&gt;14.5512280266285&lt;/D&gt;&lt;D xsi:type="xsd:double"&gt;16.0955124289035&lt;/D&gt;&lt;D xsi:type="xsd:double"&gt;16.0451618403573&lt;/D&gt;&lt;D xsi:type="xsd:double"&gt;15.5903612122482&lt;/D&gt;&lt;D xsi:type="xsd:double"&gt;15.5315610683564&lt;/D&gt;&lt;D xsi:type="xsd:double"&gt;16.234769821099&lt;/D&gt;&lt;D xsi:type="xsd:double"&gt;15.1918256612677&lt;/D&gt;&lt;D xsi:type="xsd:double"&gt;14.9277535171616&lt;/D&gt;&lt;D xsi:type="xsd:double"&gt;14.7333940940712&lt;/D&gt;&lt;D xsi:type="xsd:double"&gt;14.2274549215954&lt;/D&gt;&lt;D xsi:type="xsd:double"&gt;14.1984006180409&lt;/D&gt;&lt;D xsi:type="xsd:double"&gt;13.4514953620421&lt;/D&gt;&lt;D xsi:type="xsd:double"&gt;13.7723918577742&lt;/D&gt;&lt;D xsi:type="xsd:double"&gt;13.1474692977992&lt;/D&gt;&lt;D xsi:type="xsd:double"&gt;13.3826184607391&lt;/D&gt;&lt;D xsi:type="xsd:double"&gt;13.0196217440631&lt;/D&gt;&lt;D xsi:type="xsd:double"&gt;11.4071350504444&lt;/D&gt;&lt;D xsi:type="xsd:double"&gt;11.6374919242097&lt;/D&gt;&lt;D xsi:type="xsd:double"&gt;11.1607123813548&lt;/D&gt;&lt;D xsi:type="xsd:double"&gt;10.9740057777413&lt;/D&gt;&lt;D xsi:type="xsd:double"&gt;9.70409026672145&lt;/D&gt;&lt;D xsi:type="xsd:double"&gt;10.2849209153805&lt;/D&gt;&lt;D xsi:type="xsd:double"&gt;9.38914477094113&lt;/D&gt;&lt;D xsi:type="xsd:double"&gt;8.99432918296975&lt;/D&gt;&lt;D xsi:type="xsd:double"&gt;9.94591127252155&lt;/D&gt;&lt;D xsi:type="xsd:double"&gt;10.8348647964217&lt;/D&gt;&lt;D xsi:type="xsd:double"&gt;10.4616660277966&lt;/D&gt;&lt;D xsi:type="xsd:double"&gt;11.5453692871497&lt;/D&gt;&lt;D xsi:type="xsd:double"&gt;11.4691738156534&lt;/D&gt;&lt;D xsi:type="xsd:double"&gt;11.4300989069475&lt;/D&gt;&lt;D xsi:type="xsd:double"&gt;11.35493092995&lt;/D&gt;&lt;D xsi:type="xsd:double"&gt;10.7257680421829&lt;/D&gt;&lt;D xsi:type="xsd:double"&gt;10.8633793984956&lt;/D&gt;&lt;D xsi:type="xsd:double"&gt;10.892948648703&lt;/D&gt;&lt;D xsi:type="xsd:double"&gt;10.6467479976154&lt;/D&gt;&lt;D xsi:type="xsd:double"&gt;10.3206036467796&lt;/D&gt;&lt;D xsi:type="xsd:double"&gt;9.96204728139695&lt;/D&gt;&lt;D xsi:type="xsd:double"&gt;11.0287432158153&lt;/D&gt;&lt;D xsi:type="xsd:double"&gt;11.167694094965&lt;/D&gt;&lt;D xsi:type="xsd:double"&gt;11.4990933991693&lt;/D&gt;&lt;D xsi:type="xsd:double"&gt;12.0533084269054&lt;/D&gt;&lt;D xsi:type="xsd:double"&gt;12.3840281564391&lt;/D&gt;&lt;D xsi:type="xsd:double"&gt;11.8931099218866&lt;/D&gt;&lt;D xsi:type="xsd:double"&gt;11.8560974770809&lt;/D&gt;&lt;D xsi:type="xsd:double"&gt;11.7614814026525&lt;/D&gt;&lt;D xsi:type="xsd:double"&gt;11.7568586327834&lt;/D&gt;&lt;/FQL&gt;&lt;FQL&gt;&lt;Q&gt;PLATI-FDS^FG_PRICE_CHANGE(0,-1AM)&lt;/Q&gt;&lt;R&gt;1&lt;/R&gt;&lt;C&gt;1&lt;/C&gt;&lt;D xsi:type="xsd:double"&gt;-1.11223458038423&lt;/D&gt;&lt;/FQL&gt;&lt;FQL&gt;&lt;Q&gt;SPY^FG_PRICE_MAVG(0,,,,30)&lt;/Q&gt;&lt;R&gt;1&lt;/R&gt;&lt;C&gt;1&lt;/C&gt;&lt;D xsi:type="xsd:double"&gt;550.0863&lt;/D&gt;&lt;/FQL&gt;&lt;FQL&gt;&lt;Q&gt;EWA^P_PRICE(0)/P_PRICE_HIGH_PR(0,,,,,,"PRICE","INTRA","52W")&lt;/Q&gt;&lt;R&gt;1&lt;/R&gt;&lt;C&gt;1&lt;/C&gt;&lt;D xsi:type="xsd:double"&gt;0.94800156&lt;/D&gt;&lt;/FQL&gt;&lt;FQL&gt;&lt;Q&gt;EWC^FMA_COS_UP("EPS","1M",+1,0,,,"PORTAGG","MEANR")&lt;/Q&gt;&lt;R&gt;1&lt;/R&gt;&lt;C&gt;1&lt;/C&gt;&lt;D xsi:type="xsd:double"&gt;38&lt;/D&gt;&lt;/FQL&gt;&lt;FQL&gt;&lt;Q&gt;SPY^FMA_RBICS_REV_CURRENT(30, LOC, "PORTAGG")&lt;/Q&gt;&lt;R&gt;1&lt;/R&gt;&lt;C&gt;1&lt;/C&gt;&lt;D xsi:type="xsd:double"&gt;11.9812912809187&lt;/D&gt;&lt;/FQL&gt;&lt;FQL&gt;&lt;Q&gt;REFGBBANK-FDS^(SUBARRAY(NOT_NA(NO_REPEAT_F(FG_YIELD(NOW,-10AY,D))),0,1)-SUBARRAY(NOT_NA(NO_REPEAT_F(FG_YIELD(NOW,-10AY,D))),1,1))*100&lt;/Q&gt;&lt;R&gt;1&lt;/R&gt;&lt;C&gt;1&lt;/C&gt;&lt;D xsi:type="xsd:double"&gt;-25&lt;/D&gt;&lt;/FQL&gt;&lt;FQL&gt;&lt;Q&gt;REFNZOCR-FDS^PROPER_NAME(0,,,"SECURITY","NAME")&lt;/Q&gt;&lt;R&gt;1&lt;/R&gt;&lt;C&gt;1&lt;/C&gt;&lt;D xsi:type="xsd:string"&gt;New Zealand Official Cash Rate&lt;/D&gt;&lt;/FQL&gt;&lt;FQL&gt;&lt;Q&gt;TRYGB10Y-FDS^FG_YIELD(0,,,,"YTM")&lt;/Q&gt;&lt;R&gt;1&lt;/R&gt;&lt;C&gt;1&lt;/C&gt;&lt;D xsi:type="xsd:double"&gt;3.873&lt;/D&gt;&lt;/FQL&gt;&lt;FQL&gt;&lt;Q&gt;CC_CH^IMF_IFS_RCPI_Q(0)&lt;/Q&gt;&lt;R&gt;1&lt;/R&gt;&lt;C&gt;1&lt;/C&gt;&lt;D xsi:type="xsd:double"&gt;1.3619826&lt;/D&gt;&lt;/FQL&gt;&lt;FQL&gt;&lt;Q&gt;EWN^FMA_PE(LTM,0,,,"PORTAGG","MEANR")&lt;/Q&gt;&lt;R&gt;1&lt;/R&gt;&lt;C&gt;1&lt;/C&gt;&lt;D xsi:type="xsd:double"&gt;20.9783754970629&lt;/D&gt;&lt;/FQL&gt;&lt;FQL&gt;&lt;Q&gt;EWU^FMA_EVAL_EBIT(LTMA,NOW,NOW,M,"PORTAGG","MEANR")&lt;/Q&gt;&lt;R&gt;1&lt;/R&gt;&lt;C&gt;1&lt;/C&gt;&lt;D xsi:type="xsd:double"&gt;10.6681977640495&lt;/D&gt;&lt;/FQL&gt;&lt;FQL&gt;&lt;Q&gt;EWA^FMA_PE(NTMA,0,,,"PORTAGG","MEANR")&lt;/Q&gt;&lt;R&gt;1&lt;/R&gt;&lt;C&gt;1&lt;/C&gt;&lt;D xsi:type="xsd:double"&gt;17.2480581309438&lt;/D&gt;&lt;/FQL&gt;&lt;FQL&gt;&lt;Q&gt;EWA^JULIAN(FMA_ROE(NTMA,-20AY,NOW,FY,"PORTAGG","MEANR").DATES)&lt;/Q&gt;&lt;R&gt;20&lt;/R&gt;&lt;C&gt;1&lt;/C&gt;&lt;D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</t>
        </r>
      </text>
    </comment>
    <comment ref="A14" authorId="0" shapeId="0" xr:uid="{601AF7E4-7AB3-40FB-A6A9-DA6C6C8FBEFE}">
      <text>
        <r>
          <rPr>
            <b/>
            <sz val="9"/>
            <color indexed="81"/>
            <rFont val="Tahoma"/>
            <charset val="1"/>
          </rPr>
          <t>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xsi:type="xsd:long"&gt;45289&lt;/D&gt;&lt;/FQL&gt;&lt;FQL&gt;&lt;Q&gt;USDEUR^STD(FG_PRICE_CHANGE(0,-3AY,M))&lt;/Q&gt;&lt;R&gt;1&lt;/R&gt;&lt;C&gt;1&lt;/C&gt;&lt;D xsi:type="xsd:double"&gt;2.14381117647125&lt;/D&gt;&lt;/FQL&gt;&lt;FQL&gt;&lt;Q&gt;EWQ^FMA_EPS(NTMA,-20AY,0,CY,,"PORTAGG","MEANR")&lt;/Q&gt;&lt;R&gt;20&lt;/R&gt;&lt;C&gt;1&lt;/C&gt;&lt;D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xsi:type="xsd:double"&gt;2.19705970688086&lt;/D&gt;&lt;D xsi:type="xsd:double"&gt;1.85109750447789&lt;/D&gt;&lt;D xsi:type="xsd:double"&gt;2.46081748750493&lt;/D&gt;&lt;D xsi:type="xsd:double"&gt;2.8026651908005&lt;/D&gt;&lt;D xsi:type="xsd:double"&gt;2.92070467991761&lt;/D&gt;&lt;/FQL&gt;&lt;FQL&gt;&lt;Q&gt;WL-FDS^FG_PRICE_CHANGE(0,-3AM)&lt;/Q&gt;&lt;R&gt;1&lt;/R&gt;&lt;C&gt;1&lt;/C&gt;&lt;D xsi:type="xsd:double"&gt;-7.88316030265704&lt;/D&gt;&lt;/FQL&gt;&lt;FQL&gt;&lt;Q&gt;COPP-FDS^FG_PRICE_CHANGE(0,-6AM)&lt;/Q&gt;&lt;R&gt;1&lt;/R&gt;&lt;C&gt;1&lt;/C&gt;&lt;D xsi:type="xsd:double"&gt;5.55483452303698&lt;/D&gt;&lt;/FQL&gt;&lt;FQL&gt;&lt;Q&gt;EWA^FG_PRICE(0)&lt;/Q&gt;&lt;R&gt;1&lt;/R&gt;&lt;C&gt;1&lt;/C&gt;&lt;D xsi:type="xsd:double"&gt;24.43&lt;/D&gt;&lt;/FQL&gt;&lt;FQL&gt;&lt;Q&gt;VWO^PERCENT_CHANGE(FMA_EPS(+1,0,,,,"PORTAGG","MEAN"),FMA_EPS(+1,-3AM,,,,"PORTAGG","MEAN"))&lt;/Q&gt;&lt;R&gt;1&lt;/R&gt;&lt;C&gt;1&lt;/C&gt;&lt;D xsi:type="xsd:double"&gt;7.54499129488478&lt;/D&gt;&lt;/FQL&gt;&lt;FQL&gt;&lt;Q&gt;EWD^FG_TOTAL_RETURNC(0,-12AM)&lt;/Q&gt;&lt;R&gt;1&lt;/R&gt;&lt;C&gt;1&lt;/C&gt;&lt;D xsi:type="xsd:double"&gt;15.663338&lt;/D&gt;&lt;/FQL&gt;&lt;FQL&gt;&lt;Q&gt;EWQ^FMA_PCT_ABOVE_MAVG(200,0,,,,"PORTAGG")&lt;/Q&gt;&lt;R&gt;1&lt;/R&gt;&lt;C&gt;1&lt;/C&gt;&lt;D xsi:type="xsd:double"&gt;43.5483870967742&lt;/D&gt;&lt;/FQL&gt;&lt;FQL&gt;&lt;Q&gt;EWU^P_PRICE(0)/P_PRICE_HIGH_PR(0,,,,,,"PRICE","INTRA","52W")&lt;/Q&gt;&lt;R&gt;1&lt;/R&gt;&lt;C&gt;1&lt;/C&gt;&lt;D xsi:type="xsd:double"&gt;0.96994424&lt;/D&gt;&lt;/FQL&gt;&lt;FQL&gt;&lt;Q&gt;EWG^FG_TOTAL_RETURNC(0,-12AM)&lt;/Q&gt;&lt;R&gt;1&lt;/R&gt;&lt;C&gt;1&lt;/C&gt;&lt;D xsi:type="xsd:double"&gt;7.6132774&lt;/D&gt;&lt;/FQL&gt;&lt;FQL&gt;&lt;Q&gt;EWU^FG_PRICE_MAVG(0,,,,60)&lt;/Q&gt;&lt;R&gt;1&lt;/R&gt;&lt;C&gt;1&lt;/C&gt;&lt;D xsi:type="xsd:double"&gt;35.742&lt;/D&gt;&lt;/FQL&gt;&lt;FQL&gt;&lt;Q&gt;EWA^FMA_COS_DOWN("EPS","1M",+1,0,,,"PORTAGG","MEANR")&lt;/Q&gt;&lt;R&gt;1&lt;/R&gt;&lt;C&gt;1&lt;/C&gt;&lt;D xsi:type="xsd:double"&gt;33&lt;/D&gt;&lt;/FQL&gt;&lt;FQL&gt;&lt;Q&gt;EWG^FMA_EPS(NTMA,-20AY,0,CY,,"PORTAGG","MEANR")&lt;/Q&gt;&lt;R&gt;20&lt;/R&gt;&lt;C&gt;1&lt;/C&gt;&lt;D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xsi:type="xsd:double"&gt;2.65863143369802&lt;/D&gt;&lt;/FQL&gt;&lt;FQL&gt;&lt;Q&gt;TRYZA10Y-FDS^JULIAN(FG_YIELD(-10AY,0,CY,,"YTM").DATES)&lt;/Q&gt;&lt;R&gt;10&lt;/R&gt;&lt;C&gt;1&lt;/C&gt;&lt;D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xsi:type="xsd:long"&gt;45289&lt;/D&gt;&lt;/FQL&gt;&lt;FQL&gt;&lt;Q&gt;CC_NZ^FG_COMPANY_NAME&lt;/Q&gt;&lt;R&gt;1&lt;/R&gt;&lt;C&gt;1&lt;/C&gt;&lt;D xsi:type="xsd:string"&gt;New Zealand&lt;/D&gt;&lt;/FQL&gt;&lt;FQL&gt;&lt;Q&gt;USDEUR^FG_PRICE_CHANGE(0,-3AM)&lt;/Q&gt;&lt;R&gt;1&lt;/R&gt;&lt;C&gt;1&lt;/C&gt;&lt;D xsi:type="xsd:double"&gt;-1.009953&lt;/D&gt;&lt;/FQL&gt;&lt;FQL&gt;&lt;Q&gt;SPY^FMA_EPS(NTMA,-20AY,0,CY,,"PORTAGG","MEANR")&lt;/Q&gt;&lt;R&gt;20&lt;/R&gt;&lt;C&gt;1&lt;/C&gt;&lt;D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xsi:type="xsd:double"&gt;17.7294354415451&lt;/D&gt;&lt;D xsi:type="xsd:double"&gt;16.6617703289926&lt;/D&gt;&lt;D xsi:type="xsd:double"&gt;22.2767073851685&lt;/D&gt;&lt;D xsi:type="xsd:double"&gt;22.9687104615331&lt;/D&gt;&lt;D xsi:type="xsd:double"&gt;24.3449867619937&lt;/D&gt;&lt;/FQL&gt;&lt;FQL&gt;&lt;Q&gt;COPP-FDS^FG_PRICE_CHANGE(0,-3AM)&lt;/Q&gt;&lt;R&gt;1&lt;/R&gt;&lt;C&gt;1&lt;/C&gt;&lt;D xsi:type="xsd:double"&gt;-10.675453047776&lt;/D&gt;&lt;/FQL&gt;&lt;FQL&gt;&lt;Q&gt;EWU^FG_PRICE_MAVG(0,,,,200)&lt;/Q&gt;&lt;R&gt;1&lt;/R&gt;&lt;C&gt;1&lt;/C&gt;&lt;D xsi:type="xsd:double"&gt;33.6614&lt;/D&gt;&lt;/FQL&gt;&lt;FQL&gt;&lt;Q&gt;ENZL^FG_PRICE_MAVG(0,,,,200)&lt;/Q&gt;&lt;R&gt;1&lt;/R&gt;&lt;C&gt;1&lt;/C&gt;&lt;D xsi:type="xsd:double"&gt;45.567554&lt;/D&gt;&lt;/FQL&gt;&lt;FQL&gt;&lt;Q&gt;VWO^PERCENT_CHANGE(FMA_EPS(+1,0,,,,"PORTAGG","MEAN"),FMA_EPS(+1,-1AM,,,,"PORTAGG","MEAN"))&lt;/Q&gt;&lt;R&gt;1&lt;/R&gt;&lt;C&gt;1&lt;/C&gt;&lt;D xsi:type="xsd:double"&gt;0&lt;/D&gt;&lt;/FQL&gt;&lt;FQL&gt;&lt;Q&gt;EWD^P_PRICE(0)/P_PRICE_LOW_PR(0,,,,,,"PRICE","INTRA","52W")-1&lt;/Q&gt;&lt;R&gt;1&lt;/R&gt;&lt;C&gt;1&lt;/C&gt;&lt;D xsi:type="xsd:double"&gt;0.28010428&lt;/D&gt;&lt;/FQL&gt;&lt;FQL&gt;&lt;Q&gt;EWU^FG_TOTAL_RETURNC(0,-6AM)&lt;/Q&gt;&lt;R&gt;1&lt;/R&gt;&lt;C&gt;1&lt;/C&gt;&lt;D xsi:type="xsd:double"&gt;10.916257&lt;/D&gt;&lt;/FQL&gt;&lt;FQL&gt;&lt;Q&gt;EWG^P_PRICE(0)/P_PRICE_LOW_PR(0,,,,,,"PRICE","INTRA","52W")-1&lt;/Q&gt;&lt;R&gt;1&lt;/R&gt;&lt;C&gt;1&lt;/C&gt;&lt;D xsi:type="xsd:double"&gt;0.22849631&lt;/D&gt;&lt;/FQL&gt;&lt;FQL&gt;&lt;Q&gt;TRYCA10Y-FDS^PCTCHG(FG_YIELD(0,,,,"YTM"),FG_YIELD(-3AM,,,,"YTM"))&lt;/Q&gt;&lt;R&gt;1&lt;/R&gt;&lt;C&gt;1&lt;/C&gt;&lt;D xsi:type="xsd:double"&gt;-17.114414&lt;/D&gt;&lt;/FQL&gt;&lt;FQL&gt;&lt;Q&gt;EWI^FMA_EVAL_EBITDA(NTMA,0,,,"PORTAGG","MEANR")&lt;/Q&gt;&lt;R&gt;1&lt;/R&gt;&lt;C&gt;1&lt;/C&gt;&lt;D xsi:type="xsd:double"&gt;6.79371522825259&lt;/D&gt;&lt;/FQL&gt;&lt;FQL&gt;&lt;Q&gt;EWQ^FMA_EVAL_EBITDA(NTMA,0,,,"PORTAGG","MEANR")&lt;/Q&gt;&lt;R&gt;1&lt;/R&gt;&lt;C&gt;1&lt;/C&gt;&lt;D xsi:type="xsd:double"&gt;8.87002311503432&lt;/D&gt;&lt;/FQL&gt;&lt;FQL&gt;&lt;Q&gt;EWG^FMA_EVAL_EBIT(LTMA,NOW,NOW,M,"PORTAGG","MEANR")&lt;/Q&gt;&lt;R&gt;1&lt;/R&gt;&lt;C&gt;1&lt;/C&gt;&lt;D xsi:type="xsd:double"&gt;13.52752550704&lt;/D&gt;&lt;/FQL&gt;&lt;FQL&gt;&lt;Q&gt;QQQ^P_PRICE(0)/P_PRICE_HIGH_PR(0,,,USD,,,"PRICE","INTRA","52W")&lt;/Q&gt;&lt;R&gt;1&lt;/R&gt;&lt;C&gt;1&lt;/C&gt;&lt;D xsi:type="xsd:double"&gt;0.91289324&lt;/D&gt;&lt;/FQL&gt;&lt;FQL&gt;&lt;Q&gt;USDITL^STD(FG_PRICE_CHANGE(0,-3AY,M))&lt;/Q&gt;&lt;R&gt;1&lt;/R&gt;&lt;C&gt;1&lt;/C&gt;&lt;D xsi:type="xsd:double"&gt;2.14381118993651&lt;/D&gt;&lt;/FQL&gt;&lt;FQL&gt;&lt;Q&gt;TRYBR10Y-FDS^FG_YIELD(-10AY,0,Y,,"YTM")&lt;/Q&gt;&lt;R&gt;10&lt;/R&gt;&lt;C&gt;1&lt;/C&gt;&lt;D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xsi:type="xsd:double"&gt;2.9473283&lt;/D&gt;&lt;/FQL&gt;&lt;FQL&gt;&lt;Q&gt;CAGDPY@IT^EE_ACTUAL_ANNUAL(MED,0)&lt;/Q&gt;&lt;R&gt;1&lt;/R&gt;&lt;C&gt;1&lt;/C&gt;&lt;D xsi:type="xsd:double"&gt;0.464184965048982&lt;/D&gt;&lt;/FQL&gt;&lt;FQL&gt;&lt;Q&gt;USDITL^STD(FG_PRICE_CHANGE(0,-1AY,AM))&lt;/Q&gt;&lt;R&gt;1&lt;/R&gt;&lt;C&gt;1&lt;/C&gt;&lt;D xsi:type="xsd:double"&gt;1.52471443024076&lt;/D&gt;&lt;/FQL&gt;&lt;FQL&gt;&lt;Q&gt;USDEUR^FG_PRICE_CHANGE(0,-1AM)&lt;/Q&gt;&lt;R&gt;1&lt;/R&gt;&lt;C&gt;1&lt;/C&gt;&lt;D xsi:type="xsd:double"&gt;-0.5837381&lt;/D&gt;&lt;/FQL&gt;&lt;FQL&gt;&lt;Q&gt;EWC^FG_TOTAL_RETURNC(-10AY,0,AM)&lt;/Q&gt;&lt;R&gt;121&lt;/R&gt;&lt;C&gt;1&lt;/C&gt;&lt;D xsi:type="xsd:double"&gt;-1.6064227&lt;/D&gt;&lt;D xsi:type="xsd:double"&gt;3.1711102&lt;/D&gt;&lt;D xsi:type="xsd:double"&gt;-7.3341427&lt;/D&gt;&lt;D xsi:type="xsd:double"&gt;-1.7405629&lt;/D&gt;&lt;D xsi:type="xsd:double"&gt;-0.2506733&lt;/D&gt;&lt;D xsi:type="xsd:double"&gt;-1.965034&lt;/D&gt;&lt;D xsi:type="xsd:double"&gt;-8.385306&lt;/D&gt;&lt;D xsi:type="xsd:double"&gt;5.975795&lt;/D&gt;&lt;D xsi:type="xsd:double"&gt;-2.569598&lt;/D&gt;&lt;D xsi:type="xsd:double"&gt;6.7399263&lt;/D&gt;&lt;D xsi:type="xsd:double"&gt;-4.9759746&lt;/D&gt;&lt;D xsi:type="xsd:double"&gt;-3.3424914&lt;/D&gt;&lt;D xsi:type="xsd:double"&gt;-3.8027108&lt;/D&gt;&lt;D xsi:type="xsd:double"&gt;-8.023482&lt;/D&gt;&lt;D xsi:type="xsd:double"&gt;-2.1276593&lt;/D&gt;&lt;D xsi:type="xsd:double"&gt;3.478253&lt;/D&gt;&lt;D xsi:type="xsd:double"&gt;-0.8403301&lt;/D&gt;&lt;D xsi:type="xsd:double"&gt;-7.6610146&lt;/D&gt;&lt;D xsi:type="xsd:double"&gt;-3.2093048&lt;/D&gt;&lt;D xsi:type="xsd:double"&gt;6.247008&lt;/D&gt;&lt;D xsi:type="xsd:double"&gt;6.7842603&lt;/D&gt;&lt;D xsi:type="xsd:double"&gt;7.581532&lt;/D&gt;&lt;D xsi:type="xsd:double"&gt;-3.385824&lt;/D&gt;&lt;D xsi:type="xsd:double"&gt;1.98524&lt;/D&gt;&lt;D xsi:type="xsd:double"&gt;0.40273666&lt;/D&gt;&lt;D xsi:type="xsd:double"&gt;2.2462845&lt;/D&gt;&lt;D xsi:type="xsd:double"&gt;0.7846236&lt;/D&gt;&lt;D xsi:type="xsd:double"&gt;-1.206702&lt;/D&gt;&lt;D xsi:type="xsd:double"&gt;2.8762817&lt;/D&gt;&lt;D xsi:type="xsd:double"&gt;1.1538982&lt;/D&gt;&lt;D xsi:type="xsd:double"&gt;3.6328912&lt;/D&gt;&lt;D xsi:type="xsd:double"&gt;-0.81181526&lt;/D&gt;&lt;D xsi:type="xsd:double"&gt;0&lt;/D&gt;&lt;D xsi:type="xsd:double"&gt;-2.4553537&lt;/D&gt;&lt;D xsi:type="xsd:double"&gt;0.49580336&lt;/D&gt;&lt;D xsi:type="xsd:double"&gt;2.3935556&lt;/D&gt;&lt;D xsi:type="xsd:double"&gt;3.998506&lt;/D&gt;&lt;D xsi:type="xsd:double"&gt;1.0061145&lt;/D&gt;&lt;D xsi:type="xsd:double"&gt;2.952683&lt;/D&gt;&lt;D xsi:type="xsd:double"&gt;-0.17277598&lt;/D&gt;&lt;D xsi:type="xsd:double"&gt;1.6614795&lt;/D&gt;&lt;D xsi:type="xsd:double"&gt;2.2118092&lt;/D&gt;&lt;D xsi:type="xsd:double"&gt;0.47234297&lt;/D&gt;&lt;D xsi:type="xsd:double"&gt;-7.286769&lt;/D&gt;&lt;D xsi:type="xsd:double"&gt;-0.18109679&lt;/D&gt;&lt;D xsi:type="xsd:double"&gt;2.0682096&lt;/D&gt;&lt;D xsi:type="xsd:double"&gt;2.0263076&lt;/D&gt;&lt;D xsi:type="xsd:double"&gt;0.12668371&lt;/D&gt;&lt;D xsi:type="xsd:double"&gt;2.1045208&lt;/D&gt;&lt;D xsi:type="xsd:double"&gt;-1.0649323&lt;/D&gt;&lt;D xsi:type="xsd:double"&gt;1.111114&lt;/D&gt;&lt;D xsi:type="xsd:double"&gt;-8.001375&lt;/D&gt;&lt;D xsi:type="xsd:double"&gt;-0.5599141&lt;/D&gt;&lt;D xsi:type="xsd:double"&gt;-8.554143&lt;/D&gt;&lt;D xsi:type="xsd:double"&gt;13.230383&lt;/D&gt;&lt;D xsi:type="xsd:double"&gt;2.1747112&lt;/D&gt;&lt;D xsi:type="xsd:double"&gt;1.010108&lt;/D&gt;&lt;D xsi:type="xsd:double"&gt;1.2500048&lt;/D&gt;&lt;D xsi:type="xsd:double"&gt;-3.5978854&lt;/D&gt;&lt;D xsi:type="xsd:double"&gt;5.9300423&lt;/D&gt;&lt;D xsi:type="xsd:double"&gt;-1.5684962&lt;/D&gt;&lt;D xsi:type="xsd:double"&gt;-0.17704964&lt;/D&gt;&lt;D xsi:type="xsd:double"&gt;1.2061&lt;/D&gt;&lt;D xsi:type="xsd:double"&gt;1.7525434&lt;/D&gt;&lt;D xsi:type="xsd:double"&gt;2.0668268&lt;/D&gt;&lt;D xsi:type="xsd:double"&gt;2.224052&lt;/D&gt;&lt;D xsi:type="xsd:double"&gt;-0.73602796&lt;/D&gt;&lt;D xsi:type="xsd:double"&gt;-7.010448&lt;/D&gt;&lt;D xsi:type="xsd:double"&gt;-24.64661&lt;/D&gt;&lt;D xsi:type="xsd:double"&gt;14.189506&lt;/D&gt;&lt;D xsi:type="xsd:double"&gt;8.045494&lt;/D&gt;&lt;D xsi:type="xsd:double"&gt;2.0697951&lt;/D&gt;&lt;D xsi:type="xsd:double"&gt;5.3626537&lt;/D&gt;&lt;D xsi:type="xsd:double"&gt;5.8220387&lt;/D&gt;&lt;D xsi:type="xsd:double"&gt;-4.6020746&lt;/D&gt;&lt;D xsi:type="xsd:double"&gt;-3.9898455&lt;/D&gt;&lt;D xsi:type="xsd:double"&gt;15.035892&lt;/D&gt;&lt;D xsi:type="xsd:double"&gt;2.548349&lt;/D&gt;&lt;D xsi:type="xsd:double"&gt;0.3242612&lt;/D&gt;&lt;D xsi:type="xsd:double"&gt;6.3025117&lt;/D&gt;&lt;D xsi:type="xsd:double"&gt;5.3207636&lt;/D&gt;&lt;D xsi:type="xsd:double"&gt;2.8002381&lt;/D&gt;&lt;D xsi:type="xsd:double"&gt;7.0766687&lt;/D&gt;&lt;D xsi:type="xsd:double"&gt;-0.7038474&lt;/D&gt;&lt;D xsi:type="xsd:double"&gt;-0.79723597&lt;/D&gt;&lt;D xsi:type="xsd:double"&gt;0.66970587&lt;/D&gt;&lt;D xsi:type="xsd:double"&gt;-2.5279403&lt;/D&gt;&lt;D xsi:type="xsd:double"&gt;8.2172985&lt;/D&gt;&lt;D xsi:type="xsd:double"&gt;-7.013112&lt;/D&gt;&lt;D xsi:type="xsd:double"&gt;5.6088924&lt;/D&gt;&lt;D xsi:type="xsd:double"&gt;0.650537&lt;/D&gt;&lt;D xsi:type="xsd:double"&gt;-2.5336087&lt;/D&gt;&lt;D xsi:type="xsd:double"&gt;6.684351&lt;/D&gt;&lt;D xsi:type="xsd:double"&gt;-7.8816533&lt;/D&gt;&lt;D xsi:type="xsd:double"&gt;1.8893361&lt;/D&gt;&lt;D xsi:type="xsd:double"&gt;-9.155643&lt;/D&gt;&lt;D xsi:type="xsd:double"&gt;2.702701&lt;/D&gt;&lt;D xsi:type="xsd:double"&gt;-4.5766535&lt;/D&gt;&lt;D xsi:type="xsd:double"&gt;-7.793766&lt;/D&gt;&lt;D xsi:type="xsd:double"&gt;7.8023434&lt;/D&gt;&lt;D xsi:type="xsd:double"&gt;6.7852855&lt;/D&gt;&lt;D xsi:type="xsd:double"&gt;-6.221628&lt;/D&gt;&lt;D xsi:type="xsd:double"&gt;9.47144&lt;/D&gt;&lt;D xsi:type="xsd:double"&gt;-4.437619&lt;/D&gt;&lt;D xsi:type="xsd:double"&gt;-0.17523766&lt;/D&gt;&lt;D xsi:type="xsd:double"&gt;2.8086543&lt;/D&gt;&lt;D xsi:type="xsd:double"&gt;-4.012519&lt;/D&gt;&lt;D xsi:type="xsd:double"&gt;4.7865987&lt;/D&gt;&lt;D xsi:type="xsd:double"&gt;1.8005013&lt;/D&gt;&lt;D xsi:type="xsd:double"&gt;-1.9371092&lt;/D&gt;&lt;D xsi:type="xsd:double"&gt;-4.2084217&lt;/D&gt;&lt;D xsi:type="xsd:double"&gt;-4.154211&lt;/D&gt;&lt;D xsi:type="xsd:double"&gt;10.664177&lt;/D&gt;&lt;D xsi:type="xsd:double"&gt;4.761255&lt;/D&gt;&lt;D xsi:type="xsd:double"&gt;-0.21810532&lt;/D&gt;&lt;D xsi:type="xsd:double"&gt;1.3934493&lt;/D&gt;&lt;D xsi:type="xsd:double"&gt;2.9911041&lt;/D&gt;&lt;D xsi:type="xsd:double"&gt;-3.349036&lt;/D&gt;&lt;D xsi:type="xsd:double"&gt;3.573358&lt;/D&gt;&lt;D xsi:type="xsd:double"&gt;-2.5622904&lt;/D&gt;&lt;D xsi:type="xsd:double"&gt;3.0327559&lt;/D&gt;&lt;/FQL&gt;&lt;FQL&gt;&lt;Q&gt;CPALM-FDS^FG_PRICE_CHANGE(0,-3AM)&lt;/Q&gt;&lt;R&gt;1&lt;/R&gt;&lt;C&gt;1&lt;/C&gt;&lt;D xsi:type="xsd:double"&gt;3.26255825996893&lt;/D&gt;&lt;/FQL&gt;&lt;FQL&gt;&lt;Q&gt;EWU^FG_PRICE_MAVG(0,,,,30)&lt;/Q&gt;&lt;R&gt;1&lt;/R&gt;&lt;C&gt;1&lt;/C&gt;&lt;D xsi:type="xsd:double"&gt;35.489334&lt;/D&gt;&lt;/FQL&gt;&lt;FQL&gt;&lt;Q&gt;VWO^FMA_PCT_ABOVE_MAVG(200,0,,,,"PORTAGG")&lt;/Q&gt;&lt;R&gt;1&lt;/R&gt;&lt;C&gt;1&lt;/C&gt;&lt;D xsi:type="xsd:double"&gt;40.2759810263044&lt;/D&gt;&lt;/FQL&gt;&lt;FQL&gt;&lt;Q&gt;EWD^PERCENT_CHANGE(FMA_EPS(+1,0,,,,"PORTAGG","MEAN"),FMA_EPS(+1,-3AM,,,,"PORTAGG","MEAN"))&lt;/Q&gt;&lt;R&gt;1&lt;/R&gt;&lt;C&gt;1&lt;/C&gt;&lt;D xsi:type="xsd:double"&gt;-0.643340371068899&lt;/D&gt;&lt;/FQL&gt;&lt;FQL&gt;&lt;Q&gt;EWU^FG_TOTAL_RETURNC(0,-3AM)&lt;/Q&gt;&lt;R&gt;1&lt;/R&gt;&lt;C&gt;1&lt;/C&gt;&lt;D xsi:type="xsd:double"&gt;5.1123023&lt;/D&gt;&lt;/FQL&gt;&lt;FQL&gt;&lt;Q&gt;URTH^FMA_COS_UP("EPS","1M",+1,0,,,"PORTAGG","MEANR")&lt;/Q&gt;&lt;R&gt;1&lt;/R&gt;&lt;C&gt;1&lt;/C&gt;&lt;D xsi:type="xsd:double"&gt;567&lt;/D&gt;&lt;/FQL&gt;&lt;FQL&gt;&lt;Q&gt;EWQ^FMA_DIV_YLD(NTMA,NOW,NOW,M,"PORTAGG","MEANR")&lt;/Q&gt;&lt;R&gt;1&lt;/R&gt;&lt;C&gt;1&lt;/C&gt;&lt;D xsi:type="xsd:double"&gt;3.40237667824497&lt;/D&gt;&lt;/FQL&gt;&lt;FQL&gt;&lt;Q&gt;COPP-FDS^FG_PRICE_MAVG(0,,,,30)&lt;/Q&gt;&lt;R&gt;1&lt;/R&gt;&lt;C&gt;1&lt;/C&gt;&lt;D xsi:type="xsd:double"&gt;4.36425&lt;/D&gt;&lt;/FQL&gt;&lt;FQL&gt;&lt;Q&gt;EWU^FMA_EPS(NTMA,-20AY,0,CY,,"PORTAGG","MEANR")&lt;/Q&gt;&lt;R&gt;20&lt;/R&gt;&lt;C&gt;1&lt;/C&gt;&lt;D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xsi:type="xsd:double"&gt;2.53482233795695&lt;/D&gt;&lt;D xsi:type="xsd:double"&gt;2.03507562384137&lt;/D&gt;&lt;D xsi:type="xsd:double"&gt;2.71427224340632&lt;/D&gt;&lt;D xsi:type="xsd:double"&gt;3.12760121442787&lt;/D&gt;&lt;D xsi:type="xsd:double"&gt;3.00269886912718&lt;/D&gt;&lt;/FQL&gt;&lt;FQL&gt;&lt;Q&gt;PASP-FDS^MAX(FG_PRICE(0,-5AY))&lt;/Q&gt;&lt;R&gt;1&lt;/R&gt;&lt;C&gt;1&lt;/C&gt;&lt;D xsi:type="xsd:double"&gt;3158.12&lt;/D&gt;&lt;/FQL&gt;&lt;FQL&gt;&lt;Q&gt;CPALM-FDS^FG_PRICE_CHANGE(0,-1AM)&lt;/Q&gt;&lt;R&gt;1&lt;/R&gt;&lt;C&gt;1&lt;/C&gt;&lt;D xsi:type="xsd:double"&gt;-0.894632206759438&lt;/D&gt;&lt;/FQL&gt;&lt;FQL&gt;&lt;Q&gt;EWD^PERCENT_CHANGE(FMA_EPS(+1,0,,,,"PORTAGG","MEAN"),FMA_EPS(+1,-1AM,,,,"PORTAGG","MEAN"))&lt;/Q&gt;&lt;R&gt;1&lt;/R&gt;&lt;C&gt;1&lt;/C&gt;&lt;D xsi:type="xsd:double"&gt;-4.1310846248292&lt;/D&gt;&lt;/FQL&gt;&lt;FQL&gt;&lt;Q&gt;UUP^FG_TOTAL_RETURNC(0,-1AM)&lt;/Q&gt;&lt;R&gt;1&lt;/R&gt;&lt;C&gt;1&lt;/C&gt;&lt;D xsi:type="xsd:double"&gt;-0.96087456&lt;/D&gt;&lt;/FQL&gt;&lt;FQL&gt;&lt;Q&gt;PASP-FDS^FG_PRICE_CHANGE(0,-6AM)&lt;/Q&gt;&lt;R&gt;1&lt;/R&gt;&lt;C&gt;1&lt;/C&gt;&lt;D xsi:type="xsd:double"&gt;-3.10880829015544&lt;/D&gt;&lt;/FQL&gt;&lt;FQL&gt;&lt;Q&gt;TRYUS10Y-FDS^FG_YIELD(-10AY,0,Y,,"YTM")&lt;/Q&gt;&lt;R&gt;10&lt;/R&gt;&lt;C&gt;1&lt;/C&gt;&lt;D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xsi:type="xsd:double"&gt;3.8791&lt;/D&gt;&lt;/FQL&gt;&lt;FQL&gt;&lt;Q&gt;CAGDPY@SE^EE_ACTUAL_ANNUAL(MED,+1)&lt;/Q&gt;&lt;R&gt;1&lt;/R&gt;&lt;C&gt;1&lt;/C&gt;&lt;D xsi:type="xsd:double"&gt;6&lt;/D&gt;&lt;/FQL&gt;&lt;FQL&gt;&lt;Q&gt;EWA^FG_TOTAL_RETURNC(-10AY,0,AM)&lt;/Q&gt;&lt;R&gt;121&lt;/R&gt;&lt;C&gt;1&lt;/C&gt;&lt;D xsi:type="xsd:double"&gt;0.6476164&lt;/D&gt;&lt;D xsi:type="xsd:double"&gt;2.8009057&lt;/D&gt;&lt;D xsi:type="xsd:double"&gt;-11.708397&lt;/D&gt;&lt;D xsi:type="xsd:double"&gt;6.0467124&lt;/D&gt;&lt;D xsi:type="xsd:double"&gt;-8.454579&lt;/D&gt;&lt;D xsi:type="xsd:double"&gt;-1.6735315&lt;/D&gt;&lt;D xsi:type="xsd:double"&gt;-1.1276484&lt;/D&gt;&lt;D xsi:type="xsd:double"&gt;8.029199&lt;/D&gt;&lt;D xsi:type="xsd:double"&gt;-3.2939196&lt;/D&gt;&lt;D xsi:type="xsd:double"&gt;2.4017572&lt;/D&gt;&lt;D xsi:type="xsd:double"&gt;-4.6055436&lt;/D&gt;&lt;D xsi:type="xsd:double"&gt;-2.658856&lt;/D&gt;&lt;D xsi:type="xsd:double"&gt;-1.5992463&lt;/D&gt;&lt;D xsi:type="xsd:double"&gt;-14.961756&lt;/D&gt;&lt;D xsi:type="xsd:double"&gt;1.5739083&lt;/D&gt;&lt;D xsi:type="xsd:double"&gt;4.703927&lt;/D&gt;&lt;D xsi:type="xsd:double"&gt;3.752637&lt;/D&gt;&lt;D xsi:type="xsd:double"&gt;-0.7158458&lt;/D&gt;&lt;D xsi:type="xsd:double"&gt;-6.803793&lt;/D&gt;&lt;D xsi:type="xsd:double"&gt;0.9620786&lt;/D&gt;&lt;D xsi:type="xsd:double"&gt;7.623327&lt;/D&gt;&lt;D xsi:type="xsd:double"&gt;3.802085&lt;/D&gt;&lt;D xsi:type="xsd:double"&gt;-2.5589585&lt;/D&gt;&lt;D xsi:type="xsd:double"&gt;2.0445228&lt;/D&gt;&lt;D xsi:type="xsd:double"&gt;5.731821&lt;/D&gt;&lt;D xsi:type="xsd:double"&gt;-1.5972912&lt;/D&gt;&lt;D xsi:type="xsd:double"&gt;2.803731&lt;/D&gt;&lt;D xsi:type="xsd:double"&gt;-3.3492744&lt;/D&gt;&lt;D xsi:type="xsd:double"&gt;2.2772193&lt;/D&gt;&lt;D xsi:type="xsd:double"&gt;0.53693056&lt;/D&gt;&lt;D xsi:type="xsd:double"&gt;5.5363417&lt;/D&gt;&lt;D xsi:type="xsd:double"&gt;3.9812684&lt;/D&gt;&lt;D xsi:type="xsd:double"&gt;1.8468499&lt;/D&gt;&lt;D xsi:type="xsd:double"&gt;0.30959845&lt;/D&gt;&lt;D xsi:type="xsd:double"&gt;-5.423278&lt;/D&gt;&lt;D xsi:type="xsd:double"&gt;3.2945633&lt;/D&gt;&lt;D xsi:type="xsd:double"&gt;5.0737977&lt;/D&gt;&lt;D xsi:type="xsd:double"&gt;0.17558336&lt;/D&gt;&lt;D xsi:type="xsd:double"&gt;-1.6652048&lt;/D&gt;&lt;D xsi:type="xsd:double"&gt;1.6488314&lt;/D&gt;&lt;D xsi:type="xsd:double"&gt;0.17536879&lt;/D&gt;&lt;D xsi:type="xsd:double"&gt;3.897214&lt;/D&gt;&lt;D xsi:type="xsd:double"&gt;3.0642986&lt;/D&gt;&lt;D xsi:type="xsd:double"&gt;-5.0669966&lt;/D&gt;&lt;D xsi:type="xsd:double"&gt;-2.8672218&lt;/D&gt;&lt;D xsi:type="xsd:double"&gt;1.2715697&lt;/D&gt;&lt;D xsi:type="xsd:double"&gt;1.8834114&lt;/D&gt;&lt;D xsi:type="xsd:double"&gt;1.4623046&lt;/D&gt;&lt;D xsi:type="xsd:double"&gt;0.5307317&lt;/D&gt;&lt;D xsi:type="xsd:double"&gt;-1.0558724&lt;/D&gt;&lt;D xsi:type="xsd:double"&gt;-1.7785668&lt;/D&gt;&lt;D xsi:type="xsd:double"&gt;-5.2512465&lt;/D&gt;&lt;D xsi:type="xsd:double"&gt;-0.6211221&lt;/D&gt;&lt;D xsi:type="xsd:double"&gt;-3.8801312&lt;/D&gt;&lt;D xsi:type="xsd:double"&gt;6.8051934&lt;/D&gt;&lt;D xsi:type="xsd:double"&gt;4.2315245&lt;/D&gt;&lt;D xsi:type="xsd:double"&gt;1.5398979&lt;/D&gt;&lt;D xsi:type="xsd:double"&gt;-0.32169223&lt;/D&gt;&lt;D xsi:type="xsd:double"&gt;0.50714016&lt;/D&gt;&lt;D xsi:type="xsd:double"&gt;5.3194284&lt;/D&gt;&lt;D xsi:type="xsd:double"&gt;-0.93333125&lt;/D&gt;&lt;D xsi:type="xsd:double"&gt;-2.7366579&lt;/D&gt;&lt;D xsi:type="xsd:double"&gt;1.3376355&lt;/D&gt;&lt;D xsi:type="xsd:double"&gt;3.595817&lt;/D&gt;&lt;D xsi:type="xsd:double"&gt;0.30755997&lt;/D&gt;&lt;D xsi:type="xsd:double"&gt;1.1503577&lt;/D&gt;&lt;D xsi:type="xsd:double"&gt;-1.678443&lt;/D&gt;&lt;D xsi:type="xsd:double"&gt;-9.613651&lt;/D&gt;&lt;D xsi:type="xsd:double"&gt;-25.397617&lt;/D&gt;&lt;D xsi:type="xsd:double"&gt;7.8614235&lt;/D&gt;&lt;D xsi:type="xsd:double"&gt;17.04756&lt;/D&gt;&lt;D xsi:type="xsd:double"&gt;4.213655&lt;/D&gt;&lt;D xsi:type="xsd:double"&gt;2.3124456&lt;/D&gt;&lt;D xsi:type="xsd:double"&gt;4.3194413&lt;/D&gt;&lt;D xsi:type="xsd:double"&gt;-4.2850313&lt;/D&gt;&lt;D xsi:type="xsd:double"&gt;-0.5533159&lt;/D&gt;&lt;D xsi:type="xsd:double"&gt;17.197777&lt;/D&gt;&lt;D xsi:type="xsd:double"&gt;4.2436004&lt;/D&gt;&lt;D xsi:type="xsd:double"&gt;0.8768201&lt;/D&gt;&lt;D xsi:type="xsd:double"&gt;5.0082803&lt;/D&gt;&lt;D xsi:type="xsd:double"&gt;-0.9460032&lt;/D&gt;&lt;D xsi:type="xsd:double"&gt;2.984476&lt;/D&gt;&lt;D xsi:type="xsd:double"&gt;3.7867188&lt;/D&gt;&lt;D xsi:type="xsd:double"&gt;-2.2678673&lt;/D&gt;&lt;D xsi:type="xsd:double"&gt;-0.46349764&lt;/D&gt;&lt;D xsi:type="xsd:double"&gt;1.590991&lt;/D&gt;&lt;D xsi:type="xsd:double"&gt;-4.7364416&lt;/D&gt;&lt;D xsi:type="xsd:double"&gt;6.1347127&lt;/D&gt;&lt;D xsi:type="xsd:double"&gt;-8.38685&lt;/D&gt;&lt;D xsi:type="xsd:double"&gt;6.123388&lt;/D&gt;&lt;D xsi:type="xsd:double"&gt;-6.806284&lt;/D&gt;&lt;D xsi:type="xsd:double"&gt;3.0250669&lt;/D&gt;&lt;D xsi:type="xsd:double"&gt;11.9547&lt;/D&gt;&lt;D xsi:type="xsd:double"&gt;-7.9055843&lt;/D&gt;&lt;D xsi:type="xsd:double"&gt;0.73230267&lt;/D&gt;&lt;D xsi:type="xsd:double"&gt;-12.070465&lt;/D&gt;&lt;D xsi:type="xsd:double"&gt;7.776189&lt;/D&gt;&lt;D xsi:type="xsd:double"&gt;-4.399472&lt;/D&gt;&lt;D xsi:type="xsd:double"&gt;-9.710073&lt;/D&gt;&lt;D xsi:type="xsd:double"&gt;7.084608&lt;/D&gt;&lt;D xsi:type="xsd:double"&gt;12.946213&lt;/D&gt;&lt;D xsi:type="xsd:double"&gt;-4.576671&lt;/D&gt;&lt;D xsi:type="xsd:double"&gt;13.000452&lt;/D&gt;&lt;D xsi:type="xsd:double"&gt;-8.081216&lt;/D&gt;&lt;D xsi:type="xsd:double"&gt;-0.649631&lt;/D&gt;&lt;D xsi:type="xsd:double"&gt;0.5666971&lt;/D&gt;&lt;D xsi:type="xsd:double"&gt;-3.03424&lt;/D&gt;&lt;D xsi:type="xsd:double"&gt;2.7100205&lt;/D&gt;&lt;D xsi:type="xsd:double"&gt;1.552105&lt;/D&gt;&lt;D xsi:type="xsd:double"&gt;-2.8384268&lt;/D&gt;&lt;D xsi:type="xsd:double"&gt;-3.3258438&lt;/D&gt;&lt;D xsi:type="xsd:double"&gt;-1.8131077&lt;/D&gt;&lt;D xsi:type="xsd:double"&gt;8.570075&lt;/D&gt;&lt;D xsi:type="xsd:double"&gt;8.336174&lt;/D&gt;&lt;D xsi:type="xsd:double"&gt;-2.4650812&lt;/D&gt;&lt;D xsi:type="xsd:double"&gt;1.895535&lt;/D&gt;&lt;D xsi:type="xsd:double"&gt;1.6122341&lt;/D&gt;&lt;D xsi:type="xsd:double"&gt;-4.8413334&lt;/D&gt;&lt;D xsi:type="xsd:double"&gt;5.386913&lt;/D&gt;&lt;D xsi:type="xsd:double"&gt;0.6664872&lt;/D&gt;&lt;D xsi:type="xsd:double"&gt;0.36976337&lt;/D&gt;&lt;/FQL&gt;&lt;FQL&gt;&lt;Q&gt;EWI^FMA_PE(LTMA,-10AY,0,AM,"PORTAGG","MEANR")&lt;/Q&gt;&lt;R&gt;121&lt;/R&gt;&lt;C&gt;1&lt;/C&gt;&lt;D xsi:type="xsd:double"&gt;17.014809151495&lt;/D&gt;&lt;D xsi:type="xsd:double"&gt;17.5675207028686&lt;/D&gt;&lt;D xsi:type="xsd:double"&gt;17.5023512918267&lt;/D&gt;&lt;D xsi:type="xsd:double"&gt;17.2201366552846&lt;/D&gt;&lt;D xsi:type="xsd:double"&gt;18.7293684169754&lt;/D&gt;&lt;D xsi:type="xsd:double"&gt;18.2391023727132&lt;/D&gt;&lt;D xsi:type="xsd:double"&gt;23.6420497500349&lt;/D&gt;&lt;D xsi:type="xsd:double"&gt;45.3660681485857&lt;/D&gt;&lt;D xsi:type="xsd:double"&gt;42.3833309241437&lt;/D&gt;&lt;D xsi:type="xsd:double"&gt;39.584429081175&lt;/D&gt;&lt;D xsi:type="xsd:double"&gt;36.6675318136755&lt;/D&gt;&lt;D xsi:type="xsd:double"&gt;33.6911100040316&lt;/D&gt;&lt;D xsi:type="xsd:double"&gt;31.3328382271907&lt;/D&gt;&lt;D xsi:type="xsd:double"&gt;27.5487741199808&lt;/D&gt;&lt;D xsi:type="xsd:double"&gt;24.7803511327921&lt;/D&gt;&lt;D xsi:type="xsd:double"&gt;23.3228676094371&lt;/D&gt;&lt;D xsi:type="xsd:double"&gt;21.328413188851&lt;/D&gt;&lt;D xsi:type="xsd:double"&gt;17.9614432089949&lt;/D&gt;&lt;D xsi:type="xsd:double"&gt;15.0990855483384&lt;/D&gt;&lt;D xsi:type="xsd:double"&gt;15.3973277849584&lt;/D&gt;&lt;D xsi:type="xsd:double"&gt;15.206613016826&lt;/D&gt;&lt;D xsi:type="xsd:double"&gt;15.2931220355081&lt;/D&gt;&lt;D xsi:type="xsd:double"&gt;15.08027884094&lt;/D&gt;&lt;D xsi:type="xsd:double"&gt;14.4259968433632&lt;/D&gt;&lt;D xsi:type="xsd:double"&gt;14.6083330754516&lt;/D&gt;&lt;D xsi:type="xsd:double"&gt;14.9367940220877&lt;/D&gt;&lt;D xsi:type="xsd:double"&gt;14.6807457855707&lt;/D&gt;&lt;D xsi:type="xsd:double"&gt;14.6935099549462&lt;/D&gt;&lt;D xsi:type="xsd:double"&gt;14.486950005867&lt;/D&gt;&lt;D xsi:type="xsd:double"&gt;27.6594648643477&lt;/D&gt;&lt;D xsi:type="xsd:double"&gt;20.0356135511475&lt;/D&gt;&lt;D xsi:type="xsd:double"&gt;85.7919855682634&lt;/D&gt;&lt;D xsi:type="xsd:double"&gt;78.8542286422471&lt;/D&gt;&lt;D xsi:type="xsd:double"&gt;71.5238962059514&lt;/D&gt;&lt;D xsi:type="xsd:double"&gt;64.2642734956884&lt;/D&gt;&lt;D xsi:type="xsd:double"&gt;57.3506552325927&lt;/D&gt;&lt;D xsi:type="xsd:double"&gt;50.2702611366027&lt;/D&gt;&lt;D xsi:type="xsd:double"&gt;42.9328744031754&lt;/D&gt;&lt;D xsi:type="xsd:double"&gt;36.6466347019993&lt;/D&gt;&lt;D xsi:type="xsd:double"&gt;29.292520969465&lt;/D&gt;&lt;D xsi:type="xsd:double"&gt;22.2411344838242&lt;/D&gt;&lt;D xsi:type="xsd:double"&gt;15.5073974754213&lt;/D&gt;&lt;D xsi:type="xsd:double"&gt;15.6632217136932&lt;/D&gt;&lt;D xsi:type="xsd:double"&gt;14.2257603724861&lt;/D&gt;&lt;D xsi:type="xsd:double"&gt;14.0836991602724&lt;/D&gt;&lt;D xsi:type="xsd:double"&gt;14.1805086823334&lt;/D&gt;&lt;D xsi:type="xsd:double"&gt;13.5979394796518&lt;/D&gt;&lt;D xsi:type="xsd:double"&gt;13.2895626234646&lt;/D&gt;&lt;D xsi:type="xsd:double"&gt;13.2164649931545&lt;/D&gt;&lt;D xsi:type="xsd:double"&gt;12.4458594415345&lt;/D&gt;&lt;D xsi:type="xsd:double"&gt;12.255363346233&lt;/D&gt;&lt;D xsi:type="xsd:double"&gt;11.4855890332567&lt;/D&gt;&lt;D xsi:type="xsd:double"&gt;11.2217000747596&lt;/D&gt;&lt;D xsi:type="xsd:double"&gt;10.387179484885&lt;/D&gt;&lt;D xsi:type="xsd:double"&gt;11.0367709734709&lt;/D&gt;&lt;D xsi:type="xsd:double"&gt;11.2968756302449&lt;/D&gt;&lt;D xsi:type="xsd:double"&gt;11.3433339960844&lt;/D&gt;&lt;D xsi:type="xsd:double"&gt;11.3594348818077&lt;/D&gt;&lt;D xsi:type="xsd:double"&gt;10.836667034931&lt;/D&gt;&lt;D xsi:type="xsd:double"&gt;11.1105671517553&lt;/D&gt;&lt;D xsi:type="xsd:double"&gt;11.1740315265161&lt;/D&gt;&lt;D xsi:type="xsd:double"&gt;11.1152851854124&lt;/D&gt;&lt;D xsi:type="xsd:double"&gt;11.2741508581476&lt;/D&gt;&lt;D xsi:type="xsd:double"&gt;11.7720322730905&lt;/D&gt;&lt;D xsi:type="xsd:double"&gt;11.9159892515684&lt;/D&gt;&lt;D xsi:type="xsd:double"&gt;12.1127684771213&lt;/D&gt;&lt;D xsi:type="xsd:double"&gt;11.9865593742223&lt;/D&gt;&lt;D xsi:type="xsd:double"&gt;11.3567081312941&lt;/D&gt;&lt;D xsi:type="xsd:double"&gt;11.0609097792116&lt;/D&gt;&lt;D xsi:type="xsd:double"&gt;12.6078208976612&lt;/D&gt;&lt;D xsi:type="xsd:double"&gt;14.8412276477858&lt;/D&gt;&lt;D xsi:type="xsd:double"&gt;16.6353338048154&lt;/D&gt;&lt;D xsi:type="xsd:double"&gt;17.0026583394091&lt;/D&gt;&lt;D xsi:type="xsd:double"&gt;17.6924939390162&lt;/D&gt;&lt;D xsi:type="xsd:double"&gt;18.1357577635708&lt;/D&gt;&lt;D xsi:type="xsd:double"&gt;17.9766294783645&lt;/D&gt;&lt;D xsi:type="xsd:double"&gt;22.5397182494438&lt;/D&gt;&lt;D xsi:type="xsd:double"&gt;23.3237130000973&lt;/D&gt;&lt;D xsi:type="xsd:double"&gt;20.3854180878541&lt;/D&gt;&lt;D xsi:type="xsd:double"&gt;20.3076791842257&lt;/D&gt;&lt;D xsi:type="xsd:double"&gt;19.7895671723476&lt;/D&gt;&lt;D xsi:type="xsd:double"&gt;19.1070181825205&lt;/D&gt;&lt;D xsi:type="xsd:double"&gt;18.5893748541681&lt;/D&gt;&lt;D xsi:type="xsd:double"&gt;18.0033254536733&lt;/D&gt;&lt;D xsi:type="xsd:double"&gt;17.2330261415573&lt;/D&gt;&lt;D xsi:type="xsd:double"&gt;15.6670512740999&lt;/D&gt;&lt;D xsi:type="xsd:double"&gt;14.6199042510871&lt;/D&gt;&lt;D xsi:type="xsd:double"&gt;14.1715729729663&lt;/D&gt;&lt;D xsi:type="xsd:double"&gt;12.5331778975028&lt;/D&gt;&lt;D xsi:type="xsd:double"&gt;12.0674553868396&lt;/D&gt;&lt;D xsi:type="xsd:double"&gt;12.0078746166927&lt;/D&gt;&lt;D xsi:type="xsd:double"&gt;10.6062443854233&lt;/D&gt;&lt;D xsi:type="xsd:double"&gt;10.582352330359&lt;/D&gt;&lt;D xsi:type="xsd:double"&gt;10.4148019498813&lt;/D&gt;&lt;D xsi:type="xsd:double"&gt;9.99902003246913&lt;/D&gt;&lt;D xsi:type="xsd:double"&gt;9.32052182494765&lt;/D&gt;&lt;D xsi:type="xsd:double"&gt;8.98535307355358&lt;/D&gt;&lt;D xsi:type="xsd:double"&gt;8.35091106110268&lt;/D&gt;&lt;D xsi:type="xsd:double"&gt;8.02900297750191&lt;/D&gt;&lt;D xsi:type="xsd:double"&gt;8.12583038099301&lt;/D&gt;&lt;D xsi:type="xsd:double"&gt;7.89780831065856&lt;/D&gt;&lt;D xsi:type="xsd:double"&gt;7.3748312726829&lt;/D&gt;&lt;D xsi:type="xsd:double"&gt;8.13456567106909&lt;/D&gt;&lt;D xsi:type="xsd:double"&gt;8.29019053159721&lt;/D&gt;&lt;D xsi:type="xsd:double"&gt;8.29933443405496&lt;/D&gt;&lt;D xsi:type="xsd:double"&gt;8.38449808298846&lt;/D&gt;&lt;D xsi:type="xsd:double"&gt;8.33364259019578&lt;/D&gt;&lt;D xsi:type="xsd:double"&gt;8.59929106788544&lt;/D&gt;&lt;D xsi:type="xsd:double"&gt;8.47287982801503&lt;/D&gt;&lt;D xsi:type="xsd:double"&gt;8.38806422040202&lt;/D&gt;&lt;D xsi:type="xsd:double"&gt;8.25238875038986&lt;/D&gt;&lt;D xsi:type="xsd:double"&gt;8.0377595252518&lt;/D&gt;&lt;D xsi:type="xsd:double"&gt;8.63230951448981&lt;/D&gt;&lt;D xsi:type="xsd:double"&gt;8.85440833166031&lt;/D&gt;&lt;D xsi:type="xsd:double"&gt;9.0722561082594&lt;/D&gt;&lt;D xsi:type="xsd:double"&gt;9.36063616388658&lt;/D&gt;&lt;D xsi:type="xsd:double"&gt;9.48694018807653&lt;/D&gt;&lt;D xsi:type="xsd:double"&gt;9.45973716798038&lt;/D&gt;&lt;D xsi:type="xsd:double"&gt;9.57659329628482&lt;/D&gt;&lt;D xsi:type="xsd:double"&gt;9.49725712027458&lt;/D&gt;&lt;D xsi:type="xsd:double"&gt;9.70864244292806&lt;/D&gt;&lt;/FQL&gt;&lt;FQL&gt;&lt;Q&gt;EWU^FG_PRICE(0)&lt;/Q&gt;&lt;R&gt;1&lt;/R&gt;&lt;C&gt;1&lt;/C&gt;&lt;D xsi:type="xsd:double"&gt;35.66&lt;/D&gt;&lt;/FQL&gt;&lt;FQL&gt;&lt;Q&gt;VGK^FG_TOTAL_RETURNC(0,-12AM)&lt;/Q&gt;&lt;R&gt;1&lt;/R&gt;&lt;C&gt;1&lt;/C&gt;&lt;D xsi:type="xsd:double"&gt;10.28248&lt;/D&gt;&lt;/FQL&gt;&lt;FQL&gt;&lt;Q&gt;EWD^FMA_PCT_ABOVE_MAVG(200,0,,,,"PORTAGG")&lt;/Q&gt;&lt;R&gt;1&lt;/R&gt;&lt;C&gt;1&lt;/C&gt;&lt;D xsi:type="xsd:double"&gt;70.4545454545455&lt;/D&gt;&lt;/FQL&gt;&lt;FQL&gt;&lt;Q&gt;EWU^FG_TOTAL_RETURNC(0,-1AM)&lt;/Q&gt;&lt;R&gt;1&lt;/R&gt;&lt;C&gt;1&lt;/C&gt;&lt;D xsi:type="xsd:double"&gt;2.4124026&lt;/D&gt;&lt;/FQL&gt;&lt;FQL&gt;&lt;Q&gt;EWG^FG_TOTAL_RETURNC(0,-6AM)&lt;/Q&gt;&lt;R&gt;1&lt;/R&gt;&lt;C&gt;1&lt;/C&gt;&lt;D xsi:type="xsd:double"&gt;5.419016&lt;/D&gt;&lt;/FQL&gt;&lt;FQL&gt;&lt;Q&gt;QQQ^SIZE(FG_CONSTITUENTS)&lt;/Q&gt;&lt;R&gt;1&lt;/R&gt;&lt;C&gt;1&lt;/C&gt;&lt;D xsi:type="xsd:long"&gt;102&lt;/D&gt;&lt;/FQL&gt;&lt;FQL&gt;&lt;Q&gt;TRYNZ10Y-FDS^PCTCHG(FG_YIELD(0,,,,"YTM"),FG_YIELD(-3AM,,,,"YTM"))&lt;/Q&gt;&lt;R&gt;1&lt;/R&gt;&lt;C&gt;1&lt;/C&gt;&lt;D xsi:type="xsd:double"&gt;-13.207437&lt;/D&gt;&lt;/FQL&gt;&lt;FQL&gt;&lt;Q&gt;EWI^FMA_DIV_YLD(NTMA,NOW,NOW,M,"PORTAGG","MEANR")&lt;/Q&gt;&lt;R&gt;1&lt;/R&gt;&lt;C&gt;1&lt;/C&gt;&lt;D xsi:type="xsd:double"&gt;5.31614445750407&lt;/D&gt;&lt;/FQL&gt;&lt;FQL&gt;&lt;Q&gt;EWQ^FMA_PE(LTM,0,,,"PORTAGG","MEANR")&lt;/Q&gt;&lt;R&gt;1&lt;/R&gt;&lt;C&gt;1&lt;/C&gt;&lt;D xsi:type="xsd:double"&gt;15.5242137844171&lt;/D&gt;&lt;/FQL&gt;&lt;FQL&gt;&lt;Q&gt;EWG^FG_FCF_YIELD_NTM(0)&lt;/Q&gt;&lt;R&gt;1&lt;/R&gt;&lt;C&gt;1&lt;/C&gt;&lt;D xsi:type="xsd:double"&gt;5.89544628556398&lt;/D&gt;&lt;/FQL&gt;&lt;FQL&gt;&lt;Q&gt;ENZL^FG_FCF_YIELD_NTM(0)&lt;/Q&gt;&lt;R&gt;1&lt;/R&gt;&lt;C&gt;1&lt;/C&gt;&lt;D xsi:type="xsd:double"&gt;0.504609119641075&lt;/D&gt;&lt;/FQL&gt;&lt;FQL&gt;&lt;Q&gt;UUP^FG_TOTAL_RETURNC(0,-6AM)&lt;/Q&gt;&lt;R&gt;1&lt;/R&gt;&lt;C&gt;1&lt;/C&gt;&lt;D xsi:type="xsd:double"&gt;4.2253494&lt;/D&gt;&lt;/FQL&gt;&lt;FQL&gt;&lt;Q&gt;TIOS-FDS^FG_PRICE_CHANGE(0,-6AM)&lt;/Q&gt;&lt;R&gt;1&lt;/R&gt;&lt;C&gt;1&lt;/C&gt;&lt;D xsi:type="xsd:double"&gt;-22.4918971885128&lt;/D&gt;&lt;/FQL&gt;&lt;FQL&gt;&lt;Q&gt;EWL^FG_TOTAL_RETURNC(0,-12AM)&lt;/Q&gt;&lt;R&gt;1&lt;/R&gt;&lt;C&gt;1&lt;/C&gt;&lt;D xsi:type="xsd:double"&gt;8.324778&lt;/D&gt;&lt;/FQL&gt;&lt;FQL&gt;&lt;Q&gt;EWA^PERCENT_CHANGE(FMA_EPS(+1,0,,,,"PORTAGG","MEAN"),FMA_EPS(+1,-3AM,,,,"PORTAGG","MEAN"))&lt;/Q&gt;&lt;R&gt;1&lt;/R&gt;&lt;C&gt;1&lt;/C&gt;&lt;D xsi:type="xsd:double"&gt;-1.65443286693808&lt;/D&gt;&lt;/FQL&gt;&lt;FQL&gt;&lt;Q&gt;UUP^FG_TOTAL_RETURNC(0,-3AM)&lt;/Q&gt;&lt;R&gt;1&lt;/R&gt;&lt;C&gt;1&lt;/C&gt;&lt;D xsi:type="xsd:double"&gt;-0.31087995&lt;/D&gt;&lt;/FQL&gt;&lt;FQL&gt;&lt;Q&gt;TRYDE10Y-FDS^FG_YIELD(0,,,,"YTM")&lt;/Q&gt;&lt;R&gt;1&lt;/R&gt;&lt;C&gt;1&lt;/C&gt;&lt;D xsi:type="xsd:double"&gt;2.249&lt;/D&gt;&lt;/FQL&gt;&lt;FQL&gt;&lt;Q&gt;EWI^FMA_PE(NTMA,0,,,"PORTAGG","MEANR")&lt;/Q&gt;&lt;R&gt;1&lt;/R&gt;&lt;C&gt;1&lt;/C&gt;&lt;D xsi:type="xsd:double"&gt;9.68561787936273&lt;/D&gt;&lt;/FQL&gt;&lt;FQL&gt;&lt;Q&gt;REFCHMPR-FDS^PROPER_NAME(0,,,"SECURITY","NAME")&lt;/Q&gt;&lt;R&gt;1&lt;/R&gt;&lt;C&gt;1&lt;/C&gt;&lt;D xsi:type="xsd:string"&gt;Swiss Policy Rate - Sight Deposit Rate&lt;/D&gt;&lt;/FQL&gt;&lt;FQL&gt;&lt;Q&gt;USDEUR^FG_PRICE(0)&lt;/Q&gt;&lt;R&gt;1&lt;/R&gt;&lt;C&gt;1&lt;/C&gt;&lt;D xsi:type="xsd:double"&gt;0.9265694&lt;/D&gt;&lt;/FQL&gt;&lt;FQL&gt;&lt;Q&gt;EWL^FMA_EPS(NTMA,-20AY,0,CY,,"PORTAGG","MEANR")&lt;/Q&gt;&lt;R&gt;20&lt;/R&gt;&lt;C&gt;1&lt;/C&gt;&lt;D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xsi:type="xsd:double"&gt;2.86470858427176&lt;/D&gt;&lt;/FQL&gt;&lt;FQL&gt;&lt;Q&gt;CPALM-FDS^FG_PRICE(0)&lt;/Q&gt;&lt;R&gt;1&lt;/R&gt;&lt;C&gt;1&lt;/C&gt;&lt;D xsi:type="xsd:double"&gt;3988&lt;/D&gt;&lt;/FQL&gt;&lt;FQL&gt;&lt;Q&gt;VWO^FMA_COS_DOWN("EPS","1M",+1,0,,,"PORTAGG","MEANR")&lt;/Q&gt;&lt;R&gt;1&lt;/R&gt;&lt;C&gt;1&lt;/C&gt;&lt;D xsi:type="xsd:double"&gt;971&lt;/D&gt;&lt;/FQL&gt;&lt;FQL&gt;&lt;Q&gt;ENZL^SIZE(FG_CONSTITUENTS)&lt;/Q&gt;&lt;R&gt;1&lt;/R&gt;&lt;C&gt;1&lt;/C&gt;&lt;D xsi:type="xsd:long"&gt;14&lt;/D&gt;&lt;/FQL&gt;&lt;FQL&gt;&lt;Q&gt;EWG^FMA_RBICS_REV_CURRENT(30, LOC, "PORTAGG")&lt;/Q&gt;&lt;R&gt;1&lt;/R&gt;&lt;C&gt;1&lt;/C&gt;&lt;D xsi:type="xsd:double"&gt;23.0594534932324&lt;/D&gt;&lt;/FQL&gt;&lt;FQL&gt;&lt;Q&gt;REFCHMPR-FDS^FG_YIELD(NOW,,,0)&lt;/Q&gt;&lt;R&gt;1&lt;/R&gt;&lt;C&gt;1&lt;/C&gt;&lt;D xsi:type="xsd:double"&gt;1.25&lt;/D&gt;&lt;/FQL&gt;&lt;FQL&gt;&lt;Q&gt;TRYSE10Y-FDS^PCTCHG(FG_YIELD(0,,,,"YTM"),FG_YIELD(-1AM,,,,"YTM"))&lt;/Q&gt;&lt;R&gt;1&lt;/R&gt;&lt;C&gt;1&lt;/C&gt;&lt;D xsi:type="xsd:double"&gt;-14.497168&lt;/D&gt;&lt;/FQL&gt;&lt;FQL&gt;&lt;Q&gt;TRYNZ10Y-FDS^PCTCHG(FG_YIELD(0,,,,"YTM"),FG_YIELD(-1AM,,,,"YTM"))&lt;/Q&gt;&lt;R&gt;1&lt;/R&gt;&lt;C&gt;1&lt;/C&gt;&lt;D xsi:type="xsd:double"&gt;-8.119572&lt;/D&gt;&lt;/FQL&gt;&lt;FQL&gt;&lt;Q&gt;CC_AU^IMF_IFS_RCPI_Q(0)&lt;/Q&gt;&lt;R&gt;0&lt;/R&gt;&lt;C&gt;0&lt;/C&gt;&lt;/FQL&gt;&lt;FQL&gt;&lt;Q&gt;EWU^FMA_PE(NTMA,0,,,"PORTAGG","MEANR")&lt;/Q&gt;&lt;R&gt;1&lt;/R&gt;&lt;C&gt;1&lt;/C&gt;&lt;D xsi:type="xsd:double"&gt;11.613644881033&lt;/D&gt;&lt;/FQL&gt;&lt;FQL&gt;&lt;Q&gt;ENZL^FMA_DIV_YLD(NTMA,NOW,NOW,M,"PORTAGG","MEANR")&lt;/Q&gt;&lt;R&gt;1&lt;/R&gt;&lt;C&gt;1&lt;/C&gt;&lt;D xsi:type="xsd:double"&gt;2.67421207278863&lt;/D&gt;&lt;/FQL&gt;&lt;FQL&gt;&lt;Q&gt;EWQ^JULIAN(FMA_DIV_YLD(NTMA,NOW,NOW,M,"PORTAGG","MEANR").DATES)&lt;/Q&gt;&lt;R&gt;1&lt;/R&gt;&lt;C&gt;1&lt;/C&gt;&lt;D xsi:type="xsd:long"&gt;45502&lt;/D&gt;&lt;/FQL&gt;&lt;FQL&gt;&lt;Q&gt;EWG^FMA_DIV_YLD(NTMA,NOW,NOW,M,"PORTAGG","MEANR")&lt;/Q&gt;&lt;R&gt;1&lt;/R&gt;&lt;C&gt;1&lt;/C&gt;&lt;D xsi:type="xsd:double"&gt;3.42362811988095&lt;/D&gt;&lt;/FQL&gt;&lt;FQL&gt;&lt;Q&gt;ENZL^FMA_PE(NTMA,0,,,"PORTAGG","MEANR")&lt;/Q&gt;&lt;R&gt;1&lt;/R&gt;&lt;C&gt;1&lt;/C&gt;&lt;D xsi:type="xsd:double"&gt;24.8893087607956&lt;/D&gt;&lt;/FQL&gt;&lt;FQL&gt;&lt;Q&gt;EWN^FMA_PE(LTMA,-10AY,0,AM,"PORTAGG","MEANR")&lt;/Q&gt;&lt;R&gt;121&lt;/R&gt;&lt;C&gt;1&lt;/C&gt;&lt;D xsi:type="xsd:double"&gt;16.3065554889084&lt;/D&gt;&lt;D xsi:type="xsd:double"&gt;16.62471730208&lt;/D&gt;&lt;D xsi:type="xsd:double"&gt;16.6716684762407&lt;/D&gt;&lt;D xsi:type="xsd:double"&gt;16.9559362554403&lt;/D&gt;&lt;D xsi:type="xsd:double"&gt;17.901078025671&lt;/D&gt;&lt;D xsi:type="xsd:double"&gt;17.6750083718626&lt;/D&gt;&lt;D xsi:type="xsd:double"&gt;18.8216496666534&lt;/D&gt;&lt;D xsi:type="xsd:double"&gt;20.1223054586507&lt;/D&gt;&lt;D xsi:type="xsd:double"&gt;19.9084028058598&lt;/D&gt;&lt;D xsi:type="xsd:double"&gt;19.6264132950042&lt;/D&gt;&lt;D xsi:type="xsd:double"&gt;19.443858421108&lt;/D&gt;&lt;D xsi:type="xsd:double"&gt;19.0523427701868&lt;/D&gt;&lt;D xsi:type="xsd:double"&gt;19.0096127556024&lt;/D&gt;&lt;D xsi:type="xsd:double"&gt;17.292426239142&lt;/D&gt;&lt;D xsi:type="xsd:double"&gt;16.5625494738977&lt;/D&gt;&lt;D xsi:type="xsd:double"&gt;17.6010138978147&lt;/D&gt;&lt;D xsi:type="xsd:double"&gt;18.0621547709678&lt;/D&gt;&lt;D xsi:type="xsd:double"&gt;16.8706386495531&lt;/D&gt;&lt;D xsi:type="xsd:double"&gt;16.406145654605&lt;/D&gt;&lt;D xsi:type="xsd:double"&gt;16.4342010948566&lt;/D&gt;&lt;D xsi:type="xsd:double"&gt;16.3502918095853&lt;/D&gt;&lt;D xsi:type="xsd:double"&gt;16.2415206382368&lt;/D&gt;&lt;D xsi:type="xsd:double"&gt;16.2860483560841&lt;/D&gt;&lt;D xsi:type="xsd:double"&gt;15.8183783091024&lt;/D&gt;&lt;D xsi:type="xsd:double"&gt;16.0722592755768&lt;/D&gt;&lt;D xsi:type="xsd:double"&gt;16.1809797339062&lt;/D&gt;&lt;D xsi:type="xsd:double"&gt;16.156385409687&lt;/D&gt;&lt;D xsi:type="xsd:double"&gt;15.6809532882497&lt;/D&gt;&lt;D xsi:type="xsd:double"&gt;15.379251590667&lt;/D&gt;&lt;D xsi:type="xsd:double"&gt;16.2999348215531&lt;/D&gt;&lt;D xsi:type="xsd:double"&gt;16.1121338186952&lt;/D&gt;&lt;D xsi:type="xsd:double"&gt;16.4408844449244&lt;/D&gt;&lt;D xsi:type="xsd:double"&gt;16.5201736815972&lt;/D&gt;&lt;D xsi:type="xsd:double"&gt;16.6613226441402&lt;/D&gt;&lt;D xsi:type="xsd:double"&gt;16.7498430758107&lt;/D&gt;&lt;D xsi:type="xsd:double"&gt;16.4737540777456&lt;/D&gt;&lt;D xsi:type="xsd:double"&gt;16.7476390782745&lt;/D&gt;&lt;D xsi:type="xsd:double"&gt;16.6016722981034&lt;/D&gt;&lt;D xsi:type="xsd:double"&gt;17.0140564913605&lt;/D&gt;&lt;D xsi:type="xsd:double"&gt;17.3947003136002&lt;/D&gt;&lt;D xsi:type="xsd:double"&gt;16.9747585624299&lt;/D&gt;&lt;D xsi:type="xsd:double"&gt;17.2377470781453&lt;/D&gt;&lt;D xsi:type="xsd:double"&gt;17.4946160359671&lt;/D&gt;&lt;D xsi:type="xsd:double"&gt;16.6358566673298&lt;/D&gt;&lt;D xsi:type="xsd:double"&gt;16.5599958886049&lt;/D&gt;&lt;D xsi:type="xsd:double"&gt;16.5822049425865&lt;/D&gt;&lt;D xsi:type="xsd:double"&gt;16.6365813063737&lt;/D&gt;&lt;D xsi:type="xsd:do</t>
        </r>
      </text>
    </comment>
    <comment ref="A15" authorId="0" shapeId="0" xr:uid="{EB7CDB68-9059-4E0C-9337-BDB276FFD286}">
      <text>
        <r>
          <rPr>
            <b/>
            <sz val="9"/>
            <color indexed="81"/>
            <rFont val="Tahoma"/>
            <charset val="1"/>
          </rPr>
          <t>uble"&gt;16.5176347654857&lt;/D&gt;&lt;D xsi:type="xsd:double"&gt;16.8226882345913&lt;/D&gt;&lt;D xsi:type="xsd:double"&gt;16.6007329052535&lt;/D&gt;&lt;D xsi:type="xsd:double"&gt;16.3439436671573&lt;/D&gt;&lt;D xsi:type="xsd:double"&gt;15.6055159750091&lt;/D&gt;&lt;D xsi:type="xsd:double"&gt;15.412775614075&lt;/D&gt;&lt;D xsi:type="xsd:double"&gt;14.2830374670868&lt;/D&gt;&lt;D xsi:type="xsd:double"&gt;15.2677384156241&lt;/D&gt;&lt;D xsi:type="xsd:double"&gt;16.1603659396246&lt;/D&gt;&lt;D xsi:type="xsd:double"&gt;16.1931618243557&lt;/D&gt;&lt;D xsi:type="xsd:double"&gt;16.3637660815908&lt;/D&gt;&lt;D xsi:type="xsd:double"&gt;16.0237908599382&lt;/D&gt;&lt;D xsi:type="xsd:double"&gt;16.4937681796358&lt;/D&gt;&lt;D xsi:type="xsd:double"&gt;16.6900385670695&lt;/D&gt;&lt;D xsi:type="xsd:double"&gt;16.5260795278757&lt;/D&gt;&lt;D xsi:type="xsd:double"&gt;16.9959772259788&lt;/D&gt;&lt;D xsi:type="xsd:double"&gt;17.4597494111542&lt;/D&gt;&lt;D xsi:type="xsd:double"&gt;18.0746968245673&lt;/D&gt;&lt;D xsi:type="xsd:double"&gt;18.6325090085047&lt;/D&gt;&lt;D xsi:type="xsd:double"&gt;18.4219762650162&lt;/D&gt;&lt;D xsi:type="xsd:double"&gt;17.3367558592985&lt;/D&gt;&lt;D xsi:type="xsd:double"&gt;16.8323051047155&lt;/D&gt;&lt;D xsi:type="xsd:double"&gt;17.8263060143421&lt;/D&gt;&lt;D xsi:type="xsd:double"&gt;18.6465884471971&lt;/D&gt;&lt;D xsi:type="xsd:double"&gt;19.5491182981503&lt;/D&gt;&lt;D xsi:type="xsd:double"&gt;20.1049729497633&lt;/D&gt;&lt;D xsi:type="xsd:double"&gt;21.3814409232709&lt;/D&gt;&lt;D xsi:type="xsd:double"&gt;22.0590986209683&lt;/D&gt;&lt;D xsi:type="xsd:double"&gt;21.5941512204297&lt;/D&gt;&lt;D xsi:type="xsd:double"&gt;25.8612976353345&lt;/D&gt;&lt;D xsi:type="xsd:double"&gt;27.3483402911446&lt;/D&gt;&lt;D xsi:type="xsd:double"&gt;27.7526000411273&lt;/D&gt;&lt;D xsi:type="xsd:double"&gt;28.9153891125967&lt;/D&gt;&lt;D xsi:type="xsd:double"&gt;28.6410000034421&lt;/D&gt;&lt;D xsi:type="xsd:double"&gt;27.8915235800863&lt;/D&gt;&lt;D xsi:type="xsd:double"&gt;27.0826985389916&lt;/D&gt;&lt;D xsi:type="xsd:double"&gt;26.5443499894941&lt;/D&gt;&lt;D xsi:type="xsd:double"&gt;26.2696248935467&lt;/D&gt;&lt;D xsi:type="xsd:double"&gt;26.0395311922545&lt;/D&gt;&lt;D xsi:type="xsd:double"&gt;24.1534486506697&lt;/D&gt;&lt;D xsi:type="xsd:double"&gt;24.625539219056&lt;/D&gt;&lt;D xsi:type="xsd:double"&gt;23.1300586097728&lt;/D&gt;&lt;D xsi:type="xsd:double"&gt;22.6891096808763&lt;/D&gt;&lt;D xsi:type="xsd:double"&gt;20.477395980732&lt;/D&gt;&lt;D xsi:type="xsd:double"&gt;18.3109482689826&lt;/D&gt;&lt;D xsi:type="xsd:double"&gt;18.5764891902353&lt;/D&gt;&lt;D xsi:type="xsd:double"&gt;18.3036541239359&lt;/D&gt;&lt;D xsi:type="xsd:double"&gt;18.5099210777848&lt;/D&gt;&lt;D xsi:type="xsd:double"&gt;18.0143758381022&lt;/D&gt;&lt;D xsi:type="xsd:double"&gt;19.6824071673773&lt;/D&gt;&lt;D xsi:type="xsd:double"&gt;18.2148104493602&lt;/D&gt;&lt;D xsi:type="xsd:double"&gt;17.0934099228763&lt;/D&gt;&lt;D xsi:type="xsd:double"&gt;18.3892898089622&lt;/D&gt;&lt;D xsi:type="xsd:double"&gt;18.4649886894825&lt;/D&gt;&lt;D xsi:type="xsd:double"&gt;17.6566343355755&lt;/D&gt;&lt;D xsi:type="xsd:double"&gt;19.4667923472527&lt;/D&gt;&lt;D xsi:type="xsd:double"&gt;20.6326683804078&lt;/D&gt;&lt;D xsi:type="xsd:double"&gt;20.3592854704907&lt;/D&gt;&lt;D xsi:type="xsd:double"&gt;19.8170664468923&lt;/D&gt;&lt;D xsi:type="xsd:double"&gt;19.3982925982782&lt;/D&gt;&lt;D xsi:type="xsd:double"&gt;19.2358258004028&lt;/D&gt;&lt;D xsi:type="xsd:double"&gt;19.0902768900877&lt;/D&gt;&lt;D xsi:type="xsd:double"&gt;17.81697511593&lt;/D&gt;&lt;D xsi:type="xsd:double"&gt;16.7427696765938&lt;/D&gt;&lt;D xsi:type="xsd:double"&gt;15.863246827977&lt;/D&gt;&lt;D xsi:type="xsd:double"&gt;16.3995440835698&lt;/D&gt;&lt;D xsi:type="xsd:double"&gt;16.6271224975657&lt;/D&gt;&lt;D xsi:type="xsd:double"&gt;17.3909071420675&lt;/D&gt;&lt;D xsi:type="xsd:double"&gt;18.5010552754277&lt;/D&gt;&lt;D xsi:type="xsd:double"&gt;18.4393592174885&lt;/D&gt;&lt;D xsi:type="xsd:double"&gt;18.096721687774&lt;/D&gt;&lt;D xsi:type="xsd:double"&gt;18.217382775482&lt;/D&gt;&lt;D xsi:type="xsd:double"&gt;18.278112585668&lt;/D&gt;&lt;D xsi:type="xsd:double"&gt;17.7687653141543&lt;/D&gt;&lt;/FQL&gt;&lt;FQL&gt;&lt;Q&gt;CAGDPY@SE^EE_ACTUAL_ANNUAL(MED,0)&lt;/Q&gt;&lt;R&gt;1&lt;/R&gt;&lt;C&gt;1&lt;/C&gt;&lt;D xsi:type="xsd:double"&gt;6.4686639012956&lt;/D&gt;&lt;/FQL&gt;&lt;FQL&gt;&lt;Q&gt;USDSEK^FG_PRICE_CHANGE(0,-3AM)&lt;/Q&gt;&lt;R&gt;1&lt;/R&gt;&lt;C&gt;1&lt;/C&gt;&lt;D xsi:type="xsd:double"&gt;-2.6556194&lt;/D&gt;&lt;/FQL&gt;&lt;FQL&gt;&lt;Q&gt;ENZL^FG_TOTAL_RETURNC(-10AY,0,AM)&lt;/Q&gt;&lt;R&gt;121&lt;/R&gt;&lt;C&gt;1&lt;/C&gt;&lt;D xsi:type="xsd:double"&gt;-4.8642216&lt;/D&gt;&lt;D xsi:type="xsd:double"&gt;1.340282&lt;/D&gt;&lt;D xsi:type="xsd:double"&gt;-6.1474442&lt;/D&gt;&lt;D xsi:type="xsd:double"&gt;3.809762&lt;/D&gt;&lt;D xsi:type="xsd:double"&gt;1.3074398&lt;/D&gt;&lt;D xsi:type="xsd:double"&gt;1.9889355&lt;/D&gt;&lt;D xsi:type="xsd:double"&gt;-3.5767913&lt;/D&gt;&lt;D xsi:type="xsd:double"&gt;6.2256813&lt;/D&gt;&lt;D xsi:type="xsd:double"&gt;-2.0268679&lt;/D&gt;&lt;D xsi:type="xsd:double"&gt;0.64805746&lt;/D&gt;&lt;D xsi:type="xsd:double"&gt;-6.1193705&lt;/D&gt;&lt;D xsi:type="xsd:double"&gt;-5.771899&lt;/D&gt;&lt;D xsi:type="xsd:double"&gt;0.11488199&lt;/D&gt;&lt;D xsi:type="xsd:double"&gt;-8.864027&lt;/D&gt;&lt;D xsi:type="xsd:double"&gt;0.4091859&lt;/D&gt;&lt;D xsi:type="xsd:double"&gt;13.902819&lt;/D&gt;&lt;D xsi:type="xsd:double"&gt;1.0045409&lt;/D&gt;&lt;D xsi:type="xsd:double"&gt;4.0780187&lt;/D&gt;&lt;D xsi:type="xsd:double"&gt;-5.5763063&lt;/D&gt;&lt;D xsi:type="xsd:double"&gt;4.181969&lt;/D&gt;&lt;D xsi:type="xsd:double"&gt;11.03878&lt;/D&gt;&lt;D xsi:type="xsd:double"&gt;2.1494865&lt;/D&gt;&lt;D xsi:type="xsd:double"&gt;0.81300735&lt;/D&gt;&lt;D xsi:type="xsd:double"&gt;4.253924&lt;/D&gt;&lt;D xsi:type="xsd:double"&gt;6.5668106&lt;/D&gt;&lt;D xsi:type="xsd:double"&gt;1.8162131&lt;/D&gt;&lt;D xsi:type="xsd:double"&gt;-0.50753355&lt;/D&gt;&lt;D xsi:type="xsd:double"&gt;-8.817315&lt;/D&gt;&lt;D xsi:type="xsd:double"&gt;-0.9129226&lt;/D&gt;&lt;D xsi:type="xsd:double"&gt;-2.89976&lt;/D&gt;&lt;D xsi:type="xsd:double"&gt;8.306063&lt;/D&gt;&lt;D xsi:type="xsd:double"&gt;-0.27887225&lt;/D&gt;&lt;D xsi:type="xsd:double"&gt;-1.6080141&lt;/D&gt;&lt;D xsi:type="xsd:double"&gt;1.350069&lt;/D&gt;&lt;D xsi:type="xsd:double"&gt;4.229951&lt;/D&gt;&lt;D xsi:type="xsd:double"&gt;5.659044&lt;/D&gt;&lt;D xsi:type="xsd:double"&gt;2.7669787&lt;/D&gt;&lt;D xsi:type="xsd:double"&gt;-2.6714385&lt;/D&gt;&lt;D xsi:type="xsd:double"&gt;1.837039&lt;/D&gt;&lt;D xsi:type="xsd:double"&gt;-3.92614&lt;/D&gt;&lt;D xsi:type="xsd:double"&gt;1.7229915&lt;/D&gt;&lt;D xsi:type="xsd:double"&gt;5.0637484&lt;/D&gt;&lt;D xsi:type="xsd:double"&gt;4.5502424&lt;/D&gt;&lt;D xsi:type="xsd:double"&gt;-2.4984896&lt;/D&gt;&lt;D xsi:type="xsd:double"&gt;0.84728&lt;/D&gt;&lt;D xsi:type="xsd:double"&gt;-2.8073728&lt;/D&gt;&lt;D xsi:type="xsd:double"&gt;2.7408838&lt;/D&gt;&lt;D xsi:type="xsd:double"&gt;0.8903742&lt;/D&gt;&lt;D xsi:type="xsd:double"&gt;-1.2893438&lt;/D&gt;&lt;D xsi:type="xsd:double"&gt;2.7728796&lt;/D&gt;&lt;D xsi:type="xsd:double"&gt;-0.713557&lt;/D&gt;&lt;D xsi:type="xsd:double"&gt;-4.0451765&lt;/D&gt;&lt;D xsi:type="xsd:double"&gt;3.327632&lt;/D&gt;&lt;D xsi:type="xsd:double"&gt;-2.97665&lt;/D&gt;&lt;D xsi:type="xsd:double"&gt;5.106473&lt;/D&gt;&lt;D xsi:type="xsd:double"&gt;3.1631231&lt;/D&gt;&lt;D xsi:type="xsd:double"&gt;4.829657&lt;/D&gt;&lt;D xsi:type="xsd:double"&gt;-1.8543303&lt;/D&gt;&lt;D xsi:type="xsd:double"&gt;-0.46747327&lt;/D&gt;&lt;D xsi:type="xsd:double"&gt;5.325997&lt;/D&gt;&lt;D xsi:type="xsd:double"&gt;2.7159572&lt;/D&gt;&lt;D xsi:type="xsd:double"&gt;-5.3066435&lt;/D&gt;&lt;D xsi:type="xsd:double"&gt;1.0083437&lt;/D&gt;&lt;D xsi:type="xsd:double"&gt;1.2286425&lt;/D&gt;&lt;D xsi:type="xsd:double"&gt;5.973828&lt;/D&gt;&lt;D xsi:type="xsd:double"&gt;5.5488944&lt;/D&gt;&lt;D xsi:type="xsd:double"&gt;-2.7532458&lt;/D&gt;&lt;D xsi:type="xsd:double"&gt;-5.8582664&lt;/D&gt;&lt;D xsi:type="xsd:double"&gt;-15.906942&lt;/D&gt;&lt;D xsi:type="xsd:double"&gt;7.579851&lt;/D&gt;&lt;D xsi:type="xsd:double"&gt;9.680117&lt;/D&gt;&lt;D xsi:type="xsd:double"&gt;7.7023983&lt;/D&gt;&lt;D xsi:type="xsd:double"&gt;4.6685696&lt;/D&gt;&lt;D xsi:type="xsd:double"&gt;2.128017&lt;/D&gt;&lt;D xsi:type="xsd:double"&gt;-2.817142&lt;/D&gt;&lt;D xsi:type="xsd:double"&gt;1.8353343&lt;/D&gt;&lt;D xsi:type="xsd:double"&gt;12.941384&lt;/D&gt;&lt;D xsi:type="xsd:double"&gt;2.6886106&lt;/D&gt;&lt;D xsi:type="xsd:double"&gt;-0.54356456&lt;/D&gt;&lt;D xsi:type="xsd:double"&gt;-5.465281&lt;/D&gt;&lt;D xsi:type="xsd:double"&gt;-2.5781274&lt;/D&gt;&lt;D xsi:type="xsd:double"&gt;3.560543&lt;/D&gt;&lt;D xsi:type="xsd:double"&gt;-2.8496206&lt;/D&gt;&lt;D xsi:type="xsd:double"&gt;-2.167344&lt;/D&gt;&lt;D xsi:type="xsd:double"&gt;-0.62479377&lt;/D&gt;&lt;D xsi:type="xsd:double"&gt;5.195236&lt;/D&gt;&lt;D xsi:type="xsd:double"&gt;-1.4469981&lt;/D&gt;&lt;D xsi:type="xsd:double"&gt;1.7397046&lt;/D&gt;&lt;D xsi:type="xsd:double"&gt;-8.253789&lt;/D&gt;&lt;D xsi:type="xsd:double"&gt;2.2116065&lt;/D&gt;&lt;D xsi:type="xsd:double"&gt;-9.680706&lt;/D&gt;&lt;D xsi:type="xsd:double"&gt;3.1402707&lt;/D&gt;&lt;D xsi:type="xsd:double"&gt;0.8568883&lt;/D&gt;&lt;D xsi:type="xsd:double"&gt;-9.689081&lt;/D&gt;&lt;D xsi:type="xsd:double"&gt;-3.1024814&lt;/D&gt;&lt;D xsi:type="xsd:double"&gt;-7.3117733&lt;/D&gt;&lt;D xsi:type="xsd:double"&gt;9.334839&lt;/D&gt;&lt;D xsi:type="xsd:double"&gt;-4.413289&lt;/D&gt;&lt;D xsi:type="xsd:double"&gt;-11.154259&lt;/D&gt;&lt;D xsi:type="xsd:double"&gt;6.5080166&lt;/D&gt;&lt;D xsi:type="xsd:double"&gt;13.155497&lt;/D&gt;&lt;D xsi:type="xsd:double"&gt;-1.701796&lt;/D&gt;&lt;D xsi:type="xsd:double"&gt;8.589088&lt;/D&gt;&lt;D xsi:type="xsd:double"&gt;-6.050837&lt;/D&gt;&lt;D xsi:type="xsd:double"&gt;0.80759525&lt;/D&gt;&lt;D xsi:type="xsd:double"&gt;-0.3687203&lt;/D&gt;&lt;D xsi:type="xsd:double"&gt;-1.941669&lt;/D&gt;&lt;D xsi:type="xsd:double"&gt;1.4151216&lt;/D&gt;&lt;D xsi:type="xsd:double"&gt;-0.081670284&lt;/D&gt;&lt;D xsi:type="xsd:double"&gt;-7.0290146&lt;/D&gt;&lt;D xsi:type="xsd:double"&gt;-2.6593387&lt;/D&gt;&lt;D xsi:type="xsd:double"&gt;-4.0867033&lt;/D&gt;&lt;D xsi:type="xsd:double"&gt;11.134648&lt;/D&gt;&lt;D xsi:type="xsd:double"&gt;4.859531&lt;/D&gt;&lt;D xsi:type="xsd:double"&gt;-3.2271326&lt;/D&gt;&lt;D xsi:type="xsd:double"&gt;-2.897936&lt;/D&gt;&lt;D xsi:type="xsd:double"&gt;-1.0972142&lt;/D&gt;&lt;D xsi:type="xsd:double"&gt;-2.2409558&lt;/D&gt;&lt;D xsi:type="xsd:double"&gt;5.878353&lt;/D&gt;&lt;D xsi:type="xsd:double"&gt;-2.5386155&lt;/D&gt;&lt;D xsi:type="xsd:double"&gt;1.5735865&lt;/D&gt;&lt;/FQL&gt;&lt;FQL&gt;&lt;Q&gt;EWD^FMA_PE(LTMA,-10AY,0,AM,"PORTAGG","MEANR")&lt;/Q&gt;&lt;R&gt;121&lt;/R&gt;&lt;C&gt;1&lt;/C&gt;&lt;D xsi:type="xsd:double"&gt;15.8265445072361&lt;/D&gt;&lt;D xsi:type="xsd:double"&gt;15.8372840366843&lt;/D&gt;&lt;D xsi:type="xsd:double"&gt;15.8937269063523&lt;/D&gt;&lt;D xsi:type="xsd:double"&gt;16.3360450818904&lt;/D&gt;&lt;D xsi:type="xsd:double"&gt;17.271853513155&lt;/D&gt;&lt;D xsi:type="xsd:double"&gt;17.5843936947817&lt;/D&gt;&lt;D xsi:type="xsd:double"&gt;18.7007555337374&lt;/D&gt;&lt;D xsi:type="xsd:double"&gt;20.3028254397121&lt;/D&gt;&lt;D xsi:type="xsd:double"&gt;19.9572009832983&lt;/D&gt;&lt;D xsi:type="xsd:double"&gt;19.2562506036483&lt;/D&gt;&lt;D xsi:type="xsd:double"&gt;19.3051405168703&lt;/D&gt;&lt;D xsi:type="xsd:double"&gt;18.6474275073844&lt;/D&gt;&lt;D xsi:type="xsd:double"&gt;18.4990183364309&lt;/D&gt;&lt;D xsi:type="xsd:double"&gt;17.2551705880509&lt;/D&gt;&lt;D xsi:type="xsd:double"&gt;16.3984265693634&lt;/D&gt;&lt;D xsi:type="xsd:double"&gt;17.193332412251&lt;/D&gt;&lt;D xsi:type="xsd:double"&gt;16.937334281333&lt;/D&gt;&lt;D xsi:type="xsd:double"&gt;16.0162580656525&lt;/D&gt;&lt;D xsi:type="xsd:double"&gt;14.6695622996926&lt;/D&gt;&lt;D xsi:type="xsd:double"&gt;15.6158799578436&lt;/D&gt;&lt;D xsi:type="xsd:double"&gt;15.5496259742074&lt;/D&gt;&lt;D xsi:type="xsd:double"&gt;15.654626448611&lt;/D&gt;&lt;D xsi:type="xsd:double"&gt;15.523444452153&lt;/D&gt;&lt;D xsi:type="xsd:double"&gt;15.4538294040505&lt;/D&gt;&lt;D xsi:type="xsd:double"&gt;15.7863929124286&lt;/D&gt;&lt;D xsi:type="xsd:double"&gt;16.0710701609378&lt;/D&gt;&lt;D xsi:type="xsd:double"&gt;16.4554693449696&lt;/D&gt;&lt;D xsi:type="xsd:double"&gt;17.1515759308081&lt;/D&gt;&lt;D xsi:type="xsd:double"&gt;17.3615102114727&lt;/D&gt;&lt;D xsi:type="xsd:double"&gt;18.1859107293486&lt;/D&gt;&lt;D xsi:type="xsd:double"&gt;18.2569802689274&lt;/D&gt;&lt;D xsi:type="xsd:double"&gt;17.4744656980776&lt;/D&gt;&lt;D xsi:type="xsd:double"&gt;17.6049334019684&lt;/D&gt;&lt;D xsi:type="xsd:double"&gt;17.6347589127582&lt;/D&gt;&lt;D xsi:type="xsd:double"&gt;18.1042297598299&lt;/D&gt;&lt;D xsi:type="xsd:double"&gt;17.4990003834848&lt;/D&gt;&lt;D xsi:type="xsd:double"&gt;17.1689841962704&lt;/D&gt;&lt;D xsi:type="xsd:double"&gt;16.9755886646677&lt;/D&gt;&lt;D xsi:type="xsd:double"&gt;17.7146987001221&lt;/D&gt;&lt;D xsi:type="xsd:double"&gt;18.5965803425695&lt;/D&gt;&lt;D xsi:type="xsd:double"&gt;17.8216889028726&lt;/D&gt;&lt;D xsi:type="xsd:double"&gt;17.8917428432806&lt;/D&gt;&lt;D xsi:type="xsd:double"&gt;18.8302957350907&lt;/D&gt;&lt;D xsi:type="xsd:double"&gt;16.9481866783059&lt;/D&gt;&lt;D xsi:type="xsd:double"&gt;16.8339577519838&lt;/D&gt;&lt;D xsi:type="xsd:double"&gt;16.7748732453936&lt;/D&gt;&lt;D xsi:type="xsd:double"&gt;16.6276635043872&lt;/D&gt;&lt;D xsi:type="xsd:double"&gt;16.4769912290327&lt;/D&gt;&lt;D xsi:type="xsd:double"&gt;16.6232646791788&lt;/D&gt;&lt;D xsi:type="xsd:double"&gt;16.8131756196541&lt;/D&gt;&lt;D xsi:type="xsd:double"&gt;16.9378967265929&lt;/D&gt;&lt;D xsi:type="xsd:double"&gt;15.2863911024456&lt;/D&gt;&lt;D xsi:type="xsd:double"&gt;14.8233032959828&lt;/D&gt;&lt;D xsi:type="xsd:double"&gt;13.8015710705117&lt;/D&gt;&lt;D xsi:type="xsd:double"&gt;16.2348727994808&lt;/D&gt;&lt;D xsi:type="xsd:double"&gt;18.1610367121294&lt;/D&gt;&lt;D xsi:type="xsd:double"&gt;17.860133371288&lt;/D&gt;&lt;D xsi:type="xsd:double"&gt;17.8758247017429&lt;/D&gt;&lt;D xsi:type="xsd:double"&gt;16.9717150991156&lt;/D&gt;&lt;D xsi:type="xsd:double"&gt;17.1955360550945&lt;/D&gt;&lt;D xsi:type="xsd:double"&gt;16.8689721006865&lt;/D&gt;&lt;D xsi:type="xsd:double"&gt;15.7954335523063&lt;/D&gt;&lt;D xsi:type="xsd:double"&gt;16.3863599276536&lt;/D&gt;&lt;D xsi:type="xsd:double"&gt;16.8402932528477&lt;/D&gt;&lt;D xsi:type="xsd:double"&gt;15.8831275318796&lt;/D&gt;&lt;D xsi:type="xsd:double"&gt;16.172244747034&lt;/D&gt;&lt;D xsi:type="xsd:double"&gt;13.8187649573475&lt;/D&gt;&lt;D xsi:type="xsd:double"&gt;12.8819296635769&lt;/D&gt;&lt;D xsi:type="xsd:double"&gt;12.9085194242034&lt;/D&gt;&lt;D xsi:type="xsd:double"&gt;14.6114326531905&lt;/D&gt;&lt;D xsi:type="xsd:double"&gt;16.0394377454976&lt;/D&gt;&lt;D xsi:type="xsd:double"&gt;17.351162068409&lt;/D&gt;&lt;D xsi:type="xsd:double"&gt;16.8695910396999&lt;/D&gt;&lt;D xsi:type="xsd:double"&gt;17.2578611312338&lt;/D&gt;&lt;D xsi:type="xsd:double"&gt;18.1082937305295&lt;/D&gt;&lt;D xsi:type="xsd:double"&gt;15.0099346954424&lt;/D&gt;&lt;D xsi:type="xsd:double"&gt;17.014922744029&lt;/D&gt;&lt;D xsi:type="xsd:double"&gt;17.91501057852&lt;/D&gt;&lt;D xsi:type="xsd:double"&gt;18.3485678638997&lt;/D&gt;&lt;D xsi:type="xsd:double"&gt;17.6522236870105&lt;/D&gt;&lt;D xsi:type="xsd:double"&gt;18.167370415933&lt;/D&gt;&lt;D xsi:type="xsd:double"&gt;17.8426412896061&lt;/D&gt;&lt;D xsi:type="xsd:double"&gt;17.8474761872877&lt;/D&gt;&lt;D xsi:type="xsd:double"&gt;17.9379801461636&lt;/D&gt;&lt;D xsi:type="xsd:double"&gt;17.5041911164503&lt;/D&gt;&lt;D xsi:type="xsd:double"&gt;17.5004826848275&lt;/D&gt;&lt;D xsi:type="xsd:double"&gt;16.9609070654628&lt;/D&gt;&lt;D xsi:type="xsd:double"&gt;16.4900403972472&lt;/D&gt;&lt;D xsi:type="xsd:double"&gt;16.4639776388455&lt;/D&gt;&lt;D xsi:type="xsd:double"&gt;16.8898189156619&lt;/D&gt;&lt;D xsi:type="xsd:double"&gt;12.3755857087818&lt;/D&gt;&lt;D xsi:type="xsd:double"&gt;11.603567608241&lt;/D&gt;&lt;D xsi:type="xsd:double"&gt;12.1023299211123&lt;/D&gt;&lt;D xsi:type="xsd:double"&gt;12.2495902206745&lt;/D&gt;&lt;D xsi:type="xsd:double"&gt;13.7283209201825&lt;/D&gt;&lt;D xsi:type="xsd:double"&gt;13.3077306699604&lt;/D&gt;&lt;D xsi:type="xsd:double"&gt;14.6863388121544&lt;/D&gt;&lt;D xsi:type="xsd:double"&gt;14.1447835359599&lt;/D&gt;&lt;D xsi:type="xsd:double"&gt;14.3110336763274&lt;/D&gt;&lt;D xsi:type="xsd:double"&gt;13.4681879575645&lt;/D&gt;&lt;D xsi:type="xsd:double"&gt;14.4962517332998&lt;/D&gt;&lt;D xsi:type="xsd:double"&gt;15.4453401863932&lt;/D&gt;&lt;D xsi:type="xsd:double"&gt;24.5232004659825&lt;/D&gt;&lt;D xsi:type="xsd:double"&gt;25.6298095450356&lt;/D&gt;&lt;D xsi:type="xsd:double"&gt;24.4474304000133&lt;/D&gt;&lt;D xsi:type="xsd:double"&gt;23.3841203574519&lt;/D&gt;&lt;D xsi:type="xsd:double"&gt;21.9448270462718&lt;/D&gt;&lt;D xsi:type="xsd:double"&gt;20.9228819807488&lt;/D&gt;&lt;D xsi:type="xsd:double"&gt;19.475894652632&lt;/D&gt;&lt;D xsi:type="xsd:double"&gt;17.9417896809596&lt;/D&gt;&lt;D xsi:type="xsd:double"&gt;16.7595290826955&lt;/D&gt;&lt;D xsi:type="xsd:double"&gt;15.6521311810553&lt;/D&gt;&lt;D xsi:type="xsd:double"&gt;17.5552709871896&lt;/D&gt;&lt;D xsi:type="xsd:double"&gt;17.9664134766413&lt;/D&gt;&lt;D xsi:type="xsd:double"&gt;15.5494734224789&lt;/D&gt;&lt;D xsi:type="xsd:double"&gt;15.8068334118034&lt;/D&gt;&lt;D xsi:type="xsd:double"&gt;15.9174729521011&lt;/D&gt;&lt;D xsi:type="xsd:double"&gt;15.9097913954509&lt;/D&gt;&lt;D xsi:type="xsd:double"&gt;16.0591727777242&lt;/D&gt;&lt;D xsi:type="xsd:double"&gt;16.1286570532969&lt;/D&gt;&lt;D xsi:type="xsd:double"&gt;16.4273065144878&lt;/D&gt;&lt;/FQL&gt;&lt;FQL&gt;&lt;Q&gt;PASP-FDS^FG_PRICE_CHANGE(0,-1AY)&lt;/Q&gt;&lt;R&gt;1&lt;/R&gt;&lt;C&gt;1&lt;/C&gt;&lt;D xsi:type="xsd:double"&gt;-25.2&lt;/D&gt;&lt;/FQL&gt;&lt;FQL&gt;&lt;Q&gt;TIOS-FDS^FG_PRICE_CHANGE(0,-3AM)&lt;/Q&gt;&lt;R&gt;1&lt;/R&gt;&lt;C&gt;1&lt;/C&gt;&lt;D xsi:type="xsd:double"&gt;-12.2685777664022&lt;/D&gt;&lt;/FQL&gt;&lt;FQL&gt;&lt;Q&gt;EWL^FG_PRICE_MAVG(0,,,,200)&lt;/Q&gt;&lt;R&gt;1&lt;/R&gt;&lt;C&gt;1&lt;/C&gt;&lt;D xsi:type="xsd:double"&gt;46.9829&lt;/D&gt;&lt;/FQL&gt;&lt;FQL&gt;&lt;Q&gt;VGK^P_PRICE(0)/P_PRICE_LOW_PR(0,,,,,,"PRICE","INTRA","52W")-1&lt;/Q&gt;&lt;R&gt;1&lt;/R&gt;&lt;C&gt;1&lt;/C&gt;&lt;D xsi:type="xsd:double"&gt;0.2175808&lt;/D&gt;&lt;/FQL&gt;&lt;FQL&gt;&lt;Q&gt;EWN^FG_TOTAL_RETURNC(0,-12AM)&lt;/Q&gt;&lt;R&gt;1&lt;/R&gt;&lt;C&gt;1&lt;/C&gt;&lt;D xsi:type="xsd:double"&gt;9.757101&lt;/D&gt;&lt;/FQL&gt;&lt;FQL&gt;&lt;Q&gt;EWL^P_PRICE(0)/P_PRICE_LOW_PR(0,,,,,,"PRICE","INTRA","52W")-1&lt;/Q&gt;&lt;R&gt;1&lt;/R&gt;&lt;C&gt;1&lt;/C&gt;&lt;D xsi:type="xsd:double"&gt;0.20577621&lt;/D&gt;&lt;/FQL&gt;&lt;FQL&gt;&lt;Q&gt;EWG^FG_TOTAL_RETURNC(0,-3AM)&lt;/Q&gt;&lt;R&gt;1&lt;/R&gt;&lt;C&gt;1&lt;/C&gt;&lt;D xsi:type="xsd:double"&gt;2.3317337&lt;/D&gt;&lt;/FQL&gt;&lt;FQL&gt;&lt;Q&gt;QQQ^FMA_COS_DOWN("EPS","1M",+1,0,,,"PORTAGG","MEANR")&lt;/Q&gt;&lt;R&gt;1&lt;/R&gt;&lt;C&gt;1&lt;/C&gt;&lt;D xsi:type="xsd:double"&gt;39&lt;/D&gt;&lt;/FQL&gt;&lt;FQL&gt;&lt;Q&gt;CAGDPY@NL^EE_ACTUAL_ANNUAL(MED,+1)&lt;/Q&gt;&lt;R&gt;1&lt;/R&gt;&lt;C&gt;1&lt;/C&gt;&lt;D xsi:type="xsd:double"&gt;9.5&lt;/D&gt;&lt;/FQL&gt;&lt;FQL&gt;&lt;Q&gt;USDEUR^FG_COMPANY_NAME&lt;/Q&gt;&lt;R&gt;1&lt;/R&gt;&lt;C&gt;1&lt;/C&gt;&lt;D xsi:type="xsd:string"&gt;Euro per U.S. Dollar&lt;/D&gt;&lt;/FQL&gt;&lt;FQL&gt;&lt;Q&gt;EWJ^FMA_EPS(NTMA,-20AY,0,CY,,"PORTAGG","MEANR")&lt;/Q&gt;&lt;R&gt;20&lt;/R&gt;&lt;C&gt;1&lt;/C&gt;&lt;D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xsi:type="xsd:double"&gt;4.07638232764084&lt;/D&gt;&lt;D xsi:type="xsd:double"&gt;3.67789544317285&lt;/D&gt;&lt;D xsi:type="xsd:double"&gt;4.61613854439477&lt;/D&gt;&lt;D xsi:type="xsd:double"&gt;4.46089540048153&lt;/D&gt;&lt;D xsi:type="xsd:double"&gt;4.56673185665912&lt;/D&gt;&lt;/FQL&gt;&lt;FQL&gt;&lt;Q&gt;ENZL^JULIAN(FG_TOTAL_RETURNC(-10AY,0,AM).DATES)&lt;/Q&gt;&lt;R&gt;121&lt;/R&gt;&lt;C&gt;1&lt;/C&gt;&lt;D xsi:type="xsd:long"&gt;41852&lt;/D&gt;&lt;D xsi:type="xsd:long"&gt;41880&lt;/D&gt;&lt;D xsi:type="xsd:long"&gt;41913&lt;/D&gt;&lt;D xsi:type="xsd:long"&gt;41943&lt;/D&gt;&lt;D xsi:type="xsd:long"&gt;41974&lt;/D&gt;&lt;D xsi:type="xsd:long"&gt;42004&lt;/D&gt;&lt;D xsi:type="xsd:long"&gt;42034&lt;/D&gt;&lt;D xsi:type="xsd:long"&gt;42062&lt;/D&gt;&lt;D xsi:type="xsd:long"&gt;42095&lt;/D&gt;&lt;D xsi:type="xsd:long"&gt;42125&lt;/D&gt;&lt;D xsi:type="xsd:long"&gt;42156&lt;/D&gt;&lt;D xsi:type="xsd:long"&gt;42186&lt;/D&gt;&lt;D xsi:type="xsd:long"&gt;42216&lt;/D&gt;&lt;D xsi:type="xsd:long"&gt;42248&lt;/D&gt;&lt;D xsi:type="xsd:long"&gt;42278&lt;/D&gt;&lt;D xsi:type="xsd:long"&gt;42307&lt;/D&gt;&lt;D xsi:type="xsd:long"&gt;42339&lt;/D&gt;&lt;D xsi:type="xsd:long"&gt;42369&lt;/D&gt;&lt;D xsi:type="xsd:long"&gt;42401&lt;/D&gt;&lt;D xsi:type="xsd:long"&gt;42430&lt;/D&gt;&lt;D xsi:type="xsd:long"&gt;42461&lt;/D&gt;&lt;D xsi:type="xsd:long"&gt;42489&lt;/D&gt;&lt;D xsi:type="xsd:long"&gt;42522&lt;/D&gt;&lt;D xsi:type="xsd:long"&gt;42552&lt;/D&gt;&lt;D xsi:type="xsd:long"&gt;42583&lt;/D&gt;&lt;D xsi:type="xsd:long"&gt;42614&lt;/D&gt;&lt;D xsi:type="xsd:long"&gt;42643&lt;/D&gt;&lt;D xsi:type="xsd:long"&gt;42675&lt;/D&gt;&lt;D xsi:type="xsd:long"&gt;42705&lt;/D&gt;&lt;D xsi:type="xsd:long"&gt;42734&lt;/D&gt;&lt;D xsi:type="xsd:long"&gt;42767&lt;/D&gt;&lt;D xsi:type="xsd:long"&gt;42795&lt;/D&gt;&lt;D xsi:type="xsd:long"&gt;42825&lt;/D&gt;&lt;D xsi:type="xsd:long"&gt;42856&lt;/D&gt;&lt;D xsi:type="xsd:long"&gt;42887&lt;/D&gt;&lt;D xsi:type="xsd:long"&gt;42916&lt;/D&gt;&lt;D xsi:type="xsd:long"&gt;42948&lt;/D&gt;&lt;D xsi:type="xsd:long"&gt;42979&lt;/D&gt;&lt;D xsi:type="xsd:long"&gt;43007&lt;/D&gt;&lt;D xsi:type="xsd:long"&gt;43040&lt;/D&gt;&lt;D xsi:type="xsd:long"&gt;43070&lt;/D&gt;&lt;D xsi:type="xsd:long"&gt;43098&lt;/D&gt;&lt;D xsi:type="xsd:long"&gt;43132&lt;/D&gt;&lt;D xsi:type="xsd:long"&gt;43160&lt;/D&gt;&lt;D xsi:type="xsd:long"&gt;43188&lt;/D&gt;&lt;D xsi:type="xsd:long"&gt;43221&lt;/D&gt;&lt;D xsi:type="xsd:long"&gt;43252&lt;/D&gt;&lt;D xsi:type="xsd:long"&gt;43280&lt;/D&gt;&lt;D xsi:type="xsd:long"&gt;43313&lt;/D&gt;&lt;D xsi:type="xsd:long"&gt;43343&lt;/D&gt;&lt;D xsi:type="xsd:long"&gt;43374&lt;/D&gt;&lt;D xsi:type="xsd:long"&gt;43405&lt;/D&gt;&lt;D xsi:type="xsd:long"&gt;43434&lt;/D&gt;&lt;D xsi:type="xsd:long"&gt;43465&lt;/D&gt;&lt;D xsi:type="xsd:long"&gt;43497&lt;/D&gt;&lt;D xsi:type="xsd:long"&gt;43525&lt;/D&gt;&lt;D xsi:type="xsd:long"&gt;43556&lt;/D&gt;&lt;D xsi:type="xsd:long"&gt;43586&lt;/D&gt;&lt;D xsi:type="xsd:long"&gt;43616&lt;/D&gt;&lt;D xsi:type="xsd:long"&gt;43647&lt;/D&gt;&lt;D xsi:type="xsd:long"&gt;43678&lt;/D&gt;&lt;D xsi:type="xsd:long"&gt;43707&lt;/D&gt;&lt;D xsi:type="xsd:long"&gt;43739&lt;/D&gt;&lt;D xsi:type="xsd:long"&gt;43770&lt;/D&gt;&lt;D xsi:type="xsd:long"&gt;43798&lt;/D&gt;&lt;D xsi:type="xsd:long"&gt;43830&lt;/D&gt;&lt;D xsi:type="xsd:long"&gt;43861&lt;/D&gt;&lt;D xsi:type="xsd:long"&gt;43889&lt;/D&gt;&lt;D xsi:type="xsd:long"&gt;43922&lt;/D&gt;&lt;D xsi:type="xsd:long"&gt;43952&lt;/D&gt;&lt;D xsi:type="xsd:long"&gt;43983&lt;/D&gt;&lt;D xsi:type="xsd:long"&gt;44013&lt;/D&gt;&lt;D xsi:type="xsd:long"&gt;44043&lt;/D&gt;&lt;D xsi:type="xsd:long"&gt;44075&lt;/D&gt;&lt;D xsi:type="xsd:long"&gt;44105&lt;/D&gt;&lt;D xsi:type="xsd:long"&gt;44134&lt;/D&gt;&lt;D xsi:type="xsd:long"&gt;44166&lt;/D&gt;&lt;D xsi:type="xsd:long"&gt;44196&lt;/D&gt;&lt;D xsi:type="xsd:long"&gt;44228&lt;/D&gt;&lt;D xsi:type="xsd:long"&gt;44256&lt;/D&gt;&lt;D xsi:type="xsd:long"&gt;44287&lt;/D&gt;&lt;D xsi:type="xsd:long"&gt;44316&lt;/D&gt;&lt;D xsi:type="xsd:long"&gt;44348&lt;/D&gt;&lt;D xsi:type="xsd:long"&gt;44378&lt;/D&gt;&lt;D xsi:type="xsd:long"&gt;44407&lt;/D&gt;&lt;D xsi:type="xsd:long"&gt;44440&lt;/D&gt;&lt;D xsi:type="xsd:long"&gt;44470&lt;/D&gt;&lt;D xsi:type="xsd:long"&gt;44501&lt;/D&gt;&lt;D xsi:type="xsd:long"&gt;44531&lt;/D&gt;&lt;D xsi:type="xsd:long"&gt;44561&lt;/D&gt;&lt;D xsi:type="xsd:long"&gt;44593&lt;/D&gt;&lt;D xsi:type="xsd:long"&gt;44621&lt;/D&gt;&lt;D xsi:type="xsd:long"&gt;44652&lt;/D&gt;&lt;D xsi:type="xsd:long"&gt;44680&lt;/D&gt;&lt;D xsi:type="xsd:long"&gt;44713&lt;/D&gt;&lt;D xsi:type="xsd:long"&gt;44743&lt;/D&gt;&lt;D xsi:type="xsd:long"&gt;44774&lt;/D&gt;&lt;D xsi:type="xsd:long"&gt;44805&lt;/D&gt;&lt;D xsi:type="xsd:long"&gt;44834&lt;/D&gt;&lt;D xsi:type="xsd:long"&gt;44866&lt;/D&gt;&lt;D xsi:type="xsd:long"&gt;44896&lt;/D&gt;&lt;D xsi:type="xsd:long"&gt;44925&lt;/D&gt;&lt;D xsi:type="xsd:long"&gt;44958&lt;/D&gt;&lt;D xsi:type="xsd:long"&gt;44986&lt;/D&gt;&lt;D xsi:type="xsd:long"&gt;45016&lt;/D&gt;&lt;D xsi:type="xsd:long"&gt;45047&lt;/D&gt;&lt;D xsi:type="xsd:long"&gt;45078&lt;/D&gt;&lt;D xsi:type="xsd:long"&gt;45107&lt;/D&gt;&lt;D xsi:type="xsd:long"&gt;45139&lt;/D&gt;&lt;D xsi:type="xsd:long"&gt;45170&lt;/D&gt;&lt;D xsi:type="xsd:long"&gt;45198&lt;/D&gt;&lt;D xsi:type="xsd:long"&gt;45231&lt;/D&gt;&lt;D xsi:type="xsd:long"&gt;45261&lt;/D&gt;&lt;D xsi:type="xsd:long"&gt;45289&lt;/D&gt;&lt;D xsi:type="xsd:long"&gt;45323&lt;/D&gt;&lt;D xsi:type="xsd:long"&gt;45352&lt;/D&gt;&lt;D xsi:type="xsd:long"&gt;45383&lt;/D&gt;&lt;D xsi:type="xsd:long"&gt;45413&lt;/D&gt;&lt;D xsi:type="xsd:long"&gt;45443&lt;/D&gt;&lt;D xsi:type="xsd:long"&gt;45474&lt;/D&gt;&lt;D xsi:type="xsd:long"&gt;45505&lt;/D&gt;&lt;/FQL&gt;&lt;FQL&gt;&lt;Q&gt;W-FDS^MAX(FG_PRICE(0,-5AY))&lt;/Q&gt;&lt;R&gt;1&lt;/R&gt;&lt;C&gt;1&lt;/C&gt;&lt;D xsi:type="xsd:double"&gt;14.2525&lt;/D&gt;&lt;/FQL&gt;&lt;FQL&gt;&lt;Q&gt;TIOS-FDS^FG_PRICE_CHANGE(0,-1AM)&lt;/Q&gt;&lt;R&gt;1&lt;/R&gt;&lt;C&gt;1&lt;/C&gt;&lt;D xsi:type="xsd:double"&gt;-4.78703703703703&lt;/D&gt;&lt;/FQL&gt;&lt;FQL&gt;&lt;Q&gt;EWL^P_PRICE(0)/P_PRICE_HIGH_PR(0,,,,,,"PRICE","INTRA","52W")&lt;/Q&gt;&lt;R&gt;1&lt;/R&gt;&lt;C&gt;1&lt;/C&gt;&lt;D xsi:type="xsd:double"&gt;0.9895319&lt;/D&gt;&lt;/FQL&gt;&lt;FQL&gt;&lt;Q&gt;EWA^PERCENT_CHANGE(FMA_EPS(+1,0,,,,"PORTAGG","MEAN"),FMA_EPS(+1,-1AM,,,,"PORTAGG","MEAN"))&lt;/Q&gt;&lt;R&gt;1&lt;/R&gt;&lt;C&gt;1&lt;/C&gt;&lt;D xsi:type="xsd:double"&gt;-1.32015533109093&lt;/D&gt;&lt;/FQL&gt;&lt;FQL&gt;&lt;Q&gt;VWO^FMA_COS_UP("EPS","1M",+1,0,,,"PORTAGG","MEANR")&lt;/Q&gt;&lt;R&gt;1&lt;/R&gt;&lt;C&gt;1&lt;/C&gt;&lt;D xsi:type="xsd:double"&gt;818&lt;/D&gt;&lt;/FQL&gt;&lt;FQL&gt;&lt;Q&gt;EWC^FMA_RBICS_REV_CURRENT(30, LOC, "PORTAGG")&lt;/Q&gt;&lt;R&gt;1&lt;/R&gt;&lt;C&gt;1&lt;/C&gt;&lt;D xsi:type="xsd:double"&gt;39.9570295102956&lt;/D&gt;&lt;/FQL&gt;&lt;FQL&gt;&lt;Q&gt;REFSEREPO-FDS^(SUBARRAY(NOT_NA(NO_REPEAT_F(FG_YIELD(NOW,-10AY,D))),0,1)-SUBARRAY(NOT_NA(NO_REPEAT_F(FG_YIELD(NOW,-10AY,D))),1,1))*100&lt;/Q&gt;&lt;R&gt;1&lt;/R&gt;&lt;C&gt;1&lt;/C&gt;&lt;D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xsi:type="xsd:double"&gt;-25&lt;/D&gt;&lt;/FQL&gt;&lt;FQL&gt;&lt;Q&gt;DUMMY^ECON_DATE(45384,,, 'MM/YYYY')&lt;/Q&gt;&lt;R&gt;1&lt;/R&gt;&lt;C&gt;1&lt;/C&gt;&lt;D xsi:type="xsd:string"&gt;04/2024&lt;/D&gt;&lt;/FQL&gt;&lt;FQL&gt;&lt;Q&gt;DUMMY^ECON_DATE(45475,,, 'MM/YYYY')&lt;/Q&gt;&lt;R&gt;1&lt;/R&gt;&lt;C&gt;1&lt;/C&gt;&lt;D xsi:type="xsd:string"&gt;07/2024&lt;/D&gt;&lt;/FQL&gt;&lt;FQL&gt;&lt;Q&gt;CC_IT^IMF_IFS_RCPI_Q(-1AM)&lt;/Q&gt;&lt;R&gt;0&lt;/R&gt;&lt;C&gt;0&lt;/C&gt;&lt;/FQL&gt;&lt;FQL&gt;&lt;Q&gt;CC_JP^IMF_IFS_RCPI_Q(-1AM)&lt;/Q&gt;&lt;R&gt;0&lt;/R&gt;&lt;C&gt;0&lt;/C&gt;&lt;/FQL&gt;&lt;FQL&gt;&lt;Q&gt;CC_GB^IMF_IFS_RCPI_Q(-1AM)&lt;/Q&gt;&lt;R&gt;0&lt;/R&gt;&lt;C&gt;0&lt;/C&gt;&lt;/FQL&gt;&lt;FQL&gt;&lt;Q&gt;CC_NZ^IMF_IFS_RCPI_Q(-1AM)&lt;/Q&gt;&lt;R&gt;0&lt;/R&gt;&lt;C&gt;0&lt;/C&gt;&lt;/FQL&gt;&lt;FQL&gt;&lt;Q&gt;CC_AU^IMF_IFS_RCPI_Q(-1AM)&lt;/Q&gt;&lt;R&gt;0&lt;/R&gt;&lt;C&gt;0&lt;/C&gt;&lt;/FQL&gt;&lt;FQL&gt;&lt;Q&gt;CC_CA^IMF_IFS_RCPI_Q(-1AM)&lt;/Q&gt;&lt;R&gt;0&lt;/R&gt;&lt;C&gt;0&lt;/C&gt;&lt;/FQL&gt;&lt;FQL&gt;&lt;Q&gt;DUMMY^ECON_EXPR_DATA('FDS_ECON[NTCPMIMFGSA@NZ]',07/2024,,Q)&lt;/Q&gt;&lt;R&gt;1&lt;/R&gt;&lt;C&gt;1&lt;/C&gt;&lt;D xsi:type="xsd:double"&gt;45.388824&lt;/D&gt;&lt;/FQL&gt;&lt;FQL&gt;&lt;Q&gt;DUMMY^ECON_EXPR_DATA('FDS_ECON[NTCPMIMFGSA@NZ]',04/2024,,Q)&lt;/Q&gt;&lt;R&gt;1&lt;/R&gt;&lt;C&gt;1&lt;/C&gt;&lt;D xsi:type="xsd:double"&gt;47.7971&lt;/D&gt;&lt;/FQL&gt;&lt;FQL&gt;&lt;Q&gt;DUMMY^ECON_EXPR_DATA('FDS_ECON[NTCPMIMFGSA@AU]',07/2024,,Q)&lt;/Q&gt;&lt;R&gt;1&lt;/R&gt;&lt;C&gt;1&lt;/C&gt;&lt;D xsi:type="xsd:double"&gt;48.811333&lt;/D&gt;&lt;/FQL&gt;&lt;FQL&gt;&lt;Q&gt;DUMMY^ECON_EXPR_DATA('FDS_ECON[NTCPMIMFGSA@AU]',04/2024,,Q)&lt;/Q&gt;&lt;R&gt;1&lt;/R&gt;&lt;C&gt;1&lt;/C&gt;&lt;D xsi:type="xsd:double"&gt;48.39547&lt;/D&gt;&lt;/FQL&gt;&lt;FQL&gt;&lt;Q&gt;DUMMY^ECON_EXPR_DATA('FDS_ECON[NTCPMIMFGSA@CA]',07/2024,,Q)&lt;/Q&gt;&lt;R&gt;1&lt;/R&gt;&lt;C&gt;1&lt;/C&gt;&lt;D xsi:type="xsd:double"&gt;49.331886&lt;/D&gt;&lt;/FQL&gt;&lt;FQL&gt;&lt;Q&gt;DUMMY^ECON_EXPR_DATA('FDS_ECON[NTCPMIMFGSA@CA]',04/2024,,Q)&lt;/Q&gt;&lt;R&gt;1&lt;/R&gt;&lt;C&gt;1&lt;/C&gt;&lt;D xsi:type="xsd:double"&gt;49.30091&lt;/D&gt;&lt;/FQL&gt;&lt;FQL&gt;&lt;Q&gt;DUMMY^ECON_EXPR_DATA('FDS_ECON[NTCPMIMFGSA@DE]',07/2024,,Q)&lt;/Q&gt;&lt;R&gt;1&lt;/R&gt;&lt;C&gt;1&lt;/C&gt;&lt;D xsi:type="xsd:double"&gt;43.782&lt;/D&gt;&lt;/FQL&gt;&lt;FQL&gt;&lt;Q&gt;DUMMY^ECON_EXPR_DATA('FDS_ECON[NTCPMIMFGSA@DE]',04/2024,,Q)&lt;/Q&gt;&lt;R&gt;1&lt;/R&gt;&lt;C&gt;1&lt;/C&gt;&lt;D xsi:type="xsd:double"&gt;43.319096&lt;/D&gt;&lt;/FQL&gt;&lt;FQL&gt;&lt;Q&gt;DUMMY^ECON_EXPR_DATA('FDS_ECON[NTCPMIMFGSA@JP]',07/2024,,Q)&lt;/Q&gt;&lt;R&gt;1&lt;/R&gt;&lt;C&gt;1&lt;/C&gt;&lt;D xsi:type="xsd:double"&gt;49.991356&lt;/D&gt;&lt;/FQL&gt;&lt;FQL&gt;&lt;Q&gt;DUMMY^ECON_EXPR_DATA('FDS_ECON[NTCPMIMFGSA@JP]',04/2024,,Q)&lt;/Q&gt;&lt;R&gt;1&lt;/R&gt;&lt;C&gt;1&lt;/C&gt;&lt;D xsi:type="xsd:double"&gt;47.808857&lt;/D&gt;&lt;/FQL&gt;&lt;FQL&gt;&lt;Q&gt;DUMMY^ECON_EXPR_DATA('FDS_ECON[NTCPMIMFGSA@CH]',07/2024,,Q)&lt;/Q&gt;&lt;R&gt;1&lt;/R&gt;&lt;C&gt;1&lt;/C&gt;&lt;D xsi:type="xsd:double"&gt;43.896877&lt;/D&gt;&lt;/FQL&gt;&lt;FQL&gt;&lt;Q&gt;DUMMY^ECON_EXPR_DATA('FDS_ECON[NTCPMIMFGSA@CH]',04/2024,,Q)&lt;/Q&gt;&lt;R&gt;1&lt;/R&gt;&lt;C&gt;1&lt;/C&gt;&lt;D xsi:type="xsd:double"&gt;44.08605&lt;/D&gt;&lt;/FQL&gt;&lt;FQL&gt;&lt;Q&gt;DUMMY^ECON_EXPR_DATA('FDS_ECON[NTCPMIMFGSA@GB]',07/2024,,Q)&lt;/Q&gt;&lt;R&gt;1&lt;/R&gt;&lt;C&gt;1&lt;/C&gt;&lt;D xsi:type="xsd:double"&gt;50.395269999999996&lt;/D&gt;&lt;/FQL&gt;&lt;FQL&gt;&lt;Q&gt;DUMMY^ECON_EXPR_DATA('FDS_ECON[NTCPMIMFGSA@GB]',04/2024,,Q)&lt;/Q&gt;&lt;R&gt;1&lt;/R&gt;&lt;C&gt;1&lt;/C&gt;&lt;D xsi:type="xsd:double"&gt;48.24796&lt;/D&gt;&lt;/FQL&gt;&lt;FQL&gt;&lt;Q&gt;DUMMY^ECON_EXPR_DATA('FDS_ECON[NTCPMIMFGMESA@US]',07/2024,,Q)&lt;/Q&gt;&lt;R&gt;1&lt;/R&gt;&lt;C&gt;1&lt;/C&gt;&lt;D xsi:type="xsd:double"&gt;50.939392&lt;/D&gt;&lt;/FQL&gt;&lt;FQL&gt;&lt;Q&gt;DUMMY^ECON_EXPR_DATA('FDS_ECON[NTCPMIMFGMESA@US]',04/2024,,Q)&lt;/Q&gt;&lt;R&gt;1&lt;/R&gt;&lt;C&gt;1&lt;/C&gt;&lt;D xsi:type="xsd:double"&gt;51.582687&lt;/D&gt;&lt;/FQL&gt;&lt;FQL&gt;&lt;Q&gt;DUMMY^ECON_EXPR_DATA('FDS_ECON[NTCPMIMFGSA@FR]',07/2024,,Q)&lt;/Q&gt;&lt;R&gt;1&lt;/R&gt;&lt;C&gt;1&lt;/C&gt;&lt;D xsi:type="xsd:double"&gt;45.684513&lt;/D&gt;&lt;/FQL&gt;&lt;FQL&gt;&lt;Q&gt;DUMMY^ECON_EXPR_DATA('FDS_ECON[NTCPMIMFGSA@FR]',04/2024,,Q)&lt;/Q&gt;&lt;R&gt;1&lt;/R&gt;&lt;C&gt;1&lt;/C&gt;&lt;D xsi:type="xsd:double"&gt;45.498753&lt;/D&gt;&lt;/FQL&gt;&lt;FQL&gt;&lt;Q&gt;DUMMY^ECON_EXPR_DATA('FDS_ECON[NTCPMIMFGSA@NL]',07/2024,,Q)&lt;/Q&gt;&lt;R&gt;1&lt;/R&gt;&lt;C&gt;1&lt;/C&gt;&lt;D xsi:type="xsd:double"&gt;51.49388&lt;/D&gt;&lt;/FQL&gt;&lt;FQL&gt;&lt;Q&gt;DUMMY^ECON_EXPR_DATA('FDS_ECON[NTCPMIMFGSA@NL]',04/2024,,Q)&lt;/Q&gt;&lt;R&gt;1&lt;/R&gt;&lt;C&gt;1&lt;/C&gt;&lt;D xsi:type="xsd:double"&gt;49.325874&lt;/D&gt;&lt;/FQL&gt;&lt;FQL&gt;&lt;Q&gt;DUMMY^ECON_EXPR_DATA('FDS_ECON[]',07/2024,,Q)&lt;/Q&gt;&lt;R&gt;0&lt;/R&gt;&lt;C&gt;0&lt;/C&gt;&lt;/FQL&gt;&lt;FQL&gt;&lt;Q&gt;DUMMY^ECON_EXPR_DATA('FDS_ECON[]',04/2024,,Q)&lt;/Q&gt;&lt;R&gt;0&lt;/R&gt;&lt;C&gt;0&lt;/C&gt;&lt;/FQL&gt;&lt;FQL&gt;&lt;Q&gt;DUMMY^ECON_EXPR_DATA('FDS_ECON[NTCPMIMFGSA@IT]',07/2024,,Q)&lt;/Q&gt;&lt;R&gt;1&lt;/R&gt;&lt;C&gt;1&lt;/C&gt;&lt;D xsi:type="xsd:double"&gt;46.215786&lt;/D&gt;&lt;/FQL&gt;&lt;FQL&gt;&lt;Q&gt;DUMMY^ECON_EXPR_DATA('FDS_ECON[NTCPMIMFGSA@IT]',04/2024,,Q)&lt;/Q&gt;&lt;R&gt;1&lt;/R&gt;&lt;C&gt;1&lt;/C&gt;&lt;D xsi:type="xsd:double"&gt;49.208153&lt;/D&gt;&lt;/FQL&gt;&lt;FQL&gt;&lt;Q&gt;DUMMY^ECON_EXPR_DATA('FDS_ECON[PMIDMMANHE]',07/2024,,Q)&lt;/Q&gt;&lt;R&gt;1&lt;/R&gt;&lt;C&gt;1&lt;/C&gt;&lt;D xsi:type="xsd:double"&gt;49.418633&lt;/D&gt;&lt;/FQL&gt;&lt;FQL&gt;&lt;Q&gt;DUMMY^ECON_EXPR_DATA('FDS_ECON[PMIDMMANHE]',04/2024,,Q)&lt;/Q&gt;&lt;R&gt;1&lt;/R&gt;&lt;C&gt;1&lt;/C&gt;&lt;D xsi:type="xsd:double"&gt;49.13539&lt;/D&gt;&lt;/FQL&gt;&lt;FQL&gt;&lt;Q&gt;DUMMY^ECON_EXPR_DATA('FDS_ECON[NTCPMIMFGSA@EME]',07/2024,,Q)&lt;/Q&gt;&lt;R&gt;1&lt;/R&gt;&lt;C&gt;1&lt;/C&gt;&lt;D xsi:type="xsd:double"&gt;52.007824&lt;/D&gt;&lt;/FQL&gt;&lt;FQL&gt;&lt;Q&gt;DUMMY^ECON_EXPR_DATA('FDS_ECON[NTCPMIMFGSA@EME]',04/2024,,Q)&lt;/Q&gt;&lt;R&gt;1&lt;/R&gt;&lt;C&gt;1&lt;/C&gt;&lt;D xsi:type="xsd:double"&gt;51.519516&lt;/D&gt;&lt;/FQL&gt;&lt;FQL&gt;&lt;Q&gt;CC_NZ^IMF_IFS_RCPI_Q(-2AM)&lt;/Q&gt;&lt;R&gt;1&lt;/R&gt;&lt;C&gt;1&lt;/C&gt;&lt;D xsi:type="xsd:double"&gt;4.022989&lt;/D&gt;&lt;/FQL&gt;&lt;FQL&gt;&lt;Q&gt;CC_AU^IMF_IFS_RCPI_Q(-2AM)&lt;/Q&gt;&lt;R&gt;1&lt;/R&gt;&lt;C&gt;1&lt;/C&gt;&lt;D xsi:type="xsd:double"&gt;3.61991&lt;/D&gt;&lt;/FQL&gt;&lt;FQL&gt;&lt;Q&gt;CC_CA^IMF_IFS_RCPI_Q(-2AM)&lt;/Q&gt;&lt;R&gt;1&lt;/R&gt;&lt;C&gt;1&lt;/C&gt;&lt;D xsi:type="xsd:double"&gt;2.8466706&lt;/D&gt;&lt;/FQL&gt;&lt;FQL&gt;&lt;Q&gt;CC_GB^IMF_IFS_RCPI_Q(-2AM)&lt;/Q&gt;&lt;R&gt;1&lt;/R&gt;&lt;C&gt;1&lt;/C&gt;&lt;D xsi:type="xsd:double"&gt;3.9194994&lt;/D&gt;&lt;/FQL&gt;&lt;FQL&gt;&lt;Q&gt;CC_JP^IMF_IFS_RCPI_Q(-2AM)&lt;/Q&gt;&lt;R&gt;1&lt;/R&gt;&lt;C&gt;1&lt;/C&gt;&lt;D xsi:type="xsd:double"&gt;2.5231562&lt;/D&gt;&lt;/FQL&gt;&lt;FQL&gt;&lt;Q&gt;CC_IT^IMF_IFS_RCPI_Q(-2AM)&lt;/Q&gt;&lt;R&gt;1&lt;/R&gt;&lt;C&gt;1&lt;/C&gt;&lt;D xsi:type="xsd:double"&gt;0.92385906&lt;/D&gt;&lt;/FQL&gt;&lt;/Schema&gt;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<sst xmlns="http://schemas.openxmlformats.org/spreadsheetml/2006/main" count="2053" uniqueCount="915">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</sst>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4.8339217657372695E-2</v>
      </c>
      <c r="O13" s="55">
        <f>N13*(1+N9)</f>
        <v>5.1239570716815057E-2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3.8735023332554755E-2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3.9864999999999998E-2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-6.6607823426273055E-3</v>
      </c>
      <c r="O21" s="57">
        <f>O13-O16</f>
        <v>6.2395707168150585E-3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8.4742176573726971E-3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3</v>
      </c>
      <c r="E8" s="11">
        <f t="shared" ref="E8:E17" si="0">D8</f>
        <v>3</v>
      </c>
    </row>
    <row r="9" spans="3:9" x14ac:dyDescent="0.35">
      <c r="C9" s="56" t="s">
        <v>1</v>
      </c>
      <c r="D9">
        <f>'Asset class'!S4</f>
        <v>1</v>
      </c>
      <c r="E9" s="58">
        <f t="shared" si="0"/>
        <v>1</v>
      </c>
      <c r="H9" s="62" t="s">
        <v>903</v>
      </c>
      <c r="I9" s="171">
        <f>Timing!L22</f>
        <v>0.23076923076923078</v>
      </c>
    </row>
    <row r="10" spans="3:9" x14ac:dyDescent="0.35">
      <c r="C10" s="56" t="s">
        <v>888</v>
      </c>
      <c r="D10">
        <f>'Asset class'!S5</f>
        <v>2</v>
      </c>
      <c r="E10" s="58">
        <f t="shared" si="0"/>
        <v>2</v>
      </c>
      <c r="H10" s="56" t="s">
        <v>904</v>
      </c>
      <c r="I10" s="57">
        <f>Timing!M22</f>
        <v>0.30769230769230771</v>
      </c>
    </row>
    <row r="11" spans="3:9" ht="15" thickBot="1" x14ac:dyDescent="0.4">
      <c r="C11" s="56" t="s">
        <v>889</v>
      </c>
      <c r="D11">
        <f>'Asset class'!S6</f>
        <v>8</v>
      </c>
      <c r="E11" s="58">
        <f t="shared" si="0"/>
        <v>8</v>
      </c>
      <c r="H11" s="12" t="s">
        <v>905</v>
      </c>
      <c r="I11" s="59">
        <f>Timing!N22</f>
        <v>0.92307692307692313</v>
      </c>
    </row>
    <row r="12" spans="3:9" x14ac:dyDescent="0.35">
      <c r="C12" s="56" t="s">
        <v>51</v>
      </c>
      <c r="D12">
        <f>'Asset class'!S7</f>
        <v>4</v>
      </c>
      <c r="E12" s="58">
        <f t="shared" si="0"/>
        <v>4</v>
      </c>
    </row>
    <row r="13" spans="3:9" x14ac:dyDescent="0.35">
      <c r="C13" s="56" t="s">
        <v>890</v>
      </c>
      <c r="D13">
        <f>'Asset class'!S8</f>
        <v>10</v>
      </c>
      <c r="E13" s="58">
        <f t="shared" si="0"/>
        <v>10</v>
      </c>
    </row>
    <row r="14" spans="3:9" ht="15" thickBot="1" x14ac:dyDescent="0.4">
      <c r="C14" s="12" t="s">
        <v>457</v>
      </c>
      <c r="D14">
        <f>'Asset class'!S9</f>
        <v>7</v>
      </c>
      <c r="E14" s="14">
        <f t="shared" si="0"/>
        <v>7</v>
      </c>
    </row>
    <row r="15" spans="3:9" ht="15" thickBot="1" x14ac:dyDescent="0.4">
      <c r="C15" s="144" t="s">
        <v>891</v>
      </c>
      <c r="D15">
        <f>'Asset class'!S10</f>
        <v>6</v>
      </c>
      <c r="E15" s="14">
        <f t="shared" si="0"/>
        <v>6</v>
      </c>
    </row>
    <row r="16" spans="3:9" ht="15" thickBot="1" x14ac:dyDescent="0.4">
      <c r="C16" s="178" t="s">
        <v>536</v>
      </c>
      <c r="D16">
        <f>'Asset class'!S11</f>
        <v>5</v>
      </c>
      <c r="E16" s="14">
        <f t="shared" si="0"/>
        <v>5</v>
      </c>
    </row>
    <row r="17" spans="2:15" ht="15" thickBot="1" x14ac:dyDescent="0.4">
      <c r="C17" s="148" t="s">
        <v>46</v>
      </c>
      <c r="D17">
        <f>'Asset class'!S12</f>
        <v>9</v>
      </c>
      <c r="E17" s="14">
        <f t="shared" si="0"/>
        <v>9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0.41550695825049699</v>
      </c>
      <c r="D23" s="170"/>
      <c r="E23" s="171">
        <f>'Momnetum ranking'!I22</f>
        <v>0.41153081510934392</v>
      </c>
    </row>
    <row r="24" spans="2:15" x14ac:dyDescent="0.35">
      <c r="B24" s="56" t="s">
        <v>51</v>
      </c>
      <c r="C24" s="9">
        <f>'Momnetum ranking'!H10</f>
        <v>0.40196078431372551</v>
      </c>
      <c r="D24" s="9"/>
      <c r="E24" s="57">
        <f>'Momnetum ranking'!I10</f>
        <v>0.38235294117647056</v>
      </c>
    </row>
    <row r="25" spans="2:15" x14ac:dyDescent="0.35">
      <c r="B25" s="56" t="s">
        <v>895</v>
      </c>
      <c r="C25" s="9">
        <f>'Momnetum ranking'!H23</f>
        <v>0.42307692307692307</v>
      </c>
      <c r="D25" s="9"/>
      <c r="E25" s="57">
        <f>'Momnetum ranking'!I23</f>
        <v>0.48076923076923078</v>
      </c>
    </row>
    <row r="26" spans="2:15" x14ac:dyDescent="0.35">
      <c r="B26" s="56" t="s">
        <v>46</v>
      </c>
      <c r="C26" s="9">
        <f>'Momnetum ranking'!H21</f>
        <v>0.47058823529411764</v>
      </c>
      <c r="D26" s="9"/>
      <c r="E26" s="57">
        <f>'Momnetum ranking'!I21</f>
        <v>0.27450980392156865</v>
      </c>
    </row>
    <row r="27" spans="2:15" ht="15" thickBot="1" x14ac:dyDescent="0.4">
      <c r="B27" s="12" t="s">
        <v>536</v>
      </c>
      <c r="C27" s="172">
        <f>'Momnetum ranking'!H18</f>
        <v>0.36243180046765394</v>
      </c>
      <c r="D27" s="172"/>
      <c r="E27" s="59">
        <f>'Momnetum ranking'!I18</f>
        <v>0.37957911145752143</v>
      </c>
    </row>
    <row r="28" spans="2:15" x14ac:dyDescent="0.35">
      <c r="B28" s="62" t="s">
        <v>6</v>
      </c>
      <c r="C28" s="170">
        <f>'Momnetum ranking'!H19</f>
        <v>0.17159639186070905</v>
      </c>
      <c r="D28" s="170"/>
      <c r="E28" s="171">
        <f>'Momnetum ranking'!I19</f>
        <v>0.20369204950702749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-1.7147310989867492E-2</v>
      </c>
      <c r="F35" s="5">
        <f>'Momnetum ranking'!K18</f>
        <v>0.60111464968152906</v>
      </c>
      <c r="G35" s="9">
        <f>'Momnetum ranking'!Q18</f>
        <v>0.94856733000000004</v>
      </c>
      <c r="H35" s="3">
        <f>'Momnetum ranking'!O18</f>
        <v>3.8623690000000002</v>
      </c>
      <c r="K35">
        <f>_xlfn.RANK.EQ(E35,$E$35:$E$39)</f>
        <v>3</v>
      </c>
      <c r="L35">
        <f>_xlfn.RANK.EQ(F35,$F$35:$F$39)</f>
        <v>4</v>
      </c>
      <c r="M35">
        <f>_xlfn.RANK.EQ(G35,$G$35:$G$39)</f>
        <v>4</v>
      </c>
      <c r="N35">
        <f>_xlfn.RANK.EQ(H35,$H$35:$H$39)</f>
        <v>3</v>
      </c>
      <c r="O35" s="58">
        <f>MEDIAN(K35:N35)</f>
        <v>3.5</v>
      </c>
    </row>
    <row r="36" spans="3:15" x14ac:dyDescent="0.35">
      <c r="C36" s="56" t="s">
        <v>749</v>
      </c>
      <c r="E36" s="9">
        <f>'Momnetum ranking'!J19</f>
        <v>-3.2095657646318443E-2</v>
      </c>
      <c r="F36" s="5">
        <f>'Momnetum ranking'!K19</f>
        <v>0.40275981026304403</v>
      </c>
      <c r="G36" s="9">
        <f>'Momnetum ranking'!Q19</f>
        <v>0.95265180000000005</v>
      </c>
      <c r="H36" s="3">
        <f>'Momnetum ranking'!O19</f>
        <v>3.5738707000000001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3</v>
      </c>
      <c r="N36">
        <f t="shared" ref="N36:N39" si="4">_xlfn.RANK.EQ(H36,$H$35:$H$39)</f>
        <v>4</v>
      </c>
      <c r="O36" s="58">
        <f t="shared" ref="O36:O39" si="5">MEDIAN(K36:N36)</f>
        <v>4.5</v>
      </c>
    </row>
    <row r="37" spans="3:15" x14ac:dyDescent="0.35">
      <c r="C37" s="56" t="s">
        <v>781</v>
      </c>
      <c r="E37" s="9">
        <f>'Momnetum ranking'!J20</f>
        <v>-2.6592022393282011E-2</v>
      </c>
      <c r="F37" s="5">
        <f>'Momnetum ranking'!K20</f>
        <v>0.67251051893408098</v>
      </c>
      <c r="G37" s="9">
        <f>'Momnetum ranking'!Q20</f>
        <v>0.96017470000000005</v>
      </c>
      <c r="H37" s="3">
        <f>'Momnetum ranking'!O20</f>
        <v>7.1502447</v>
      </c>
      <c r="K37">
        <f t="shared" si="1"/>
        <v>4</v>
      </c>
      <c r="L37">
        <f t="shared" si="2"/>
        <v>2</v>
      </c>
      <c r="M37">
        <f t="shared" si="3"/>
        <v>2</v>
      </c>
      <c r="N37">
        <f t="shared" si="4"/>
        <v>2</v>
      </c>
      <c r="O37" s="58">
        <f t="shared" si="5"/>
        <v>2</v>
      </c>
    </row>
    <row r="38" spans="3:15" x14ac:dyDescent="0.35">
      <c r="C38" s="56" t="s">
        <v>816</v>
      </c>
      <c r="E38" s="9">
        <f>'Momnetum ranking'!J21</f>
        <v>0.19607843137254899</v>
      </c>
      <c r="F38" s="5">
        <f>'Momnetum ranking'!K21</f>
        <v>0.61274509803921606</v>
      </c>
      <c r="G38" s="9">
        <f>'Momnetum ranking'!Q21</f>
        <v>0.93734824999999999</v>
      </c>
      <c r="H38" s="3">
        <f>'Momnetum ranking'!O21</f>
        <v>1.4079094000000001</v>
      </c>
      <c r="K38">
        <f t="shared" si="1"/>
        <v>1</v>
      </c>
      <c r="L38">
        <f t="shared" si="2"/>
        <v>3</v>
      </c>
      <c r="M38">
        <f t="shared" si="3"/>
        <v>5</v>
      </c>
      <c r="N38">
        <f t="shared" si="4"/>
        <v>5</v>
      </c>
      <c r="O38" s="58">
        <f t="shared" si="5"/>
        <v>4</v>
      </c>
    </row>
    <row r="39" spans="3:15" ht="15" thickBot="1" x14ac:dyDescent="0.4">
      <c r="C39" s="12" t="s">
        <v>119</v>
      </c>
      <c r="D39" s="13"/>
      <c r="E39" s="172">
        <f>'Momnetum ranking'!J22</f>
        <v>3.9761431411530768E-3</v>
      </c>
      <c r="F39" s="17">
        <f>'Momnetum ranking'!K22</f>
        <v>0.75049900199600794</v>
      </c>
      <c r="G39" s="172">
        <f>'Momnetum ranking'!Q22</f>
        <v>0.96080759999999998</v>
      </c>
      <c r="H39" s="175">
        <f>'Momnetum ranking'!O22</f>
        <v>8.8766339999999992</v>
      </c>
      <c r="I39" s="13"/>
      <c r="J39" s="13"/>
      <c r="K39" s="13">
        <f t="shared" si="1"/>
        <v>2</v>
      </c>
      <c r="L39" s="13">
        <f t="shared" si="2"/>
        <v>1</v>
      </c>
      <c r="M39" s="13">
        <f t="shared" si="3"/>
        <v>1</v>
      </c>
      <c r="N39" s="13">
        <f t="shared" si="4"/>
        <v>1</v>
      </c>
      <c r="O39" s="14">
        <f t="shared" si="5"/>
        <v>1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-0.68399310000000002</v>
      </c>
      <c r="F3" s="3" cm="1">
        <f t="array" ref="F3">_xll.FDS(C3,"FG_TOTAL_RETURNC(0,-3AM)")</f>
        <v>3.5738707000000001</v>
      </c>
      <c r="G3" s="3" cm="1">
        <f t="array" ref="G3">_xll.FDS(C3,"FG_TOTAL_RETURNC(0,-6AM)")</f>
        <v>9.6701619999999995</v>
      </c>
      <c r="H3" s="9" cm="1">
        <f t="array" ref="H3">_xll.FDS(C3,"P_PRICE(0)/P_PRICE_HIGH_PR(0,,,USD,,,""PRICE"",""INTRA"",""52W"")")</f>
        <v>0.95265180000000005</v>
      </c>
      <c r="K3" s="4">
        <f>_xlfn.RANK.EQ(H3,H$3:H$12)</f>
        <v>4</v>
      </c>
      <c r="L3" s="4">
        <f>_xlfn.RANK.EQ(F3,F$3:F$12)</f>
        <v>6</v>
      </c>
      <c r="M3" s="4">
        <f>_xlfn.RANK.EQ(G3,G$3:G$12)</f>
        <v>4</v>
      </c>
      <c r="N3" s="4"/>
      <c r="P3" s="3">
        <f t="shared" ref="P3:P12" si="0">SUMPRODUCT($K$2:$M$2,K3:M3)</f>
        <v>4.62</v>
      </c>
      <c r="Q3">
        <f t="shared" ref="Q3:Q12" si="1">COUNTIF(K3:N3,"&gt;70")</f>
        <v>0</v>
      </c>
      <c r="S3" s="3">
        <f>11-_xlfn.RANK.EQ(P3,$P$3:$P$12)</f>
        <v>3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-0.42725800000000003</v>
      </c>
      <c r="F4" s="3" cm="1">
        <f t="array" ref="F4">_xll.FDS(C4,"FG_TOTAL_RETURNC(0,-3AM)")</f>
        <v>8.8766339999999992</v>
      </c>
      <c r="G4" s="3" cm="1">
        <f t="array" ref="G4">_xll.FDS(C4,"FG_TOTAL_RETURNC(0,-6AM)")</f>
        <v>11.706543</v>
      </c>
      <c r="H4" s="9" cm="1">
        <f t="array" ref="H4">_xll.FDS(C4,"P_PRICE(0)/P_PRICE_HIGH_PR(0,,,USD,,,""PRICE"",""INTRA"",""52W"")")</f>
        <v>0.96080759999999998</v>
      </c>
      <c r="I4" s="177"/>
      <c r="K4" s="4">
        <f t="shared" ref="K4:K12" si="3">_xlfn.RANK.EQ(H4,H$3:H$12)</f>
        <v>2</v>
      </c>
      <c r="L4" s="4">
        <f t="shared" ref="L4:M12" si="4">_xlfn.RANK.EQ(F4,F$3:F$12)</f>
        <v>2</v>
      </c>
      <c r="M4" s="4">
        <f t="shared" si="4"/>
        <v>2</v>
      </c>
      <c r="N4" s="4"/>
      <c r="P4" s="3">
        <f t="shared" si="0"/>
        <v>1.98</v>
      </c>
      <c r="Q4">
        <f t="shared" si="1"/>
        <v>0</v>
      </c>
      <c r="S4" s="3">
        <f t="shared" ref="S4:S12" si="5">11-_xlfn.RANK.EQ(P4,$P$3:$P$12)</f>
        <v>1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4.731643</v>
      </c>
      <c r="F5" s="3" cm="1">
        <f t="array" ref="F5">_xll.FDS(C5,"FG_TOTAL_RETURNC(0,-3AM)")</f>
        <v>5.6036352999999997</v>
      </c>
      <c r="G5" s="3" cm="1">
        <f t="array" ref="G5">_xll.FDS(C5,"FG_TOTAL_RETURNC(0,-6AM)")</f>
        <v>18.570460000000001</v>
      </c>
      <c r="H5" s="9" cm="1">
        <f t="array" ref="H5">_xll.FDS(C5,"P_PRICE(0)/P_PRICE_HIGH_PR(0,,,USD,,,""PRICE"",""INTRA"",""52W"")")</f>
        <v>0.98310476999999996</v>
      </c>
      <c r="I5" s="177"/>
      <c r="K5" s="4">
        <f t="shared" si="3"/>
        <v>1</v>
      </c>
      <c r="L5" s="4">
        <f t="shared" si="4"/>
        <v>4</v>
      </c>
      <c r="M5" s="4">
        <f t="shared" si="4"/>
        <v>1</v>
      </c>
      <c r="N5" s="4"/>
      <c r="P5" s="3">
        <f t="shared" si="0"/>
        <v>1.9800000000000002</v>
      </c>
      <c r="Q5">
        <f t="shared" si="1"/>
        <v>0</v>
      </c>
      <c r="S5" s="3">
        <f t="shared" si="5"/>
        <v>2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-0.96087456000000004</v>
      </c>
      <c r="F6" s="3" cm="1">
        <f t="array" ref="F6">_xll.FDS(C6,"FG_TOTAL_RETURNC(0,-3AM)")</f>
        <v>-0.31087995000000002</v>
      </c>
      <c r="G6" s="3" cm="1">
        <f t="array" ref="G6">_xll.FDS(C6,"FG_TOTAL_RETURNC(0,-6AM)")</f>
        <v>4.2253493999999998</v>
      </c>
      <c r="H6" s="9" cm="1">
        <f t="array" ref="H6">_xll.FDS(C6,"P_PRICE(0)/P_PRICE_HIGH_PR(0,,,USD,,,""PRICE"",""INTRA"",""52W"")")</f>
        <v>0.95673794000000001</v>
      </c>
      <c r="I6" s="177"/>
      <c r="K6" s="4">
        <f t="shared" si="3"/>
        <v>3</v>
      </c>
      <c r="L6" s="4">
        <f t="shared" si="4"/>
        <v>9</v>
      </c>
      <c r="M6" s="4">
        <f t="shared" si="4"/>
        <v>8</v>
      </c>
      <c r="N6" s="4"/>
      <c r="P6" s="3">
        <f t="shared" si="0"/>
        <v>6.6</v>
      </c>
      <c r="Q6">
        <f t="shared" si="1"/>
        <v>0</v>
      </c>
      <c r="S6" s="3">
        <f t="shared" si="5"/>
        <v>8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-4.6190259999999999</v>
      </c>
      <c r="F7" s="3" cm="1">
        <f t="array" ref="F7">_xll.FDS(C7,"FG_TOTAL_RETURNC(0,-3AM)")</f>
        <v>9.2234130000000007</v>
      </c>
      <c r="G7" s="3" cm="1">
        <f t="array" ref="G7">_xll.FDS(C7,"FG_TOTAL_RETURNC(0,-6AM)")</f>
        <v>9.2732670000000006</v>
      </c>
      <c r="H7" s="9" cm="1">
        <f t="array" ref="H7">_xll.FDS(C7,"P_PRICE(0)/P_PRICE_HIGH_PR(0,,,USD,,,""PRICE"",""INTRA"",""52W"")")</f>
        <v>0.91289324000000005</v>
      </c>
      <c r="I7" s="1"/>
      <c r="K7" s="4">
        <f t="shared" si="3"/>
        <v>9</v>
      </c>
      <c r="L7" s="4">
        <f t="shared" si="4"/>
        <v>1</v>
      </c>
      <c r="M7" s="4">
        <f t="shared" si="4"/>
        <v>5</v>
      </c>
      <c r="N7" s="4"/>
      <c r="P7" s="3">
        <f t="shared" si="0"/>
        <v>4.95</v>
      </c>
      <c r="Q7">
        <f t="shared" si="1"/>
        <v>0</v>
      </c>
      <c r="S7" s="3">
        <f t="shared" si="5"/>
        <v>4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-1.5241324999999999</v>
      </c>
      <c r="F8" s="3" cm="1">
        <f t="array" ref="F8">_xll.FDS(C8,"FG_TOTAL_RETURNC(0,-3AM)")</f>
        <v>-2.4328827999999998</v>
      </c>
      <c r="G8" s="3" cm="1">
        <f t="array" ref="G8">_xll.FDS(C8,"FG_TOTAL_RETURNC(0,-6AM)")</f>
        <v>7.2383522999999999</v>
      </c>
      <c r="H8" s="9" cm="1">
        <f t="array" ref="H8">_xll.FDS(C8,"P_PRICE(0)/P_PRICE_HIGH_PR(0,,,USD,,,""PRICE"",""INTRA"",""52W"")")</f>
        <v>0.87427175000000001</v>
      </c>
      <c r="I8" s="1"/>
      <c r="K8" s="4">
        <f t="shared" si="3"/>
        <v>10</v>
      </c>
      <c r="L8" s="4">
        <f t="shared" si="4"/>
        <v>10</v>
      </c>
      <c r="M8" s="4">
        <f t="shared" si="4"/>
        <v>6</v>
      </c>
      <c r="N8" s="4"/>
      <c r="P8" s="3">
        <f t="shared" si="0"/>
        <v>8.58</v>
      </c>
      <c r="Q8">
        <f t="shared" si="1"/>
        <v>0</v>
      </c>
      <c r="S8" s="3">
        <f t="shared" si="5"/>
        <v>10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-6.4385595000000002</v>
      </c>
      <c r="F9" s="3" cm="1">
        <f t="array" ref="F9">_xll.FDS(C9,"FG_TOTAL_RETURNC(0,-3AM)")</f>
        <v>0.47411920000000002</v>
      </c>
      <c r="G9" s="3" cm="1">
        <f t="array" ref="G9">_xll.FDS(C9,"FG_TOTAL_RETURNC(0,-6AM)")</f>
        <v>10.453165</v>
      </c>
      <c r="H9" s="9" cm="1">
        <f t="array" ref="H9">_xll.FDS(C9,"P_PRICE(0)/P_PRICE_HIGH_PR(0,,,USD,,,""PRICE"",""INTRA"",""52W"")")</f>
        <v>0.91463850000000002</v>
      </c>
      <c r="I9" s="1"/>
      <c r="K9" s="4">
        <f t="shared" si="3"/>
        <v>8</v>
      </c>
      <c r="L9" s="4">
        <f t="shared" si="4"/>
        <v>8</v>
      </c>
      <c r="M9" s="4">
        <f t="shared" si="4"/>
        <v>3</v>
      </c>
      <c r="N9" s="4"/>
      <c r="P9" s="3">
        <f t="shared" si="0"/>
        <v>6.2700000000000005</v>
      </c>
      <c r="Q9">
        <f t="shared" si="1"/>
        <v>0</v>
      </c>
      <c r="S9" s="3">
        <f t="shared" si="5"/>
        <v>7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6.3561915999999998</v>
      </c>
      <c r="F10" s="3" cm="1">
        <f t="array" ref="F10">_xll.FDS(C10,"FG_TOTAL_RETURNC(0,-3AM)")</f>
        <v>8.6916810000000009</v>
      </c>
      <c r="G10" s="3" cm="1">
        <f t="array" ref="G10">_xll.FDS(C10,"FG_TOTAL_RETURNC(0,-6AM)")</f>
        <v>-1.0374606</v>
      </c>
      <c r="H10" s="9" cm="1">
        <f t="array" ref="H10">_xll.FDS(C10,"P_PRICE(0)/P_PRICE_HIGH_PR(0,,,USD,,,""PRICE"",""INTRA"",""52W"")")</f>
        <v>0.94769809999999999</v>
      </c>
      <c r="K10" s="4">
        <f t="shared" si="3"/>
        <v>6</v>
      </c>
      <c r="L10" s="4">
        <f t="shared" si="4"/>
        <v>3</v>
      </c>
      <c r="M10" s="4">
        <f t="shared" si="4"/>
        <v>10</v>
      </c>
      <c r="N10" s="4"/>
      <c r="P10" s="3">
        <f t="shared" si="0"/>
        <v>6.27</v>
      </c>
      <c r="Q10">
        <f t="shared" si="1"/>
        <v>0</v>
      </c>
      <c r="S10" s="3">
        <f t="shared" si="5"/>
        <v>6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-0.19353628</v>
      </c>
      <c r="F11" s="3" cm="1">
        <f t="array" ref="F11">_xll.FDS(C11,"FG_TOTAL_RETURNC(0,-3AM)")</f>
        <v>3.8623690000000002</v>
      </c>
      <c r="G11" s="3" cm="1">
        <f t="array" ref="G11">_xll.FDS(C11,"FG_TOTAL_RETURNC(0,-6AM)")</f>
        <v>6.4201949999999997</v>
      </c>
      <c r="H11" s="9" cm="1">
        <f t="array" ref="H11">_xll.FDS(C11,"P_PRICE(0)/P_PRICE_HIGH_PR(0,,,USD,,,""PRICE"",""INTRA"",""52W"")")</f>
        <v>0.94856733000000004</v>
      </c>
      <c r="K11" s="4">
        <f t="shared" si="3"/>
        <v>5</v>
      </c>
      <c r="L11" s="4">
        <f t="shared" si="4"/>
        <v>5</v>
      </c>
      <c r="M11" s="4">
        <f t="shared" si="4"/>
        <v>7</v>
      </c>
      <c r="P11" s="3">
        <f t="shared" si="0"/>
        <v>5.61</v>
      </c>
      <c r="Q11">
        <f t="shared" si="1"/>
        <v>0</v>
      </c>
      <c r="S11" s="3">
        <f t="shared" si="5"/>
        <v>5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-0.35403370000000001</v>
      </c>
      <c r="F12" s="3" cm="1">
        <f t="array" ref="F12">_xll.FDS(C12,"FG_TOTAL_RETURNC(0,-3AM)")</f>
        <v>1.4079094000000001</v>
      </c>
      <c r="G12" s="3" cm="1">
        <f t="array" ref="G12">_xll.FDS(C12,"FG_TOTAL_RETURNC(0,-6AM)")</f>
        <v>1.6958237</v>
      </c>
      <c r="H12" s="9" cm="1">
        <f t="array" ref="H12">_xll.FDS(C12,"P_PRICE(0)/P_PRICE_HIGH_PR(0,,,USD,,,""PRICE"",""INTRA"",""52W"")")</f>
        <v>0.93734824999999999</v>
      </c>
      <c r="K12" s="4">
        <f t="shared" si="3"/>
        <v>7</v>
      </c>
      <c r="L12" s="4">
        <f t="shared" si="4"/>
        <v>7</v>
      </c>
      <c r="M12" s="4">
        <f t="shared" si="4"/>
        <v>9</v>
      </c>
      <c r="P12" s="3">
        <f t="shared" si="0"/>
        <v>7.59</v>
      </c>
      <c r="Q12">
        <f t="shared" si="1"/>
        <v>0</v>
      </c>
      <c r="S12" s="3">
        <f t="shared" si="5"/>
        <v>9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9" sqref="K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57.099999999999994</v>
      </c>
      <c r="E6" s="120">
        <f>VLOOKUP(B6,'Quality - 2'!$B$2:$S$14,18,FALSE)</f>
        <v>85.7</v>
      </c>
      <c r="F6" s="153">
        <f>VLOOKUP(B6,Safety!$B$4:$R$16,17,FALSE)</f>
        <v>92.800000000000011</v>
      </c>
      <c r="G6" s="179">
        <f t="shared" ref="G6:G18" si="0">(D6*$D$2 +E6*$E$2 +F6*$F$2)/($D$2+$E$2+$F$2)</f>
        <v>78.53333333333336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42.8</v>
      </c>
      <c r="J6" s="120">
        <f ca="1">VLOOKUP(B6,'Momnetum ranking'!$A$3:$AJ$15,36,FALSE)</f>
        <v>92.800000000000011</v>
      </c>
      <c r="K6" s="163">
        <f>VLOOKUP(B6,'Momnetum ranking'!$A$3:$H$15,8,FALSE)</f>
        <v>0.45652173913043476</v>
      </c>
      <c r="L6" s="120">
        <f>VLOOKUP(B6,'Currency- 2'!$A$3:$U$15,21,FALSE)</f>
        <v>85.7</v>
      </c>
      <c r="M6" s="162">
        <f t="shared" ref="M6:M18" ca="1" si="1">D6*$D$2 + E6*$E$2 + F6*$F$2 + I6*$I$2 + J6*$J$2 + L6*$L$2</f>
        <v>77.80764400000001</v>
      </c>
      <c r="N6" s="120" cm="1">
        <f t="array" aca="1" ref="N6" ca="1">_xlfn.PERCENTRANK.EXC(_xlfn._xlws.FILTER($M$6:M$18, ISNUMBER($M$6:M$18)),M6)*100</f>
        <v>92.800000000000011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42.8</v>
      </c>
      <c r="E7" s="121">
        <f>VLOOKUP(B7,'Quality - 2'!$B$2:$S$14,18,FALSE)</f>
        <v>57.099999999999994</v>
      </c>
      <c r="F7" s="159">
        <f>VLOOKUP(B7,Safety!$B$4:$R$16,17,FALSE)</f>
        <v>64.2</v>
      </c>
      <c r="G7" s="180">
        <f t="shared" si="0"/>
        <v>54.699999999999996</v>
      </c>
      <c r="H7" s="125" cm="1">
        <f t="array" ref="H7">_xlfn.PERCENTRANK.EXC(_xlfn._xlws.FILTER($G$6:G$18, ISNUMBER($G$6:G$18)),G7)*100</f>
        <v>64.2</v>
      </c>
      <c r="I7" s="159">
        <f>VLOOKUP(B7,'LIQIDITY 2'!$A$3:$X$15,24,FALSE)</f>
        <v>7.1</v>
      </c>
      <c r="J7" s="121">
        <f ca="1">VLOOKUP(B7,'Momnetum ranking'!$A$3:$AJ$15,36,FALSE)</f>
        <v>21.4</v>
      </c>
      <c r="K7" s="161">
        <f>VLOOKUP(B7,'Momnetum ranking'!$A$3:$H$15,8,FALSE)</f>
        <v>0.47058823529411764</v>
      </c>
      <c r="L7" s="121">
        <f>VLOOKUP(B7,'Currency- 2'!$A$3:$U$15,21,FALSE)</f>
        <v>35.699999999999996</v>
      </c>
      <c r="M7" s="160">
        <f t="shared" ca="1" si="1"/>
        <v>29.958359000000002</v>
      </c>
      <c r="N7" s="121" cm="1">
        <f t="array" aca="1" ref="N7" ca="1">_xlfn.PERCENTRANK.EXC(_xlfn._xlws.FILTER($M$6:M$18, ISNUMBER($M$6:M$18)),M7)*100</f>
        <v>14.2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78.5</v>
      </c>
      <c r="F8" s="159">
        <f>VLOOKUP(B8,Safety!$B$4:$R$16,17,FALSE)</f>
        <v>85.7</v>
      </c>
      <c r="G8" s="180">
        <f t="shared" si="0"/>
        <v>59.466666666666683</v>
      </c>
      <c r="H8" s="125" cm="1">
        <f t="array" ref="H8">_xlfn.PERCENTRANK.EXC(_xlfn._xlws.FILTER($G$6:G$18, ISNUMBER($G$6:G$18)),G8)*100</f>
        <v>78.5</v>
      </c>
      <c r="I8" s="159">
        <f>VLOOKUP(B8,'LIQIDITY 2'!$A$3:$X$15,24,FALSE)</f>
        <v>14.2</v>
      </c>
      <c r="J8" s="121">
        <f ca="1">VLOOKUP(B8,'Momnetum ranking'!$A$3:$AJ$15,36,FALSE)</f>
        <v>64.2</v>
      </c>
      <c r="K8" s="161">
        <f>VLOOKUP(B8,'Momnetum ranking'!$A$3:$H$15,8,FALSE)</f>
        <v>0.40196078431372551</v>
      </c>
      <c r="L8" s="121">
        <f>VLOOKUP(B8,'Currency- 2'!$A$3:$U$15,21,FALSE)</f>
        <v>50</v>
      </c>
      <c r="M8" s="160">
        <f t="shared" ca="1" si="1"/>
        <v>51.358216000000006</v>
      </c>
      <c r="N8" s="121" cm="1">
        <f t="array" aca="1" ref="N8" ca="1">_xlfn.PERCENTRANK.EXC(_xlfn._xlws.FILTER($M$6:M$18, ISNUMBER($M$6:M$18)),M8)*100</f>
        <v>64.2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92.800000000000011</v>
      </c>
      <c r="F9" s="159">
        <f>VLOOKUP(B9,Safety!$B$4:$R$16,17,FALSE)</f>
        <v>50</v>
      </c>
      <c r="G9" s="180">
        <f t="shared" si="0"/>
        <v>57.100000000000009</v>
      </c>
      <c r="H9" s="125" cm="1">
        <f t="array" ref="H9">_xlfn.PERCENTRANK.EXC(_xlfn._xlws.FILTER($G$6:G$18, ISNUMBER($G$6:G$18)),G9)*100</f>
        <v>71.399999999999991</v>
      </c>
      <c r="I9" s="159">
        <f>VLOOKUP(B9,'LIQIDITY 2'!$A$3:$X$15,24,FALSE)</f>
        <v>14.2</v>
      </c>
      <c r="J9" s="121">
        <f ca="1">VLOOKUP(B9,'Momnetum ranking'!$A$3:$AJ$15,36,FALSE)</f>
        <v>85.7</v>
      </c>
      <c r="K9" s="161">
        <f>VLOOKUP(B9,'Momnetum ranking'!$A$3:$H$15,8,FALSE)</f>
        <v>0.41550695825049699</v>
      </c>
      <c r="L9" s="121">
        <f>VLOOKUP(B9,'Currency- 2'!$A$3:$U$15,21,FALSE)</f>
        <v>50</v>
      </c>
      <c r="M9" s="160">
        <f t="shared" ca="1" si="1"/>
        <v>59.248287000000005</v>
      </c>
      <c r="N9" s="121" cm="1">
        <f t="array" aca="1" ref="N9" ca="1">_xlfn.PERCENTRANK.EXC(_xlfn._xlws.FILTER($M$6:M$18, ISNUMBER($M$6:M$18)),M9)*100</f>
        <v>78.5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64.2</v>
      </c>
      <c r="E10" s="121">
        <f>VLOOKUP(B10,'Quality - 2'!$B$2:$S$14,18,FALSE)</f>
        <v>28.499999999999996</v>
      </c>
      <c r="F10" s="159">
        <f>VLOOKUP(B10,Safety!$B$4:$R$16,17,FALSE)</f>
        <v>35.699999999999996</v>
      </c>
      <c r="G10" s="180">
        <f t="shared" si="0"/>
        <v>42.8</v>
      </c>
      <c r="H10" s="125" cm="1">
        <f t="array" ref="H10">_xlfn.PERCENTRANK.EXC(_xlfn._xlws.FILTER($G$6:G$18, ISNUMBER($G$6:G$18)),G10)*100</f>
        <v>28.499999999999996</v>
      </c>
      <c r="I10" s="159">
        <f>VLOOKUP(B10,'LIQIDITY 2'!$A$3:$X$15,24,FALSE)</f>
        <v>42.8</v>
      </c>
      <c r="J10" s="121">
        <f ca="1">VLOOKUP(B10,'Momnetum ranking'!$A$3:$AJ$15,36,FALSE)</f>
        <v>50</v>
      </c>
      <c r="K10" s="161">
        <f>VLOOKUP(B10,'Momnetum ranking'!$A$3:$H$15,8,FALSE)</f>
        <v>0.41379310344827586</v>
      </c>
      <c r="L10" s="121">
        <f>VLOOKUP(B10,'Currency- 2'!$A$3:$U$15,21,FALSE)</f>
        <v>78.5</v>
      </c>
      <c r="M10" s="160">
        <f t="shared" ca="1" si="1"/>
        <v>49.248716000000002</v>
      </c>
      <c r="N10" s="121" cm="1">
        <f t="array" aca="1" ref="N10" ca="1">_xlfn.PERCENTRANK.EXC(_xlfn._xlws.FILTER($M$6:M$18, ISNUMBER($M$6:M$18)),M10)*100</f>
        <v>57.099999999999994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42.8</v>
      </c>
      <c r="F11" s="159">
        <f>VLOOKUP(B11,Safety!$B$4:$R$16,17,FALSE)</f>
        <v>21.4</v>
      </c>
      <c r="G11" s="180">
        <f t="shared" si="0"/>
        <v>49.966666666666669</v>
      </c>
      <c r="H11" s="125" cm="1">
        <f t="array" ref="H11">_xlfn.PERCENTRANK.EXC(_xlfn._xlws.FILTER($G$6:G$18, ISNUMBER($G$6:G$18)),G11)*100</f>
        <v>50</v>
      </c>
      <c r="I11" s="159">
        <f>VLOOKUP(B11,'LIQIDITY 2'!$A$3:$X$15,24,FALSE)</f>
        <v>42.8</v>
      </c>
      <c r="J11" s="121">
        <f ca="1">VLOOKUP(B11,'Momnetum ranking'!$A$3:$AJ$15,36,FALSE)</f>
        <v>78.5</v>
      </c>
      <c r="K11" s="161">
        <f>VLOOKUP(B11,'Momnetum ranking'!$A$3:$H$15,8,FALSE)</f>
        <v>0.32098765432098764</v>
      </c>
      <c r="L11" s="121">
        <f>VLOOKUP(B11,'Currency- 2'!$A$3:$U$15,21,FALSE)</f>
        <v>71.399999999999991</v>
      </c>
      <c r="M11" s="160">
        <f t="shared" ca="1" si="1"/>
        <v>62.088501000000008</v>
      </c>
      <c r="N11" s="121" cm="1">
        <f t="array" aca="1" ref="N11" ca="1">_xlfn.PERCENTRANK.EXC(_xlfn._xlws.FILTER($M$6:M$18, ISNUMBER($M$6:M$18)),M11)*100</f>
        <v>85.7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50</v>
      </c>
      <c r="E12" s="121">
        <f>VLOOKUP(B12,'Quality - 2'!$B$2:$S$14,18,FALSE)</f>
        <v>64.2</v>
      </c>
      <c r="F12" s="159">
        <f>VLOOKUP(B12,Safety!$B$4:$R$16,17,FALSE)</f>
        <v>42.8</v>
      </c>
      <c r="G12" s="180">
        <f t="shared" si="0"/>
        <v>52.333333333333343</v>
      </c>
      <c r="H12" s="125" cm="1">
        <f t="array" ref="H12">_xlfn.PERCENTRANK.EXC(_xlfn._xlws.FILTER($G$6:G$18, ISNUMBER($G$6:G$18)),G12)*100</f>
        <v>57.099999999999994</v>
      </c>
      <c r="I12" s="159">
        <f>VLOOKUP(B12,'LIQIDITY 2'!$A$3:$X$15,24,FALSE)</f>
        <v>42.8</v>
      </c>
      <c r="J12" s="121">
        <f ca="1">VLOOKUP(B12,'Momnetum ranking'!$A$3:$AJ$15,36,FALSE)</f>
        <v>71.399999999999991</v>
      </c>
      <c r="K12" s="161">
        <f>VLOOKUP(B12,'Momnetum ranking'!$A$3:$H$15,8,FALSE)</f>
        <v>0.43181818181818182</v>
      </c>
      <c r="L12" s="121">
        <f>VLOOKUP(B12,'Currency- 2'!$A$3:$U$15,21,FALSE)</f>
        <v>14.2</v>
      </c>
      <c r="M12" s="160">
        <f t="shared" ca="1" si="1"/>
        <v>54.238430000000001</v>
      </c>
      <c r="N12" s="121" cm="1">
        <f t="array" aca="1" ref="N12" ca="1">_xlfn.PERCENTRANK.EXC(_xlfn._xlws.FILTER($M$6:M$18, ISNUMBER($M$6:M$18)),M12)*100</f>
        <v>71.399999999999991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7.1</v>
      </c>
      <c r="F13" s="159">
        <f>VLOOKUP(B13,Safety!$B$4:$R$16,17,FALSE)</f>
        <v>28.499999999999996</v>
      </c>
      <c r="G13" s="180">
        <f t="shared" si="0"/>
        <v>19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14.2</v>
      </c>
      <c r="J13" s="121">
        <f ca="1">VLOOKUP(B13,'Momnetum ranking'!$A$3:$AJ$15,36,FALSE)</f>
        <v>57.099999999999994</v>
      </c>
      <c r="K13" s="161">
        <f>VLOOKUP(B13,'Momnetum ranking'!$A$3:$H$15,8,FALSE)</f>
        <v>0.32203389830508472</v>
      </c>
      <c r="L13" s="121">
        <f>VLOOKUP(B13,'Currency- 2'!$A$3:$U$15,21,FALSE)</f>
        <v>21.4</v>
      </c>
      <c r="M13" s="160">
        <f t="shared" ca="1" si="1"/>
        <v>33.51943</v>
      </c>
      <c r="N13" s="121" cm="1">
        <f t="array" aca="1" ref="N13" ca="1">_xlfn.PERCENTRANK.EXC(_xlfn._xlws.FILTER($M$6:M$18, ISNUMBER($M$6:M$18)),M13)*100</f>
        <v>21.4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21.4</v>
      </c>
      <c r="F14" s="159">
        <f>VLOOKUP(B14,Safety!$B$4:$R$16,17,FALSE)</f>
        <v>78.5</v>
      </c>
      <c r="G14" s="180">
        <f t="shared" si="0"/>
        <v>35.666666666666671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14.2</v>
      </c>
      <c r="J14" s="121">
        <f ca="1">VLOOKUP(B14,'Momnetum ranking'!$A$3:$AJ$15,36,FALSE)</f>
        <v>35.699999999999996</v>
      </c>
      <c r="K14" s="161">
        <f>VLOOKUP(B14,'Momnetum ranking'!$A$3:$H$15,8,FALSE)</f>
        <v>0.21428571428571427</v>
      </c>
      <c r="L14" s="121">
        <f>VLOOKUP(B14,'Currency- 2'!$A$3:$U$15,21,FALSE)</f>
        <v>7.1</v>
      </c>
      <c r="M14" s="160">
        <f t="shared" ca="1" si="1"/>
        <v>28.528930000000003</v>
      </c>
      <c r="N14" s="121" cm="1">
        <f t="array" aca="1" ref="N14" ca="1">_xlfn.PERCENTRANK.EXC(_xlfn._xlws.FILTER($M$6:M$18, ISNUMBER($M$6:M$18)),M14)*100</f>
        <v>7.1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78.5</v>
      </c>
      <c r="E15" s="121">
        <f>VLOOKUP(B15,'Quality - 2'!$B$2:$S$14,18,FALSE)</f>
        <v>71.399999999999991</v>
      </c>
      <c r="F15" s="159">
        <f>VLOOKUP(B15,Safety!$B$4:$R$16,17,FALSE)</f>
        <v>71.399999999999991</v>
      </c>
      <c r="G15" s="180">
        <f t="shared" si="0"/>
        <v>73.766666666666666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42.8</v>
      </c>
      <c r="J15" s="121">
        <f ca="1">VLOOKUP(B15,'Momnetum ranking'!$A$3:$AJ$15,36,FALSE)</f>
        <v>7.1</v>
      </c>
      <c r="K15" s="161">
        <f>VLOOKUP(B15,'Momnetum ranking'!$A$3:$H$15,8,FALSE)</f>
        <v>0.24193548387096775</v>
      </c>
      <c r="L15" s="121">
        <f>VLOOKUP(B15,'Currency- 2'!$A$3:$U$15,21,FALSE)</f>
        <v>64.2</v>
      </c>
      <c r="M15" s="160">
        <f t="shared" ca="1" si="1"/>
        <v>39.947787000000005</v>
      </c>
      <c r="N15" s="121" cm="1">
        <f t="array" aca="1" ref="N15" ca="1">_xlfn.PERCENTRANK.EXC(_xlfn._xlws.FILTER($M$6:M$18, ISNUMBER($M$6:M$18)),M15)*100</f>
        <v>42.8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35.699999999999996</v>
      </c>
      <c r="F16" s="159">
        <f>VLOOKUP(B16,Safety!$B$4:$R$16,17,FALSE)</f>
        <v>57.099999999999994</v>
      </c>
      <c r="G16" s="180">
        <f t="shared" si="0"/>
        <v>42.833333333333336</v>
      </c>
      <c r="H16" s="125" cm="1">
        <f t="array" ref="H16">_xlfn.PERCENTRANK.EXC(_xlfn._xlws.FILTER($G$6:G$18, ISNUMBER($G$6:G$18)),G16)*100</f>
        <v>35.699999999999996</v>
      </c>
      <c r="I16" s="159">
        <f>VLOOKUP(B16,'LIQIDITY 2'!$A$3:$X$15,24,FALSE)</f>
        <v>42.8</v>
      </c>
      <c r="J16" s="121">
        <f ca="1">VLOOKUP(B16,'Momnetum ranking'!$A$3:$AJ$15,36,FALSE)</f>
        <v>14.2</v>
      </c>
      <c r="K16" s="161">
        <f>VLOOKUP(B16,'Momnetum ranking'!$A$3:$H$15,8,FALSE)</f>
        <v>0.33962264150943394</v>
      </c>
      <c r="L16" s="121">
        <f>VLOOKUP(B16,'Currency- 2'!$A$3:$U$15,21,FALSE)</f>
        <v>92.800000000000011</v>
      </c>
      <c r="M16" s="160">
        <f t="shared" ca="1" si="1"/>
        <v>36.368715000000002</v>
      </c>
      <c r="N16" s="121" cm="1">
        <f t="array" aca="1" ref="N16" ca="1">_xlfn.PERCENTRANK.EXC(_xlfn._xlws.FILTER($M$6:M$18, ISNUMBER($M$6:M$18)),M16)*100</f>
        <v>35.699999999999996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71.399999999999991</v>
      </c>
      <c r="E17" s="121">
        <f>VLOOKUP(B17,'Quality - 2'!$B$2:$S$14,18,FALSE)</f>
        <v>50</v>
      </c>
      <c r="F17" s="159">
        <f>VLOOKUP(B17,Safety!$B$4:$R$16,17,FALSE)</f>
        <v>7.1</v>
      </c>
      <c r="G17" s="180">
        <f t="shared" si="0"/>
        <v>42.833333333333336</v>
      </c>
      <c r="H17" s="125" cm="1">
        <f t="array" ref="H17">_xlfn.PERCENTRANK.EXC(_xlfn._xlws.FILTER($G$6:G$18, ISNUMBER($G$6:G$18)),G17)*100</f>
        <v>35.699999999999996</v>
      </c>
      <c r="I17" s="159">
        <f>VLOOKUP(B17,'LIQIDITY 2'!$A$3:$X$15,24,FALSE)</f>
        <v>42.8</v>
      </c>
      <c r="J17" s="121">
        <f ca="1">VLOOKUP(B17,'Momnetum ranking'!$A$3:$AJ$15,36,FALSE)</f>
        <v>42.8</v>
      </c>
      <c r="K17" s="161">
        <f>VLOOKUP(B17,'Momnetum ranking'!$A$3:$H$15,8,FALSE)</f>
        <v>0.24444444444444444</v>
      </c>
      <c r="L17" s="121">
        <f>VLOOKUP(B17,'Currency- 2'!$A$3:$U$15,21,FALSE)</f>
        <v>28.499999999999996</v>
      </c>
      <c r="M17" s="160">
        <f t="shared" ca="1" si="1"/>
        <v>41.378715000000007</v>
      </c>
      <c r="N17" s="121" cm="1">
        <f t="array" aca="1" ref="N17" ca="1">_xlfn.PERCENTRANK.EXC(_xlfn._xlws.FILTER($M$6:M$18, ISNUMBER($M$6:M$18)),M17)*100</f>
        <v>50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14.2</v>
      </c>
      <c r="G18" s="181">
        <f t="shared" si="0"/>
        <v>38.033333333333346</v>
      </c>
      <c r="H18" s="126" cm="1">
        <f t="array" ref="H18">_xlfn.PERCENTRANK.EXC(_xlfn._xlws.FILTER($G$6:G$18, ISNUMBER($G$6:G$18)),G18)*100</f>
        <v>21.4</v>
      </c>
      <c r="I18" s="154">
        <f>VLOOKUP(B18,'LIQIDITY 2'!$A$3:$X$15,24,FALSE)</f>
        <v>42.8</v>
      </c>
      <c r="J18" s="122">
        <f ca="1">VLOOKUP(B18,'Momnetum ranking'!$A$3:$AJ$15,36,FALSE)</f>
        <v>28.499999999999996</v>
      </c>
      <c r="K18" s="165">
        <f>VLOOKUP(B18,'Momnetum ranking'!$A$3:$H$15,8,FALSE)</f>
        <v>0.53846153846153844</v>
      </c>
      <c r="L18" s="122">
        <f>VLOOKUP(B18,'Currency- 2'!$A$3:$U$15,21,FALSE)</f>
        <v>42.8</v>
      </c>
      <c r="M18" s="164">
        <f t="shared" ca="1" si="1"/>
        <v>35.648859000000002</v>
      </c>
      <c r="N18" s="122" cm="1">
        <f t="array" aca="1" ref="N18" ca="1">_xlfn.PERCENTRANK.EXC(_xlfn._xlws.FILTER($M$6:M$18, ISNUMBER($M$6:M$18)),M18)*100</f>
        <v>28.499999999999996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0</v>
      </c>
      <c r="S3" s="148">
        <f ca="1">COUNTIF(S9:S17,"&gt;0")</f>
        <v>0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0.18447296559716267</v>
      </c>
      <c r="F9">
        <f ca="1">VLOOKUP(B9,OUTPUT_COUNTRY!$B$6:$N$18, 9, FALSE)</f>
        <v>35.699999999999996</v>
      </c>
      <c r="G9" s="47">
        <f>IFERROR(VLOOKUP(B9,OUTPUT_COUNTRY!$B$6:$N$18, 7, FALSE),0)</f>
        <v>14.2</v>
      </c>
      <c r="H9">
        <f>VLOOKUP(B9,OUTPUT_COUNTRY!$B$6:$N$18, 8, FALSE)</f>
        <v>14.2</v>
      </c>
      <c r="I9">
        <f>VLOOKUP(B9,OUTPUT_COUNTRY!$B$6:$N$18, 11, FALSE)</f>
        <v>7.1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 t="e">
        <f>N9/$N$22</f>
        <v>#DIV/0!</v>
      </c>
      <c r="P9">
        <f t="shared" ref="P9:P21" si="3">IF(I9&gt;=$F$5,1/E9,0)</f>
        <v>0</v>
      </c>
      <c r="Q9" s="136">
        <f>P9/$P$22</f>
        <v>0</v>
      </c>
      <c r="R9" s="156" t="e">
        <f t="shared" ref="R9:R21" ca="1" si="4">IF($D$2*K9+$D$4*M9+$F$2*O9+$F$4*Q9 = 0,"",$D$2*K9+$D$4*M9+$F$2*O9+$F$4*Q9)</f>
        <v>#DIV/0!</v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0.216446192732518</v>
      </c>
      <c r="F10">
        <f ca="1">VLOOKUP(B10,OUTPUT_COUNTRY!$B$6:$N$18, 9, FALSE)</f>
        <v>57.099999999999994</v>
      </c>
      <c r="G10" s="47">
        <f>IFERROR(VLOOKUP(B10,OUTPUT_COUNTRY!$B$6:$N$18, 7, FALSE),0)</f>
        <v>7.1</v>
      </c>
      <c r="H10">
        <f>VLOOKUP(B10,OUTPUT_COUNTRY!$B$6:$N$18, 8, FALSE)</f>
        <v>14.2</v>
      </c>
      <c r="I10">
        <f>VLOOKUP(B10,OUTPUT_COUNTRY!$B$6:$N$18, 11, FALSE)</f>
        <v>21.4</v>
      </c>
      <c r="J10" s="47">
        <f t="shared" ca="1" si="0"/>
        <v>0</v>
      </c>
      <c r="K10" s="136">
        <f t="shared" ref="K10:K21" ca="1" si="6">J10/$J$22</f>
        <v>0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 t="e">
        <f t="shared" ref="O10:O21" si="8">N10/$N$22</f>
        <v>#DIV/0!</v>
      </c>
      <c r="P10">
        <f t="shared" si="3"/>
        <v>0</v>
      </c>
      <c r="Q10" s="136">
        <f t="shared" ref="Q10:Q21" si="9">P10/$P$22</f>
        <v>0</v>
      </c>
      <c r="R10" s="156" t="e">
        <f t="shared" ca="1" si="4"/>
        <v>#DIV/0!</v>
      </c>
      <c r="S10" s="156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0.20200132881568109</v>
      </c>
      <c r="F11">
        <f ca="1">VLOOKUP(B11,OUTPUT_COUNTRY!$B$6:$N$18, 9, FALSE)</f>
        <v>71.399999999999991</v>
      </c>
      <c r="G11" s="47">
        <f>IFERROR(VLOOKUP(B11,OUTPUT_COUNTRY!$B$6:$N$18, 7, FALSE),0)</f>
        <v>57.099999999999994</v>
      </c>
      <c r="H11">
        <f>VLOOKUP(B11,OUTPUT_COUNTRY!$B$6:$N$18, 8, FALSE)</f>
        <v>42.8</v>
      </c>
      <c r="I11">
        <f>VLOOKUP(B11,OUTPUT_COUNTRY!$B$6:$N$18, 11, FALSE)</f>
        <v>14.2</v>
      </c>
      <c r="J11" s="47">
        <f t="shared" ca="1" si="0"/>
        <v>4.9504624839001128</v>
      </c>
      <c r="K11" s="136">
        <f t="shared" ca="1" si="6"/>
        <v>0.22462705365348673</v>
      </c>
      <c r="L11">
        <f t="shared" si="1"/>
        <v>0</v>
      </c>
      <c r="M11" s="136">
        <f t="shared" si="7"/>
        <v>0</v>
      </c>
      <c r="N11">
        <f t="shared" si="2"/>
        <v>0</v>
      </c>
      <c r="O11" s="136" t="e">
        <f t="shared" si="8"/>
        <v>#DIV/0!</v>
      </c>
      <c r="P11">
        <f t="shared" si="3"/>
        <v>0</v>
      </c>
      <c r="Q11" s="136">
        <f t="shared" si="9"/>
        <v>0</v>
      </c>
      <c r="R11" s="156" t="e">
        <f t="shared" ca="1" si="4"/>
        <v>#DIV/0!</v>
      </c>
      <c r="S11" s="156" t="str">
        <f t="shared" ca="1" si="5"/>
        <v/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0.23533112751901947</v>
      </c>
      <c r="F12">
        <f ca="1">VLOOKUP(B12,OUTPUT_COUNTRY!$B$6:$N$18, 9, FALSE)</f>
        <v>50</v>
      </c>
      <c r="G12" s="47">
        <f>IFERROR(VLOOKUP(B12,OUTPUT_COUNTRY!$B$6:$N$18, 7, FALSE),0)</f>
        <v>28.499999999999996</v>
      </c>
      <c r="H12">
        <f>VLOOKUP(B12,OUTPUT_COUNTRY!$B$6:$N$18, 8, FALSE)</f>
        <v>42.8</v>
      </c>
      <c r="I12">
        <f>VLOOKUP(B12,OUTPUT_COUNTRY!$B$6:$N$18, 11, FALSE)</f>
        <v>78.5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0</v>
      </c>
      <c r="O12" s="136" t="e">
        <f t="shared" si="8"/>
        <v>#DIV/0!</v>
      </c>
      <c r="P12">
        <f t="shared" si="3"/>
        <v>4.2493316143194022</v>
      </c>
      <c r="Q12" s="136">
        <f t="shared" si="9"/>
        <v>0.17321960867587713</v>
      </c>
      <c r="R12" s="156" t="e">
        <f t="shared" ca="1" si="4"/>
        <v>#DIV/0!</v>
      </c>
      <c r="S12" s="156" t="str">
        <f t="shared" ca="1" si="5"/>
        <v/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0.16356048732730963</v>
      </c>
      <c r="F13">
        <f ca="1">VLOOKUP(B13,OUTPUT_COUNTRY!$B$6:$N$18, 9, FALSE)</f>
        <v>21.4</v>
      </c>
      <c r="G13" s="47">
        <f>IFERROR(VLOOKUP(B13,OUTPUT_COUNTRY!$B$6:$N$18, 7, FALSE),0)</f>
        <v>64.2</v>
      </c>
      <c r="H13">
        <f>VLOOKUP(B13,OUTPUT_COUNTRY!$B$6:$N$18, 8, FALSE)</f>
        <v>7.1</v>
      </c>
      <c r="I13">
        <f>VLOOKUP(B13,OUTPUT_COUNTRY!$B$6:$N$18, 11, FALSE)</f>
        <v>35.699999999999996</v>
      </c>
      <c r="J13" s="47">
        <f t="shared" ca="1" si="0"/>
        <v>0</v>
      </c>
      <c r="K13" s="136">
        <f t="shared" ca="1" si="6"/>
        <v>0</v>
      </c>
      <c r="L13">
        <f t="shared" si="1"/>
        <v>0</v>
      </c>
      <c r="M13" s="136">
        <f t="shared" si="7"/>
        <v>0</v>
      </c>
      <c r="N13">
        <f t="shared" si="2"/>
        <v>0</v>
      </c>
      <c r="O13" s="136" t="e">
        <f t="shared" si="8"/>
        <v>#DIV/0!</v>
      </c>
      <c r="P13">
        <f t="shared" si="3"/>
        <v>0</v>
      </c>
      <c r="Q13" s="136">
        <f t="shared" si="9"/>
        <v>0</v>
      </c>
      <c r="R13" s="156" t="e">
        <f t="shared" ca="1" si="4"/>
        <v>#DIV/0!</v>
      </c>
      <c r="S13" s="156" t="str">
        <f t="shared" ca="1" si="5"/>
        <v/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0.16137743001226718</v>
      </c>
      <c r="F14">
        <f ca="1">VLOOKUP(B14,OUTPUT_COUNTRY!$B$6:$N$18, 9, FALSE)</f>
        <v>92.800000000000011</v>
      </c>
      <c r="G14" s="47">
        <f>IFERROR(VLOOKUP(B14,OUTPUT_COUNTRY!$B$6:$N$18, 7, FALSE),0)</f>
        <v>92.800000000000011</v>
      </c>
      <c r="H14">
        <f>VLOOKUP(B14,OUTPUT_COUNTRY!$B$6:$N$18, 8, FALSE)</f>
        <v>42.8</v>
      </c>
      <c r="I14">
        <f>VLOOKUP(B14,OUTPUT_COUNTRY!$B$6:$N$18, 11, FALSE)</f>
        <v>85.7</v>
      </c>
      <c r="J14" s="47">
        <f t="shared" ca="1" si="0"/>
        <v>6.1966533977148144</v>
      </c>
      <c r="K14" s="136">
        <f t="shared" ca="1" si="6"/>
        <v>0.28117292066496791</v>
      </c>
      <c r="L14">
        <f t="shared" si="1"/>
        <v>6.1966533977148144</v>
      </c>
      <c r="M14" s="136">
        <f t="shared" si="7"/>
        <v>0.29723126312196591</v>
      </c>
      <c r="N14">
        <f t="shared" si="2"/>
        <v>0</v>
      </c>
      <c r="O14" s="136" t="e">
        <f t="shared" si="8"/>
        <v>#DIV/0!</v>
      </c>
      <c r="P14">
        <f t="shared" si="3"/>
        <v>6.1966533977148144</v>
      </c>
      <c r="Q14" s="136">
        <f t="shared" si="9"/>
        <v>0.25260016729104434</v>
      </c>
      <c r="R14" s="156" t="e">
        <f t="shared" ca="1" si="4"/>
        <v>#DIV/0!</v>
      </c>
      <c r="S14" s="156" t="str">
        <f t="shared" ca="1" si="5"/>
        <v/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0.18796887155183778</v>
      </c>
      <c r="F15">
        <f ca="1">VLOOKUP(B15,OUTPUT_COUNTRY!$B$6:$N$18, 9, FALSE)</f>
        <v>78.5</v>
      </c>
      <c r="G15" s="47">
        <f>IFERROR(VLOOKUP(B15,OUTPUT_COUNTRY!$B$6:$N$18, 7, FALSE),0)</f>
        <v>50</v>
      </c>
      <c r="H15">
        <f>VLOOKUP(B15,OUTPUT_COUNTRY!$B$6:$N$18, 8, FALSE)</f>
        <v>42.8</v>
      </c>
      <c r="I15">
        <f>VLOOKUP(B15,OUTPUT_COUNTRY!$B$6:$N$18, 11, FALSE)</f>
        <v>71.399999999999991</v>
      </c>
      <c r="J15" s="47">
        <f t="shared" ca="1" si="0"/>
        <v>5.3200298099583021</v>
      </c>
      <c r="K15" s="136">
        <f t="shared" ca="1" si="6"/>
        <v>0.24139615751984853</v>
      </c>
      <c r="L15">
        <f t="shared" si="1"/>
        <v>0</v>
      </c>
      <c r="M15" s="136">
        <f t="shared" si="7"/>
        <v>0</v>
      </c>
      <c r="N15">
        <f t="shared" si="2"/>
        <v>0</v>
      </c>
      <c r="O15" s="136" t="e">
        <f t="shared" si="8"/>
        <v>#DIV/0!</v>
      </c>
      <c r="P15">
        <f t="shared" si="3"/>
        <v>5.3200298099583021</v>
      </c>
      <c r="Q15" s="136">
        <f t="shared" si="9"/>
        <v>0.21686551332439988</v>
      </c>
      <c r="R15" s="156" t="e">
        <f t="shared" ca="1" si="4"/>
        <v>#DIV/0!</v>
      </c>
      <c r="S15" s="156" t="str">
        <f t="shared" ca="1" si="5"/>
        <v/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0.21604650916730739</v>
      </c>
      <c r="F16">
        <f ca="1">VLOOKUP(B16,OUTPUT_COUNTRY!$B$6:$N$18, 9, FALSE)</f>
        <v>64.2</v>
      </c>
      <c r="G16" s="47">
        <f>IFERROR(VLOOKUP(B16,OUTPUT_COUNTRY!$B$6:$N$18, 7, FALSE),0)</f>
        <v>78.5</v>
      </c>
      <c r="H16">
        <f>VLOOKUP(B16,OUTPUT_COUNTRY!$B$6:$N$18, 8, FALSE)</f>
        <v>14.2</v>
      </c>
      <c r="I16">
        <f>VLOOKUP(B16,OUTPUT_COUNTRY!$B$6:$N$18, 11, FALSE)</f>
        <v>50</v>
      </c>
      <c r="J16" s="47">
        <f t="shared" ca="1" si="0"/>
        <v>0</v>
      </c>
      <c r="K16" s="136">
        <f t="shared" ca="1" si="6"/>
        <v>0</v>
      </c>
      <c r="L16">
        <f t="shared" si="1"/>
        <v>4.6286329913601865</v>
      </c>
      <c r="M16" s="136">
        <f t="shared" si="7"/>
        <v>0.22201894187874802</v>
      </c>
      <c r="N16">
        <f t="shared" si="2"/>
        <v>0</v>
      </c>
      <c r="O16" s="136" t="e">
        <f t="shared" si="8"/>
        <v>#DIV/0!</v>
      </c>
      <c r="P16">
        <f t="shared" si="3"/>
        <v>0</v>
      </c>
      <c r="Q16" s="136">
        <f t="shared" si="9"/>
        <v>0</v>
      </c>
      <c r="R16" s="156" t="e">
        <f t="shared" ca="1" si="4"/>
        <v>#DIV/0!</v>
      </c>
      <c r="S16" s="156" t="str">
        <f t="shared" ca="1" si="5"/>
        <v/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0.17948682374168881</v>
      </c>
      <c r="F17">
        <f ca="1">VLOOKUP(B17,OUTPUT_COUNTRY!$B$6:$N$18, 9, FALSE)</f>
        <v>85.7</v>
      </c>
      <c r="G17" s="47">
        <f>IFERROR(VLOOKUP(B17,OUTPUT_COUNTRY!$B$6:$N$18, 7, FALSE),0)</f>
        <v>71.399999999999991</v>
      </c>
      <c r="H17">
        <f>VLOOKUP(B17,OUTPUT_COUNTRY!$B$6:$N$18, 8, FALSE)</f>
        <v>14.2</v>
      </c>
      <c r="I17">
        <f>VLOOKUP(B17,OUTPUT_COUNTRY!$B$6:$N$18, 11, FALSE)</f>
        <v>50</v>
      </c>
      <c r="J17" s="47">
        <f t="shared" ca="1" si="0"/>
        <v>5.5714396140808935</v>
      </c>
      <c r="K17" s="136">
        <f t="shared" ca="1" si="6"/>
        <v>0.25280386816169681</v>
      </c>
      <c r="L17">
        <f t="shared" si="1"/>
        <v>5.5714396140808935</v>
      </c>
      <c r="M17" s="136">
        <f t="shared" si="7"/>
        <v>0.26724199783575436</v>
      </c>
      <c r="N17">
        <f t="shared" si="2"/>
        <v>0</v>
      </c>
      <c r="O17" s="136" t="e">
        <f t="shared" si="8"/>
        <v>#DIV/0!</v>
      </c>
      <c r="P17">
        <f t="shared" si="3"/>
        <v>0</v>
      </c>
      <c r="Q17" s="136">
        <f t="shared" si="9"/>
        <v>0</v>
      </c>
      <c r="R17" s="156" t="e">
        <f t="shared" ca="1" si="4"/>
        <v>#DIV/0!</v>
      </c>
      <c r="S17" s="156" t="str">
        <f t="shared" ca="1" si="5"/>
        <v/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0.22465885555076004</v>
      </c>
      <c r="F18">
        <f ca="1">VLOOKUP(B18,OUTPUT_COUNTRY!$B$6:$N$18, 9, FALSE)</f>
        <v>7.1</v>
      </c>
      <c r="G18" s="47">
        <f>IFERROR(VLOOKUP(B18,OUTPUT_COUNTRY!$B$6:$N$18, 7, FALSE),0)</f>
        <v>85.7</v>
      </c>
      <c r="H18">
        <f>VLOOKUP(B18,OUTPUT_COUNTRY!$B$6:$N$18, 8, FALSE)</f>
        <v>42.8</v>
      </c>
      <c r="I18">
        <f>VLOOKUP(B18,OUTPUT_COUNTRY!$B$6:$N$18, 11, FALSE)</f>
        <v>64.2</v>
      </c>
      <c r="J18" s="47">
        <f t="shared" ca="1" si="0"/>
        <v>0</v>
      </c>
      <c r="K18" s="136">
        <f t="shared" ca="1" si="6"/>
        <v>0</v>
      </c>
      <c r="L18">
        <f t="shared" si="1"/>
        <v>4.4511933328800266</v>
      </c>
      <c r="M18" s="136">
        <f t="shared" si="7"/>
        <v>0.21350779716353163</v>
      </c>
      <c r="N18">
        <f t="shared" si="2"/>
        <v>0</v>
      </c>
      <c r="O18" s="136" t="e">
        <f t="shared" si="8"/>
        <v>#DIV/0!</v>
      </c>
      <c r="P18">
        <f t="shared" si="3"/>
        <v>4.4511933328800266</v>
      </c>
      <c r="Q18" s="136">
        <f t="shared" si="9"/>
        <v>0.18144829287126482</v>
      </c>
      <c r="R18" s="156" t="e">
        <f t="shared" ca="1" si="4"/>
        <v>#DIV/0!</v>
      </c>
      <c r="S18" s="156" t="str">
        <f t="shared" ca="1" si="5"/>
        <v/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0.23178936785863943</v>
      </c>
      <c r="F19">
        <f ca="1">VLOOKUP(B19,OUTPUT_COUNTRY!$B$6:$N$18, 9, FALSE)</f>
        <v>14.2</v>
      </c>
      <c r="G19" s="47">
        <f>IFERROR(VLOOKUP(B19,OUTPUT_COUNTRY!$B$6:$N$18, 7, FALSE),0)</f>
        <v>35.699999999999996</v>
      </c>
      <c r="H19">
        <f>VLOOKUP(B19,OUTPUT_COUNTRY!$B$6:$N$18, 8, FALSE)</f>
        <v>42.8</v>
      </c>
      <c r="I19">
        <f>VLOOKUP(B19,OUTPUT_COUNTRY!$B$6:$N$18, 11, FALSE)</f>
        <v>92.800000000000011</v>
      </c>
      <c r="J19" s="47">
        <f t="shared" ca="1" si="0"/>
        <v>0</v>
      </c>
      <c r="K19" s="136">
        <f t="shared" ca="1" si="6"/>
        <v>0</v>
      </c>
      <c r="L19">
        <f t="shared" si="1"/>
        <v>0</v>
      </c>
      <c r="M19" s="136">
        <f t="shared" si="7"/>
        <v>0</v>
      </c>
      <c r="N19">
        <f t="shared" si="2"/>
        <v>0</v>
      </c>
      <c r="O19" s="136" t="e">
        <f t="shared" si="8"/>
        <v>#DIV/0!</v>
      </c>
      <c r="P19">
        <f t="shared" si="3"/>
        <v>4.3142617335660818</v>
      </c>
      <c r="Q19" s="136">
        <f t="shared" si="9"/>
        <v>0.17586641783741375</v>
      </c>
      <c r="R19" s="156" t="e">
        <f t="shared" ca="1" si="4"/>
        <v>#DIV/0!</v>
      </c>
      <c r="S19" s="156" t="str">
        <f t="shared" ca="1" si="5"/>
        <v/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0.25024511005763589</v>
      </c>
      <c r="F20">
        <f ca="1">VLOOKUP(B20,OUTPUT_COUNTRY!$B$6:$N$18, 9, FALSE)</f>
        <v>42.8</v>
      </c>
      <c r="G20" s="47">
        <f>IFERROR(VLOOKUP(B20,OUTPUT_COUNTRY!$B$6:$N$18, 7, FALSE),0)</f>
        <v>35.699999999999996</v>
      </c>
      <c r="H20">
        <f>VLOOKUP(B20,OUTPUT_COUNTRY!$B$6:$N$18, 8, FALSE)</f>
        <v>42.8</v>
      </c>
      <c r="I20">
        <f>VLOOKUP(B20,OUTPUT_COUNTRY!$B$6:$N$18, 11, FALSE)</f>
        <v>28.499999999999996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0</v>
      </c>
      <c r="O20" s="136" t="e">
        <f t="shared" si="8"/>
        <v>#DIV/0!</v>
      </c>
      <c r="P20">
        <f t="shared" si="3"/>
        <v>0</v>
      </c>
      <c r="Q20" s="136">
        <f t="shared" si="9"/>
        <v>0</v>
      </c>
      <c r="R20" s="156" t="e">
        <f t="shared" ca="1" si="4"/>
        <v>#DIV/0!</v>
      </c>
      <c r="S20" s="156" t="str">
        <f t="shared" ca="1" si="5"/>
        <v/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0.24795839175326809</v>
      </c>
      <c r="F21" s="13">
        <f ca="1">VLOOKUP(B21,OUTPUT_COUNTRY!$B$6:$N$18, 9, FALSE)</f>
        <v>28.499999999999996</v>
      </c>
      <c r="G21" s="138">
        <f>IFERROR(VLOOKUP(B21,OUTPUT_COUNTRY!$B$6:$N$18, 7, FALSE),0)</f>
        <v>21.4</v>
      </c>
      <c r="H21" s="13">
        <f>VLOOKUP(B21,OUTPUT_COUNTRY!$B$6:$N$18, 8, FALSE)</f>
        <v>42.8</v>
      </c>
      <c r="I21" s="13">
        <f>VLOOKUP(B21,OUTPUT_COUNTRY!$B$6:$N$18, 11, FALSE)</f>
        <v>42.8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0</v>
      </c>
      <c r="O21" s="137" t="e">
        <f t="shared" si="8"/>
        <v>#DIV/0!</v>
      </c>
      <c r="P21" s="13">
        <f t="shared" si="3"/>
        <v>0</v>
      </c>
      <c r="Q21" s="137">
        <f t="shared" si="9"/>
        <v>0</v>
      </c>
      <c r="R21" s="157" t="e">
        <f t="shared" ca="1" si="4"/>
        <v>#DIV/0!</v>
      </c>
      <c r="S21" s="157" t="str">
        <f t="shared" ca="1" si="5"/>
        <v/>
      </c>
    </row>
    <row r="22" spans="2:21" x14ac:dyDescent="0.35">
      <c r="J22" s="47">
        <f ca="1">SUM(J9:J21)</f>
        <v>22.038585305654124</v>
      </c>
      <c r="K22" s="169"/>
      <c r="L22">
        <f>SUM(L9:L21)</f>
        <v>20.847919336035922</v>
      </c>
      <c r="N22">
        <f>SUM(N9:N21)</f>
        <v>0</v>
      </c>
      <c r="P22">
        <f>SUM(P9:P21)</f>
        <v>24.531469888438629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-</v>
      </c>
      <c r="J4" s="120" t="str">
        <f ca="1">IF(VLOOKUP(C4,OUTPUT_COUNTRY!$B$6:$N$18,9,FALSE)&gt;75,"++",(IF(VLOOKUP(C4,OUTPUT_COUNTRY!$B$6:$N$18,9,FALSE)&gt;50,"+",(IF(VLOOKUP(C4,OUTPUT_COUNTRY!$B$6:$N$18,9,FALSE)&gt;25,"-","--")))))</f>
        <v>++</v>
      </c>
      <c r="K4" s="153" t="str">
        <f>IF(VLOOKUP(C4,OUTPUT_COUNTRY!$B$6:$N$18,11,FALSE)&gt;75,"++",(IF(VLOOKUP(C4,OUTPUT_COUNTRY!$B$6:$N$18,11,FALSE)&gt;50,"+",(IF(VLOOKUP(C4,OUTPUT_COUNTRY!$B$6:$N$18,11,FALSE)&gt;25,"-","--")))))</f>
        <v>++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+</v>
      </c>
      <c r="H5" s="121" t="str">
        <f>IF(VLOOKUP(C5,OUTPUT_COUNTRY!$B$6:$N$18,7,FALSE)&gt;75,"++",(IF(VLOOKUP(C5,OUTPUT_COUNTRY!$B$6:$N$18,7,FALSE)&gt;50,"+",(IF(VLOOKUP(C5,OUTPUT_COUNTRY!$B$6:$N$18,7,FALSE)&gt;25,"-","--")))))</f>
        <v>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--</v>
      </c>
      <c r="K5" s="159" t="str">
        <f>IF(VLOOKUP(C5,OUTPUT_COUNTRY!$B$6:$N$18,11,FALSE)&gt;75,"++",(IF(VLOOKUP(C5,OUTPUT_COUNTRY!$B$6:$N$18,11,FALSE)&gt;50,"+",(IF(VLOOKUP(C5,OUTPUT_COUNTRY!$B$6:$N$18,11,FALSE)&gt;25,"-","--")))))</f>
        <v>-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++</v>
      </c>
      <c r="H6" s="121" t="str">
        <f>IF(VLOOKUP(C6,OUTPUT_COUNTRY!$B$6:$N$18,7,FALSE)&gt;75,"++",(IF(VLOOKUP(C6,OUTPUT_COUNTRY!$B$6:$N$18,7,FALSE)&gt;50,"+",(IF(VLOOKUP(C6,OUTPUT_COUNTRY!$B$6:$N$18,7,FALSE)&gt;25,"-","--")))))</f>
        <v>++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+</v>
      </c>
      <c r="K6" s="159" t="str">
        <f>IF(VLOOKUP(C6,OUTPUT_COUNTRY!$B$6:$N$18,11,FALSE)&gt;75,"++",(IF(VLOOKUP(C6,OUTPUT_COUNTRY!$B$6:$N$18,11,FALSE)&gt;50,"+",(IF(VLOOKUP(C6,OUTPUT_COUNTRY!$B$6:$N$18,11,FALSE)&gt;25,"-","--")))))</f>
        <v>-</v>
      </c>
      <c r="L6" s="121" t="str">
        <f ca="1">IF(VLOOKUP(C6,OUTPUT_COUNTRY!$B$6:$N$18,13,FALSE)&gt;75,"++",(IF(VLOOKUP(C6,OUTPUT_COUNTRY!$B$6:$N$18,13,FALSE)&gt;50,"+",(IF(VLOOKUP(C6,OUTPUT_COUNTRY!$B$6:$N$18,13,FALSE)&gt;25,"-","--")))))</f>
        <v>+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++</v>
      </c>
      <c r="K7" s="159" t="str">
        <f>IF(VLOOKUP(C7,OUTPUT_COUNTRY!$B$6:$N$18,11,FALSE)&gt;75,"++",(IF(VLOOKUP(C7,OUTPUT_COUNTRY!$B$6:$N$18,11,FALSE)&gt;50,"+",(IF(VLOOKUP(C7,OUTPUT_COUNTRY!$B$6:$N$18,11,FALSE)&gt;25,"-","--")))))</f>
        <v>-</v>
      </c>
      <c r="L7" s="121" t="str">
        <f ca="1">IF(VLOOKUP(C7,OUTPUT_COUNTRY!$B$6:$N$18,13,FALSE)&gt;75,"++",(IF(VLOOKUP(C7,OUTPUT_COUNTRY!$B$6:$N$18,13,FALSE)&gt;50,"+",(IF(VLOOKUP(C7,OUTPUT_COUNTRY!$B$6:$N$18,13,FALSE)&gt;25,"-","--")))))</f>
        <v>++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-</v>
      </c>
      <c r="J8" s="121" t="str">
        <f ca="1">IF(VLOOKUP(C8,OUTPUT_COUNTRY!$B$6:$N$18,9,FALSE)&gt;75,"++",(IF(VLOOKUP(C8,OUTPUT_COUNTRY!$B$6:$N$18,9,FALSE)&gt;50,"+",(IF(VLOOKUP(C8,OUTPUT_COUNTRY!$B$6:$N$18,9,FALSE)&gt;25,"-","--")))))</f>
        <v>-</v>
      </c>
      <c r="K8" s="159" t="str">
        <f>IF(VLOOKUP(C8,OUTPUT_COUNTRY!$B$6:$N$18,11,FALSE)&gt;75,"++",(IF(VLOOKUP(C8,OUTPUT_COUNTRY!$B$6:$N$18,11,FALSE)&gt;50,"+",(IF(VLOOKUP(C8,OUTPUT_COUNTRY!$B$6:$N$18,11,FALSE)&gt;25,"-","--")))))</f>
        <v>++</v>
      </c>
      <c r="L8" s="121" t="str">
        <f ca="1">IF(VLOOKUP(C8,OUTPUT_COUNTRY!$B$6:$N$18,13,FALSE)&gt;75,"++",(IF(VLOOKUP(C8,OUTPUT_COUNTRY!$B$6:$N$18,13,FALSE)&gt;50,"+",(IF(VLOOKUP(C8,OUTPUT_COUNTRY!$B$6:$N$18,13,FALSE)&gt;25,"-","--")))))</f>
        <v>+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-</v>
      </c>
      <c r="G9" s="159" t="str">
        <f>IF(VLOOKUP(C9,OUTPUT_COUNTRY!$B$6:$N$18,5,FALSE)&gt;75,"++",(IF(VLOOKUP(C9,OUTPUT_COUNTRY!$B$6:$N$18,5,FALSE)&gt;50,"+",(IF(VLOOKUP(C9,OUTPUT_COUNTRY!$B$6:$N$18,5,FALSE)&gt;25,"-","--")))))</f>
        <v>--</v>
      </c>
      <c r="H9" s="121" t="str">
        <f>IF(VLOOKUP(C9,OUTPUT_COUNTRY!$B$6:$N$18,7,FALSE)&gt;75,"++",(IF(VLOOKUP(C9,OUTPUT_COUNTRY!$B$6:$N$18,7,FALSE)&gt;50,"+",(IF(VLOOKUP(C9,OUTPUT_COUNTRY!$B$6:$N$18,7,FALSE)&gt;25,"-","--")))))</f>
        <v>-</v>
      </c>
      <c r="I9" s="159" t="str">
        <f>IF(VLOOKUP(C9,OUTPUT_COUNTRY!$B$6:$N$18,8,FALSE)&gt;75,"++",(IF(VLOOKUP(C9,OUTPUT_COUNTRY!$B$6:$N$18,8,FALSE)&gt;50,"+",(IF(VLOOKUP(C9,OUTPUT_COUNTRY!$B$6:$N$18,8,FALSE)&gt;25,"-","--")))))</f>
        <v>-</v>
      </c>
      <c r="J9" s="121" t="str">
        <f ca="1">IF(VLOOKUP(C9,OUTPUT_COUNTRY!$B$6:$N$18,9,FALSE)&gt;75,"++",(IF(VLOOKUP(C9,OUTPUT_COUNTRY!$B$6:$N$18,9,FALSE)&gt;50,"+",(IF(VLOOKUP(C9,OUTPUT_COUNTRY!$B$6:$N$18,9,FALSE)&gt;25,"-","--")))))</f>
        <v>++</v>
      </c>
      <c r="K9" s="159" t="str">
        <f>IF(VLOOKUP(C9,OUTPUT_COUNTRY!$B$6:$N$18,11,FALSE)&gt;75,"++",(IF(VLOOKUP(C9,OUTPUT_COUNTRY!$B$6:$N$18,11,FALSE)&gt;50,"+",(IF(VLOOKUP(C9,OUTPUT_COUNTRY!$B$6:$N$18,11,FALSE)&gt;25,"-","--")))))</f>
        <v>+</v>
      </c>
      <c r="L9" s="121" t="str">
        <f ca="1">IF(VLOOKUP(C9,OUTPUT_COUNTRY!$B$6:$N$18,13,FALSE)&gt;75,"++",(IF(VLOOKUP(C9,OUTPUT_COUNTRY!$B$6:$N$18,13,FALSE)&gt;50,"+",(IF(VLOOKUP(C9,OUTPUT_COUNTRY!$B$6:$N$18,13,FALSE)&gt;25,"-","--")))))</f>
        <v>++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+</v>
      </c>
      <c r="I10" s="159" t="str">
        <f>IF(VLOOKUP(C10,OUTPUT_COUNTRY!$B$6:$N$18,8,FALSE)&gt;75,"++",(IF(VLOOKUP(C10,OUTPUT_COUNTRY!$B$6:$N$18,8,FALSE)&gt;50,"+",(IF(VLOOKUP(C10,OUTPUT_COUNTRY!$B$6:$N$18,8,FALSE)&gt;25,"-","--")))))</f>
        <v>-</v>
      </c>
      <c r="J10" s="121" t="str">
        <f ca="1">IF(VLOOKUP(C10,OUTPUT_COUNTRY!$B$6:$N$18,9,FALSE)&gt;75,"++",(IF(VLOOKUP(C10,OUTPUT_COUNTRY!$B$6:$N$18,9,FALSE)&gt;50,"+",(IF(VLOOKUP(C10,OUTPUT_COUNTRY!$B$6:$N$18,9,FALSE)&gt;25,"-","--")))))</f>
        <v>+</v>
      </c>
      <c r="K10" s="159" t="str">
        <f>IF(VLOOKUP(C10,OUTPUT_COUNTRY!$B$6:$N$18,11,FALSE)&gt;75,"++",(IF(VLOOKUP(C10,OUTPUT_COUNTRY!$B$6:$N$18,11,FALSE)&gt;50,"+",(IF(VLOOKUP(C10,OUTPUT_COUNTRY!$B$6:$N$18,11,FALSE)&gt;25,"-","--")))))</f>
        <v>--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+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+</v>
      </c>
      <c r="K11" s="159" t="str">
        <f>IF(VLOOKUP(C11,OUTPUT_COUNTRY!$B$6:$N$18,11,FALSE)&gt;75,"++",(IF(VLOOKUP(C11,OUTPUT_COUNTRY!$B$6:$N$18,11,FALSE)&gt;50,"+",(IF(VLOOKUP(C11,OUTPUT_COUNTRY!$B$6:$N$18,11,FALSE)&gt;25,"-","--")))))</f>
        <v>--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--</v>
      </c>
      <c r="J12" s="121" t="str">
        <f ca="1">IF(VLOOKUP(C12,OUTPUT_COUNTRY!$B$6:$N$18,9,FALSE)&gt;75,"++",(IF(VLOOKUP(C12,OUTPUT_COUNTRY!$B$6:$N$18,9,FALSE)&gt;50,"+",(IF(VLOOKUP(C12,OUTPUT_COUNTRY!$B$6:$N$18,9,FALSE)&gt;25,"-","--")))))</f>
        <v>-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+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+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-</v>
      </c>
      <c r="J14" s="121" t="str">
        <f ca="1">IF(VLOOKUP(C14,OUTPUT_COUNTRY!$B$6:$N$18,9,FALSE)&gt;75,"++",(IF(VLOOKUP(C14,OUTPUT_COUNTRY!$B$6:$N$18,9,FALSE)&gt;50,"+",(IF(VLOOKUP(C14,OUTPUT_COUNTRY!$B$6:$N$18,9,FALSE)&gt;25,"-","--")))))</f>
        <v>--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-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-</v>
      </c>
      <c r="J15" s="121" t="str">
        <f ca="1">IF(VLOOKUP(C15,OUTPUT_COUNTRY!$B$6:$N$18,9,FALSE)&gt;75,"++",(IF(VLOOKUP(C15,OUTPUT_COUNTRY!$B$6:$N$18,9,FALSE)&gt;50,"+",(IF(VLOOKUP(C15,OUTPUT_COUNTRY!$B$6:$N$18,9,FALSE)&gt;25,"-","--")))))</f>
        <v>-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--</v>
      </c>
      <c r="I16" s="154" t="str">
        <f>IF(VLOOKUP(C16,OUTPUT_COUNTRY!$B$6:$N$18,8,FALSE)&gt;75,"++",(IF(VLOOKUP(C16,OUTPUT_COUNTRY!$B$6:$N$18,8,FALSE)&gt;50,"+",(IF(VLOOKUP(C16,OUTPUT_COUNTRY!$B$6:$N$18,8,FALSE)&gt;25,"-","--")))))</f>
        <v>-</v>
      </c>
      <c r="J16" s="122" t="str">
        <f ca="1">IF(VLOOKUP(C16,OUTPUT_COUNTRY!$B$6:$N$18,9,FALSE)&gt;75,"++",(IF(VLOOKUP(C16,OUTPUT_COUNTRY!$B$6:$N$18,9,FALSE)&gt;50,"+",(IF(VLOOKUP(C16,OUTPUT_COUNTRY!$B$6:$N$18,9,FALSE)&gt;25,"-","--")))))</f>
        <v>-</v>
      </c>
      <c r="K16" s="154" t="str">
        <f>IF(VLOOKUP(C16,OUTPUT_COUNTRY!$B$6:$N$18,11,FALSE)&gt;75,"++",(IF(VLOOKUP(C16,OUTPUT_COUNTRY!$B$6:$N$18,11,FALSE)&gt;50,"+",(IF(VLOOKUP(C16,OUTPUT_COUNTRY!$B$6:$N$18,11,FALSE)&gt;25,"-","--")))))</f>
        <v>-</v>
      </c>
      <c r="L16" s="122" t="str">
        <f ca="1">IF(VLOOKUP(C16,OUTPUT_COUNTRY!$B$6:$N$18,13,FALSE)&gt;75,"++",(IF(VLOOKUP(C16,OUTPUT_COUNTRY!$B$6:$N$18,13,FALSE)&gt;50,"+",(IF(VLOOKUP(C16,OUTPUT_COUNTRY!$B$6:$N$18,13,FALSE)&gt;25,"-","--")))))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45502</v>
      </c>
      <c r="G3" s="4" cm="1">
        <f t="array" ref="G3">_xll.FDS(D3,"FMA_PE(LTM,0,,,""PORTAGG"",""MEANR"")")</f>
        <v>32.568804614911301</v>
      </c>
      <c r="H3" s="4" cm="1">
        <f t="array" ref="H3">_xll.FDS(D3,"FMA_PE(NTMA,0,,,""PORTAGG"",""MEANR"")")</f>
        <v>24.889308760795601</v>
      </c>
      <c r="I3" cm="1">
        <f t="array" ref="I3">_xll.FDS(D3,"FMA_DIV_YLD(NTMA,NOW,NOW,M,""PORTAGG"",""MEANR"")")</f>
        <v>2.67421207278863</v>
      </c>
      <c r="J3" s="52" cm="1">
        <f t="array" ref="J3">IFERROR(_xll.FDS(D3,"FG_FCF_YIELD_NTM(0)"),(1/G3*100))</f>
        <v>0.50460911964107502</v>
      </c>
      <c r="K3" s="3" cm="1">
        <f t="array" ref="K3">_xll.FDS(D3,"FMA_EVAL_EBITDA(NTMA,0,,,""PORTAGG"",""MEANR"")")</f>
        <v>12.172889763279599</v>
      </c>
      <c r="L3" cm="1">
        <f t="array" ref="L3">_xll.FDS(D3,"FMA_EVAL_EBIT(LTMA,NOW,NOW,M,""PORTAGG"",""MEANR"")")</f>
        <v>21.066089027693501</v>
      </c>
      <c r="M3">
        <f>HLOOKUP(D3,'Index ROE'!$A$1:$N$25,25,FALSE)</f>
        <v>6.5791075391831502</v>
      </c>
      <c r="N3">
        <f>VLOOKUP(A3,'LIQIDITY 2'!$A$3:$E$16,5,FALSE)</f>
        <v>4.2694999999999999</v>
      </c>
      <c r="O3" cm="1">
        <f t="array" ref="O3">IFERROR(IFERROR(IFERROR(IFERROR(_xll.FDS(B3,"IMF_IFS_RCPI_Q(0)"),_xll.FDS(B3,"IMF_IFS_RCPI_Q(-1AM)")),_xll.FDS(B3,"IMF_IFS_RCPI_Q(-2AM)")),_xll.FDS(B3,"IMF_IFS_RCPI_Q(-3AM)")),$D$31)</f>
        <v>4.0229889999999999</v>
      </c>
      <c r="P3">
        <f>VLOOKUP(E3,GDP_GROWTH!$B$10:$W$165,22,FALSE)</f>
        <v>2.7196134550164452</v>
      </c>
      <c r="Q3">
        <f t="shared" ref="Q3:Q11" si="0">I3-N3</f>
        <v>-1.5952879272113698</v>
      </c>
      <c r="R3" s="52">
        <f t="shared" ref="R3:R11" si="1">J3-N3</f>
        <v>-3.7648908803589247</v>
      </c>
      <c r="S3">
        <f t="shared" ref="S3:S11" si="2">M3-N3</f>
        <v>2.3096075391831503</v>
      </c>
      <c r="T3">
        <f t="shared" ref="T3:T11" si="3">M3-O3</f>
        <v>2.5561185391831502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45503</v>
      </c>
      <c r="G4" s="4" cm="1">
        <f t="array" ref="G4">_xll.FDS(D4,"FMA_PE(LTM,0,,,""PORTAGG"",""MEANR"")")</f>
        <v>19.051369443305799</v>
      </c>
      <c r="H4" s="4" cm="1">
        <f t="array" ref="H4">_xll.FDS(D4,"FMA_PE(NTMA,0,,,""PORTAGG"",""MEANR"")")</f>
        <v>17.2480581309438</v>
      </c>
      <c r="I4" cm="1">
        <f t="array" ref="I4">_xll.FDS(D4,"FMA_DIV_YLD(NTMA,NOW,NOW,M,""PORTAGG"",""MEANR"")")</f>
        <v>3.83874754053863</v>
      </c>
      <c r="J4" s="52" cm="1">
        <f t="array" ref="J4">IFERROR(_xll.FDS(D4,"FG_FCF_YIELD_NTM(0)"),(1/G4*100))</f>
        <v>5.0467595552385696</v>
      </c>
      <c r="K4" s="3" cm="1">
        <f t="array" ref="K4">_xll.FDS(D4,"FMA_EVAL_EBITDA(NTMA,0,,,""PORTAGG"",""MEANR"")")</f>
        <v>8.6836684152312795</v>
      </c>
      <c r="L4" cm="1">
        <f t="array" ref="L4">_xll.FDS(D4,"FMA_EVAL_EBIT(LTMA,NOW,NOW,M,""PORTAGG"",""MEANR"")")</f>
        <v>12.542192676817001</v>
      </c>
      <c r="M4">
        <f>HLOOKUP(D4,'Index ROE'!$A$1:$N$25,25,FALSE)</f>
        <v>13.226137995013501</v>
      </c>
      <c r="N4">
        <f>VLOOKUP(A4,'LIQIDITY 2'!$A$3:$E$16,5,FALSE)</f>
        <v>4.0880000000000001</v>
      </c>
      <c r="O4" cm="1">
        <f t="array" ref="O4">IFERROR(IFERROR(IFERROR(IFERROR(_xll.FDS(B4,"IMF_IFS_RCPI_Q(0)"),_xll.FDS(B4,"IMF_IFS_RCPI_Q(-1AM)")),_xll.FDS(B4,"IMF_IFS_RCPI_Q(-2AM)")),_xll.FDS(B4,"IMF_IFS_RCPI_Q(-3AM)")),$D$31)</f>
        <v>3.61991</v>
      </c>
      <c r="P4">
        <f>VLOOKUP(E4,GDP_GROWTH!$B$10:$W$165,22,FALSE)</f>
        <v>2.0879441195558623</v>
      </c>
      <c r="Q4">
        <f t="shared" si="0"/>
        <v>-0.24925245946137009</v>
      </c>
      <c r="R4" s="52">
        <f t="shared" si="1"/>
        <v>0.95875955523856948</v>
      </c>
      <c r="S4">
        <f t="shared" si="2"/>
        <v>9.1381379950135013</v>
      </c>
      <c r="T4">
        <f t="shared" si="3"/>
        <v>9.6062279950135014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21.4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30.73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45503</v>
      </c>
      <c r="G5" s="4" cm="1">
        <f t="array" ref="G5">_xll.FDS(D5,"FMA_PE(LTM,0,,,""PORTAGG"",""MEANR"")")</f>
        <v>17.624149049349999</v>
      </c>
      <c r="H5" s="4" cm="1">
        <f t="array" ref="H5">_xll.FDS(D5,"FMA_PE(NTMA,0,,,""PORTAGG"",""MEANR"")")</f>
        <v>14.3643577959352</v>
      </c>
      <c r="I5" cm="1">
        <f t="array" ref="I5">_xll.FDS(D5,"FMA_DIV_YLD(NTMA,NOW,NOW,M,""PORTAGG"",""MEANR"")")</f>
        <v>3.21668898598266</v>
      </c>
      <c r="J5" s="52" cm="1">
        <f t="array" ref="J5">IFERROR(_xll.FDS(D5,"FG_FCF_YIELD_NTM(0)"),(1/G5*100))</f>
        <v>5.9202148405326502</v>
      </c>
      <c r="K5" s="3" cm="1">
        <f t="array" ref="K5">_xll.FDS(D5,"FMA_EVAL_EBITDA(NTMA,0,,,""PORTAGG"",""MEANR"")")</f>
        <v>9.8004290381923003</v>
      </c>
      <c r="L5" cm="1">
        <f t="array" ref="L5">_xll.FDS(D5,"FMA_EVAL_EBIT(LTMA,NOW,NOW,M,""PORTAGG"",""MEANR"")")</f>
        <v>16.074607947198899</v>
      </c>
      <c r="M5">
        <f>HLOOKUP(D5,'Index ROE'!$A$1:$N$25,25,FALSE)</f>
        <v>13.147116166704</v>
      </c>
      <c r="N5">
        <f>VLOOKUP(A5,'LIQIDITY 2'!$A$3:$E$16,5,FALSE)</f>
        <v>3.1223000000000001</v>
      </c>
      <c r="O5" cm="1">
        <f t="array" ref="O5">IFERROR(IFERROR(IFERROR(IFERROR(_xll.FDS(B5,"IMF_IFS_RCPI_Q(0)"),_xll.FDS(B5,"IMF_IFS_RCPI_Q(-1AM)")),_xll.FDS(B5,"IMF_IFS_RCPI_Q(-2AM)")),_xll.FDS(B5,"IMF_IFS_RCPI_Q(-3AM)")),$D$31)</f>
        <v>2.8466705999999999</v>
      </c>
      <c r="P5">
        <f>VLOOKUP(E5,GDP_GROWTH!$B$10:$W$165,22,FALSE)</f>
        <v>1.4598842535213041</v>
      </c>
      <c r="Q5">
        <f t="shared" si="0"/>
        <v>9.4388985982659879E-2</v>
      </c>
      <c r="R5" s="52">
        <f t="shared" si="1"/>
        <v>2.7979148405326502</v>
      </c>
      <c r="S5">
        <f t="shared" si="2"/>
        <v>10.024816166703999</v>
      </c>
      <c r="T5">
        <f t="shared" si="3"/>
        <v>10.300445566704001</v>
      </c>
      <c r="U5" cm="1">
        <f t="array" ref="U5">_xlfn.PERCENTRANK.EXC(_xlfn._xlws.FILTER(Q$3:Q$15, ISNUMBER(Q$3:Q$15)),Q5)*100</f>
        <v>50</v>
      </c>
      <c r="V5" cm="1">
        <f t="array" ref="V5">_xlfn.PERCENTRANK.EXC(_xlfn._xlws.FILTER(R$3:R$15, ISNUMBER(R$3:R$15)),R5)*100</f>
        <v>57.099999999999994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64.3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52.135000000000005</v>
      </c>
      <c r="AC5" cm="1">
        <f t="array" ref="AC5">_xlfn.PERCENTRANK.EXC(_xlfn._xlws.FILTER(AB$3:AB$15, ISNUMBER(AB$3:AB$15)),AB5)*100</f>
        <v>50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45502</v>
      </c>
      <c r="G6" s="4" cm="1">
        <f t="array" ref="G6">_xll.FDS(D6,"FMA_PE(LTM,0,,,""PORTAGG"",""MEANR"")")</f>
        <v>16.278491497985801</v>
      </c>
      <c r="H6" s="4" cm="1">
        <f t="array" ref="H6">_xll.FDS(D6,"FMA_PE(NTMA,0,,,""PORTAGG"",""MEANR"")")</f>
        <v>11.7568586327834</v>
      </c>
      <c r="I6" cm="1">
        <f t="array" ref="I6">_xll.FDS(D6,"FMA_DIV_YLD(NTMA,NOW,NOW,M,""PORTAGG"",""MEANR"")")</f>
        <v>3.4236281198809499</v>
      </c>
      <c r="J6" s="52" cm="1">
        <f t="array" ref="J6">IFERROR(_xll.FDS(D6,"FG_FCF_YIELD_NTM(0)"),(1/G6*100))</f>
        <v>5.8954462855639802</v>
      </c>
      <c r="K6" s="3" cm="1">
        <f t="array" ref="K6">_xll.FDS(D6,"FMA_EVAL_EBITDA(NTMA,0,,,""PORTAGG"",""MEANR"")")</f>
        <v>8.4333131208058898</v>
      </c>
      <c r="L6" cm="1">
        <f t="array" ref="L6">_xll.FDS(D6,"FMA_EVAL_EBIT(LTMA,NOW,NOW,M,""PORTAGG"",""MEANR"")")</f>
        <v>13.52752550704</v>
      </c>
      <c r="M6">
        <f>HLOOKUP(D6,'Index ROE'!$A$1:$N$25,25,FALSE)</f>
        <v>11.9489916743573</v>
      </c>
      <c r="N6">
        <f>VLOOKUP(A6,'LIQIDITY 2'!$A$3:$E$16,5,FALSE)</f>
        <v>2.2490000000000001</v>
      </c>
      <c r="O6" cm="1">
        <f t="array" ref="O6">IFERROR(IFERROR(IFERROR(IFERROR(_xll.FDS(B6,"IMF_IFS_RCPI_Q(0)"),_xll.FDS(B6,"IMF_IFS_RCPI_Q(-1AM)")),_xll.FDS(B6,"IMF_IFS_RCPI_Q(-2AM)")),_xll.FDS(B6,"IMF_IFS_RCPI_Q(-3AM)")),$D$31)</f>
        <v>2.2863680999999998</v>
      </c>
      <c r="P6">
        <f>VLOOKUP(E6,GDP_GROWTH!$B$10:$W$165,22,FALSE)</f>
        <v>0.863192929992318</v>
      </c>
      <c r="Q6">
        <f t="shared" si="0"/>
        <v>1.1746281198809498</v>
      </c>
      <c r="R6" s="52">
        <f t="shared" si="1"/>
        <v>3.6464462855639801</v>
      </c>
      <c r="S6">
        <f t="shared" si="2"/>
        <v>9.6999916743572996</v>
      </c>
      <c r="T6">
        <f t="shared" si="3"/>
        <v>9.6626235743573012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64.3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28.499999999999996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66.06</v>
      </c>
      <c r="AC6" cm="1">
        <f t="array" ref="AC6">_xlfn.PERCENTRANK.EXC(_xlfn._xlws.FILTER(AB$3:AB$15, ISNUMBER(AB$3:AB$15)),AB6)*100</f>
        <v>64.2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45502</v>
      </c>
      <c r="G7" s="4" cm="1">
        <f t="array" ref="G7">_xll.FDS(D7,"FMA_PE(LTM,0,,,""PORTAGG"",""MEANR"")")</f>
        <v>16.640909435651501</v>
      </c>
      <c r="H7" s="4" cm="1">
        <f t="array" ref="H7">_xll.FDS(D7,"FMA_PE(NTMA,0,,,""PORTAGG"",""MEANR"")")</f>
        <v>15.039820236028801</v>
      </c>
      <c r="I7" cm="1">
        <f t="array" ref="I7">_xll.FDS(D7,"FMA_DIV_YLD(NTMA,NOW,NOW,M,""PORTAGG"",""MEANR"")")</f>
        <v>2.3121502300413899</v>
      </c>
      <c r="J7" s="52" cm="1">
        <f t="array" ref="J7">IFERROR(_xll.FDS(D7,"FG_FCF_YIELD_NTM(0)"),(1/G7*100))</f>
        <v>3.9510068655693402</v>
      </c>
      <c r="K7" s="3" cm="1">
        <f t="array" ref="K7">_xll.FDS(D7,"FMA_EVAL_EBITDA(NTMA,0,,,""PORTAGG"",""MEANR"")")</f>
        <v>10.1549401427385</v>
      </c>
      <c r="L7" cm="1">
        <f t="array" ref="L7">_xll.FDS(D7,"FMA_EVAL_EBIT(LTMA,NOW,NOW,M,""PORTAGG"",""MEANR"")")</f>
        <v>17.332453126666099</v>
      </c>
      <c r="M7">
        <f>HLOOKUP(D7,'Index ROE'!$A$1:$N$25,25,FALSE)</f>
        <v>9.2997687113841998</v>
      </c>
      <c r="N7">
        <f>VLOOKUP(A7,'LIQIDITY 2'!$A$3:$E$16,5,FALSE)</f>
        <v>1.0238</v>
      </c>
      <c r="O7" cm="1">
        <f t="array" ref="O7">IFERROR(IFERROR(IFERROR(IFERROR(_xll.FDS(B7,"IMF_IFS_RCPI_Q(0)"),_xll.FDS(B7,"IMF_IFS_RCPI_Q(-1AM)")),_xll.FDS(B7,"IMF_IFS_RCPI_Q(-2AM)")),_xll.FDS(B7,"IMF_IFS_RCPI_Q(-3AM)")),$D$31)</f>
        <v>2.5231561999999998</v>
      </c>
      <c r="P7">
        <f>VLOOKUP(E7,GDP_GROWTH!$B$10:$W$165,22,FALSE)</f>
        <v>0.31456851442112077</v>
      </c>
      <c r="Q7">
        <f t="shared" si="0"/>
        <v>1.2883502300413898</v>
      </c>
      <c r="R7" s="52">
        <f t="shared" si="1"/>
        <v>2.9272068655693402</v>
      </c>
      <c r="S7">
        <f t="shared" si="2"/>
        <v>8.2759687113842002</v>
      </c>
      <c r="T7">
        <f t="shared" si="3"/>
        <v>6.7766125113842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64.2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51.415000000000006</v>
      </c>
      <c r="AC7" cm="1">
        <f t="array" ref="AC7">_xlfn.PERCENTRANK.EXC(_xlfn._xlws.FILTER(AB$3:AB$15, ISNUMBER(AB$3:AB$15)),AB7)*100</f>
        <v>42.8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45502</v>
      </c>
      <c r="G8" s="4" cm="1">
        <f t="array" ref="G8">_xll.FDS(D8,"FMA_PE(LTM,0,,,""PORTAGG"",""MEANR"")")</f>
        <v>17.377395413708101</v>
      </c>
      <c r="H8" s="4" cm="1">
        <f t="array" ref="H8">_xll.FDS(D8,"FMA_PE(NTMA,0,,,""PORTAGG"",""MEANR"")")</f>
        <v>17.3232210028434</v>
      </c>
      <c r="I8" cm="1">
        <f t="array" ref="I8">_xll.FDS(D8,"FMA_DIV_YLD(NTMA,NOW,NOW,M,""PORTAGG"",""MEANR"")")</f>
        <v>3.1738959520005499</v>
      </c>
      <c r="J8" s="52" cm="1">
        <f t="array" ref="J8">IFERROR(_xll.FDS(D8,"FG_FCF_YIELD_NTM(0)"),(1/G8*100))</f>
        <v>4.6789861356547204</v>
      </c>
      <c r="K8" s="3" cm="1">
        <f t="array" ref="K8">_xll.FDS(D8,"FMA_EVAL_EBITDA(NTMA,0,,,""PORTAGG"",""MEANR"")")</f>
        <v>13.053234527699001</v>
      </c>
      <c r="L8" cm="1">
        <f t="array" ref="L8">_xll.FDS(D8,"FMA_EVAL_EBIT(LTMA,NOW,NOW,M,""PORTAGG"",""MEANR"")")</f>
        <v>16.681699960386599</v>
      </c>
      <c r="M8">
        <f>HLOOKUP(D8,'Index ROE'!$A$1:$N$25,25,FALSE)</f>
        <v>19.302463641340701</v>
      </c>
      <c r="N8">
        <f>VLOOKUP(A8,'LIQIDITY 2'!$A$3:$E$16,5,FALSE)</f>
        <v>0.45500000000000002</v>
      </c>
      <c r="O8" cm="1">
        <f t="array" ref="O8">IFERROR(IFERROR(IFERROR(IFERROR(_xll.FDS(B8,"IMF_IFS_RCPI_Q(0)"),_xll.FDS(B8,"IMF_IFS_RCPI_Q(-1AM)")),_xll.FDS(B8,"IMF_IFS_RCPI_Q(-2AM)")),_xll.FDS(B8,"IMF_IFS_RCPI_Q(-3AM)")),$D$31)</f>
        <v>1.3619825999999999</v>
      </c>
      <c r="P8">
        <f>VLOOKUP(E8,GDP_GROWTH!$B$10:$W$165,22,FALSE)</f>
        <v>2.077185911672963</v>
      </c>
      <c r="Q8">
        <f t="shared" si="0"/>
        <v>2.7188959520005498</v>
      </c>
      <c r="R8" s="52">
        <f t="shared" si="1"/>
        <v>4.2239861356547204</v>
      </c>
      <c r="S8">
        <f t="shared" si="2"/>
        <v>18.847463641340703</v>
      </c>
      <c r="T8">
        <f t="shared" si="3"/>
        <v>17.9404810413407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50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64.63</v>
      </c>
      <c r="AC8" cm="1">
        <f t="array" ref="AC8">_xlfn.PERCENTRANK.EXC(_xlfn._xlws.FILTER(AB$3:AB$15, ISNUMBER(AB$3:AB$15)),AB8)*100</f>
        <v>57.099999999999994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45502</v>
      </c>
      <c r="G9" s="4" cm="1">
        <f t="array" ref="G9">_xll.FDS(D9,"FMA_PE(LTM,0,,,""PORTAGG"",""MEANR"")")</f>
        <v>13.0330735023347</v>
      </c>
      <c r="H9" s="4" cm="1">
        <f t="array" ref="H9">_xll.FDS(D9,"FMA_PE(NTMA,0,,,""PORTAGG"",""MEANR"")")</f>
        <v>11.613644881033</v>
      </c>
      <c r="I9" cm="1">
        <f t="array" ref="I9">_xll.FDS(D9,"FMA_DIV_YLD(NTMA,NOW,NOW,M,""PORTAGG"",""MEANR"")")</f>
        <v>3.8696509380521702</v>
      </c>
      <c r="J9" s="52" cm="1">
        <f t="array" ref="J9">IFERROR(_xll.FDS(D9,"FG_FCF_YIELD_NTM(0)"),(1/G9*100))</f>
        <v>6.2008674353382798</v>
      </c>
      <c r="K9" s="3" cm="1">
        <f t="array" ref="K9">_xll.FDS(D9,"FMA_EVAL_EBITDA(NTMA,0,,,""PORTAGG"",""MEANR"")")</f>
        <v>7.5167432646627299</v>
      </c>
      <c r="L9" cm="1">
        <f t="array" ref="L9">_xll.FDS(D9,"FMA_EVAL_EBIT(LTMA,NOW,NOW,M,""PORTAGG"",""MEANR"")")</f>
        <v>10.6681977640495</v>
      </c>
      <c r="M9">
        <f>HLOOKUP(D9,'Index ROE'!$A$1:$N$25,25,FALSE)</f>
        <v>14.7202112757034</v>
      </c>
      <c r="N9">
        <f>VLOOKUP(A9,'LIQIDITY 2'!$A$3:$E$16,5,FALSE)</f>
        <v>3.8730000000000002</v>
      </c>
      <c r="O9" cm="1">
        <f t="array" ref="O9">IFERROR(IFERROR(IFERROR(IFERROR(_xll.FDS(B9,"IMF_IFS_RCPI_Q(0)"),_xll.FDS(B9,"IMF_IFS_RCPI_Q(-1AM)")),_xll.FDS(B9,"IMF_IFS_RCPI_Q(-2AM)")),_xll.FDS(B9,"IMF_IFS_RCPI_Q(-3AM)")),$D$31)</f>
        <v>3.9194993999999999</v>
      </c>
      <c r="P9">
        <f>VLOOKUP(E9,GDP_GROWTH!$B$10:$W$165,22,FALSE)</f>
        <v>1.0976426250664972</v>
      </c>
      <c r="Q9">
        <f t="shared" si="0"/>
        <v>-3.3490619478300232E-3</v>
      </c>
      <c r="R9" s="52">
        <f t="shared" si="1"/>
        <v>2.3278674353382796</v>
      </c>
      <c r="S9">
        <f t="shared" si="2"/>
        <v>10.847211275703401</v>
      </c>
      <c r="T9">
        <f t="shared" si="3"/>
        <v>10.800711875703401</v>
      </c>
      <c r="U9" cm="1">
        <f t="array" ref="U9">_xlfn.PERCENTRANK.EXC(_xlfn._xlws.FILTER(Q$3:Q$15, ISNUMBER(Q$3:Q$15)),Q9)*100</f>
        <v>35.699999999999996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50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68.605000000000004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45504</v>
      </c>
      <c r="G10" s="4" cm="1">
        <f t="array" ref="G10">_xll.FDS(D10,"FMA_PE(LTM,0,,,""PORTAGG"",""MEANR"")")</f>
        <v>34.821960853586098</v>
      </c>
      <c r="H10" s="4" cm="1">
        <f t="array" ref="H10">_xll.FDS(D10,"FMA_PE(NTMA,0,,,""PORTAGG"",""MEANR"")")</f>
        <v>26.0955667512413</v>
      </c>
      <c r="I10" cm="1">
        <f t="array" ref="I10">_xll.FDS(D10,"FMA_DIV_YLD(NTMA,NOW,NOW,M,""PORTAGG"",""MEANR"")")</f>
        <v>0.85141441732131296</v>
      </c>
      <c r="J10" s="52" cm="1">
        <f t="array" ref="J10">IFERROR(_xll.FDS(D10,"FG_FCF_YIELD_NTM(0)"),(1/G10*100))</f>
        <v>3.5874944734929599</v>
      </c>
      <c r="K10" s="3" cm="1">
        <f t="array" ref="K10">_xll.FDS(D10,"FMA_EVAL_EBITDA(NTMA,0,,,""PORTAGG"",""MEANR"")")</f>
        <v>16.467085512940901</v>
      </c>
      <c r="L10" cm="1">
        <f t="array" ref="L10">_xll.FDS(D10,"FMA_EVAL_EBIT(LTMA,NOW,NOW,M,""PORTAGG"",""MEANR"")")</f>
        <v>24.4150877835161</v>
      </c>
      <c r="M10">
        <f>HLOOKUP(D10,'Index ROE'!$A$1:$N$25,25,FALSE)</f>
        <v>25.319915472376</v>
      </c>
      <c r="N10">
        <f>VLOOKUP(A10,'LIQIDITY 2'!$A$3:$E$16,5,FALSE)</f>
        <v>3.9864999999999999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2.0868572594445189</v>
      </c>
      <c r="Q10">
        <f t="shared" si="0"/>
        <v>-3.1350855826786868</v>
      </c>
      <c r="R10" s="52">
        <f t="shared" si="1"/>
        <v>-0.39900552650704002</v>
      </c>
      <c r="S10">
        <f t="shared" si="2"/>
        <v>21.333415472376</v>
      </c>
      <c r="T10">
        <f t="shared" si="3"/>
        <v>22.121025472376001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45503</v>
      </c>
      <c r="G11" s="4" cm="1">
        <f t="array" ref="G11">_xll.FDS(D11,"FMA_PE(LTM,0,,,""PORTAGG"",""MEANR"")")</f>
        <v>25.8164295246352</v>
      </c>
      <c r="H11" s="4" cm="1">
        <f t="array" ref="H11">_xll.FDS(D11,"FMA_PE(NTMA,0,,,""PORTAGG"",""MEANR"")")</f>
        <v>20.687136624510099</v>
      </c>
      <c r="I11" cm="1">
        <f t="array" ref="I11">_xll.FDS(D11,"FMA_DIV_YLD(NTMA,NOW,NOW,M,""PORTAGG"",""MEANR"")")</f>
        <v>1.42373350476822</v>
      </c>
      <c r="J11" s="52" cm="1">
        <f t="array" ref="J11">IFERROR(_xll.FDS(D11,"FG_FCF_YIELD_NTM(0)"),(1/G11*100))</f>
        <v>4.2041756198473603</v>
      </c>
      <c r="K11" s="3" cm="1">
        <f t="array" ref="K11">_xll.FDS(D11,"FMA_EVAL_EBITDA(NTMA,0,,,""PORTAGG"",""MEANR"")")</f>
        <v>14.1894037846237</v>
      </c>
      <c r="L11" cm="1">
        <f t="array" ref="L11">_xll.FDS(D11,"FMA_EVAL_EBIT(LTMA,NOW,NOW,M,""PORTAGG"",""MEANR"")")</f>
        <v>20.552414242409402</v>
      </c>
      <c r="M11">
        <f>HLOOKUP(D11,'Index ROE'!$A$1:$N$25,25,FALSE)</f>
        <v>20.3505037528153</v>
      </c>
      <c r="N11">
        <f>VLOOKUP(A11,'LIQIDITY 2'!$A$3:$E$16,5,FALSE)</f>
        <v>3.9864999999999999</v>
      </c>
      <c r="O11" cm="1">
        <f t="array" ref="O11">IFERROR(IFERROR(IFERROR(IFERROR(_xll.FDS(B11,"IMF_IFS_RCPI_Q(0)"),_xll.FDS(B11,"IMF_IFS_RCPI_Q(-1AM)")),_xll.FDS(B11,"IMF_IFS_RCPI_Q(-2AM)")),_xll.FDS(B11,"IMF_IFS_RCPI_Q(-3AM)")),$D$31)</f>
        <v>3.19889</v>
      </c>
      <c r="P11">
        <f>VLOOKUP(E11,GDP_GROWTH!$B$10:$W$165,22,FALSE)</f>
        <v>2.0868572594445189</v>
      </c>
      <c r="Q11">
        <f t="shared" si="0"/>
        <v>-2.5627664952317799</v>
      </c>
      <c r="R11" s="52">
        <f t="shared" si="1"/>
        <v>0.21767561984736039</v>
      </c>
      <c r="S11">
        <f t="shared" si="2"/>
        <v>16.3640037528153</v>
      </c>
      <c r="T11">
        <f t="shared" si="3"/>
        <v>17.151613752815301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45502</v>
      </c>
      <c r="G12" s="4" cm="1">
        <f t="array" ref="G12">_xll.FDS(D12,"FMA_PE(LTM,0,,,""PORTAGG"",""MEANR"")")</f>
        <v>15.5242137844171</v>
      </c>
      <c r="H12" s="4" cm="1">
        <f t="array" ref="H12">_xll.FDS(D12,"FMA_PE(NTMA,0,,,""PORTAGG"",""MEANR"")")</f>
        <v>13.501227993637301</v>
      </c>
      <c r="I12" cm="1">
        <f t="array" ref="I12">_xll.FDS(D12,"FMA_DIV_YLD(NTMA,NOW,NOW,M,""PORTAGG"",""MEANR"")")</f>
        <v>3.4023766782449698</v>
      </c>
      <c r="J12" s="52" cm="1">
        <f t="array" ref="J12">IFERROR(_xll.FDS(D12,"FG_FCF_YIELD_NTM(0)"),(1/G12*100))</f>
        <v>6.0987705905108101</v>
      </c>
      <c r="K12" s="3" cm="1">
        <f t="array" ref="K12">_xll.FDS(D12,"FMA_EVAL_EBITDA(NTMA,0,,,""PORTAGG"",""MEANR"")")</f>
        <v>8.8700231150343196</v>
      </c>
      <c r="L12" cm="1">
        <f t="array" ref="L12">_xll.FDS(D12,"FMA_EVAL_EBIT(LTMA,NOW,NOW,M,""PORTAGG"",""MEANR"")")</f>
        <v>13.073700372742101</v>
      </c>
      <c r="M12">
        <f>HLOOKUP(D12,'Index ROE'!$A$1:$N$25,25,FALSE)</f>
        <v>13.221250861669199</v>
      </c>
      <c r="N12">
        <f>VLOOKUP(A12,'LIQIDITY 2'!$A$3:$E$16,5,FALSE)</f>
        <v>2.968</v>
      </c>
      <c r="O12" cm="1">
        <f t="array" ref="O12">IFERROR(IFERROR(IFERROR(IFERROR(_xll.FDS(B12,"IMF_IFS_RCPI_Q(0)"),_xll.FDS(B12,"IMF_IFS_RCPI_Q(-1AM)")),_xll.FDS(B12,"IMF_IFS_RCPI_Q(-2AM)")),_xll.FDS(B12,"IMF_IFS_RCPI_Q(-3AM)")),$D$31)</f>
        <v>2.2093682000000001</v>
      </c>
      <c r="P12">
        <f>VLOOKUP(E12,GDP_GROWTH!$B$10:$W$165,22,FALSE)</f>
        <v>0.9426946158151317</v>
      </c>
      <c r="Q12">
        <f t="shared" ref="Q12:Q15" si="4">I12-N12</f>
        <v>0.43437667824496984</v>
      </c>
      <c r="R12" s="52">
        <f t="shared" ref="R12:R15" si="5">J12-N12</f>
        <v>3.1307705905108101</v>
      </c>
      <c r="S12">
        <f t="shared" ref="S12:S15" si="6">M12-N12</f>
        <v>10.2532508616692</v>
      </c>
      <c r="T12">
        <f t="shared" ref="T12:T15" si="7">M12-O12</f>
        <v>11.011882661669199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71.399999999999991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71.500000000000014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57.099999999999994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67.875</v>
      </c>
      <c r="AC12" cm="1">
        <f t="array" ref="AC12">_xlfn.PERCENTRANK.EXC(_xlfn._xlws.FILTER(AB$3:AB$15, ISNUMBER(AB$3:AB$15)),AB12)*100</f>
        <v>78.5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45503</v>
      </c>
      <c r="G13" s="4" cm="1">
        <f t="array" ref="G13">_xll.FDS(D13,"FMA_PE(LTM,0,,,""PORTAGG"",""MEANR"")")</f>
        <v>20.978375497062899</v>
      </c>
      <c r="H13" s="4" cm="1">
        <f t="array" ref="H13">_xll.FDS(D13,"FMA_PE(NTMA,0,,,""PORTAGG"",""MEANR"")")</f>
        <v>15.341222739939299</v>
      </c>
      <c r="I13" cm="1">
        <f t="array" ref="I13">_xll.FDS(D13,"FMA_DIV_YLD(NTMA,NOW,NOW,M,""PORTAGG"",""MEANR"")")</f>
        <v>2.5960324144554399</v>
      </c>
      <c r="J13" s="52" cm="1">
        <f t="array" ref="J13">IFERROR(_xll.FDS(D13,"FG_FCF_YIELD_NTM(0)"),(1/G13*100))</f>
        <v>4.1273648000945498</v>
      </c>
      <c r="K13" s="3" cm="1">
        <f t="array" ref="K13">_xll.FDS(D13,"FMA_EVAL_EBITDA(NTMA,0,,,""PORTAGG"",""MEANR"")")</f>
        <v>11.9624320677821</v>
      </c>
      <c r="L13" cm="1">
        <f t="array" ref="L13">_xll.FDS(D13,"FMA_EVAL_EBIT(LTMA,NOW,NOW,M,""PORTAGG"",""MEANR"")")</f>
        <v>21.4382755497051</v>
      </c>
      <c r="M13">
        <f>HLOOKUP(D13,'Index ROE'!$A$1:$N$25,25,FALSE)</f>
        <v>12.745985665341101</v>
      </c>
      <c r="N13">
        <f>VLOOKUP(A13,'LIQIDITY 2'!$A$3:$E$16,5,FALSE)</f>
        <v>2.5270000000000001</v>
      </c>
      <c r="O13" cm="1">
        <f t="array" ref="O13">IFERROR(IFERROR(IFERROR(IFERROR(_xll.FDS(B13,"IMF_IFS_RCPI_Q(0)"),_xll.FDS(B13,"IMF_IFS_RCPI_Q(-1AM)")),_xll.FDS(B13,"IMF_IFS_RCPI_Q(-2AM)")),_xll.FDS(B13,"IMF_IFS_RCPI_Q(-3AM)")),$D$31)</f>
        <v>2.8881169999999998</v>
      </c>
      <c r="P13">
        <f>VLOOKUP(E13,GDP_GROWTH!$B$10:$W$165,22,FALSE)</f>
        <v>1.7793785730007783</v>
      </c>
      <c r="Q13">
        <f t="shared" si="4"/>
        <v>6.9032414455439728E-2</v>
      </c>
      <c r="R13" s="52">
        <f t="shared" si="5"/>
        <v>1.6003648000945496</v>
      </c>
      <c r="S13">
        <f t="shared" si="6"/>
        <v>10.218985665341101</v>
      </c>
      <c r="T13">
        <f t="shared" si="7"/>
        <v>9.8578686653411012</v>
      </c>
      <c r="U13" cm="1">
        <f t="array" ref="U13">_xlfn.PERCENTRANK.EXC(_xlfn._xlws.FILTER(Q$3:Q$15, ISNUMBER(Q$3:Q$15)),Q13)*100</f>
        <v>42.8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39.285000000000004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45502</v>
      </c>
      <c r="G14" s="4" cm="1">
        <f t="array" ref="G14">_xll.FDS(D14,"FMA_PE(LTM,0,,,""PORTAGG"",""MEANR"")")</f>
        <v>14.166513694290201</v>
      </c>
      <c r="H14" s="4" cm="1">
        <f t="array" ref="H14">_xll.FDS(D14,"FMA_PE(NTMA,0,,,""PORTAGG"",""MEANR"")")</f>
        <v>16.114020879799401</v>
      </c>
      <c r="I14" cm="1">
        <f t="array" ref="I14">_xll.FDS(D14,"FMA_DIV_YLD(NTMA,NOW,NOW,M,""PORTAGG"",""MEANR"")")</f>
        <v>3.2243638129479901</v>
      </c>
      <c r="J14" s="52" cm="1">
        <f t="array" ref="J14">IFERROR(_xll.FDS(D14,"FG_FCF_YIELD_NTM(0)"),(1/G14*100))</f>
        <v>5.1041920052132603</v>
      </c>
      <c r="K14" s="3" cm="1">
        <f t="array" ref="K14">_xll.FDS(D14,"FMA_EVAL_EBITDA(NTMA,0,,,""PORTAGG"",""MEANR"")")</f>
        <v>10.819534446447999</v>
      </c>
      <c r="L14" cm="1">
        <f t="array" ref="L14">_xll.FDS(D14,"FMA_EVAL_EBIT(LTMA,NOW,NOW,M,""PORTAGG"",""MEANR"")")</f>
        <v>16.128085400309701</v>
      </c>
      <c r="M14">
        <f>HLOOKUP(D14,'Index ROE'!$A$1:$N$25,25,FALSE)</f>
        <v>15.368050598586001</v>
      </c>
      <c r="N14">
        <f>VLOOKUP(A14,'LIQIDITY 2'!$A$3:$E$16,5,FALSE)</f>
        <v>1.964</v>
      </c>
      <c r="O14" cm="1">
        <f t="array" ref="O14">IFERROR(IFERROR(IFERROR(IFERROR(_xll.FDS(B14,"IMF_IFS_RCPI_Q(0)"),_xll.FDS(B14,"IMF_IFS_RCPI_Q(-1AM)")),_xll.FDS(B14,"IMF_IFS_RCPI_Q(-2AM)")),_xll.FDS(B14,"IMF_IFS_RCPI_Q(-3AM)")),$D$31)</f>
        <v>3.39215</v>
      </c>
      <c r="P14">
        <f>VLOOKUP(E14,GDP_GROWTH!$B$10:$W$165,22,FALSE)</f>
        <v>1.8182767577278436</v>
      </c>
      <c r="Q14">
        <f t="shared" si="4"/>
        <v>1.2603638129479902</v>
      </c>
      <c r="R14" s="52">
        <f t="shared" si="5"/>
        <v>3.1401920052132604</v>
      </c>
      <c r="S14">
        <f t="shared" si="6"/>
        <v>13.404050598586</v>
      </c>
      <c r="T14">
        <f t="shared" si="7"/>
        <v>11.975900598586001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78.5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64.2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67.13</v>
      </c>
      <c r="AC14" cm="1">
        <f t="array" ref="AC14">_xlfn.PERCENTRANK.EXC(_xlfn._xlws.FILTER(AB$3:AB$15, ISNUMBER(AB$3:AB$15)),AB14)*100</f>
        <v>71.399999999999991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45503</v>
      </c>
      <c r="G15" s="4" cm="1">
        <f t="array" ref="G15">_xll.FDS(D15,"FMA_PE(LTM,0,,,""PORTAGG"",""MEANR"")")</f>
        <v>10.084997828374799</v>
      </c>
      <c r="H15" s="4" cm="1">
        <f t="array" ref="H15">_xll.FDS(D15,"FMA_PE(NTMA,0,,,""PORTAGG"",""MEANR"")")</f>
        <v>9.6856178793627308</v>
      </c>
      <c r="I15" cm="1">
        <f t="array" ref="I15">_xll.FDS(D15,"FMA_DIV_YLD(NTMA,NOW,NOW,M,""PORTAGG"",""MEANR"")")</f>
        <v>5.3161444575040697</v>
      </c>
      <c r="J15" s="52" cm="1">
        <f t="array" ref="J15">IFERROR(_xll.FDS(D15,"FG_FCF_YIELD_NTM(0)"),(1/G15*100))</f>
        <v>5.76674013577147</v>
      </c>
      <c r="K15" s="3" cm="1">
        <f t="array" ref="K15">_xll.FDS(D15,"FMA_EVAL_EBITDA(NTMA,0,,,""PORTAGG"",""MEANR"")")</f>
        <v>6.7937152282525899</v>
      </c>
      <c r="L15" cm="1">
        <f t="array" ref="L15">_xll.FDS(D15,"FMA_EVAL_EBIT(LTMA,NOW,NOW,M,""PORTAGG"",""MEANR"")")</f>
        <v>11.023496073995901</v>
      </c>
      <c r="M15">
        <f>HLOOKUP(D15,'Index ROE'!$A$1:$N$25,25,FALSE)</f>
        <v>13.3572149047324</v>
      </c>
      <c r="N15">
        <f>VLOOKUP(A15,'LIQIDITY 2'!$A$3:$E$16,5,FALSE)</f>
        <v>3.6339999999999999</v>
      </c>
      <c r="O15" cm="1">
        <f t="array" ref="O15">IFERROR(IFERROR(IFERROR(IFERROR(_xll.FDS(B15,"IMF_IFS_RCPI_Q(0)"),_xll.FDS(B15,"IMF_IFS_RCPI_Q(-1AM)")),_xll.FDS(B15,"IMF_IFS_RCPI_Q(-2AM)")),_xll.FDS(B15,"IMF_IFS_RCPI_Q(-3AM)")),$D$31)</f>
        <v>0.92385905999999995</v>
      </c>
      <c r="P15">
        <f>VLOOKUP(E15,GDP_GROWTH!$B$10:$W$165,22,FALSE)</f>
        <v>0.32855305426654491</v>
      </c>
      <c r="Q15">
        <f t="shared" si="4"/>
        <v>1.6821444575040698</v>
      </c>
      <c r="R15" s="52">
        <f t="shared" si="5"/>
        <v>2.1327401357714701</v>
      </c>
      <c r="S15">
        <f t="shared" si="6"/>
        <v>9.7232149047323997</v>
      </c>
      <c r="T15">
        <f t="shared" si="7"/>
        <v>12.4333558447324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42.8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72.144999999999996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45471</v>
      </c>
      <c r="G19" s="4" cm="1">
        <f t="array" ref="G19">_xll.FDS(D19,"FG_PE(0)")</f>
        <v>14.2037753337727</v>
      </c>
      <c r="H19" s="4" cm="1">
        <f t="array" ref="H19">_xll.FDS(D19,"FG_PE_NTM(0,,,90,0)")</f>
        <v>13.0888032913833</v>
      </c>
      <c r="I19" cm="1">
        <f t="array" ref="I19">_xll.FDS(D19,"FMA_DIV_YLD(NTMA,NOW,NOW,M,""PORTAGG"",""MEANR"")")</f>
        <v>3.5219110914347902</v>
      </c>
      <c r="J19" s="52" cm="1">
        <f t="array" ref="J19">_xll.FDS(D19,"FG_FCF_YIELD_NTM(0)")</f>
        <v>5.31233478244949</v>
      </c>
      <c r="K19" s="3" cm="1">
        <f t="array" ref="K19">_xll.FDS(D19,"FMA_EVAL_EBITDA(NTMA,0,,,""PORTAGG"",""MEANR"")")</f>
        <v>8.8069944086463501</v>
      </c>
      <c r="L19" cm="1">
        <f t="array" ref="L19">_xll.FDS(D19,"FMA_EVAL_EBIT(LTMA,NOW,NOW,M,""PORTAGG"",""MEANR"")")</f>
        <v>13.223533363684201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45471</v>
      </c>
      <c r="G20" s="4" cm="1">
        <f t="array" ref="G20">_xll.FDS(D20,"FG_PE(0)")</f>
        <v>15.051322156925901</v>
      </c>
      <c r="H20" s="4" cm="1">
        <f t="array" ref="H20">_xll.FDS(D20,"FG_PE_NTM(0,,,90,0)")</f>
        <v>10.5196011178852</v>
      </c>
      <c r="I20" cm="1">
        <f t="array" ref="I20">_xll.FDS(D20,"FMA_DIV_YLD(NTMA,NOW,NOW,M,""PORTAGG"",""MEANR"")")</f>
        <v>2.9733185372245199</v>
      </c>
      <c r="J20" s="52" cm="1">
        <f t="array" ref="J20">_xll.FDS(D20,"FG_FCF_YIELD_NTM(0)")</f>
        <v>5.3552982879373596</v>
      </c>
      <c r="K20" s="3" cm="1">
        <f t="array" ref="K20">_xll.FDS(D20,"FMA_EVAL_EBITDA(NTMA,0,,,""PORTAGG"",""MEANR"")")</f>
        <v>9.0740041774881206</v>
      </c>
      <c r="L20" cm="1">
        <f t="array" ref="L20">_xll.FDS(D20,"FMA_EVAL_EBIT(LTMA,NOW,NOW,M,""PORTAGG"",""MEANR"")")</f>
        <v>14.412849987466601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3.19889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4.2694999999999999</v>
      </c>
      <c r="G3" s="26" cm="1">
        <f t="array" ref="G3">_xll.FDSB(C3,"PCTCHG(FG_YIELD(0,,,,""YTM""),FG_YIELD(-1AM,,,,""YTM""))")</f>
        <v>-8.1195719999999998</v>
      </c>
      <c r="H3" s="26" cm="1">
        <f t="array" ref="H3">_xll.FDSB(C3,"PCTCHG(FG_YIELD(0,,,,""YTM""),FG_YIELD(-3AM,,,,""YTM""))")</f>
        <v>-13.207437000000001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1.2305000000000001</v>
      </c>
      <c r="S3">
        <f t="shared" ref="S3:S15" si="1">IF(M3&gt; 0, 0, 1)</f>
        <v>0</v>
      </c>
      <c r="T3">
        <f t="shared" ref="T3:T15" si="2">IF(G3&lt;0, 1, 0)</f>
        <v>1</v>
      </c>
      <c r="U3">
        <f t="shared" ref="U3:U15" si="3">IF(H3&lt;0, 1, 0)</f>
        <v>1</v>
      </c>
      <c r="V3" s="47">
        <f t="shared" ref="V3:V15" si="4">SUMPRODUCT($S$1:$U$1,S3:U3)</f>
        <v>0.5</v>
      </c>
      <c r="X3">
        <f>_xlfn.PERCENTRANK.EXC($V$3:$V$15,V3)*100</f>
        <v>14.2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4.0880000000000001</v>
      </c>
      <c r="G4" s="26" cm="1">
        <f t="array" ref="G4">_xll.FDSB(C4,"PCTCHG(FG_YIELD(0,,,,""YTM""),FG_YIELD(-1AM,,,,""YTM""))")</f>
        <v>-6.7305517000000004</v>
      </c>
      <c r="H4" s="26" cm="1">
        <f t="array" ref="H4">_xll.FDSB(C4,"PCTCHG(FG_YIELD(0,,,,""YTM""),FG_YIELD(-3AM,,,,""YTM""))")</f>
        <v>-9.4172440000000002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0.26199999999999957</v>
      </c>
      <c r="S4">
        <f t="shared" si="1"/>
        <v>0</v>
      </c>
      <c r="T4">
        <f t="shared" si="2"/>
        <v>1</v>
      </c>
      <c r="U4">
        <f t="shared" si="3"/>
        <v>1</v>
      </c>
      <c r="V4" s="47">
        <f t="shared" si="4"/>
        <v>0.5</v>
      </c>
      <c r="X4">
        <f t="shared" ref="X4:X15" si="6">_xlfn.PERCENTRANK.EXC($V$3:$V$15,V4)*100</f>
        <v>14.2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3.1223000000000001</v>
      </c>
      <c r="G5" s="26" cm="1">
        <f t="array" ref="G5">_xll.FDSB(C5,"PCTCHG(FG_YIELD(0,,,,""YTM""),FG_YIELD(-1AM,,,,""YTM""))")</f>
        <v>-10.888178999999999</v>
      </c>
      <c r="H5" s="26" cm="1">
        <f t="array" ref="H5">_xll.FDSB(C5,"PCTCHG(FG_YIELD(0,,,,""YTM""),FG_YIELD(-3AM,,,,""YTM""))")</f>
        <v>-17.114414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1.3776999999999999</v>
      </c>
      <c r="S5">
        <f t="shared" si="1"/>
        <v>1</v>
      </c>
      <c r="T5">
        <f t="shared" si="2"/>
        <v>1</v>
      </c>
      <c r="U5">
        <f t="shared" si="3"/>
        <v>1</v>
      </c>
      <c r="V5" s="47">
        <f t="shared" si="4"/>
        <v>1</v>
      </c>
      <c r="X5">
        <f t="shared" si="6"/>
        <v>42.8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2.2490000000000001</v>
      </c>
      <c r="G6" s="26" cm="1">
        <f t="array" ref="G6">_xll.FDSB(C6,"PCTCHG(FG_YIELD(0,,,,""YTM""),FG_YIELD(-1AM,,,,""YTM""))")</f>
        <v>-13.166017</v>
      </c>
      <c r="H6" s="26" cm="1">
        <f t="array" ref="H6">_xll.FDSB(C6,"PCTCHG(FG_YIELD(0,,,,""YTM""),FG_YIELD(-3AM,,,,""YTM""))")</f>
        <v>-12.896977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O6" s="26">
        <f t="shared" si="5"/>
        <v>2.0009999999999999</v>
      </c>
      <c r="S6">
        <f t="shared" si="1"/>
        <v>1</v>
      </c>
      <c r="T6">
        <f t="shared" si="2"/>
        <v>1</v>
      </c>
      <c r="U6">
        <f t="shared" si="3"/>
        <v>1</v>
      </c>
      <c r="V6" s="47">
        <f t="shared" si="4"/>
        <v>1</v>
      </c>
      <c r="X6">
        <f t="shared" si="6"/>
        <v>42.8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1.0238</v>
      </c>
      <c r="G7" s="26" cm="1">
        <f t="array" ref="G7">_xll.FDSB(C7,"PCTCHG(FG_YIELD(0,,,,""YTM""),FG_YIELD(-1AM,,,,""YTM""))")</f>
        <v>-4.0217460000000003</v>
      </c>
      <c r="H7" s="26" cm="1">
        <f t="array" ref="H7">_xll.FDSB(C7,"PCTCHG(FG_YIELD(0,,,,""YTM""),FG_YIELD(-3AM,,,,""YTM""))")</f>
        <v>15.227918000000001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0.25</v>
      </c>
      <c r="M7" s="36" cm="1">
        <f t="array" ref="M7">_xll.FDSB(J7,"(SUBARRAY(NOT_NA(NO_REPEAT_F(FG_YIELD(now,-10AY,D))),0,1)-SUBARRAY(NOT_NA(NO_REPEAT_F(FG_YIELD(now,-10AY,D))),1,1))*100")</f>
        <v>15</v>
      </c>
      <c r="N7" s="38">
        <f t="shared" si="0"/>
        <v>-15</v>
      </c>
      <c r="O7" s="26">
        <f t="shared" si="5"/>
        <v>-0.77380000000000004</v>
      </c>
      <c r="S7">
        <f t="shared" si="1"/>
        <v>0</v>
      </c>
      <c r="T7">
        <f t="shared" si="2"/>
        <v>1</v>
      </c>
      <c r="U7">
        <f t="shared" si="3"/>
        <v>0</v>
      </c>
      <c r="V7" s="47">
        <f t="shared" si="4"/>
        <v>0.25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0.45500000000000002</v>
      </c>
      <c r="G8" s="26" cm="1">
        <f t="array" ref="G8">_xll.FDSB(C8,"PCTCHG(FG_YIELD(0,,,,""YTM""),FG_YIELD(-1AM,,,,""YTM""))")</f>
        <v>-29.237946999999998</v>
      </c>
      <c r="H8" s="26" cm="1">
        <f t="array" ref="H8">_xll.FDSB(C8,"PCTCHG(FG_YIELD(0,,,,""YTM""),FG_YIELD(-3AM,,,,""YTM""))")</f>
        <v>-39.252335000000002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0.79499999999999993</v>
      </c>
      <c r="S8">
        <f t="shared" si="1"/>
        <v>1</v>
      </c>
      <c r="T8">
        <f t="shared" si="2"/>
        <v>1</v>
      </c>
      <c r="U8">
        <f t="shared" si="3"/>
        <v>1</v>
      </c>
      <c r="V8" s="47">
        <f t="shared" si="4"/>
        <v>1</v>
      </c>
      <c r="X8">
        <f t="shared" si="6"/>
        <v>42.8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3.8730000000000002</v>
      </c>
      <c r="G9" s="26" cm="1">
        <f t="array" ref="G9">_xll.FDSB(C9,"PCTCHG(FG_YIELD(0,,,,""YTM""),FG_YIELD(-1AM,,,,""YTM""))")</f>
        <v>-9.0845140000000004</v>
      </c>
      <c r="H9" s="26" cm="1">
        <f t="array" ref="H9">_xll.FDSB(C9,"PCTCHG(FG_YIELD(0,,,,""YTM""),FG_YIELD(-3AM,,,,""YTM""))")</f>
        <v>-11.026884000000001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</v>
      </c>
      <c r="M9" s="36" cm="1">
        <f t="array" ref="M9">_xll.FDSB(J9,"(SUBARRAY(NOT_NA(NO_REPEAT_F(FG_YIELD(now,-10AY,D))),0,1)-SUBARRAY(NOT_NA(NO_REPEAT_F(FG_YIELD(now,-10AY,D))),1,1))*100")</f>
        <v>-25</v>
      </c>
      <c r="N9" s="38">
        <f t="shared" si="0"/>
        <v>25</v>
      </c>
      <c r="O9" s="26">
        <f t="shared" si="5"/>
        <v>1.1269999999999998</v>
      </c>
      <c r="S9">
        <f t="shared" si="1"/>
        <v>1</v>
      </c>
      <c r="T9">
        <f t="shared" si="2"/>
        <v>1</v>
      </c>
      <c r="U9">
        <f t="shared" si="3"/>
        <v>1</v>
      </c>
      <c r="V9" s="47">
        <f t="shared" si="4"/>
        <v>1</v>
      </c>
      <c r="X9">
        <f t="shared" si="6"/>
        <v>42.8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3.9864999999999999</v>
      </c>
      <c r="G10" s="26" cm="1">
        <f t="array" ref="G10">_xll.FDSB(C10,"PCTCHG(FG_YIELD(0,,,,""YTM""),FG_YIELD(-1AM,,,,""YTM""))")</f>
        <v>-10.959975</v>
      </c>
      <c r="H10" s="26" cm="1">
        <f t="array" ref="H10">_xll.FDSB(C10,"PCTCHG(FG_YIELD(0,,,,""YTM""),FG_YIELD(-3AM,,,,""YTM""))")</f>
        <v>-13.88547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1.5135000000000001</v>
      </c>
      <c r="S10">
        <f t="shared" si="1"/>
        <v>0</v>
      </c>
      <c r="T10">
        <f t="shared" si="2"/>
        <v>1</v>
      </c>
      <c r="U10">
        <f t="shared" si="3"/>
        <v>1</v>
      </c>
      <c r="V10" s="47">
        <f t="shared" si="4"/>
        <v>0.5</v>
      </c>
      <c r="X10">
        <f t="shared" si="6"/>
        <v>14.2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3.9864999999999999</v>
      </c>
      <c r="G11" s="26" cm="1">
        <f t="array" ref="G11">_xll.FDSB(C11,"PCTCHG(FG_YIELD(0,,,,""YTM""),FG_YIELD(-1AM,,,,""YTM""))")</f>
        <v>-10.959975</v>
      </c>
      <c r="H11" s="26" cm="1">
        <f t="array" ref="H11">_xll.FDSB(C11,"PCTCHG(FG_YIELD(0,,,,""YTM""),FG_YIELD(-3AM,,,,""YTM""))")</f>
        <v>-13.88547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1.5135000000000001</v>
      </c>
      <c r="S11">
        <f t="shared" si="1"/>
        <v>0</v>
      </c>
      <c r="T11">
        <f t="shared" si="2"/>
        <v>1</v>
      </c>
      <c r="U11">
        <f t="shared" si="3"/>
        <v>1</v>
      </c>
      <c r="V11" s="47">
        <f t="shared" si="4"/>
        <v>0.5</v>
      </c>
      <c r="X11">
        <f t="shared" si="6"/>
        <v>14.2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2.968</v>
      </c>
      <c r="G12" s="26" cm="1">
        <f t="array" ref="G12">_xll.FDSB(C12,"PCTCHG(FG_YIELD(0,,,,""YTM""),FG_YIELD(-1AM,,,,""YTM""))")</f>
        <v>-9.5121970000000005</v>
      </c>
      <c r="H12" s="26" cm="1">
        <f t="array" ref="H12">_xll.FDSB(C12,"PCTCHG(FG_YIELD(0,,,,""YTM""),FG_YIELD(-3AM,,,,""YTM""))")</f>
        <v>-2.7841480000000001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4.25</v>
      </c>
      <c r="M12" s="36" cm="1">
        <f t="array" ref="M12">_xll.FDSB(J12,"(SUBARRAY(NOT_NA(NO_REPEAT_F(FG_YIELD(now,-10AY,D))),0,1)-SUBARRAY(NOT_NA(NO_REPEAT_F(FG_YIELD(now,-10AY,D))),1,1))*100")</f>
        <v>-25</v>
      </c>
      <c r="N12" s="38">
        <f t="shared" si="0"/>
        <v>25</v>
      </c>
      <c r="O12" s="26">
        <f t="shared" si="5"/>
        <v>1.282</v>
      </c>
      <c r="S12">
        <f t="shared" si="1"/>
        <v>1</v>
      </c>
      <c r="T12">
        <f t="shared" si="2"/>
        <v>1</v>
      </c>
      <c r="U12">
        <f t="shared" si="3"/>
        <v>1</v>
      </c>
      <c r="V12" s="47">
        <f t="shared" si="4"/>
        <v>1</v>
      </c>
      <c r="X12">
        <f t="shared" si="6"/>
        <v>42.8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2.5270000000000001</v>
      </c>
      <c r="G13" s="26" cm="1">
        <f t="array" ref="G13">_xll.FDSB(C13,"PCTCHG(FG_YIELD(0,,,,""YTM""),FG_YIELD(-1AM,,,,""YTM""))")</f>
        <v>-12.952125000000001</v>
      </c>
      <c r="H13" s="26" cm="1">
        <f t="array" ref="H13">_xll.FDSB(C13,"PCTCHG(FG_YIELD(0,,,,""YTM""),FG_YIELD(-3AM,,,,""YTM""))")</f>
        <v>-11.828332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4.25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O13" s="26">
        <f t="shared" si="5"/>
        <v>1.7229999999999999</v>
      </c>
      <c r="S13">
        <f t="shared" si="1"/>
        <v>1</v>
      </c>
      <c r="T13">
        <f t="shared" si="2"/>
        <v>1</v>
      </c>
      <c r="U13">
        <f t="shared" si="3"/>
        <v>1</v>
      </c>
      <c r="V13" s="47">
        <f t="shared" si="4"/>
        <v>1</v>
      </c>
      <c r="X13">
        <f t="shared" si="6"/>
        <v>42.8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1.964</v>
      </c>
      <c r="G14" s="26" cm="1">
        <f t="array" ref="G14">_xll.FDSB(C14,"PCTCHG(FG_YIELD(0,,,,""YTM""),FG_YIELD(-1AM,,,,""YTM""))")</f>
        <v>-14.497168</v>
      </c>
      <c r="H14" s="26" cm="1">
        <f t="array" ref="H14">_xll.FDSB(C14,"PCTCHG(FG_YIELD(0,,,,""YTM""),FG_YIELD(-3AM,,,,""YTM""))")</f>
        <v>-21.314104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3.75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1.786</v>
      </c>
      <c r="S14">
        <f t="shared" si="1"/>
        <v>1</v>
      </c>
      <c r="T14">
        <f t="shared" si="2"/>
        <v>1</v>
      </c>
      <c r="U14">
        <f t="shared" si="3"/>
        <v>1</v>
      </c>
      <c r="V14" s="47">
        <f t="shared" si="4"/>
        <v>1</v>
      </c>
      <c r="X14">
        <f t="shared" si="6"/>
        <v>42.8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3.6339999999999999</v>
      </c>
      <c r="G15" s="26" cm="1">
        <f t="array" ref="G15">_xll.FDSB(C15,"PCTCHG(FG_YIELD(0,,,,""YTM""),FG_YIELD(-1AM,,,,""YTM""))")</f>
        <v>-11.0839205</v>
      </c>
      <c r="H15" s="26" cm="1">
        <f t="array" ref="H15">_xll.FDSB(C15,"PCTCHG(FG_YIELD(0,,,,""YTM""),FG_YIELD(-3AM,,,,""YTM""))")</f>
        <v>-6.1709227999999996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O15" s="26">
        <f t="shared" si="5"/>
        <v>0.6160000000000001</v>
      </c>
      <c r="S15">
        <f t="shared" si="1"/>
        <v>1</v>
      </c>
      <c r="T15">
        <f t="shared" si="2"/>
        <v>1</v>
      </c>
      <c r="U15">
        <f t="shared" si="3"/>
        <v>1</v>
      </c>
      <c r="V15" s="47">
        <f t="shared" si="4"/>
        <v>1</v>
      </c>
      <c r="X15">
        <f t="shared" si="6"/>
        <v>42.8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3.9864999999999999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4.2694999999999999</v>
      </c>
      <c r="H2" cm="1">
        <f t="array" ref="H2">_xll.FDS(B2,"FG_ROE(0)")</f>
        <v>4.8660586352327604</v>
      </c>
      <c r="I2">
        <f>HLOOKUP(B2,'Index ROE'!$B$1:$N$25,24,FALSE)</f>
        <v>9.8238973987983247</v>
      </c>
      <c r="J2" cm="1">
        <f t="array" ref="J2">_xll.FDS(B2, "FMA_RBICS_REV_CURRENT(30, LOC, ""PORTAGG"")")</f>
        <v>14.675305666219799</v>
      </c>
      <c r="K2" s="74">
        <f>HLOOKUP(B2,'Index earnings'!$B$1:$N$25,25,FALSE)</f>
        <v>-9.3828148339384354E-3</v>
      </c>
      <c r="L2">
        <f>HLOOKUP(A2,'Yearly returns'!$B$1:$N$128,126,FALSE)</f>
        <v>-31.495863</v>
      </c>
      <c r="M2">
        <f t="shared" ref="M2:M10" si="0">I2-G2</f>
        <v>5.5543973987983248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35.699999999999996</v>
      </c>
      <c r="R2">
        <f>N2*Assumption!$F$64 + O2*Assumption!$F$61 + P2*Assumption!$F$62 + Q2*Assumption!$F$63</f>
        <v>30.35</v>
      </c>
      <c r="S2" cm="1">
        <f t="array" ref="S2">_xlfn.PERCENTRANK.EXC(_xlfn._xlws.FILTER(R$2:R$14, ISNUMBER(R$2:R$14)),R2)*100</f>
        <v>21.4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4.0880000000000001</v>
      </c>
      <c r="H3" cm="1">
        <f t="array" ref="H3">_xll.FDS(B3,"FG_ROE(0)")</f>
        <v>12.495215353842701</v>
      </c>
      <c r="I3">
        <f>HLOOKUP(B3,'Index ROE'!$B$1:$N$25,24,FALSE)</f>
        <v>13.020733299173699</v>
      </c>
      <c r="J3" cm="1">
        <f t="array" ref="J3">_xll.FDS(B3, "FMA_RBICS_REV_CURRENT(30, LOC, ""PORTAGG"")")</f>
        <v>42.406257126777597</v>
      </c>
      <c r="K3" s="74">
        <f>HLOOKUP(B3,'Index earnings'!$B$1:$N$25,25,FALSE)</f>
        <v>1.1173841089814562E-2</v>
      </c>
      <c r="L3">
        <f>HLOOKUP(A3,'Yearly returns'!$B$1:$N$128,126,FALSE)</f>
        <v>-30.731922000000001</v>
      </c>
      <c r="M3">
        <f t="shared" si="0"/>
        <v>8.9327332991736981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42.8</v>
      </c>
      <c r="R3">
        <f>N3*Assumption!$F$64 + O3*Assumption!$F$61 + P3*Assumption!$F$62 + Q3*Assumption!$F$63</f>
        <v>28.549999999999997</v>
      </c>
      <c r="S3" cm="1">
        <f t="array" ref="S3">_xlfn.PERCENTRANK.EXC(_xlfn._xlws.FILTER(R$2:R$14, ISNUMBER(R$2:R$14)),R3)*100</f>
        <v>7.1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3.1223000000000001</v>
      </c>
      <c r="H4" cm="1">
        <f t="array" ref="H4">_xll.FDS(B4,"FG_ROE(0)")</f>
        <v>10.949336725071401</v>
      </c>
      <c r="I4">
        <f>HLOOKUP(B4,'Index ROE'!$B$1:$N$25,24,FALSE)</f>
        <v>12.7516875895064</v>
      </c>
      <c r="J4" cm="1">
        <f t="array" ref="J4">_xll.FDS(B4, "FMA_RBICS_REV_CURRENT(30, LOC, ""PORTAGG"")")</f>
        <v>39.957029510295598</v>
      </c>
      <c r="K4" s="74">
        <f>HLOOKUP(B4,'Index earnings'!$B$1:$N$25,25,FALSE)</f>
        <v>4.0909866878857226E-2</v>
      </c>
      <c r="L4">
        <f>HLOOKUP(A4,'Yearly returns'!$B$1:$N$128,126,FALSE)</f>
        <v>-26.938766000000001</v>
      </c>
      <c r="M4">
        <f t="shared" si="0"/>
        <v>9.6293875895064005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71.399999999999991</v>
      </c>
      <c r="R4">
        <f>N4*Assumption!$F$64 + O4*Assumption!$F$61 + P4*Assumption!$F$62 + Q4*Assumption!$F$63</f>
        <v>49.974999999999994</v>
      </c>
      <c r="S4" cm="1">
        <f t="array" ref="S4">_xlfn.PERCENTRANK.EXC(_xlfn._xlws.FILTER(R$2:R$14, ISNUMBER(R$2:R$14)),R4)*100</f>
        <v>64.2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2.2490000000000001</v>
      </c>
      <c r="H5" cm="1">
        <f t="array" ref="H5">_xll.FDS(B5,"FG_ROE(0)")</f>
        <v>9.4180694376450198</v>
      </c>
      <c r="I5">
        <f>HLOOKUP(B5,'Index ROE'!$B$1:$N$25,24,FALSE)</f>
        <v>11.988728308067351</v>
      </c>
      <c r="J5" cm="1">
        <f t="array" ref="J5">_xll.FDS(B5, "FMA_RBICS_REV_CURRENT(30, LOC, ""PORTAGG"")")</f>
        <v>23.0594534932324</v>
      </c>
      <c r="K5" s="74">
        <f>HLOOKUP(B5,'Index earnings'!$B$1:$N$25,25,FALSE)</f>
        <v>2.8327007241510938E-2</v>
      </c>
      <c r="L5">
        <f>HLOOKUP(A5,'Yearly returns'!$B$1:$N$128,126,FALSE)</f>
        <v>-37.647525999999999</v>
      </c>
      <c r="M5">
        <f t="shared" si="0"/>
        <v>9.7397283080673507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7.1</v>
      </c>
      <c r="R5">
        <f>N5*Assumption!$F$64 + O5*Assumption!$F$61 + P5*Assumption!$F$62 + Q5*Assumption!$F$63</f>
        <v>39.274999999999999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1.0238</v>
      </c>
      <c r="H6" cm="1">
        <f t="array" ref="H6">_xll.FDS(B6,"FG_ROE(0)")</f>
        <v>9.5972198305847893</v>
      </c>
      <c r="I6">
        <f>HLOOKUP(B6,'Index ROE'!$B$1:$N$25,24,FALSE)</f>
        <v>8.994618118763011</v>
      </c>
      <c r="J6" cm="1">
        <f t="array" ref="J6">_xll.FDS(B6, "FMA_RBICS_REV_CURRENT(30, LOC, ""PORTAGG"")")</f>
        <v>18.943500768470201</v>
      </c>
      <c r="K6" s="74">
        <f>HLOOKUP(B6,'Index earnings'!$B$1:$N$25,25,FALSE)</f>
        <v>2.4111181364210088E-2</v>
      </c>
      <c r="L6">
        <f>HLOOKUP(A6,'Yearly returns'!$B$1:$N$128,126,FALSE)</f>
        <v>-28.85003</v>
      </c>
      <c r="M6">
        <f t="shared" si="0"/>
        <v>7.9708181187630114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64.2</v>
      </c>
      <c r="R6">
        <f>N6*Assumption!$F$64 + O6*Assumption!$F$61 + P6*Assumption!$F$62 + Q6*Assumption!$F$63</f>
        <v>46.4</v>
      </c>
      <c r="S6" cm="1">
        <f t="array" ref="S6">_xlfn.PERCENTRANK.EXC(_xlfn._xlws.FILTER(R$2:R$14, ISNUMBER(R$2:R$14)),R6)*100</f>
        <v>57.099999999999994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0.45500000000000002</v>
      </c>
      <c r="H7" cm="1">
        <f t="array" ref="H7">_xll.FDS(B7,"FG_ROE(0)")</f>
        <v>23.531210944666999</v>
      </c>
      <c r="I7">
        <f>HLOOKUP(B7,'Index ROE'!$B$1:$N$25,24,FALSE)</f>
        <v>15.55096443559315</v>
      </c>
      <c r="J7" cm="1">
        <f t="array" ref="J7">_xll.FDS(B7, "FMA_RBICS_REV_CURRENT(30, LOC, ""PORTAGG"")")</f>
        <v>17.795282609975398</v>
      </c>
      <c r="K7" s="74">
        <f>HLOOKUP(B7,'Index earnings'!$B$1:$N$25,25,FALSE)</f>
        <v>4.6616158051884682E-2</v>
      </c>
      <c r="L7">
        <f>HLOOKUP(A7,'Yearly returns'!$B$1:$N$128,126,FALSE)</f>
        <v>-21.115791000000002</v>
      </c>
      <c r="M7">
        <f t="shared" si="0"/>
        <v>15.095964435593149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85.7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3.8730000000000002</v>
      </c>
      <c r="H8" cm="1">
        <f t="array" ref="H8">_xll.FDS(B8,"FG_ROE(0)")</f>
        <v>14.345093634139401</v>
      </c>
      <c r="I8">
        <f>HLOOKUP(B8,'Index ROE'!$B$1:$N$25,24,FALSE)</f>
        <v>14.561964916400001</v>
      </c>
      <c r="J8" cm="1">
        <f t="array" ref="J8">_xll.FDS(B8, "FMA_RBICS_REV_CURRENT(30, LOC, ""PORTAGG"")")</f>
        <v>19.404935114088001</v>
      </c>
      <c r="K8" s="74">
        <f>HLOOKUP(B8,'Index earnings'!$B$1:$N$25,25,FALSE)</f>
        <v>3.7109465036002653E-3</v>
      </c>
      <c r="L8">
        <f>HLOOKUP(A8,'Yearly returns'!$B$1:$N$128,126,FALSE)</f>
        <v>-29.083770000000001</v>
      </c>
      <c r="M8">
        <f t="shared" si="0"/>
        <v>10.6889649164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50</v>
      </c>
      <c r="R8">
        <f>N8*Assumption!$F$64 + O8*Assumption!$F$61 + P8*Assumption!$F$62 + Q8*Assumption!$F$63</f>
        <v>44.6</v>
      </c>
      <c r="S8" cm="1">
        <f t="array" ref="S8">_xlfn.PERCENTRANK.EXC(_xlfn._xlws.FILTER(R$2:R$14, ISNUMBER(R$2:R$14)),R8)*100</f>
        <v>42.8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3.9864999999999999</v>
      </c>
      <c r="H9" cm="1">
        <f t="array" ref="H9">_xll.FDS(B9,"FG_ROE(0)")</f>
        <v>22.664977920898</v>
      </c>
      <c r="I9">
        <f>HLOOKUP(B9,'Index ROE'!$B$1:$N$25,24,FALSE)</f>
        <v>21.036882269896502</v>
      </c>
      <c r="J9" cm="1">
        <f t="array" ref="J9">_xll.FDS(B9, "FMA_RBICS_REV_CURRENT(30, LOC, ""PORTAGG"")")</f>
        <v>0.75323547999288598</v>
      </c>
      <c r="K9" s="74">
        <f>HLOOKUP(B9,'Index earnings'!$B$1:$N$25,25,FALSE)</f>
        <v>0.12988959921025178</v>
      </c>
      <c r="L9">
        <f>HLOOKUP(A9,'Yearly returns'!$B$1:$N$128,126,FALSE)</f>
        <v>-32.999577000000002</v>
      </c>
      <c r="M9">
        <f t="shared" si="0"/>
        <v>17.050382269896502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28.499999999999996</v>
      </c>
      <c r="R9">
        <f>N9*Assumption!$F$64 + O9*Assumption!$F$61 + P9*Assumption!$F$62 + Q9*Assumption!$F$63</f>
        <v>76.75</v>
      </c>
      <c r="S9" cm="1">
        <f t="array" ref="S9">_xlfn.PERCENTRANK.EXC(_xlfn._xlws.FILTER(R$2:R$14, ISNUMBER(R$2:R$14)),R9)*100</f>
        <v>78.5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3.9864999999999999</v>
      </c>
      <c r="H10" cm="1">
        <f t="array" ref="H10">_xll.FDS(B10,"FG_ROE(0)")</f>
        <v>18.7012630612106</v>
      </c>
      <c r="I10">
        <f>HLOOKUP(B10,'Index ROE'!$B$1:$N$25,24,FALSE)</f>
        <v>16.391058174766847</v>
      </c>
      <c r="J10" cm="1">
        <f t="array" ref="J10">_xll.FDS(B10, "FMA_RBICS_REV_CURRENT(30, LOC, ""PORTAGG"")")</f>
        <v>11.9812912809187</v>
      </c>
      <c r="K10" s="74">
        <f>HLOOKUP(B10,'Index earnings'!$B$1:$N$25,25,FALSE)</f>
        <v>5.9884631603759342E-2</v>
      </c>
      <c r="L10">
        <f>HLOOKUP(A10,'Yearly returns'!$B$1:$N$128,126,FALSE)</f>
        <v>-18.377907</v>
      </c>
      <c r="M10">
        <f t="shared" si="0"/>
        <v>12.404558174766848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2.968</v>
      </c>
      <c r="H11" cm="1">
        <f t="array" ref="H11">_xll.FDS(B11,"FG_ROE(0)")</f>
        <v>12.686010817293401</v>
      </c>
      <c r="I11">
        <f>HLOOKUP(B11,'Index ROE'!$B$1:$N$25,24,FALSE)</f>
        <v>11.16089938202855</v>
      </c>
      <c r="J11" cm="1">
        <f t="array" ref="J11">_xll.FDS(B11, "FMA_RBICS_REV_CURRENT(30, LOC, ""PORTAGG"")")</f>
        <v>11.151330427567199</v>
      </c>
      <c r="K11" s="74">
        <f>HLOOKUP(B11,'Index earnings'!$B$1:$N$25,25,FALSE)</f>
        <v>1.8533351259146347E-2</v>
      </c>
      <c r="L11">
        <f>HLOOKUP(A11,'Yearly returns'!$B$1:$N$128,126,FALSE)</f>
        <v>-23.862099000000001</v>
      </c>
      <c r="M11">
        <f t="shared" ref="M11:M14" si="1">I11-G11</f>
        <v>8.1928993820285498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78.5</v>
      </c>
      <c r="R11">
        <f>N11*Assumption!$F$64 + O11*Assumption!$F$61 + P11*Assumption!$F$62 + Q11*Assumption!$F$63</f>
        <v>57.125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2.5270000000000001</v>
      </c>
      <c r="H12" cm="1">
        <f t="array" ref="H12">_xll.FDS(B12,"FG_ROE(0)")</f>
        <v>10.893460938356601</v>
      </c>
      <c r="I12">
        <f>HLOOKUP(B12,'Index ROE'!$B$1:$N$25,24,FALSE)</f>
        <v>13.04966082823935</v>
      </c>
      <c r="J12" cm="1">
        <f t="array" ref="J12">_xll.FDS(B12, "FMA_RBICS_REV_CURRENT(30, LOC, ""PORTAGG"")")</f>
        <v>23.871512129494501</v>
      </c>
      <c r="K12" s="74">
        <f>HLOOKUP(B12,'Index earnings'!$B$1:$N$25,25,FALSE)</f>
        <v>3.4801405293916954E-2</v>
      </c>
      <c r="L12">
        <f>HLOOKUP(A12,'Yearly returns'!$B$1:$N$128,126,FALSE)</f>
        <v>-36.88223</v>
      </c>
      <c r="M12">
        <f t="shared" si="1"/>
        <v>10.522660828239349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14.2</v>
      </c>
      <c r="R12">
        <f>N12*Assumption!$F$64 + O12*Assumption!$F$61 + P12*Assumption!$F$62 + Q12*Assumption!$F$63</f>
        <v>42.824999999999996</v>
      </c>
      <c r="S12" cm="1">
        <f t="array" ref="S12">_xlfn.PERCENTRANK.EXC(_xlfn._xlws.FILTER(R$2:R$14, ISNUMBER(R$2:R$14)),R12)*100</f>
        <v>35.699999999999996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1.964</v>
      </c>
      <c r="H13" cm="1">
        <f t="array" ref="H13">_xll.FDS(B13,"FG_ROE(0)")</f>
        <v>16.243172505293</v>
      </c>
      <c r="I13">
        <f>HLOOKUP(B13,'Index ROE'!$B$1:$N$25,24,FALSE)</f>
        <v>14.442959457883401</v>
      </c>
      <c r="J13" cm="1">
        <f t="array" ref="J13">_xll.FDS(B13, "FMA_RBICS_REV_CURRENT(30, LOC, ""PORTAGG"")")</f>
        <v>26.6826894897005</v>
      </c>
      <c r="K13" s="74">
        <f>HLOOKUP(B13,'Index earnings'!$B$1:$N$25,25,FALSE)</f>
        <v>2.4305006375947347E-2</v>
      </c>
      <c r="L13">
        <f>HLOOKUP(A13,'Yearly returns'!$B$1:$N$128,126,FALSE)</f>
        <v>-35.51764</v>
      </c>
      <c r="M13">
        <f t="shared" si="1"/>
        <v>12.4789594578834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44.625</v>
      </c>
      <c r="S13" cm="1">
        <f t="array" ref="S13">_xlfn.PERCENTRANK.EXC(_xlfn._xlws.FILTER(R$2:R$14, ISNUMBER(R$2:R$14)),R13)*100</f>
        <v>50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3.6339999999999999</v>
      </c>
      <c r="H14" cm="1">
        <f t="array" ref="H14">_xll.FDS(B14,"FG_ROE(0)")</f>
        <v>13.8154750109472</v>
      </c>
      <c r="I14">
        <f>HLOOKUP(B14,'Index ROE'!$B$1:$N$25,24,FALSE)</f>
        <v>9.6445775045501065</v>
      </c>
      <c r="J14" cm="1">
        <f t="array" ref="J14">_xll.FDS(B14, "FMA_RBICS_REV_CURRENT(30, LOC, ""PORTAGG"")")</f>
        <v>37.029707357811397</v>
      </c>
      <c r="K14" s="74">
        <f>HLOOKUP(B14,'Index earnings'!$B$1:$N$25,25,FALSE)</f>
        <v>9.2743946932130061E-3</v>
      </c>
      <c r="L14">
        <f>HLOOKUP(A14,'Yearly returns'!$B$1:$N$128,126,FALSE)</f>
        <v>-28.987461</v>
      </c>
      <c r="M14">
        <f t="shared" si="1"/>
        <v>6.0105775045501062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57.099999999999994</v>
      </c>
      <c r="R14">
        <f>N14*Assumption!$F$64 + O14*Assumption!$F$61 + P14*Assumption!$F$62 + Q14*Assumption!$F$63</f>
        <v>28.549999999999997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95215.4</v>
      </c>
      <c r="E3" cm="1">
        <f t="array" ref="E3">_xll.FDS(C3,"FMA_COS_UP(""EPS"",""1M"",+1,0,,,""PORTAGG"",""MEANR"")")</f>
        <v>3</v>
      </c>
      <c r="F3" cm="1">
        <f t="array" ref="F3">_xll.FDS(C3,"FMA_COS_DOWN(""EPS"",""1M"",+1,0,,,""PORTAGG"",""MEANR"")")</f>
        <v>5</v>
      </c>
      <c r="G3" cm="1">
        <f t="array" ref="G3">_xll.FDS(A3,"SIZE(FG_CONSTITUENTS)")</f>
        <v>14</v>
      </c>
      <c r="H3" s="9">
        <f t="shared" ref="H3:H11" si="0">E3/$G3</f>
        <v>0.21428571428571427</v>
      </c>
      <c r="I3" s="9">
        <f t="shared" ref="I3:I11" si="1">F3/$G3</f>
        <v>0.35714285714285715</v>
      </c>
      <c r="J3" s="9">
        <f t="shared" ref="J3:J11" si="2">H3-I3</f>
        <v>-0.14285714285714288</v>
      </c>
      <c r="K3" s="5" cm="1">
        <f t="array" ref="K3">_xll.FDS(A3,"FMA_PCT_ABOVE_MAVG(200,0,,,,""PORTAGG"")")/100</f>
        <v>0.5</v>
      </c>
      <c r="L3" s="41" cm="1">
        <f t="array" ref="L3">_xll.FDSB(A3,"PERCENT_CHANGE(FMA_EPS(+1,0,,,,""PORTAGG"",""MEAN""),FMA_EPS(+1,-1AM,,,,""PORTAGG"",""MEAN""))")</f>
        <v>-3.8247479269626998</v>
      </c>
      <c r="M3" s="41" cm="1">
        <f t="array" ref="M3">_xll.FDSB(A3,"PERCENT_CHANGE(FMA_EPS(+1,0,,,,""PORTAGG"",""MEAN""),FMA_EPS(+1,-3AM,,,,""PORTAGG"",""MEAN""))")</f>
        <v>2.40075998245098</v>
      </c>
      <c r="N3" s="3" cm="1">
        <f t="array" ref="N3">_xll.FDS(C3,"FG_TOTAL_RETURNC(0,-1AM)")</f>
        <v>1.5735865</v>
      </c>
      <c r="O3" s="3" cm="1">
        <f t="array" ref="O3">_xll.FDS(C3,"FG_TOTAL_RETURNC(0,-3AM)")</f>
        <v>4.8142909999999999</v>
      </c>
      <c r="P3" s="3" cm="1">
        <f t="array" ref="P3">_xll.FDS(C3,"FG_TOTAL_RETURNC(0,-6AM)")</f>
        <v>-1.5956163000000001</v>
      </c>
      <c r="Q3" s="9" cm="1">
        <f t="array" ref="Q3">_xll.FDS(C3,"P_PRICE(0)/P_PRICE_HIGH_PR(0,,,,,,""PRICE"",""INTRA"",""52W"")")</f>
        <v>0.93530804000000001</v>
      </c>
      <c r="R3" s="9" cm="1">
        <f t="array" ref="R3">_xll.FDS(C3,"P_PRICE(0)/P_PRICE_low_PR(0,,,,,,""PRICE"",""INTRA"",""52W"")-1")</f>
        <v>0.116984844</v>
      </c>
      <c r="S3" s="3" cm="1">
        <f t="array" ref="S3">_xll.FDS(C3,"FG_TOTAL_RETURNC(0,-12AM)")</f>
        <v>-3.6734461999999999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50</v>
      </c>
      <c r="W3" s="4" cm="1">
        <f t="array" ref="W3">_xlfn.PERCENTRANK.EXC(_xlfn._xlws.FILTER($O$3:$O$15, ISNUMBER($O$3:$O$15)),O3)*100</f>
        <v>57.099999999999994</v>
      </c>
      <c r="X3" s="4" cm="1">
        <f t="array" ref="X3">_xlfn.PERCENTRANK.EXC(_xlfn._xlws.FILTER($P$3:$P$15, ISNUMBER($P$3:$P$15)),P3)*100</f>
        <v>14.2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21.4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42.8</v>
      </c>
      <c r="AC3" s="4">
        <f t="shared" ref="AC3:AC15" si="4">_xlfn.PERCENTRANK.EXC($L$3:$L$15,L3)*100</f>
        <v>14.2</v>
      </c>
      <c r="AD3" s="4">
        <f t="shared" ref="AD3:AD15" si="5">_xlfn.PERCENTRANK.EXC($M$3:$M$15,M3)*100</f>
        <v>78.5</v>
      </c>
      <c r="AE3" s="4">
        <f t="shared" ref="AE3:AE15" si="6">_xlfn.PERCENTRANK.EXC($D$3:$D$15,D3)*100</f>
        <v>7.1</v>
      </c>
      <c r="AF3" s="4">
        <f>'Economic Momentum'!Q4</f>
        <v>42.8</v>
      </c>
      <c r="AG3" s="4">
        <f ca="1">'Economic Momentum'!R4</f>
        <v>14.2</v>
      </c>
      <c r="AH3" s="4">
        <f t="shared" ref="AH3:AH15" ca="1" si="7">SUMPRODUCT($U$2:$AG$2,U3:AG3)</f>
        <v>41.389999999999993</v>
      </c>
      <c r="AJ3" s="3" cm="1">
        <f t="array" aca="1" ref="AJ3" ca="1">_xlfn.PERCENTRANK.EXC(_xlfn._xlws.FILTER($AH$3:$AH$15, ISNUMBER($AH$3:$AH$15)),AH3)*100</f>
        <v>35.699999999999996</v>
      </c>
      <c r="AK3">
        <f t="shared" ref="AK3:AK15" si="8">COUNTIF(V3:AB3,"&gt;70")</f>
        <v>0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1726282.3</v>
      </c>
      <c r="E4" cm="1">
        <f t="array" ref="E4">_xll.FDS(C4,"FMA_COS_UP(""EPS"",""1M"",+1,0,,,""PORTAGG"",""MEANR"")")</f>
        <v>19</v>
      </c>
      <c r="F4" cm="1">
        <f t="array" ref="F4">_xll.FDS(C4,"FMA_COS_DOWN(""EPS"",""1M"",+1,0,,,""PORTAGG"",""MEANR"")")</f>
        <v>33</v>
      </c>
      <c r="G4" cm="1">
        <f t="array" ref="G4">_xll.FDS(A4,"SIZE(FG_CONSTITUENTS)")</f>
        <v>59</v>
      </c>
      <c r="H4" s="9">
        <f t="shared" si="0"/>
        <v>0.32203389830508472</v>
      </c>
      <c r="I4" s="9">
        <f t="shared" si="1"/>
        <v>0.55932203389830504</v>
      </c>
      <c r="J4" s="9">
        <f t="shared" si="2"/>
        <v>-0.23728813559322032</v>
      </c>
      <c r="K4" s="5" cm="1">
        <f t="array" ref="K4">_xll.FDS(A4,"FMA_PCT_ABOVE_MAVG(200,0,,,,""PORTAGG"")")/100</f>
        <v>0.69491525423728806</v>
      </c>
      <c r="L4" s="41" cm="1">
        <f t="array" ref="L4">_xll.FDSB(A4,"PERCENT_CHANGE(FMA_EPS(+1,0,,,,""PORTAGG"",""MEAN""),FMA_EPS(+1,-1AM,,,,""PORTAGG"",""MEAN""))")</f>
        <v>-1.32015533109093</v>
      </c>
      <c r="M4" s="41" cm="1">
        <f t="array" ref="M4">_xll.FDSB(A4,"PERCENT_CHANGE(FMA_EPS(+1,0,,,,""PORTAGG"",""MEAN""),FMA_EPS(+1,-3AM,,,,""PORTAGG"",""MEAN""))")</f>
        <v>-1.6544328669380799</v>
      </c>
      <c r="N4" s="3" cm="1">
        <f t="array" ref="N4">_xll.FDS(C4,"FG_TOTAL_RETURNC(0,-1AM)")</f>
        <v>0.36976336999999998</v>
      </c>
      <c r="O4" s="3" cm="1">
        <f t="array" ref="O4">_xll.FDS(C4,"FG_TOTAL_RETURNC(0,-3AM)")</f>
        <v>6.4815880000000003</v>
      </c>
      <c r="P4" s="3" cm="1">
        <f t="array" ref="P4">_xll.FDS(C4,"FG_TOTAL_RETURNC(0,-6AM)")</f>
        <v>4.9117208000000003</v>
      </c>
      <c r="Q4" s="9" cm="1">
        <f t="array" ref="Q4">_xll.FDS(C4,"P_PRICE(0)/P_PRICE_HIGH_PR(0,,,,,,""PRICE"",""INTRA"",""52W"")")</f>
        <v>0.94800156000000002</v>
      </c>
      <c r="R4" s="9" cm="1">
        <f t="array" ref="R4">_xll.FDS(C4,"P_PRICE(0)/P_PRICE_low_PR(0,,,,,,""PRICE"",""INTRA"",""52W"")-1")</f>
        <v>0.19403719999999999</v>
      </c>
      <c r="S4" s="3" cm="1">
        <f t="array" ref="S4">_xll.FDS(C4,"FG_TOTAL_RETURNC(0,-12AM)")</f>
        <v>11.000835</v>
      </c>
      <c r="T4" s="4" cm="1">
        <f t="array" ref="T4">_xlfn.PERCENTRANK.EXC(_xlfn._xlws.FILTER($R$3:$R$15, ISNUMBER($R$3:$R$15)),R4)*100</f>
        <v>35.699999999999996</v>
      </c>
      <c r="U4" s="4">
        <f t="shared" si="3"/>
        <v>64.300000000000011</v>
      </c>
      <c r="V4" s="4" cm="1">
        <f t="array" ref="V4">_xlfn.PERCENTRANK.EXC(_xlfn._xlws.FILTER($Q$3:$Q$15, ISNUMBER($Q$3:$Q$15)),Q4)*100</f>
        <v>64.2</v>
      </c>
      <c r="W4" s="4" cm="1">
        <f t="array" ref="W4">_xlfn.PERCENTRANK.EXC(_xlfn._xlws.FILTER($O$3:$O$15, ISNUMBER($O$3:$O$15)),O4)*100</f>
        <v>71.399999999999991</v>
      </c>
      <c r="X4" s="4" cm="1">
        <f t="array" ref="X4">_xlfn.PERCENTRANK.EXC(_xlfn._xlws.FILTER($P$3:$P$15, ISNUMBER($P$3:$P$15)),P4)*100</f>
        <v>28.499999999999996</v>
      </c>
      <c r="Y4" s="201" cm="1">
        <f t="array" ref="Y4">_xlfn.PERCENTRANK.EXC(_xlfn._xlws.FILTER($S$3:$S$15, ISNUMBER($S$3:$S$15)),S4)*100</f>
        <v>57.099999999999994</v>
      </c>
      <c r="Z4" s="4" cm="1">
        <f t="array" ref="Z4">_xlfn.PERCENTRANK.EXC(_xlfn._xlws.FILTER($K$3:$K$15, ISNUMBER($K$3:$K$15)),K4)*100</f>
        <v>64.2</v>
      </c>
      <c r="AA4" s="4" cm="1">
        <f t="array" ref="AA4">_xlfn.PERCENTRANK.EXC(_xlfn._xlws.FILTER($H$3:$H$15, ISNUMBER($H$3:$H$15)),H4)*100</f>
        <v>35.699999999999996</v>
      </c>
      <c r="AB4" s="4" cm="1">
        <f t="array" ref="AB4">_xlfn.PERCENTRANK.EXC(_xlfn._xlws.FILTER($J$3:$J$15, ISNUMBER($J$3:$J$15)),J4)*100</f>
        <v>21.4</v>
      </c>
      <c r="AC4" s="4">
        <f t="shared" si="4"/>
        <v>21.4</v>
      </c>
      <c r="AD4" s="4">
        <f t="shared" si="5"/>
        <v>7.1</v>
      </c>
      <c r="AE4" s="4">
        <f t="shared" si="6"/>
        <v>35.699999999999996</v>
      </c>
      <c r="AF4" s="4">
        <f>'Economic Momentum'!Q5</f>
        <v>28.499999999999996</v>
      </c>
      <c r="AG4" s="4">
        <f ca="1">'Economic Momentum'!R5</f>
        <v>57.099999999999994</v>
      </c>
      <c r="AH4" s="4">
        <f t="shared" ca="1" si="7"/>
        <v>55.65</v>
      </c>
      <c r="AJ4" s="3" cm="1">
        <f t="array" aca="1" ref="AJ4" ca="1">_xlfn.PERCENTRANK.EXC(_xlfn._xlws.FILTER($AH$3:$AH$15, ISNUMBER($AH$3:$AH$15)),AH4)*100</f>
        <v>57.099999999999994</v>
      </c>
      <c r="AK4">
        <f t="shared" si="8"/>
        <v>1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2767319.8</v>
      </c>
      <c r="E5" cm="1">
        <f t="array" ref="E5">_xll.FDS(C5,"FMA_COS_UP(""EPS"",""1M"",+1,0,,,""PORTAGG"",""MEANR"")")</f>
        <v>38</v>
      </c>
      <c r="F5" cm="1">
        <f t="array" ref="F5">_xll.FDS(C5,"FMA_COS_DOWN(""EPS"",""1M"",+1,0,,,""PORTAGG"",""MEANR"")")</f>
        <v>34</v>
      </c>
      <c r="G5" cm="1">
        <f t="array" ref="G5">_xll.FDS(A5,"SIZE(FG_CONSTITUENTS)")</f>
        <v>88</v>
      </c>
      <c r="H5" s="9">
        <f t="shared" si="0"/>
        <v>0.43181818181818182</v>
      </c>
      <c r="I5" s="9">
        <f t="shared" si="1"/>
        <v>0.38636363636363635</v>
      </c>
      <c r="J5" s="9">
        <f t="shared" si="2"/>
        <v>4.545454545454547E-2</v>
      </c>
      <c r="K5" s="5" cm="1">
        <f t="array" ref="K5">_xll.FDS(A5,"FMA_PCT_ABOVE_MAVG(200,0,,,,""PORTAGG"")")/100</f>
        <v>0.75</v>
      </c>
      <c r="L5" s="41" cm="1">
        <f t="array" ref="L5">_xll.FDSB(A5,"PERCENT_CHANGE(FMA_EPS(+1,0,,,,""PORTAGG"",""MEAN""),FMA_EPS(+1,-1AM,,,,""PORTAGG"",""MEAN""))")</f>
        <v>-0.75200834854740595</v>
      </c>
      <c r="M5" s="41" cm="1">
        <f t="array" ref="M5">_xll.FDSB(A5,"PERCENT_CHANGE(FMA_EPS(+1,0,,,,""PORTAGG"",""MEAN""),FMA_EPS(+1,-3AM,,,,""PORTAGG"",""MEAN""))")</f>
        <v>-1.5415875038984299</v>
      </c>
      <c r="N5" s="3" cm="1">
        <f t="array" ref="N5">_xll.FDS(C5,"FG_TOTAL_RETURNC(0,-1AM)")</f>
        <v>3.0327559000000002</v>
      </c>
      <c r="O5" s="3" cm="1">
        <f t="array" ref="O5">_xll.FDS(C5,"FG_TOTAL_RETURNC(0,-3AM)")</f>
        <v>3.9801598</v>
      </c>
      <c r="P5" s="3" cm="1">
        <f t="array" ref="P5">_xll.FDS(C5,"FG_TOTAL_RETURNC(0,-6AM)")</f>
        <v>4.9460889999999997</v>
      </c>
      <c r="Q5" s="9" cm="1">
        <f t="array" ref="Q5">_xll.FDS(C5,"P_PRICE(0)/P_PRICE_HIGH_PR(0,,,,,,""PRICE"",""INTRA"",""52W"")")</f>
        <v>0.97227549999999996</v>
      </c>
      <c r="R5" s="9" cm="1">
        <f t="array" ref="R5">_xll.FDS(C5,"P_PRICE(0)/P_PRICE_low_PR(0,,,,,,""PRICE"",""INTRA"",""52W"")-1")</f>
        <v>0.21139764999999999</v>
      </c>
      <c r="S5" s="3" cm="1">
        <f t="array" ref="S5">_xll.FDS(C5,"FG_TOTAL_RETURNC(0,-12AM)")</f>
        <v>9.3026750000000007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50</v>
      </c>
      <c r="X5" s="4" cm="1">
        <f t="array" ref="X5">_xlfn.PERCENTRANK.EXC(_xlfn._xlws.FILTER($P$3:$P$15, ISNUMBER($P$3:$P$15)),P5)*100</f>
        <v>35.699999999999996</v>
      </c>
      <c r="Y5" s="201" cm="1">
        <f t="array" ref="Y5">_xlfn.PERCENTRANK.EXC(_xlfn._xlws.FILTER($S$3:$S$15, ISNUMBER($S$3:$S$15)),S5)*100</f>
        <v>35.699999999999996</v>
      </c>
      <c r="Z5" s="4" cm="1">
        <f t="array" ref="Z5">_xlfn.PERCENTRANK.EXC(_xlfn._xlws.FILTER($K$3:$K$15, ISNUMBER($K$3:$K$15)),K5)*100</f>
        <v>85.7</v>
      </c>
      <c r="AA5" s="4" cm="1">
        <f t="array" ref="AA5">_xlfn.PERCENTRANK.EXC(_xlfn._xlws.FILTER($H$3:$H$15, ISNUMBER($H$3:$H$15)),H5)*100</f>
        <v>71.399999999999991</v>
      </c>
      <c r="AB5" s="4" cm="1">
        <f t="array" ref="AB5">_xlfn.PERCENTRANK.EXC(_xlfn._xlws.FILTER($J$3:$J$15, ISNUMBER($J$3:$J$15)),J5)*100</f>
        <v>78.5</v>
      </c>
      <c r="AC5" s="4">
        <f t="shared" si="4"/>
        <v>42.8</v>
      </c>
      <c r="AD5" s="4">
        <f t="shared" si="5"/>
        <v>21.4</v>
      </c>
      <c r="AE5" s="4">
        <f t="shared" si="6"/>
        <v>57.099999999999994</v>
      </c>
      <c r="AF5" s="4">
        <f>'Economic Momentum'!Q6</f>
        <v>35.699999999999996</v>
      </c>
      <c r="AG5" s="4">
        <f ca="1">'Economic Momentum'!R6</f>
        <v>42.8</v>
      </c>
      <c r="AH5" s="4">
        <f t="shared" ca="1" si="7"/>
        <v>59.99</v>
      </c>
      <c r="AJ5" s="3" cm="1">
        <f t="array" aca="1" ref="AJ5" ca="1">_xlfn.PERCENTRANK.EXC(_xlfn._xlws.FILTER($AH$3:$AH$15, ISNUMBER($AH$3:$AH$15)),AH5)*100</f>
        <v>71.399999999999991</v>
      </c>
      <c r="AK5">
        <f t="shared" si="8"/>
        <v>4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2207710</v>
      </c>
      <c r="E6" cm="1">
        <f t="array" ref="E6">_xll.FDS(C6,"FMA_COS_UP(""EPS"",""1M"",+1,0,,,""PORTAGG"",""MEANR"")")</f>
        <v>24</v>
      </c>
      <c r="F6" cm="1">
        <f t="array" ref="F6">_xll.FDS(C6,"FMA_COS_DOWN(""EPS"",""1M"",+1,0,,,""PORTAGG"",""MEANR"")")</f>
        <v>29</v>
      </c>
      <c r="G6" cm="1">
        <f t="array" ref="G6">_xll.FDS(A6,"SIZE(FG_CONSTITUENTS)")</f>
        <v>58</v>
      </c>
      <c r="H6" s="9">
        <f t="shared" si="0"/>
        <v>0.41379310344827586</v>
      </c>
      <c r="I6" s="9">
        <f t="shared" si="1"/>
        <v>0.5</v>
      </c>
      <c r="J6" s="9">
        <f t="shared" si="2"/>
        <v>-8.6206896551724144E-2</v>
      </c>
      <c r="K6" s="5" cm="1">
        <f t="array" ref="K6">_xll.FDS(A6,"FMA_PCT_ABOVE_MAVG(200,0,,,,""PORTAGG"")")/100</f>
        <v>0.58620689655172398</v>
      </c>
      <c r="L6" s="41" cm="1">
        <f t="array" ref="L6">_xll.FDSB(A6,"PERCENT_CHANGE(FMA_EPS(+1,0,,,,""PORTAGG"",""MEAN""),FMA_EPS(+1,-1AM,,,,""PORTAGG"",""MEAN""))")</f>
        <v>-0.22067952082251099</v>
      </c>
      <c r="M6" s="41" cm="1">
        <f t="array" ref="M6">_xll.FDSB(A6,"PERCENT_CHANGE(FMA_EPS(+1,0,,,,""PORTAGG"",""MEAN""),FMA_EPS(+1,-3AM,,,,""PORTAGG"",""MEAN""))")</f>
        <v>0.76593344355758697</v>
      </c>
      <c r="N6" s="3" cm="1">
        <f t="array" ref="N6">_xll.FDS(C6,"FG_TOTAL_RETURNC(0,-1AM)")</f>
        <v>-1.332897</v>
      </c>
      <c r="O6" s="3" cm="1">
        <f t="array" ref="O6">_xll.FDS(C6,"FG_TOTAL_RETURNC(0,-3AM)")</f>
        <v>2.3317337</v>
      </c>
      <c r="P6" s="3" cm="1">
        <f t="array" ref="P6">_xll.FDS(C6,"FG_TOTAL_RETURNC(0,-6AM)")</f>
        <v>5.4190160000000001</v>
      </c>
      <c r="Q6" s="9" cm="1">
        <f t="array" ref="Q6">_xll.FDS(C6,"P_PRICE(0)/P_PRICE_HIGH_PR(0,,,,,,""PRICE"",""INTRA"",""52W"")")</f>
        <v>0.92678830000000001</v>
      </c>
      <c r="R6" s="9" cm="1">
        <f t="array" ref="R6">_xll.FDS(C6,"P_PRICE(0)/P_PRICE_low_PR(0,,,,,,""PRICE"",""INTRA"",""52W"")-1")</f>
        <v>0.22849631000000001</v>
      </c>
      <c r="S6" s="3" cm="1">
        <f t="array" ref="S6">_xll.FDS(C6,"FG_TOTAL_RETURNC(0,-12AM)")</f>
        <v>7.6132774000000003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42.8</v>
      </c>
      <c r="W6" s="4" cm="1">
        <f t="array" ref="W6">_xlfn.PERCENTRANK.EXC(_xlfn._xlws.FILTER($O$3:$O$15, ISNUMBER($O$3:$O$15)),O6)*100</f>
        <v>35.699999999999996</v>
      </c>
      <c r="X6" s="4" cm="1">
        <f t="array" ref="X6">_xlfn.PERCENTRANK.EXC(_xlfn._xlws.FILTER($P$3:$P$15, ISNUMBER($P$3:$P$15)),P6)*100</f>
        <v>57.099999999999994</v>
      </c>
      <c r="Y6" s="201" cm="1">
        <f t="array" ref="Y6">_xlfn.PERCENTRANK.EXC(_xlfn._xlws.FILTER($S$3:$S$15, ISNUMBER($S$3:$S$15)),S6)*100</f>
        <v>21.4</v>
      </c>
      <c r="Z6" s="4" cm="1">
        <f t="array" ref="Z6">_xlfn.PERCENTRANK.EXC(_xlfn._xlws.FILTER($K$3:$K$15, ISNUMBER($K$3:$K$15)),K6)*100</f>
        <v>35.699999999999996</v>
      </c>
      <c r="AA6" s="4" cm="1">
        <f t="array" ref="AA6">_xlfn.PERCENTRANK.EXC(_xlfn._xlws.FILTER($H$3:$H$15, ISNUMBER($H$3:$H$15)),H6)*100</f>
        <v>57.099999999999994</v>
      </c>
      <c r="AB6" s="4" cm="1">
        <f t="array" ref="AB6">_xlfn.PERCENTRANK.EXC(_xlfn._xlws.FILTER($J$3:$J$15, ISNUMBER($J$3:$J$15)),J6)*100</f>
        <v>50</v>
      </c>
      <c r="AC6" s="4">
        <f t="shared" si="4"/>
        <v>57.099999999999994</v>
      </c>
      <c r="AD6" s="4">
        <f t="shared" si="5"/>
        <v>64.2</v>
      </c>
      <c r="AE6" s="4">
        <f t="shared" si="6"/>
        <v>42.8</v>
      </c>
      <c r="AF6" s="4">
        <f>'Economic Momentum'!Q7</f>
        <v>7.1</v>
      </c>
      <c r="AG6" s="4">
        <f ca="1">'Economic Momentum'!R7</f>
        <v>64.2</v>
      </c>
      <c r="AH6" s="4">
        <f t="shared" ca="1" si="7"/>
        <v>44.959999999999994</v>
      </c>
      <c r="AJ6" s="3" cm="1">
        <f t="array" aca="1" ref="AJ6" ca="1">_xlfn.PERCENTRANK.EXC(_xlfn._xlws.FILTER($AH$3:$AH$15, ISNUMBER($AH$3:$AH$15)),AH6)*100</f>
        <v>50</v>
      </c>
      <c r="AK6">
        <f t="shared" si="8"/>
        <v>0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6543836</v>
      </c>
      <c r="E7" cm="1">
        <f t="array" ref="E7">_xll.FDS(C7,"FMA_COS_UP(""EPS"",""1M"",+1,0,,,""PORTAGG"",""MEANR"")")</f>
        <v>96</v>
      </c>
      <c r="F7" cm="1">
        <f t="array" ref="F7">_xll.FDS(C7,"FMA_COS_DOWN(""EPS"",""1M"",+1,0,,,""PORTAGG"",""MEANR"")")</f>
        <v>56</v>
      </c>
      <c r="G7" cm="1">
        <f t="array" ref="G7">_xll.FDS(A7,"SIZE(FG_CONSTITUENTS)")</f>
        <v>204</v>
      </c>
      <c r="H7" s="9">
        <f t="shared" si="0"/>
        <v>0.47058823529411764</v>
      </c>
      <c r="I7" s="9">
        <f t="shared" si="1"/>
        <v>0.27450980392156865</v>
      </c>
      <c r="J7" s="9">
        <f t="shared" si="2"/>
        <v>0.19607843137254899</v>
      </c>
      <c r="K7" s="5" cm="1">
        <f t="array" ref="K7">_xll.FDS(A7,"FMA_PCT_ABOVE_MAVG(200,0,,,,""PORTAGG"")")/100</f>
        <v>0.61274509803921606</v>
      </c>
      <c r="L7" s="41" cm="1">
        <f t="array" ref="L7">_xll.FDSB(A7,"PERCENT_CHANGE(FMA_EPS(+1,0,,,,""PORTAGG"",""MEAN""),FMA_EPS(+1,-1AM,,,,""PORTAGG"",""MEAN""))")</f>
        <v>5.15312271522793</v>
      </c>
      <c r="M7" s="41" cm="1">
        <f t="array" ref="M7">_xll.FDSB(A7,"PERCENT_CHANGE(FMA_EPS(+1,0,,,,""PORTAGG"",""MEAN""),FMA_EPS(+1,-3AM,,,,""PORTAGG"",""MEAN""))")</f>
        <v>2.74673692125041</v>
      </c>
      <c r="N7" s="3" cm="1">
        <f t="array" ref="N7">_xll.FDS(C7,"FG_TOTAL_RETURNC(0,-1AM)")</f>
        <v>-0.35403370000000001</v>
      </c>
      <c r="O7" s="3" cm="1">
        <f t="array" ref="O7">_xll.FDS(C7,"FG_TOTAL_RETURNC(0,-3AM)")</f>
        <v>1.4079094000000001</v>
      </c>
      <c r="P7" s="3" cm="1">
        <f t="array" ref="P7">_xll.FDS(C7,"FG_TOTAL_RETURNC(0,-6AM)")</f>
        <v>1.6958237</v>
      </c>
      <c r="Q7" s="9" cm="1">
        <f t="array" ref="Q7">_xll.FDS(C7,"P_PRICE(0)/P_PRICE_HIGH_PR(0,,,,,,""PRICE"",""INTRA"",""52W"")")</f>
        <v>0.93734824999999999</v>
      </c>
      <c r="R7" s="9" cm="1">
        <f t="array" ref="R7">_xll.FDS(C7,"P_PRICE(0)/P_PRICE_low_PR(0,,,,,,""PRICE"",""INTRA"",""52W"")-1")</f>
        <v>0.18094409</v>
      </c>
      <c r="S7" s="3" cm="1">
        <f t="array" ref="S7">_xll.FDS(C7,"FG_TOTAL_RETURNC(0,-12AM)")</f>
        <v>10.122978</v>
      </c>
      <c r="T7" s="4" cm="1">
        <f t="array" ref="T7">_xlfn.PERCENTRANK.EXC(_xlfn._xlws.FILTER($R$3:$R$15, ISNUMBER($R$3:$R$15)),R7)*100</f>
        <v>21.4</v>
      </c>
      <c r="U7" s="4">
        <f t="shared" si="3"/>
        <v>78.599999999999994</v>
      </c>
      <c r="V7" s="4" cm="1">
        <f t="array" ref="V7">_xlfn.PERCENTRANK.EXC(_xlfn._xlws.FILTER($Q$3:$Q$15, ISNUMBER($Q$3:$Q$15)),Q7)*100</f>
        <v>57.099999999999994</v>
      </c>
      <c r="W7" s="4" cm="1">
        <f t="array" ref="W7">_xlfn.PERCENTRANK.EXC(_xlfn._xlws.FILTER($O$3:$O$15, ISNUMBER($O$3:$O$15)),O7)*100</f>
        <v>21.4</v>
      </c>
      <c r="X7" s="4" cm="1">
        <f t="array" ref="X7">_xlfn.PERCENTRANK.EXC(_xlfn._xlws.FILTER($P$3:$P$15, ISNUMBER($P$3:$P$15)),P7)*100</f>
        <v>21.4</v>
      </c>
      <c r="Y7" s="201" cm="1">
        <f t="array" ref="Y7">_xlfn.PERCENTRANK.EXC(_xlfn._xlws.FILTER($S$3:$S$15, ISNUMBER($S$3:$S$15)),S7)*100</f>
        <v>50</v>
      </c>
      <c r="Z7" s="4" cm="1">
        <f t="array" ref="Z7">_xlfn.PERCENTRANK.EXC(_xlfn._xlws.FILTER($K$3:$K$15, ISNUMBER($K$3:$K$15)),K7)*100</f>
        <v>42.8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92.800000000000011</v>
      </c>
      <c r="AC7" s="4">
        <f t="shared" si="4"/>
        <v>92.800000000000011</v>
      </c>
      <c r="AD7" s="4">
        <f t="shared" si="5"/>
        <v>85.7</v>
      </c>
      <c r="AE7" s="4">
        <f t="shared" si="6"/>
        <v>78.5</v>
      </c>
      <c r="AF7" s="4">
        <f>'Economic Momentum'!Q8</f>
        <v>64.2</v>
      </c>
      <c r="AG7" s="4">
        <f ca="1">'Economic Momentum'!R8</f>
        <v>92.800000000000011</v>
      </c>
      <c r="AH7" s="4">
        <f t="shared" ca="1" si="7"/>
        <v>35.68</v>
      </c>
      <c r="AJ7" s="3" cm="1">
        <f t="array" aca="1" ref="AJ7" ca="1">_xlfn.PERCENTRANK.EXC(_xlfn._xlws.FILTER($AH$3:$AH$15, ISNUMBER($AH$3:$AH$15)),AH7)*100</f>
        <v>21.4</v>
      </c>
      <c r="AK7">
        <f t="shared" si="8"/>
        <v>2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2286576.5</v>
      </c>
      <c r="E8" cm="1">
        <f t="array" ref="E8">_xll.FDS(C8,"FMA_COS_UP(""EPS"",""1M"",+1,0,,,""PORTAGG"",""MEANR"")")</f>
        <v>21</v>
      </c>
      <c r="F8" cm="1">
        <f t="array" ref="F8">_xll.FDS(C8,"FMA_COS_DOWN(""EPS"",""1M"",+1,0,,,""PORTAGG"",""MEANR"")")</f>
        <v>19</v>
      </c>
      <c r="G8" cm="1">
        <f t="array" ref="G8">_xll.FDS(A8,"SIZE(FG_CONSTITUENTS)")</f>
        <v>46</v>
      </c>
      <c r="H8" s="9">
        <f t="shared" si="0"/>
        <v>0.45652173913043476</v>
      </c>
      <c r="I8" s="9">
        <f t="shared" si="1"/>
        <v>0.41304347826086957</v>
      </c>
      <c r="J8" s="9">
        <f t="shared" si="2"/>
        <v>4.3478260869565188E-2</v>
      </c>
      <c r="K8" s="5" cm="1">
        <f t="array" ref="K8">_xll.FDS(A8,"FMA_PCT_ABOVE_MAVG(200,0,,,,""PORTAGG"")")/100</f>
        <v>0.69565217391304301</v>
      </c>
      <c r="L8" s="41" cm="1">
        <f t="array" ref="L8">_xll.FDSB(A8,"PERCENT_CHANGE(FMA_EPS(+1,0,,,,""PORTAGG"",""MEAN""),FMA_EPS(+1,-1AM,,,,""PORTAGG"",""MEAN""))")</f>
        <v>1.5627970028982201</v>
      </c>
      <c r="M8" s="41" cm="1">
        <f t="array" ref="M8">_xll.FDSB(A8,"PERCENT_CHANGE(FMA_EPS(+1,0,,,,""PORTAGG"",""MEAN""),FMA_EPS(+1,-3AM,,,,""PORTAGG"",""MEAN""))")</f>
        <v>2.8565179860868501</v>
      </c>
      <c r="N8" s="3" cm="1">
        <f t="array" ref="N8">_xll.FDS(C8,"FG_TOTAL_RETURNC(0,-1AM)")</f>
        <v>4.1147112999999997</v>
      </c>
      <c r="O8" s="3" cm="1">
        <f t="array" ref="O8">_xll.FDS(C8,"FG_TOTAL_RETURNC(0,-3AM)")</f>
        <v>13.040792</v>
      </c>
      <c r="P8" s="3" cm="1">
        <f t="array" ref="P8">_xll.FDS(C8,"FG_TOTAL_RETURNC(0,-6AM)")</f>
        <v>6.8762302000000002</v>
      </c>
      <c r="Q8" s="9" cm="1">
        <f t="array" ref="Q8">_xll.FDS(C8,"P_PRICE(0)/P_PRICE_HIGH_PR(0,,,,,,""PRICE"",""INTRA"",""52W"")")</f>
        <v>0.98953190000000002</v>
      </c>
      <c r="R8" s="9" cm="1">
        <f t="array" ref="R8">_xll.FDS(C8,"P_PRICE(0)/P_PRICE_low_PR(0,,,,,,""PRICE"",""INTRA"",""52W"")-1")</f>
        <v>0.20577620999999999</v>
      </c>
      <c r="S8" s="3" cm="1">
        <f t="array" ref="S8">_xll.FDS(C8,"FG_TOTAL_RETURNC(0,-12AM)")</f>
        <v>8.3247780000000002</v>
      </c>
      <c r="T8" s="4" cm="1">
        <f t="array" ref="T8">_xlfn.PERCENTRANK.EXC(_xlfn._xlws.FILTER($R$3:$R$15, ISNUMBER($R$3:$R$15)),R8)*100</f>
        <v>42.8</v>
      </c>
      <c r="U8" s="4">
        <f t="shared" si="3"/>
        <v>57.2</v>
      </c>
      <c r="V8" s="4" cm="1">
        <f t="array" ref="V8">_xlfn.PERCENTRANK.EXC(_xlfn._xlws.FILTER($Q$3:$Q$15, ISNUMBER($Q$3:$Q$15)),Q8)*100</f>
        <v>92.800000000000011</v>
      </c>
      <c r="W8" s="4" cm="1">
        <f t="array" ref="W8">_xlfn.PERCENTRANK.EXC(_xlfn._xlws.FILTER($O$3:$O$15, ISNUMBER($O$3:$O$15)),O8)*100</f>
        <v>92.800000000000011</v>
      </c>
      <c r="X8" s="4" cm="1">
        <f t="array" ref="X8">_xlfn.PERCENTRANK.EXC(_xlfn._xlws.FILTER($P$3:$P$15, ISNUMBER($P$3:$P$15)),P8)*100</f>
        <v>64.2</v>
      </c>
      <c r="Y8" s="201" cm="1">
        <f t="array" ref="Y8">_xlfn.PERCENTRANK.EXC(_xlfn._xlws.FILTER($S$3:$S$15, ISNUMBER($S$3:$S$15)),S8)*100</f>
        <v>28.499999999999996</v>
      </c>
      <c r="Z8" s="4" cm="1">
        <f t="array" ref="Z8">_xlfn.PERCENTRANK.EXC(_xlfn._xlws.FILTER($K$3:$K$15, ISNUMBER($K$3:$K$15)),K8)*100</f>
        <v>71.399999999999991</v>
      </c>
      <c r="AA8" s="4" cm="1">
        <f t="array" ref="AA8">_xlfn.PERCENTRANK.EXC(_xlfn._xlws.FILTER($H$3:$H$15, ISNUMBER($H$3:$H$15)),H8)*100</f>
        <v>78.5</v>
      </c>
      <c r="AB8" s="4" cm="1">
        <f t="array" ref="AB8">_xlfn.PERCENTRANK.EXC(_xlfn._xlws.FILTER($J$3:$J$15, ISNUMBER($J$3:$J$15)),J8)*100</f>
        <v>71.399999999999991</v>
      </c>
      <c r="AC8" s="4">
        <f t="shared" si="4"/>
        <v>85.7</v>
      </c>
      <c r="AD8" s="4">
        <f t="shared" si="5"/>
        <v>92.800000000000011</v>
      </c>
      <c r="AE8" s="4">
        <f t="shared" si="6"/>
        <v>50</v>
      </c>
      <c r="AF8" s="4">
        <f>'Economic Momentum'!Q9</f>
        <v>42.8</v>
      </c>
      <c r="AG8" s="4">
        <f ca="1">'Economic Momentum'!R9</f>
        <v>35.699999999999996</v>
      </c>
      <c r="AH8" s="4">
        <f t="shared" ca="1" si="7"/>
        <v>84.220000000000013</v>
      </c>
      <c r="AJ8" s="3" cm="1">
        <f t="array" aca="1" ref="AJ8" ca="1">_xlfn.PERCENTRANK.EXC(_xlfn._xlws.FILTER($AH$3:$AH$15, ISNUMBER($AH$3:$AH$15)),AH8)*100</f>
        <v>92.800000000000011</v>
      </c>
      <c r="AK8">
        <f t="shared" si="8"/>
        <v>5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3293544.3</v>
      </c>
      <c r="E9" cm="1">
        <f t="array" ref="E9">_xll.FDS(C9,"FMA_COS_UP(""EPS"",""1M"",+1,0,,,""PORTAGG"",""MEANR"")")</f>
        <v>26</v>
      </c>
      <c r="F9" cm="1">
        <f t="array" ref="F9">_xll.FDS(C9,"FMA_COS_DOWN(""EPS"",""1M"",+1,0,,,""PORTAGG"",""MEANR"")")</f>
        <v>44</v>
      </c>
      <c r="G9" cm="1">
        <f t="array" ref="G9">_xll.FDS(A9,"SIZE(FG_CONSTITUENTS)")</f>
        <v>81</v>
      </c>
      <c r="H9" s="9">
        <f t="shared" si="0"/>
        <v>0.32098765432098764</v>
      </c>
      <c r="I9" s="9">
        <f t="shared" si="1"/>
        <v>0.54320987654320985</v>
      </c>
      <c r="J9" s="9">
        <f t="shared" si="2"/>
        <v>-0.22222222222222221</v>
      </c>
      <c r="K9" s="5" cm="1">
        <f t="array" ref="K9">_xll.FDS(A9,"FMA_PCT_ABOVE_MAVG(200,0,,,,""PORTAGG"")")/100</f>
        <v>0.6875</v>
      </c>
      <c r="L9" s="41" cm="1">
        <f t="array" ref="L9">_xll.FDSB(A9,"PERCENT_CHANGE(FMA_EPS(+1,0,,,,""PORTAGG"",""MEAN""),FMA_EPS(+1,-1AM,,,,""PORTAGG"",""MEAN""))")</f>
        <v>-0.19203124862805199</v>
      </c>
      <c r="M9" s="41" cm="1">
        <f t="array" ref="M9">_xll.FDSB(A9,"PERCENT_CHANGE(FMA_EPS(+1,0,,,,""PORTAGG"",""MEAN""),FMA_EPS(+1,-3AM,,,,""PORTAGG"",""MEAN""))")</f>
        <v>1.0754691909188501</v>
      </c>
      <c r="N9" s="3" cm="1">
        <f t="array" ref="N9">_xll.FDS(C9,"FG_TOTAL_RETURNC(0,-1AM)")</f>
        <v>2.4124026000000001</v>
      </c>
      <c r="O9" s="3" cm="1">
        <f t="array" ref="O9">_xll.FDS(C9,"FG_TOTAL_RETURNC(0,-3AM)")</f>
        <v>5.1123022999999996</v>
      </c>
      <c r="P9" s="3" cm="1">
        <f t="array" ref="P9">_xll.FDS(C9,"FG_TOTAL_RETURNC(0,-6AM)")</f>
        <v>10.916257</v>
      </c>
      <c r="Q9" s="9" cm="1">
        <f t="array" ref="Q9">_xll.FDS(C9,"P_PRICE(0)/P_PRICE_HIGH_PR(0,,,,,,""PRICE"",""INTRA"",""52W"")")</f>
        <v>0.96994424000000001</v>
      </c>
      <c r="R9" s="9" cm="1">
        <f t="array" ref="R9">_xll.FDS(C9,"P_PRICE(0)/P_PRICE_low_PR(0,,,,,,""PRICE"",""INTRA"",""52W"")-1")</f>
        <v>0.18314527999999999</v>
      </c>
      <c r="S9" s="3" cm="1">
        <f t="array" ref="S9">_xll.FDS(C9,"FG_TOTAL_RETURNC(0,-12AM)")</f>
        <v>12.6791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78.5</v>
      </c>
      <c r="W9" s="4" cm="1">
        <f t="array" ref="W9">_xlfn.PERCENTRANK.EXC(_xlfn._xlws.FILTER($O$3:$O$15, ISNUMBER($O$3:$O$15)),O9)*100</f>
        <v>64.2</v>
      </c>
      <c r="X9" s="4" cm="1">
        <f t="array" ref="X9">_xlfn.PERCENTRANK.EXC(_xlfn._xlws.FILTER($P$3:$P$15, ISNUMBER($P$3:$P$15)),P9)*100</f>
        <v>85.7</v>
      </c>
      <c r="Y9" s="201" cm="1">
        <f t="array" ref="Y9">_xlfn.PERCENTRANK.EXC(_xlfn._xlws.FILTER($S$3:$S$15, ISNUMBER($S$3:$S$15)),S9)*100</f>
        <v>64.2</v>
      </c>
      <c r="Z9" s="4" cm="1">
        <f t="array" ref="Z9">_xlfn.PERCENTRANK.EXC(_xlfn._xlws.FILTER($K$3:$K$15, ISNUMBER($K$3:$K$15)),K9)*100</f>
        <v>57.099999999999994</v>
      </c>
      <c r="AA9" s="4" cm="1">
        <f t="array" ref="AA9">_xlfn.PERCENTRANK.EXC(_xlfn._xlws.FILTER($H$3:$H$15, ISNUMBER($H$3:$H$15)),H9)*100</f>
        <v>28.499999999999996</v>
      </c>
      <c r="AB9" s="4" cm="1">
        <f t="array" ref="AB9">_xlfn.PERCENTRANK.EXC(_xlfn._xlws.FILTER($J$3:$J$15, ISNUMBER($J$3:$J$15)),J9)*100</f>
        <v>28.499999999999996</v>
      </c>
      <c r="AC9" s="4">
        <f t="shared" si="4"/>
        <v>64.2</v>
      </c>
      <c r="AD9" s="4">
        <f t="shared" si="5"/>
        <v>71.399999999999991</v>
      </c>
      <c r="AE9" s="4">
        <f t="shared" si="6"/>
        <v>71.399999999999991</v>
      </c>
      <c r="AF9" s="4">
        <f>'Economic Momentum'!Q10</f>
        <v>92.800000000000011</v>
      </c>
      <c r="AG9" s="4">
        <f ca="1">'Economic Momentum'!R10</f>
        <v>78.5</v>
      </c>
      <c r="AH9" s="4">
        <f t="shared" ca="1" si="7"/>
        <v>76.37</v>
      </c>
      <c r="AJ9" s="3" cm="1">
        <f t="array" aca="1" ref="AJ9" ca="1">_xlfn.PERCENTRANK.EXC(_xlfn._xlws.FILTER($AH$3:$AH$15, ISNUMBER($AH$3:$AH$15)),AH9)*100</f>
        <v>78.5</v>
      </c>
      <c r="AK9">
        <f t="shared" si="8"/>
        <v>2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56622704</v>
      </c>
      <c r="E10" cm="1">
        <f t="array" ref="E10">_xll.FDS(C10,"FMA_COS_UP(""EPS"",""1M"",+1,0,,,""PORTAGG"",""MEANR"")")</f>
        <v>41</v>
      </c>
      <c r="F10" cm="1">
        <f t="array" ref="F10">_xll.FDS(C10,"FMA_COS_DOWN(""EPS"",""1M"",+1,0,,,""PORTAGG"",""MEANR"")")</f>
        <v>39</v>
      </c>
      <c r="G10" cm="1">
        <f t="array" ref="G10">_xll.FDS(A10,"SIZE(FG_CONSTITUENTS)")</f>
        <v>102</v>
      </c>
      <c r="H10" s="9">
        <f t="shared" si="0"/>
        <v>0.40196078431372551</v>
      </c>
      <c r="I10" s="9">
        <f t="shared" si="1"/>
        <v>0.38235294117647056</v>
      </c>
      <c r="J10" s="9">
        <f t="shared" si="2"/>
        <v>1.9607843137254943E-2</v>
      </c>
      <c r="K10" s="5" cm="1">
        <f t="array" ref="K10">_xll.FDS(A10,"FMA_PCT_ABOVE_MAVG(200,0,,,,""PORTAGG"")")/100</f>
        <v>0.68627450980392202</v>
      </c>
      <c r="L10" s="41" cm="1">
        <f t="array" ref="L10">_xll.FDSB(A10,"PERCENT_CHANGE(FMA_EPS(+1,0,,,,""PORTAGG"",""MEAN""),FMA_EPS(+1,-1AM,,,,""PORTAGG"",""MEAN""))")</f>
        <v>-4.8245889795933201E-2</v>
      </c>
      <c r="M10" s="41" cm="1">
        <f t="array" ref="M10">_xll.FDSB(A10,"PERCENT_CHANGE(FMA_EPS(+1,0,,,,""PORTAGG"",""MEAN""),FMA_EPS(+1,-3AM,,,,""PORTAGG"",""MEAN""))")</f>
        <v>0.48746814250878101</v>
      </c>
      <c r="N10" s="3" cm="1">
        <f t="array" ref="N10">_xll.FDS(C10,"FG_TOTAL_RETURNC(0,-1AM)")</f>
        <v>-4.6190259999999999</v>
      </c>
      <c r="O10" s="3" cm="1">
        <f t="array" ref="O10">_xll.FDS(C10,"FG_TOTAL_RETURNC(0,-3AM)")</f>
        <v>9.2234130000000007</v>
      </c>
      <c r="P10" s="3" cm="1">
        <f t="array" ref="P10">_xll.FDS(C10,"FG_TOTAL_RETURNC(0,-6AM)")</f>
        <v>9.2732670000000006</v>
      </c>
      <c r="Q10" s="9" cm="1">
        <f t="array" ref="Q10">_xll.FDS(C10,"P_PRICE(0)/P_PRICE_HIGH_PR(0,,,,,,""PRICE"",""INTRA"",""52W"")")</f>
        <v>0.91289324000000005</v>
      </c>
      <c r="R10" s="9" cm="1">
        <f t="array" ref="R10">_xll.FDS(C10,"P_PRICE(0)/P_PRICE_low_PR(0,,,,,,""PRICE"",""INTRA"",""52W"")-1")</f>
        <v>0.34266101999999998</v>
      </c>
      <c r="S10" s="3" cm="1">
        <f t="array" ref="S10">_xll.FDS(C10,"FG_TOTAL_RETURNC(0,-12AM)")</f>
        <v>20.908950000000001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21.4</v>
      </c>
      <c r="W10" s="4" cm="1">
        <f t="array" ref="W10">_xlfn.PERCENTRANK.EXC(_xlfn._xlws.FILTER($O$3:$O$15, ISNUMBER($O$3:$O$15)),O10)*100</f>
        <v>85.7</v>
      </c>
      <c r="X10" s="4" cm="1">
        <f t="array" ref="X10">_xlfn.PERCENTRANK.EXC(_xlfn._xlws.FILTER($P$3:$P$15, ISNUMBER($P$3:$P$15)),P10)*100</f>
        <v>78.5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50</v>
      </c>
      <c r="AB10" s="4" cm="1">
        <f t="array" ref="AB10">_xlfn.PERCENTRANK.EXC(_xlfn._xlws.FILTER($J$3:$J$15, ISNUMBER($J$3:$J$15)),J10)*100</f>
        <v>64.2</v>
      </c>
      <c r="AC10" s="4">
        <f t="shared" si="4"/>
        <v>71.399999999999991</v>
      </c>
      <c r="AD10" s="4">
        <f t="shared" si="5"/>
        <v>57.099999999999994</v>
      </c>
      <c r="AE10" s="4">
        <f t="shared" si="6"/>
        <v>85.7</v>
      </c>
      <c r="AF10" s="4">
        <f>'Economic Momentum'!Q11</f>
        <v>78.5</v>
      </c>
      <c r="AG10" s="4">
        <f ca="1">'Economic Momentum'!R11</f>
        <v>21.4</v>
      </c>
      <c r="AH10" s="4">
        <f t="shared" ca="1" si="7"/>
        <v>57.820000000000007</v>
      </c>
      <c r="AJ10" s="3" cm="1">
        <f t="array" aca="1" ref="AJ10" ca="1">_xlfn.PERCENTRANK.EXC(_xlfn._xlws.FILTER($AH$3:$AH$15, ISNUMBER($AH$3:$AH$15)),AH10)*100</f>
        <v>64.2</v>
      </c>
      <c r="AK10">
        <f t="shared" si="8"/>
        <v>3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56622704</v>
      </c>
      <c r="E11" cm="1">
        <f t="array" ref="E11">_xll.FDS(C11,"FMA_COS_UP(""EPS"",""1M"",+1,0,,,""PORTAGG"",""MEANR"")")</f>
        <v>209</v>
      </c>
      <c r="F11" cm="1">
        <f t="array" ref="F11">_xll.FDS(C11,"FMA_COS_DOWN(""EPS"",""1M"",+1,0,,,""PORTAGG"",""MEANR"")")</f>
        <v>207</v>
      </c>
      <c r="G11" cm="1">
        <f t="array" ref="G11">_xll.FDS(A11,"SIZE(FG_CONSTITUENTS)")</f>
        <v>503</v>
      </c>
      <c r="H11" s="9">
        <f t="shared" si="0"/>
        <v>0.41550695825049699</v>
      </c>
      <c r="I11" s="9">
        <f t="shared" si="1"/>
        <v>0.41153081510934392</v>
      </c>
      <c r="J11" s="9">
        <f t="shared" si="2"/>
        <v>3.9761431411530768E-3</v>
      </c>
      <c r="K11" s="5" cm="1">
        <f t="array" ref="K11">_xll.FDS(A11,"FMA_PCT_ABOVE_MAVG(200,0,,,,""PORTAGG"")")/100</f>
        <v>0.75049900199600794</v>
      </c>
      <c r="L11" s="41" cm="1">
        <f t="array" ref="L11">_xll.FDSB(A11,"PERCENT_CHANGE(FMA_EPS(+1,0,,,,""PORTAGG"",""MEAN""),FMA_EPS(+1,-1AM,,,,""PORTAGG"",""MEAN""))")</f>
        <v>-3.3822353178206699E-2</v>
      </c>
      <c r="M11" s="41" cm="1">
        <f t="array" ref="M11">_xll.FDSB(A11,"PERCENT_CHANGE(FMA_EPS(+1,0,,,,""PORTAGG"",""MEAN""),FMA_EPS(+1,-3AM,,,,""PORTAGG"",""MEAN""))")</f>
        <v>-0.15417724644290201</v>
      </c>
      <c r="N11" s="3" cm="1">
        <f t="array" ref="N11">_xll.FDS(C11,"FG_TOTAL_RETURNC(0,-1AM)")</f>
        <v>-0.42725800000000003</v>
      </c>
      <c r="O11" s="3" cm="1">
        <f t="array" ref="O11">_xll.FDS(C11,"FG_TOTAL_RETURNC(0,-3AM)")</f>
        <v>8.8766339999999992</v>
      </c>
      <c r="P11" s="3" cm="1">
        <f t="array" ref="P11">_xll.FDS(C11,"FG_TOTAL_RETURNC(0,-6AM)")</f>
        <v>11.706543</v>
      </c>
      <c r="Q11" s="9" cm="1">
        <f t="array" ref="Q11">_xll.FDS(C11,"P_PRICE(0)/P_PRICE_HIGH_PR(0,,,,,,""PRICE"",""INTRA"",""52W"")")</f>
        <v>0.96080759999999998</v>
      </c>
      <c r="R11" s="9" cm="1">
        <f t="array" ref="R11">_xll.FDS(C11,"P_PRICE(0)/P_PRICE_low_PR(0,,,,,,""PRICE"",""INTRA"",""52W"")-1")</f>
        <v>0.32697153000000001</v>
      </c>
      <c r="S11" s="3" cm="1">
        <f t="array" ref="S11">_xll.FDS(C11,"FG_TOTAL_RETURNC(0,-12AM)")</f>
        <v>20.62894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71.399999999999991</v>
      </c>
      <c r="W11" s="4" cm="1">
        <f t="array" ref="W11">_xlfn.PERCENTRANK.EXC(_xlfn._xlws.FILTER($O$3:$O$15, ISNUMBER($O$3:$O$15)),O11)*100</f>
        <v>78.5</v>
      </c>
      <c r="X11" s="4" cm="1">
        <f t="array" ref="X11">_xlfn.PERCENTRANK.EXC(_xlfn._xlws.FILTER($P$3:$P$15, ISNUMBER($P$3:$P$15)),P11)*100</f>
        <v>92.800000000000011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92.800000000000011</v>
      </c>
      <c r="AA11" s="4" cm="1">
        <f t="array" ref="AA11">_xlfn.PERCENTRANK.EXC(_xlfn._xlws.FILTER($H$3:$H$15, ISNUMBER($H$3:$H$15)),H11)*100</f>
        <v>64.2</v>
      </c>
      <c r="AB11" s="4" cm="1">
        <f t="array" ref="AB11">_xlfn.PERCENTRANK.EXC(_xlfn._xlws.FILTER($J$3:$J$15, ISNUMBER($J$3:$J$15)),J11)*100</f>
        <v>57.099999999999994</v>
      </c>
      <c r="AC11" s="4">
        <f t="shared" si="4"/>
        <v>78.5</v>
      </c>
      <c r="AD11" s="4">
        <f t="shared" si="5"/>
        <v>50</v>
      </c>
      <c r="AE11" s="4">
        <f t="shared" si="6"/>
        <v>85.7</v>
      </c>
      <c r="AF11" s="4">
        <f>'Economic Momentum'!Q12</f>
        <v>78.5</v>
      </c>
      <c r="AG11" s="4">
        <f ca="1">'Economic Momentum'!R12</f>
        <v>21.4</v>
      </c>
      <c r="AH11" s="4">
        <f t="shared" ca="1" si="7"/>
        <v>79.95</v>
      </c>
      <c r="AJ11" s="3" cm="1">
        <f t="array" aca="1" ref="AJ11" ca="1">_xlfn.PERCENTRANK.EXC(_xlfn._xlws.FILTER($AH$3:$AH$15, ISNUMBER($AH$3:$AH$15)),AH11)*100</f>
        <v>85.7</v>
      </c>
      <c r="AK11">
        <f t="shared" si="8"/>
        <v>5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3071635.5</v>
      </c>
      <c r="E12" cm="1">
        <f t="array" ref="E12">_xll.FDS(C12,"FMA_COS_UP(""EPS"",""1M"",+1,0,,,""PORTAGG"",""MEANR"")")</f>
        <v>15</v>
      </c>
      <c r="F12" cm="1">
        <f t="array" ref="F12">_xll.FDS(C12,"FMA_COS_DOWN(""EPS"",""1M"",+1,0,,,""PORTAGG"",""MEANR"")")</f>
        <v>40</v>
      </c>
      <c r="G12" cm="1">
        <f t="array" ref="G12">_xll.FDS(A12,"SIZE(FG_CONSTITUENTS)")</f>
        <v>62</v>
      </c>
      <c r="H12" s="9">
        <f t="shared" ref="H12:H15" si="9">E12/$G12</f>
        <v>0.24193548387096775</v>
      </c>
      <c r="I12" s="9">
        <f t="shared" ref="I12:I15" si="10">F12/$G12</f>
        <v>0.64516129032258063</v>
      </c>
      <c r="J12" s="9">
        <f t="shared" ref="J12:J15" si="11">H12-I12</f>
        <v>-0.40322580645161288</v>
      </c>
      <c r="K12" s="5" cm="1">
        <f t="array" ref="K12">_xll.FDS(A12,"FMA_PCT_ABOVE_MAVG(200,0,,,,""PORTAGG"")")/100</f>
        <v>0.43548387096774199</v>
      </c>
      <c r="L12" s="41" cm="1">
        <f t="array" ref="L12">_xll.FDSB(A12,"PERCENT_CHANGE(FMA_EPS(+1,0,,,,""PORTAGG"",""MEAN""),FMA_EPS(+1,-1AM,,,,""PORTAGG"",""MEAN""))")</f>
        <v>-1.01124248631536</v>
      </c>
      <c r="M12" s="41" cm="1">
        <f t="array" ref="M12">_xll.FDSB(A12,"PERCENT_CHANGE(FMA_EPS(+1,0,,,,""PORTAGG"",""MEAN""),FMA_EPS(+1,-3AM,,,,""PORTAGG"",""MEAN""))")</f>
        <v>-0.76722655646092897</v>
      </c>
      <c r="N12" s="3" cm="1">
        <f t="array" ref="N12">_xll.FDS(C12,"FG_TOTAL_RETURNC(0,-1AM)")</f>
        <v>-2.1943570000000001</v>
      </c>
      <c r="O12" s="3" cm="1">
        <f t="array" ref="O12">_xll.FDS(C12,"FG_TOTAL_RETURNC(0,-3AM)")</f>
        <v>-3.9614796999999999</v>
      </c>
      <c r="P12" s="3" cm="1">
        <f t="array" ref="P12">_xll.FDS(C12,"FG_TOTAL_RETURNC(0,-6AM)")</f>
        <v>-1.6689837000000001</v>
      </c>
      <c r="Q12" s="9" cm="1">
        <f t="array" ref="Q12">_xll.FDS(C12,"P_PRICE(0)/P_PRICE_HIGH_PR(0,,,,,,""PRICE"",""INTRA"",""52W"")")</f>
        <v>0.87887320000000002</v>
      </c>
      <c r="R12" s="9" cm="1">
        <f t="array" ref="R12">_xll.FDS(C12,"P_PRICE(0)/P_PRICE_low_PR(0,,,,,,""PRICE"",""INTRA"",""52W"")-1")</f>
        <v>0.11229944</v>
      </c>
      <c r="S12" s="3" cm="1">
        <f t="array" ref="S12">_xll.FDS(C12,"FG_TOTAL_RETURNC(0,-12AM)")</f>
        <v>-0.26054381999999998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7.1</v>
      </c>
      <c r="Y12" s="201" cm="1">
        <f t="array" ref="Y12">_xlfn.PERCENTRANK.EXC(_xlfn._xlws.FILTER($S$3:$S$15, ISNUMBER($S$3:$S$15)),S12)*100</f>
        <v>14.2</v>
      </c>
      <c r="Z12" s="4" cm="1">
        <f t="array" ref="Z12">_xlfn.PERCENTRANK.EXC(_xlfn._xlws.FILTER($K$3:$K$15, ISNUMBER($K$3:$K$15)),K12)*100</f>
        <v>7.1</v>
      </c>
      <c r="AA12" s="4" cm="1">
        <f t="array" ref="AA12">_xlfn.PERCENTRANK.EXC(_xlfn._xlws.FILTER($H$3:$H$15, ISNUMBER($H$3:$H$15)),H12)*100</f>
        <v>14.2</v>
      </c>
      <c r="AB12" s="4" cm="1">
        <f t="array" ref="AB12">_xlfn.PERCENTRANK.EXC(_xlfn._xlws.FILTER($J$3:$J$15, ISNUMBER($J$3:$J$15)),J12)*100</f>
        <v>7.1</v>
      </c>
      <c r="AC12" s="4">
        <f t="shared" si="4"/>
        <v>35.699999999999996</v>
      </c>
      <c r="AD12" s="4">
        <f t="shared" si="5"/>
        <v>35.699999999999996</v>
      </c>
      <c r="AE12" s="4">
        <f t="shared" si="6"/>
        <v>64.2</v>
      </c>
      <c r="AF12" s="4">
        <f>'Economic Momentum'!Q13</f>
        <v>14.2</v>
      </c>
      <c r="AG12" s="4">
        <f ca="1">'Economic Momentum'!R13</f>
        <v>50</v>
      </c>
      <c r="AH12" s="4">
        <f t="shared" ca="1" si="7"/>
        <v>7.1</v>
      </c>
      <c r="AJ12" s="3" cm="1">
        <f t="array" aca="1" ref="AJ12" ca="1">_xlfn.PERCENTRANK.EXC(_xlfn._xlws.FILTER($AH$3:$AH$15, ISNUMBER($AH$3:$AH$15)),AH12)*100</f>
        <v>7.1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1086852.8</v>
      </c>
      <c r="E13" cm="1">
        <f t="array" ref="E13">_xll.FDS(C13,"FMA_COS_UP(""EPS"",""1M"",+1,0,,,""PORTAGG"",""MEANR"")")</f>
        <v>18</v>
      </c>
      <c r="F13" cm="1">
        <f t="array" ref="F13">_xll.FDS(C13,"FMA_COS_DOWN(""EPS"",""1M"",+1,0,,,""PORTAGG"",""MEANR"")")</f>
        <v>26</v>
      </c>
      <c r="G13" cm="1">
        <f t="array" ref="G13">_xll.FDS(A13,"SIZE(FG_CONSTITUENTS)")</f>
        <v>53</v>
      </c>
      <c r="H13" s="9">
        <f t="shared" si="9"/>
        <v>0.33962264150943394</v>
      </c>
      <c r="I13" s="9">
        <f t="shared" si="10"/>
        <v>0.49056603773584906</v>
      </c>
      <c r="J13" s="9">
        <f t="shared" si="11"/>
        <v>-0.15094339622641512</v>
      </c>
      <c r="K13" s="5" cm="1">
        <f t="array" ref="K13">_xll.FDS(A13,"FMA_PCT_ABOVE_MAVG(200,0,,,,""PORTAGG"")")/100</f>
        <v>0.49056603773584895</v>
      </c>
      <c r="L13" s="41" cm="1">
        <f t="array" ref="L13">_xll.FDSB(A13,"PERCENT_CHANGE(FMA_EPS(+1,0,,,,""PORTAGG"",""MEAN""),FMA_EPS(+1,-1AM,,,,""PORTAGG"",""MEAN""))")</f>
        <v>-0.44351148322612799</v>
      </c>
      <c r="M13" s="41" cm="1">
        <f t="array" ref="M13">_xll.FDSB(A13,"PERCENT_CHANGE(FMA_EPS(+1,0,,,,""PORTAGG"",""MEAN""),FMA_EPS(+1,-3AM,,,,""PORTAGG"",""MEAN""))")</f>
        <v>-1.5588751340383999</v>
      </c>
      <c r="N13" s="3" cm="1">
        <f t="array" ref="N13">_xll.FDS(C13,"FG_TOTAL_RETURNC(0,-1AM)")</f>
        <v>-5.1337957000000003</v>
      </c>
      <c r="O13" s="3" cm="1">
        <f t="array" ref="O13">_xll.FDS(C13,"FG_TOTAL_RETURNC(0,-3AM)")</f>
        <v>1.6804934</v>
      </c>
      <c r="P13" s="3" cm="1">
        <f t="array" ref="P13">_xll.FDS(C13,"FG_TOTAL_RETURNC(0,-6AM)")</f>
        <v>5.0117609999999999</v>
      </c>
      <c r="Q13" s="9" cm="1">
        <f t="array" ref="Q13">_xll.FDS(C13,"P_PRICE(0)/P_PRICE_HIGH_PR(0,,,,,,""PRICE"",""INTRA"",""52W"")")</f>
        <v>0.90250799999999998</v>
      </c>
      <c r="R13" s="9" cm="1">
        <f t="array" ref="R13">_xll.FDS(C13,"P_PRICE(0)/P_PRICE_low_PR(0,,,,,,""PRICE"",""INTRA"",""52W"")-1")</f>
        <v>0.31882060000000001</v>
      </c>
      <c r="S13" s="3" cm="1">
        <f t="array" ref="S13">_xll.FDS(C13,"FG_TOTAL_RETURNC(0,-12AM)")</f>
        <v>9.7571010000000005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14.2</v>
      </c>
      <c r="W13" s="4" cm="1">
        <f t="array" ref="W13">_xlfn.PERCENTRANK.EXC(_xlfn._xlws.FILTER($O$3:$O$15, ISNUMBER($O$3:$O$15)),O13)*100</f>
        <v>28.499999999999996</v>
      </c>
      <c r="X13" s="4" cm="1">
        <f t="array" ref="X13">_xlfn.PERCENTRANK.EXC(_xlfn._xlws.FILTER($P$3:$P$15, ISNUMBER($P$3:$P$15)),P13)*100</f>
        <v>42.8</v>
      </c>
      <c r="Y13" s="201" cm="1">
        <f t="array" ref="Y13">_xlfn.PERCENTRANK.EXC(_xlfn._xlws.FILTER($S$3:$S$15, ISNUMBER($S$3:$S$15)),S13)*100</f>
        <v>42.8</v>
      </c>
      <c r="Z13" s="4" cm="1">
        <f t="array" ref="Z13">_xlfn.PERCENTRANK.EXC(_xlfn._xlws.FILTER($K$3:$K$15, ISNUMBER($K$3:$K$15)),K13)*100</f>
        <v>14.2</v>
      </c>
      <c r="AA13" s="4" cm="1">
        <f t="array" ref="AA13">_xlfn.PERCENTRANK.EXC(_xlfn._xlws.FILTER($H$3:$H$15, ISNUMBER($H$3:$H$15)),H13)*100</f>
        <v>42.8</v>
      </c>
      <c r="AB13" s="4" cm="1">
        <f t="array" ref="AB13">_xlfn.PERCENTRANK.EXC(_xlfn._xlws.FILTER($J$3:$J$15, ISNUMBER($J$3:$J$15)),J13)*100</f>
        <v>35.699999999999996</v>
      </c>
      <c r="AC13" s="4">
        <f t="shared" si="4"/>
        <v>50</v>
      </c>
      <c r="AD13" s="4">
        <f t="shared" si="5"/>
        <v>14.2</v>
      </c>
      <c r="AE13" s="4">
        <f t="shared" si="6"/>
        <v>28.499999999999996</v>
      </c>
      <c r="AF13" s="4">
        <f>'Economic Momentum'!Q14</f>
        <v>71.399999999999991</v>
      </c>
      <c r="AG13" s="4">
        <f ca="1">'Economic Momentum'!R14</f>
        <v>85.7</v>
      </c>
      <c r="AH13" s="4">
        <f t="shared" ca="1" si="7"/>
        <v>27.069999999999997</v>
      </c>
      <c r="AJ13" s="3" cm="1">
        <f t="array" aca="1" ref="AJ13" ca="1">_xlfn.PERCENTRANK.EXC(_xlfn._xlws.FILTER($AH$3:$AH$15, ISNUMBER($AH$3:$AH$15)),AH13)*100</f>
        <v>14.2</v>
      </c>
      <c r="AK13">
        <f t="shared" si="8"/>
        <v>0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1009498.56</v>
      </c>
      <c r="E14" cm="1">
        <f t="array" ref="E14">_xll.FDS(C14,"FMA_COS_UP(""EPS"",""1M"",+1,0,,,""PORTAGG"",""MEANR"")")</f>
        <v>11</v>
      </c>
      <c r="F14" cm="1">
        <f t="array" ref="F14">_xll.FDS(C14,"FMA_COS_DOWN(""EPS"",""1M"",+1,0,,,""PORTAGG"",""MEANR"")")</f>
        <v>26</v>
      </c>
      <c r="G14" cm="1">
        <f t="array" ref="G14">_xll.FDS(A14,"SIZE(FG_CONSTITUENTS)")</f>
        <v>45</v>
      </c>
      <c r="H14" s="9">
        <f t="shared" si="9"/>
        <v>0.24444444444444444</v>
      </c>
      <c r="I14" s="9">
        <f t="shared" si="10"/>
        <v>0.57777777777777772</v>
      </c>
      <c r="J14" s="9">
        <f t="shared" si="11"/>
        <v>-0.33333333333333326</v>
      </c>
      <c r="K14" s="5" cm="1">
        <f t="array" ref="K14">_xll.FDS(A14,"FMA_PCT_ABOVE_MAVG(200,0,,,,""PORTAGG"")")/100</f>
        <v>0.70454545454545492</v>
      </c>
      <c r="L14" s="41" cm="1">
        <f t="array" ref="L14">_xll.FDSB(A14,"PERCENT_CHANGE(FMA_EPS(+1,0,,,,""PORTAGG"",""MEAN""),FMA_EPS(+1,-1AM,,,,""PORTAGG"",""MEAN""))")</f>
        <v>-4.1310846248292004</v>
      </c>
      <c r="M14" s="41" cm="1">
        <f t="array" ref="M14">_xll.FDSB(A14,"PERCENT_CHANGE(FMA_EPS(+1,0,,,,""PORTAGG"",""MEAN""),FMA_EPS(+1,-3AM,,,,""PORTAGG"",""MEAN""))")</f>
        <v>-0.64334037106889896</v>
      </c>
      <c r="N14" s="3" cm="1">
        <f t="array" ref="N14">_xll.FDS(C14,"FG_TOTAL_RETURNC(0,-1AM)")</f>
        <v>-2.6517987000000001</v>
      </c>
      <c r="O14" s="3" cm="1">
        <f t="array" ref="O14">_xll.FDS(C14,"FG_TOTAL_RETURNC(0,-3AM)")</f>
        <v>3.5892487000000002</v>
      </c>
      <c r="P14" s="3" cm="1">
        <f t="array" ref="P14">_xll.FDS(C14,"FG_TOTAL_RETURNC(0,-6AM)")</f>
        <v>5.3389670000000002</v>
      </c>
      <c r="Q14" s="9" cm="1">
        <f t="array" ref="Q14">_xll.FDS(C14,"P_PRICE(0)/P_PRICE_HIGH_PR(0,,,,,,""PRICE"",""INTRA"",""52W"")")</f>
        <v>0.92098469999999999</v>
      </c>
      <c r="R14" s="9" cm="1">
        <f t="array" ref="R14">_xll.FDS(C14,"P_PRICE(0)/P_PRICE_low_PR(0,,,,,,""PRICE"",""INTRA"",""52W"")-1")</f>
        <v>0.28010427999999998</v>
      </c>
      <c r="S14" s="3" cm="1">
        <f t="array" ref="S14">_xll.FDS(C14,"FG_TOTAL_RETURNC(0,-12AM)")</f>
        <v>15.663338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35.699999999999996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50</v>
      </c>
      <c r="Y14" s="201" cm="1">
        <f t="array" ref="Y14">_xlfn.PERCENTRANK.EXC(_xlfn._xlws.FILTER($S$3:$S$15, ISNUMBER($S$3:$S$15)),S14)*100</f>
        <v>78.5</v>
      </c>
      <c r="Z14" s="4" cm="1">
        <f t="array" ref="Z14">_xlfn.PERCENTRANK.EXC(_xlfn._xlws.FILTER($K$3:$K$15, ISNUMBER($K$3:$K$15)),K14)*100</f>
        <v>78.5</v>
      </c>
      <c r="AA14" s="4" cm="1">
        <f t="array" ref="AA14">_xlfn.PERCENTRANK.EXC(_xlfn._xlws.FILTER($H$3:$H$15, ISNUMBER($H$3:$H$15)),H14)*100</f>
        <v>21.4</v>
      </c>
      <c r="AB14" s="4" cm="1">
        <f t="array" ref="AB14">_xlfn.PERCENTRANK.EXC(_xlfn._xlws.FILTER($J$3:$J$15, ISNUMBER($J$3:$J$15)),J14)*100</f>
        <v>14.2</v>
      </c>
      <c r="AC14" s="4">
        <f t="shared" si="4"/>
        <v>7.1</v>
      </c>
      <c r="AD14" s="4">
        <f t="shared" si="5"/>
        <v>42.8</v>
      </c>
      <c r="AE14" s="4">
        <f t="shared" si="6"/>
        <v>21.4</v>
      </c>
      <c r="AF14" s="4">
        <f>'Economic Momentum'!Q15</f>
        <v>42.8</v>
      </c>
      <c r="AG14" s="4">
        <f ca="1">'Economic Momentum'!R15</f>
        <v>71.399999999999991</v>
      </c>
      <c r="AH14" s="4">
        <f t="shared" ca="1" si="7"/>
        <v>42.12</v>
      </c>
      <c r="AJ14" s="3" cm="1">
        <f t="array" aca="1" ref="AJ14" ca="1">_xlfn.PERCENTRANK.EXC(_xlfn._xlws.FILTER($AH$3:$AH$15, ISNUMBER($AH$3:$AH$15)),AH14)*100</f>
        <v>42.8</v>
      </c>
      <c r="AK14">
        <f t="shared" si="8"/>
        <v>2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844337.1</v>
      </c>
      <c r="E15" cm="1">
        <f t="array" ref="E15">_xll.FDS(C15,"FMA_COS_UP(""EPS"",""1M"",+1,0,,,""PORTAGG"",""MEANR"")")</f>
        <v>14</v>
      </c>
      <c r="F15" cm="1">
        <f t="array" ref="F15">_xll.FDS(C15,"FMA_COS_DOWN(""EPS"",""1M"",+1,0,,,""PORTAGG"",""MEANR"")")</f>
        <v>9</v>
      </c>
      <c r="G15" cm="1">
        <f t="array" ref="G15">_xll.FDS(A15,"SIZE(FG_CONSTITUENTS)")</f>
        <v>26</v>
      </c>
      <c r="H15" s="9">
        <f t="shared" si="9"/>
        <v>0.53846153846153844</v>
      </c>
      <c r="I15" s="9">
        <f t="shared" si="10"/>
        <v>0.34615384615384615</v>
      </c>
      <c r="J15" s="9">
        <f t="shared" si="11"/>
        <v>0.19230769230769229</v>
      </c>
      <c r="K15" s="5" cm="1">
        <f t="array" ref="K15">_xll.FDS(A15,"FMA_PCT_ABOVE_MAVG(200,0,,,,""PORTAGG"")")/100</f>
        <v>0.52</v>
      </c>
      <c r="L15" s="41" cm="1">
        <f t="array" ref="L15">_xll.FDSB(A15,"PERCENT_CHANGE(FMA_EPS(+1,0,,,,""PORTAGG"",""MEAN""),FMA_EPS(+1,-1AM,,,,""PORTAGG"",""MEAN""))")</f>
        <v>-1.1616098624220801</v>
      </c>
      <c r="M15" s="41" cm="1">
        <f t="array" ref="M15">_xll.FDSB(A15,"PERCENT_CHANGE(FMA_EPS(+1,0,,,,""PORTAGG"",""MEAN""),FMA_EPS(+1,-3AM,,,,""PORTAGG"",""MEAN""))")</f>
        <v>-0.97317998949137396</v>
      </c>
      <c r="N15" s="3" cm="1">
        <f t="array" ref="N15">_xll.FDS(C15,"FG_TOTAL_RETURNC(0,-1AM)")</f>
        <v>-1.1245191000000001</v>
      </c>
      <c r="O15" s="3" cm="1">
        <f t="array" ref="O15">_xll.FDS(C15,"FG_TOTAL_RETURNC(0,-3AM)")</f>
        <v>1.1576891</v>
      </c>
      <c r="P15" s="3" cm="1">
        <f t="array" ref="P15">_xll.FDS(C15,"FG_TOTAL_RETURNC(0,-6AM)")</f>
        <v>8.9436420000000005</v>
      </c>
      <c r="Q15" s="9" cm="1">
        <f t="array" ref="Q15">_xll.FDS(C15,"P_PRICE(0)/P_PRICE_HIGH_PR(0,,,,,,""PRICE"",""INTRA"",""52W"")")</f>
        <v>0.91567180000000004</v>
      </c>
      <c r="R15" s="9" cm="1">
        <f t="array" ref="R15">_xll.FDS(C15,"P_PRICE(0)/P_PRICE_low_PR(0,,,,,,""PRICE"",""INTRA"",""52W"")-1")</f>
        <v>0.24246085000000001</v>
      </c>
      <c r="S15" s="3" cm="1">
        <f t="array" ref="S15">_xll.FDS(C15,"FG_TOTAL_RETURNC(0,-12AM)")</f>
        <v>13.086033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28.499999999999996</v>
      </c>
      <c r="W15" s="4" cm="1">
        <f t="array" ref="W15">_xlfn.PERCENTRANK.EXC(_xlfn._xlws.FILTER($O$3:$O$15, ISNUMBER($O$3:$O$15)),O15)*100</f>
        <v>14.2</v>
      </c>
      <c r="X15" s="4" cm="1">
        <f t="array" ref="X15">_xlfn.PERCENTRANK.EXC(_xlfn._xlws.FILTER($P$3:$P$15, ISNUMBER($P$3:$P$15)),P15)*100</f>
        <v>71.399999999999991</v>
      </c>
      <c r="Y15" s="201" cm="1">
        <f t="array" ref="Y15">_xlfn.PERCENTRANK.EXC(_xlfn._xlws.FILTER($S$3:$S$15, ISNUMBER($S$3:$S$15)),S15)*100</f>
        <v>71.399999999999991</v>
      </c>
      <c r="Z15" s="4" cm="1">
        <f t="array" ref="Z15">_xlfn.PERCENTRANK.EXC(_xlfn._xlws.FILTER($K$3:$K$15, ISNUMBER($K$3:$K$15)),K15)*100</f>
        <v>28.499999999999996</v>
      </c>
      <c r="AA15" s="4" cm="1">
        <f t="array" ref="AA15">_xlfn.PERCENTRANK.EXC(_xlfn._xlws.FILTER($H$3:$H$15, ISNUMBER($H$3:$H$15)),H15)*100</f>
        <v>92.800000000000011</v>
      </c>
      <c r="AB15" s="4" cm="1">
        <f t="array" ref="AB15">_xlfn.PERCENTRANK.EXC(_xlfn._xlws.FILTER($J$3:$J$15, ISNUMBER($J$3:$J$15)),J15)*100</f>
        <v>85.7</v>
      </c>
      <c r="AC15" s="4">
        <f t="shared" si="4"/>
        <v>28.499999999999996</v>
      </c>
      <c r="AD15" s="4">
        <f t="shared" si="5"/>
        <v>28.499999999999996</v>
      </c>
      <c r="AE15" s="4">
        <f t="shared" si="6"/>
        <v>14.2</v>
      </c>
      <c r="AF15" s="4">
        <f>'Economic Momentum'!Q16</f>
        <v>21.4</v>
      </c>
      <c r="AG15" s="4">
        <f ca="1">'Economic Momentum'!R16</f>
        <v>7.1</v>
      </c>
      <c r="AH15" s="4">
        <f t="shared" ca="1" si="7"/>
        <v>37.08</v>
      </c>
      <c r="AJ15" s="3" cm="1">
        <f t="array" aca="1" ref="AJ15" ca="1">_xlfn.PERCENTRANK.EXC(_xlfn._xlws.FILTER($AH$3:$AH$15, ISNUMBER($AH$3:$AH$15)),AH15)*100</f>
        <v>28.499999999999996</v>
      </c>
      <c r="AK15">
        <f t="shared" si="8"/>
        <v>4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465</v>
      </c>
      <c r="F18" cm="1">
        <f t="array" ref="F18">_xll.FDS(C18,"FMA_COS_DOWN(""EPS"",""1M"",+1,0,,,""PORTAGG"",""MEANR"")")</f>
        <v>487</v>
      </c>
      <c r="G18" cm="1">
        <f t="array" ref="G18">_xll.FDS(A18,"SIZE(FG_CONSTITUENTS)")</f>
        <v>1283</v>
      </c>
      <c r="H18" s="9">
        <f>E18/$G18</f>
        <v>0.36243180046765394</v>
      </c>
      <c r="I18" s="9">
        <f>F18/$G18</f>
        <v>0.37957911145752143</v>
      </c>
      <c r="J18" s="9">
        <f t="shared" ref="J18" si="13">H18-I18</f>
        <v>-1.7147310989867492E-2</v>
      </c>
      <c r="K18" s="5" cm="1">
        <f t="array" ref="K18">_xll.FDS(A18,"FMA_PCT_ABOVE_MAVG(200,0,,,,""PORTAGG"")")/100</f>
        <v>0.60111464968152906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1.2795633886828801</v>
      </c>
      <c r="N18" s="3" cm="1">
        <f t="array" ref="N18">_xll.FDS(C18,"FG_TOTAL_RETURNC(0,-1AM)")</f>
        <v>-0.19353628</v>
      </c>
      <c r="O18" s="3" cm="1">
        <f t="array" ref="O18">_xll.FDS(C18,"FG_TOTAL_RETURNC(0,-3AM)")</f>
        <v>3.8623690000000002</v>
      </c>
      <c r="P18" s="3" cm="1">
        <f t="array" ref="P18">_xll.FDS(C18,"FG_TOTAL_RETURNC(0,-6AM)")</f>
        <v>6.4201949999999997</v>
      </c>
      <c r="Q18" s="9" cm="1">
        <f t="array" ref="Q18">_xll.FDS(C18,"P_PRICE(0)/P_PRICE_HIGH_PR(0,,,,,,""PRICE"",""INTRA"",""52W"")")</f>
        <v>0.94856733000000004</v>
      </c>
      <c r="R18" s="9" cm="1">
        <f t="array" ref="R18">_xll.FDS(C18,"P_PRICE(0)/P_PRICE_low_PR(0,,,,,,""PRICE"",""INTRA"",""52W"")-1")</f>
        <v>0.21758079999999999</v>
      </c>
      <c r="S18" s="3" cm="1">
        <f t="array" ref="S18">_xll.FDS(C18,"FG_TOTAL_RETURNC(0,-12AM)")</f>
        <v>10.28248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818</v>
      </c>
      <c r="F19" cm="1">
        <f t="array" ref="F19">_xll.FDS(C19,"FMA_COS_DOWN(""EPS"",""1M"",+1,0,,,""PORTAGG"",""MEANR"")")</f>
        <v>971</v>
      </c>
      <c r="G19" cm="1">
        <f t="array" ref="G19">_xll.FDS(A19,"SIZE(FG_CONSTITUENTS)")</f>
        <v>4767</v>
      </c>
      <c r="H19" s="9">
        <f>E19/$G19</f>
        <v>0.17159639186070905</v>
      </c>
      <c r="I19" s="9">
        <f>F19/$G19</f>
        <v>0.20369204950702749</v>
      </c>
      <c r="J19" s="9">
        <f t="shared" ref="J19" si="14">H19-I19</f>
        <v>-3.2095657646318443E-2</v>
      </c>
      <c r="K19" s="5" cm="1">
        <f t="array" ref="K19">_xll.FDS(A19,"FMA_PCT_ABOVE_MAVG(200,0,,,,""PORTAGG"")")/100</f>
        <v>0.40275981026304403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7.5449912948847802</v>
      </c>
      <c r="N19" s="3" cm="1">
        <f t="array" ref="N19">_xll.FDS(C19,"FG_TOTAL_RETURNC(0,-1AM)")</f>
        <v>-0.68399310000000002</v>
      </c>
      <c r="O19" s="3" cm="1">
        <f t="array" ref="O19">_xll.FDS(C19,"FG_TOTAL_RETURNC(0,-3AM)")</f>
        <v>3.5738707000000001</v>
      </c>
      <c r="P19" s="3" cm="1">
        <f t="array" ref="P19">_xll.FDS(C19,"FG_TOTAL_RETURNC(0,-6AM)")</f>
        <v>9.6701619999999995</v>
      </c>
      <c r="Q19" s="9" cm="1">
        <f t="array" ref="Q19">_xll.FDS(C19,"P_PRICE(0)/P_PRICE_HIGH_PR(0,,,,,,""PRICE"",""INTRA"",""52W"")")</f>
        <v>0.95265180000000005</v>
      </c>
      <c r="R19" s="9" cm="1">
        <f t="array" ref="R19">_xll.FDS(C19,"P_PRICE(0)/P_PRICE_low_PR(0,,,,,,""PRICE"",""INTRA"",""52W"")-1")</f>
        <v>0.16299558</v>
      </c>
      <c r="S19" s="3" cm="1">
        <f t="array" ref="S19">_xll.FDS(C19,"FG_TOTAL_RETURNC(0,-12AM)")</f>
        <v>6.1355233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567</v>
      </c>
      <c r="F20" cm="1">
        <f t="array" ref="F20">_xll.FDS(C20,"FMA_COS_DOWN(""EPS"",""1M"",+1,0,,,""PORTAGG"",""MEANR"")")</f>
        <v>605</v>
      </c>
      <c r="G20" cm="1">
        <f t="array" ref="G20">_xll.FDS(A20,"SIZE(FG_CONSTITUENTS)")</f>
        <v>1429</v>
      </c>
      <c r="H20" s="9">
        <f t="shared" ref="H20" si="16">E20/$G20</f>
        <v>0.39678096571028693</v>
      </c>
      <c r="I20" s="9">
        <f t="shared" ref="I20" si="17">F20/$G20</f>
        <v>0.42337298810356894</v>
      </c>
      <c r="J20" s="9">
        <f t="shared" ref="J20" si="18">H20-I20</f>
        <v>-2.6592022393282011E-2</v>
      </c>
      <c r="K20" s="5" cm="1">
        <f t="array" ref="K20">_xll.FDS(A20,"FMA_PCT_ABOVE_MAVG(200,0,,,,""PORTAGG"")")/100</f>
        <v>0.67251051893408098</v>
      </c>
      <c r="L20" s="41" cm="1">
        <f t="array" ref="L20">_xll.FDSB(A20,"PERCENT_CHANGE(FMA_EPS(+1,0,,,,""PORTAGG"",""MEAN""),FMA_EPS(+1,-1AM,,,,""PORTAGG"",""MEAN""))")</f>
        <v>0.180768803535861</v>
      </c>
      <c r="M20" s="41" cm="1">
        <f t="array" ref="M20">_xll.FDSB(A20,"PERCENT_CHANGE(FMA_EPS(+1,0,,,,""PORTAGG"",""MEAN""),FMA_EPS(+1,-3AM,,,,""PORTAGG"",""MEAN""))")</f>
        <v>5.9956422704082898E-2</v>
      </c>
      <c r="N20" s="3" cm="1">
        <f t="array" ref="N20">_xll.FDS(C20,"FG_TOTAL_RETURNC(0,-1AM)")</f>
        <v>-0.33827424</v>
      </c>
      <c r="O20" s="3" cm="1">
        <f t="array" ref="O20">_xll.FDS(C20,"FG_TOTAL_RETURNC(0,-3AM)")</f>
        <v>7.1502447</v>
      </c>
      <c r="P20" s="3" cm="1">
        <f t="array" ref="P20">_xll.FDS(C20,"FG_TOTAL_RETURNC(0,-6AM)")</f>
        <v>9.3998069999999991</v>
      </c>
      <c r="Q20" s="9" cm="1">
        <f t="array" ref="Q20">_xll.FDS(C20,"P_PRICE(0)/P_PRICE_HIGH_PR(0,,,,,,""PRICE"",""INTRA"",""52W"")")</f>
        <v>0.96017470000000005</v>
      </c>
      <c r="R20" s="9" cm="1">
        <f t="array" ref="R20">_xll.FDS(C20,"P_PRICE(0)/P_PRICE_low_PR(0,,,,,,""PRICE"",""INTRA"",""52W"")-1")</f>
        <v>0.28430687999999998</v>
      </c>
      <c r="S20" s="3" cm="1">
        <f t="array" ref="S20">_xll.FDS(C20,"FG_TOTAL_RETURNC(0,-12AM)")</f>
        <v>17.073488000000001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96</v>
      </c>
      <c r="F21" cm="1">
        <f t="array" ref="F21">_xll.FDS(C21,"FMA_COS_DOWN(""EPS"",""1M"",+1,0,,,""PORTAGG"",""MEANR"")")</f>
        <v>56</v>
      </c>
      <c r="G21" cm="1">
        <f t="array" ref="G21">_xll.FDS(A21,"SIZE(FG_CONSTITUENTS)")</f>
        <v>204</v>
      </c>
      <c r="H21" s="9">
        <f t="shared" ref="H21:H22" si="20">E21/$G21</f>
        <v>0.47058823529411764</v>
      </c>
      <c r="I21" s="9">
        <f t="shared" ref="I21:I22" si="21">F21/$G21</f>
        <v>0.27450980392156865</v>
      </c>
      <c r="J21" s="9">
        <f t="shared" ref="J21:J22" si="22">H21-I21</f>
        <v>0.19607843137254899</v>
      </c>
      <c r="K21" s="5" cm="1">
        <f t="array" ref="K21">_xll.FDS(A21,"FMA_PCT_ABOVE_MAVG(200,0,,,,""PORTAGG"")")/100</f>
        <v>0.61274509803921606</v>
      </c>
      <c r="L21" s="41" cm="1">
        <f t="array" ref="L21">_xll.FDSB(A21,"PERCENT_CHANGE(FMA_EPS(+1,0,,,,""PORTAGG"",""MEAN""),FMA_EPS(+1,-1AM,,,,""PORTAGG"",""MEAN""))")</f>
        <v>5.15312271522793</v>
      </c>
      <c r="M21" s="41" cm="1">
        <f t="array" ref="M21">_xll.FDSB(A21,"PERCENT_CHANGE(FMA_EPS(+1,0,,,,""PORTAGG"",""MEAN""),FMA_EPS(+1,-3AM,,,,""PORTAGG"",""MEAN""))")</f>
        <v>2.74673692125041</v>
      </c>
      <c r="N21" s="3" cm="1">
        <f t="array" ref="N21">_xll.FDS(C21,"FG_TOTAL_RETURNC(0,-1AM)")</f>
        <v>-0.35403370000000001</v>
      </c>
      <c r="O21" s="3" cm="1">
        <f t="array" ref="O21">_xll.FDS(C21,"FG_TOTAL_RETURNC(0,-3AM)")</f>
        <v>1.4079094000000001</v>
      </c>
      <c r="P21" s="3" cm="1">
        <f t="array" ref="P21">_xll.FDS(C21,"FG_TOTAL_RETURNC(0,-6AM)")</f>
        <v>1.6958237</v>
      </c>
      <c r="Q21" s="9" cm="1">
        <f t="array" ref="Q21">_xll.FDS(C21,"P_PRICE(0)/P_PRICE_HIGH_PR(0,,,,,,""PRICE"",""INTRA"",""52W"")")</f>
        <v>0.93734824999999999</v>
      </c>
      <c r="R21" s="9" cm="1">
        <f t="array" ref="R21">_xll.FDS(C21,"P_PRICE(0)/P_PRICE_low_PR(0,,,,,,""PRICE"",""INTRA"",""52W"")-1")</f>
        <v>0.18094409</v>
      </c>
      <c r="S21" s="3" cm="1">
        <f t="array" ref="S21">_xll.FDS(C21,"FG_TOTAL_RETURNC(0,-12AM)")</f>
        <v>10.122978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209</v>
      </c>
      <c r="F22" cm="1">
        <f t="array" ref="F22">_xll.FDS(C22,"FMA_COS_DOWN(""EPS"",""1M"",+1,0,,,""PORTAGG"",""MEANR"")")</f>
        <v>207</v>
      </c>
      <c r="G22" cm="1">
        <f t="array" ref="G22">_xll.FDS(A22,"SIZE(FG_CONSTITUENTS)")</f>
        <v>503</v>
      </c>
      <c r="H22" s="9">
        <f t="shared" si="20"/>
        <v>0.41550695825049699</v>
      </c>
      <c r="I22" s="9">
        <f t="shared" si="21"/>
        <v>0.41153081510934392</v>
      </c>
      <c r="J22" s="9">
        <f t="shared" si="22"/>
        <v>3.9761431411530768E-3</v>
      </c>
      <c r="K22" s="5" cm="1">
        <f t="array" ref="K22">_xll.FDS(A22,"FMA_PCT_ABOVE_MAVG(200,0,,,,""PORTAGG"")")/100</f>
        <v>0.75049900199600794</v>
      </c>
      <c r="L22" s="41" cm="1">
        <f t="array" ref="L22">_xll.FDSB(A22,"PERCENT_CHANGE(FMA_EPS(+1,0,,,,""PORTAGG"",""MEAN""),FMA_EPS(+1,-1AM,,,,""PORTAGG"",""MEAN""))")</f>
        <v>-3.3822353178206699E-2</v>
      </c>
      <c r="M22" s="41" cm="1">
        <f t="array" ref="M22">_xll.FDSB(A22,"PERCENT_CHANGE(FMA_EPS(+1,0,,,,""PORTAGG"",""MEAN""),FMA_EPS(+1,-3AM,,,,""PORTAGG"",""MEAN""))")</f>
        <v>-0.15417724644290201</v>
      </c>
      <c r="N22" s="3" cm="1">
        <f t="array" ref="N22">_xll.FDS(C22,"FG_TOTAL_RETURNC(0,-1AM)")</f>
        <v>-0.42725800000000003</v>
      </c>
      <c r="O22" s="3" cm="1">
        <f t="array" ref="O22">_xll.FDS(C22,"FG_TOTAL_RETURNC(0,-3AM)")</f>
        <v>8.8766339999999992</v>
      </c>
      <c r="P22" s="3" cm="1">
        <f t="array" ref="P22">_xll.FDS(C22,"FG_TOTAL_RETURNC(0,-6AM)")</f>
        <v>11.706543</v>
      </c>
      <c r="Q22" s="9" cm="1">
        <f t="array" ref="Q22">_xll.FDS(C22,"P_PRICE(0)/P_PRICE_HIGH_PR(0,,,,,,""PRICE"",""INTRA"",""52W"")")</f>
        <v>0.96080759999999998</v>
      </c>
      <c r="R22" s="9" cm="1">
        <f t="array" ref="R22">_xll.FDS(C22,"P_PRICE(0)/P_PRICE_low_PR(0,,,,,,""PRICE"",""INTRA"",""52W"")-1")</f>
        <v>0.32697153000000001</v>
      </c>
      <c r="S22" s="3" cm="1">
        <f t="array" ref="S22">_xll.FDS(C22,"FG_TOTAL_RETURNC(0,-12AM)")</f>
        <v>20.62894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22</v>
      </c>
      <c r="F23" cm="1">
        <f t="array" ref="F23">_xll.FDS(C23,"FMA_COS_DOWN(""EPS"",""1M"",+1,0,,,""PORTAGG"",""MEANR"")")</f>
        <v>25</v>
      </c>
      <c r="G23" cm="1">
        <f t="array" ref="G23">_xll.FDS(A23,"SIZE(FG_CONSTITUENTS)")</f>
        <v>52</v>
      </c>
      <c r="H23" s="9">
        <f t="shared" ref="H23" si="24">E23/$G23</f>
        <v>0.42307692307692307</v>
      </c>
      <c r="I23" s="9">
        <f t="shared" ref="I23" si="25">F23/$G23</f>
        <v>0.48076923076923078</v>
      </c>
      <c r="J23" s="9">
        <f t="shared" ref="J23" si="26">H23-I23</f>
        <v>-5.7692307692307709E-2</v>
      </c>
      <c r="K23" s="5" cm="1">
        <f t="array" ref="K23">_xll.FDS(A23,"FMA_PCT_ABOVE_MAVG(200,0,,,,""PORTAGG"")")/100</f>
        <v>0.50980392156862697</v>
      </c>
      <c r="L23" s="41" cm="1">
        <f t="array" ref="L23">_xll.FDSB(A23,"PERCENT_CHANGE(FMA_EPS(+1,0,,,,""PORTAGG"",""MEAN""),FMA_EPS(+1,-1AM,,,,""PORTAGG"",""MEAN""))")</f>
        <v>1.36570017043807</v>
      </c>
      <c r="M23" s="41" cm="1">
        <f t="array" ref="M23">_xll.FDSB(A23,"PERCENT_CHANGE(FMA_EPS(+1,0,,,,""PORTAGG"",""MEAN""),FMA_EPS(+1,-3AM,,,,""PORTAGG"",""MEAN""))")</f>
        <v>4.7785064487420703</v>
      </c>
      <c r="N23" s="3" cm="1">
        <f t="array" ref="N23">_xll.FDS(C23,"FG_TOTAL_RETURNC(0,-1AM)")</f>
        <v>-2.9141127999999998</v>
      </c>
      <c r="O23" s="3" cm="1">
        <f t="array" ref="O23">_xll.FDS(C23,"FG_TOTAL_RETURNC(0,-3AM)")</f>
        <v>-1.0860084999999999</v>
      </c>
      <c r="P23" s="3" cm="1">
        <f t="array" ref="P23">_xll.FDS(C23,"FG_TOTAL_RETURNC(0,-6AM)")</f>
        <v>16.199064</v>
      </c>
      <c r="Q23" s="9" cm="1">
        <f t="array" ref="Q23">_xll.FDS(C23,"P_PRICE(0)/P_PRICE_HIGH_PR(0,,,,,,""PRICE"",""INTRA"",""52W"")")</f>
        <v>0.85367495000000004</v>
      </c>
      <c r="R23" s="9" cm="1">
        <f t="array" ref="R23">_xll.FDS(C23,"P_PRICE(0)/P_PRICE_low_PR(0,,,,,,""PRICE"",""INTRA"",""52W"")-1")</f>
        <v>0.21380626999999999</v>
      </c>
      <c r="S23" s="3" cm="1">
        <f t="array" ref="S23">_xll.FDS(C23,"FG_TOTAL_RETURNC(0,-12AM)")</f>
        <v>-12.147558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-0.15906942000000002</v>
      </c>
      <c r="E4" s="9">
        <f>HLOOKUP(B4,'Monthly Returns'!$A$1:$Q$134, 132, FALSE)</f>
        <v>0.14049586776859505</v>
      </c>
      <c r="H4" s="9">
        <f>HLOOKUP(B4,'Yearly returns'!$B$1:$N$140, 133, FALSE)</f>
        <v>0.14049586776859505</v>
      </c>
      <c r="I4" s="9">
        <f>HLOOKUP(B4,'Yearly returns'!$B$1:$N$140, 138, FALSE)</f>
        <v>0.26200000000000001</v>
      </c>
      <c r="J4" s="183">
        <f>1/E4</f>
        <v>7.117647058823529</v>
      </c>
      <c r="K4" s="185">
        <f>PERCENTRANK($J$4:$J$16,J4)*100</f>
        <v>41.6</v>
      </c>
      <c r="L4" s="47">
        <f>(1-PERCENTRANK($E$4:$E$16,E4))*100</f>
        <v>50</v>
      </c>
      <c r="M4" s="47">
        <f>(1-PERCENTRANK($H$4:$H$16,H4))*100</f>
        <v>50</v>
      </c>
      <c r="N4" s="47">
        <f>(1-PERCENTRANK($I$4:$I$16,I4))*100</f>
        <v>100</v>
      </c>
      <c r="P4">
        <f>L4*Assumption!$E$53 + M4*Assumption!$F$53 + N4*Assumption!$G$53</f>
        <v>75</v>
      </c>
      <c r="R4" cm="1">
        <f t="array" ref="R4">_xlfn.PERCENTRANK.EXC(_xlfn._xlws.FILTER(P$4:P$16, ISNUMBER(P$4:P$16)),P4)*100</f>
        <v>78.5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-0.25397617</v>
      </c>
      <c r="E5" s="9">
        <f>HLOOKUP(B5,'Monthly Returns'!$A$1:$Q$134, 132, FALSE)</f>
        <v>0.12396694214876033</v>
      </c>
      <c r="H5" s="9">
        <f>HLOOKUP(B5,'Yearly returns'!$B$1:$N$140, 133, FALSE)</f>
        <v>0.15702479338842976</v>
      </c>
      <c r="I5" s="9">
        <f>HLOOKUP(B5,'Yearly returns'!$B$1:$N$140, 138, FALSE)</f>
        <v>0.67200000000000004</v>
      </c>
      <c r="J5" s="183">
        <f t="shared" ref="J5:J16" si="0">1/E5</f>
        <v>8.0666666666666664</v>
      </c>
      <c r="K5" s="185">
        <f t="shared" ref="K5:K16" si="1">PERCENTRANK($J$4:$J$16,J5)*100</f>
        <v>58.3</v>
      </c>
      <c r="L5" s="47">
        <f t="shared" ref="L5:L16" si="2">(1-PERCENTRANK($E$4:$E$16,E5))*100</f>
        <v>66.7</v>
      </c>
      <c r="M5" s="47">
        <f t="shared" ref="M5:M16" si="3">(1-PERCENTRANK($H$4:$H$16,H5))*100</f>
        <v>33.4</v>
      </c>
      <c r="N5" s="47">
        <f t="shared" ref="N5:N16" si="4">(1-PERCENTRANK($I$4:$I$16,I5))*100</f>
        <v>25</v>
      </c>
      <c r="P5">
        <f>L5*Assumption!$E$53 + M5*Assumption!$F$53 + N5*Assumption!$G$53</f>
        <v>37.524999999999999</v>
      </c>
      <c r="R5" cm="1">
        <f t="array" ref="R5">_xlfn.PERCENTRANK.EXC(_xlfn._xlws.FILTER(P$4:P$16, ISNUMBER(P$4:P$16)),P5)*100</f>
        <v>28.499999999999996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-0.24646609999999999</v>
      </c>
      <c r="E6" s="9">
        <f>HLOOKUP(B6,'Monthly Returns'!$A$1:$Q$134, 132, FALSE)</f>
        <v>0.11570247933884298</v>
      </c>
      <c r="H6" s="9">
        <f>HLOOKUP(B6,'Yearly returns'!$B$1:$N$140, 133, FALSE)</f>
        <v>0.1487603305785124</v>
      </c>
      <c r="I6" s="9">
        <f>HLOOKUP(B6,'Yearly returns'!$B$1:$N$140, 138, FALSE)</f>
        <v>0.63100000000000001</v>
      </c>
      <c r="J6" s="183">
        <f t="shared" si="0"/>
        <v>8.6428571428571423</v>
      </c>
      <c r="K6" s="185">
        <f t="shared" si="1"/>
        <v>75</v>
      </c>
      <c r="L6" s="47">
        <f t="shared" si="2"/>
        <v>75</v>
      </c>
      <c r="M6" s="47">
        <f t="shared" si="3"/>
        <v>41.7</v>
      </c>
      <c r="N6" s="47">
        <f t="shared" si="4"/>
        <v>41.7</v>
      </c>
      <c r="P6">
        <f>L6*Assumption!$E$53 + M6*Assumption!$F$53 + N6*Assumption!$G$53</f>
        <v>50.025000000000006</v>
      </c>
      <c r="R6" cm="1">
        <f t="array" ref="R6">_xlfn.PERCENTRANK.EXC(_xlfn._xlws.FILTER(P$4:P$16, ISNUMBER(P$4:P$16)),P6)*100</f>
        <v>42.8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-0.22273074999999998</v>
      </c>
      <c r="E7" s="9">
        <f>HLOOKUP(B7,'Monthly Returns'!$A$1:$Q$134, 132, FALSE)</f>
        <v>0.15702479338842976</v>
      </c>
      <c r="H7" s="9">
        <f>HLOOKUP(B7,'Yearly returns'!$B$1:$N$140, 133, FALSE)</f>
        <v>0.2231404958677686</v>
      </c>
      <c r="I7" s="9">
        <f>HLOOKUP(B7,'Yearly returns'!$B$1:$N$140, 138, FALSE)</f>
        <v>0.59</v>
      </c>
      <c r="J7" s="183">
        <f t="shared" si="0"/>
        <v>6.3684210526315788</v>
      </c>
      <c r="K7" s="185">
        <f t="shared" si="1"/>
        <v>16.600000000000001</v>
      </c>
      <c r="L7" s="47">
        <f t="shared" si="2"/>
        <v>25</v>
      </c>
      <c r="M7" s="47">
        <f t="shared" si="3"/>
        <v>8.3999999999999968</v>
      </c>
      <c r="N7" s="47">
        <f t="shared" si="4"/>
        <v>58.400000000000006</v>
      </c>
      <c r="P7">
        <f>L7*Assumption!$E$53 + M7*Assumption!$F$53 + N7*Assumption!$G$53</f>
        <v>37.550000000000004</v>
      </c>
      <c r="R7" cm="1">
        <f t="array" ref="R7">_xlfn.PERCENTRANK.EXC(_xlfn._xlws.FILTER(P$4:P$16, ISNUMBER(P$4:P$16)),P7)*100</f>
        <v>35.699999999999996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-0.11178244</v>
      </c>
      <c r="E8" s="9">
        <f>HLOOKUP(B8,'Monthly Returns'!$A$1:$Q$134, 132, FALSE)</f>
        <v>9.0909090909090912E-2</v>
      </c>
      <c r="H8" s="9">
        <f>HLOOKUP(B8,'Yearly returns'!$B$1:$N$140, 133, FALSE)</f>
        <v>0.12396694214876033</v>
      </c>
      <c r="I8" s="9">
        <f>HLOOKUP(B8,'Yearly returns'!$B$1:$N$140, 138, FALSE)</f>
        <v>0.59</v>
      </c>
      <c r="J8" s="183">
        <f t="shared" si="0"/>
        <v>11</v>
      </c>
      <c r="K8" s="185">
        <f t="shared" si="1"/>
        <v>100</v>
      </c>
      <c r="L8" s="47">
        <f t="shared" si="2"/>
        <v>100</v>
      </c>
      <c r="M8" s="47">
        <f t="shared" si="3"/>
        <v>58.400000000000006</v>
      </c>
      <c r="N8" s="47">
        <f t="shared" si="4"/>
        <v>58.400000000000006</v>
      </c>
      <c r="P8">
        <f>L8*Assumption!$E$53 + M8*Assumption!$F$53 + N8*Assumption!$G$53</f>
        <v>68.800000000000011</v>
      </c>
      <c r="R8" cm="1">
        <f t="array" ref="R8">_xlfn.PERCENTRANK.EXC(_xlfn._xlws.FILTER(P$4:P$16, ISNUMBER(P$4:P$16)),P8)*100</f>
        <v>64.2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-8.9229160000000002E-2</v>
      </c>
      <c r="E9" s="9">
        <f>HLOOKUP(B9,'Monthly Returns'!$A$1:$Q$134, 132, FALSE)</f>
        <v>0.12396694214876033</v>
      </c>
      <c r="H9" s="9">
        <f>HLOOKUP(B9,'Yearly returns'!$B$1:$N$140, 133, FALSE)</f>
        <v>6.6115702479338845E-2</v>
      </c>
      <c r="I9" s="9">
        <f>HLOOKUP(B9,'Yearly returns'!$B$1:$N$140, 138, FALSE)</f>
        <v>0.52400000000000002</v>
      </c>
      <c r="J9" s="183">
        <f t="shared" si="0"/>
        <v>8.0666666666666664</v>
      </c>
      <c r="K9" s="185">
        <f t="shared" si="1"/>
        <v>58.3</v>
      </c>
      <c r="L9" s="47">
        <f t="shared" si="2"/>
        <v>66.7</v>
      </c>
      <c r="M9" s="47">
        <f t="shared" si="3"/>
        <v>91.7</v>
      </c>
      <c r="N9" s="47">
        <f t="shared" si="4"/>
        <v>75</v>
      </c>
      <c r="P9">
        <f>L9*Assumption!$E$53 + M9*Assumption!$F$53 + N9*Assumption!$G$53</f>
        <v>77.099999999999994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-0.22423208</v>
      </c>
      <c r="E10" s="9">
        <f>HLOOKUP(B10,'Monthly Returns'!$A$1:$Q$134, 132, FALSE)</f>
        <v>0.10743801652892562</v>
      </c>
      <c r="H10" s="9">
        <f>HLOOKUP(B10,'Yearly returns'!$B$1:$N$140, 133, FALSE)</f>
        <v>0.19834710743801653</v>
      </c>
      <c r="I10" s="9">
        <f>HLOOKUP(B10,'Yearly returns'!$B$1:$N$140, 138, FALSE)</f>
        <v>0.79500000000000004</v>
      </c>
      <c r="J10" s="183">
        <f t="shared" si="0"/>
        <v>9.3076923076923066</v>
      </c>
      <c r="K10" s="185">
        <f t="shared" si="1"/>
        <v>83.3</v>
      </c>
      <c r="L10" s="47">
        <f t="shared" si="2"/>
        <v>83.399999999999991</v>
      </c>
      <c r="M10" s="47">
        <f t="shared" si="3"/>
        <v>16.700000000000003</v>
      </c>
      <c r="N10" s="47">
        <f t="shared" si="4"/>
        <v>0</v>
      </c>
      <c r="P10">
        <f>L10*Assumption!$E$53 + M10*Assumption!$F$53 + N10*Assumption!$G$53</f>
        <v>25.024999999999999</v>
      </c>
      <c r="R10" cm="1">
        <f t="array" ref="R10">_xlfn.PERCENTRANK.EXC(_xlfn._xlws.FILTER(P$4:P$16, ISNUMBER(P$4:P$16)),P10)*100</f>
        <v>21.4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-0.13430982999999999</v>
      </c>
      <c r="E11" s="9">
        <f>HLOOKUP(B11,'Monthly Returns'!$A$1:$Q$134, 132, FALSE)</f>
        <v>0.14049586776859505</v>
      </c>
      <c r="H11" s="9">
        <f>HLOOKUP(B11,'Yearly returns'!$B$1:$N$140, 133, FALSE)</f>
        <v>8.2644628099173556E-2</v>
      </c>
      <c r="I11" s="9">
        <f>HLOOKUP(B11,'Yearly returns'!$B$1:$N$140, 138, FALSE)</f>
        <v>0.46700000000000003</v>
      </c>
      <c r="J11" s="183">
        <f t="shared" si="0"/>
        <v>7.117647058823529</v>
      </c>
      <c r="K11" s="185">
        <f t="shared" si="1"/>
        <v>41.6</v>
      </c>
      <c r="L11" s="47">
        <f t="shared" si="2"/>
        <v>50</v>
      </c>
      <c r="M11" s="47">
        <f t="shared" si="3"/>
        <v>83.399999999999991</v>
      </c>
      <c r="N11" s="47">
        <f t="shared" si="4"/>
        <v>83.399999999999991</v>
      </c>
      <c r="P11">
        <f>L11*Assumption!$E$53 + M11*Assumption!$F$53 + N11*Assumption!$G$53</f>
        <v>75.049999999999983</v>
      </c>
      <c r="R11" cm="1">
        <f t="array" ref="R11">_xlfn.PERCENTRANK.EXC(_xlfn._xlws.FILTER(P$4:P$16, ISNUMBER(P$4:P$16)),P11)*100</f>
        <v>85.7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-0.16403793</v>
      </c>
      <c r="E12" s="9">
        <f>HLOOKUP(B12,'Monthly Returns'!$A$1:$Q$134, 132, FALSE)</f>
        <v>9.9173553719008267E-2</v>
      </c>
      <c r="H12" s="9">
        <f>HLOOKUP(B12,'Yearly returns'!$B$1:$N$140, 133, FALSE)</f>
        <v>4.9586776859504134E-2</v>
      </c>
      <c r="I12" s="9">
        <f>HLOOKUP(B12,'Yearly returns'!$B$1:$N$140, 138, FALSE)</f>
        <v>0.76200000000000001</v>
      </c>
      <c r="J12" s="183">
        <f t="shared" si="0"/>
        <v>10.083333333333334</v>
      </c>
      <c r="K12" s="185">
        <f t="shared" si="1"/>
        <v>91.600000000000009</v>
      </c>
      <c r="L12" s="47">
        <f t="shared" si="2"/>
        <v>91.7</v>
      </c>
      <c r="M12" s="47">
        <f t="shared" si="3"/>
        <v>100</v>
      </c>
      <c r="N12" s="47">
        <f t="shared" si="4"/>
        <v>8.3999999999999968</v>
      </c>
      <c r="P12">
        <f>L12*Assumption!$E$53 + M12*Assumption!$F$53 + N12*Assumption!$G$53</f>
        <v>52.124999999999993</v>
      </c>
      <c r="R12" cm="1">
        <f t="array" ref="R12">_xlfn.PERCENTRANK.EXC(_xlfn._xlws.FILTER(P$4:P$16, ISNUMBER(P$4:P$16)),P12)*100</f>
        <v>50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-0.23297612999999998</v>
      </c>
      <c r="E13" s="9">
        <f>HLOOKUP(B13,'Monthly Returns'!$A$1:$Q$134, 132, FALSE)</f>
        <v>0.1487603305785124</v>
      </c>
      <c r="H13" s="9">
        <f>HLOOKUP(B13,'Yearly returns'!$B$1:$N$140, 133, FALSE)</f>
        <v>0.11570247933884298</v>
      </c>
      <c r="I13" s="9">
        <f>HLOOKUP(B13,'Yearly returns'!$B$1:$N$140, 138, FALSE)</f>
        <v>0.40899999999999997</v>
      </c>
      <c r="J13" s="183">
        <f t="shared" si="0"/>
        <v>6.7222222222222223</v>
      </c>
      <c r="K13" s="185">
        <f t="shared" si="1"/>
        <v>33.300000000000004</v>
      </c>
      <c r="L13" s="47">
        <f t="shared" si="2"/>
        <v>33.4</v>
      </c>
      <c r="M13" s="47">
        <f t="shared" si="3"/>
        <v>66.7</v>
      </c>
      <c r="N13" s="47">
        <f t="shared" si="4"/>
        <v>91.7</v>
      </c>
      <c r="P13">
        <f>L13*Assumption!$E$53 + M13*Assumption!$F$53 + N13*Assumption!$G$53</f>
        <v>70.875</v>
      </c>
      <c r="R13" cm="1">
        <f t="array" ref="R13">_xlfn.PERCENTRANK.EXC(_xlfn._xlws.FILTER(P$4:P$16, ISNUMBER(P$4:P$16)),P13)*100</f>
        <v>71.399999999999991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-0.18331140000000001</v>
      </c>
      <c r="E14" s="9">
        <f>HLOOKUP(B14,'Monthly Returns'!$A$1:$Q$134, 132, FALSE)</f>
        <v>0.16528925619834711</v>
      </c>
      <c r="H14" s="9">
        <f>HLOOKUP(B14,'Yearly returns'!$B$1:$N$140, 133, FALSE)</f>
        <v>9.9173553719008267E-2</v>
      </c>
      <c r="I14" s="9">
        <f>HLOOKUP(B14,'Yearly returns'!$B$1:$N$140, 138, FALSE)</f>
        <v>0.57299999999999995</v>
      </c>
      <c r="J14" s="183">
        <f t="shared" si="0"/>
        <v>6.05</v>
      </c>
      <c r="K14" s="185">
        <f t="shared" si="1"/>
        <v>8.3000000000000007</v>
      </c>
      <c r="L14" s="47">
        <f t="shared" si="2"/>
        <v>8.3999999999999968</v>
      </c>
      <c r="M14" s="47">
        <f t="shared" si="3"/>
        <v>75</v>
      </c>
      <c r="N14" s="47">
        <f t="shared" si="4"/>
        <v>66.7</v>
      </c>
      <c r="P14">
        <f>L14*Assumption!$E$53 + M14*Assumption!$F$53 + N14*Assumption!$G$53</f>
        <v>54.2</v>
      </c>
      <c r="R14" cm="1">
        <f t="array" ref="R14">_xlfn.PERCENTRANK.EXC(_xlfn._xlws.FILTER(P$4:P$16, ISNUMBER(P$4:P$16)),P14)*100</f>
        <v>57.099999999999994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-0.20441078000000001</v>
      </c>
      <c r="E15" s="9">
        <f>HLOOKUP(B15,'Monthly Returns'!$A$1:$Q$134, 132, FALSE)</f>
        <v>0.17355371900826447</v>
      </c>
      <c r="H15" s="9">
        <f>HLOOKUP(B15,'Yearly returns'!$B$1:$N$140, 133, FALSE)</f>
        <v>0.16528925619834711</v>
      </c>
      <c r="I15" s="9">
        <f>HLOOKUP(B15,'Yearly returns'!$B$1:$N$140, 138, FALSE)</f>
        <v>0.72099999999999997</v>
      </c>
      <c r="J15" s="183">
        <f t="shared" si="0"/>
        <v>5.7619047619047619</v>
      </c>
      <c r="K15" s="185">
        <f t="shared" si="1"/>
        <v>0</v>
      </c>
      <c r="L15" s="47">
        <f t="shared" si="2"/>
        <v>0</v>
      </c>
      <c r="M15" s="47">
        <f t="shared" si="3"/>
        <v>25</v>
      </c>
      <c r="N15" s="47">
        <f t="shared" si="4"/>
        <v>16.700000000000003</v>
      </c>
      <c r="P15">
        <f>L15*Assumption!$E$53 + M15*Assumption!$F$53 + N15*Assumption!$G$53</f>
        <v>14.600000000000001</v>
      </c>
      <c r="R15" cm="1">
        <f t="array" ref="R15">_xlfn.PERCENTRANK.EXC(_xlfn._xlws.FILTER(P$4:P$16, ISNUMBER(P$4:P$16)),P15)*100</f>
        <v>7.1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-0.27055794</v>
      </c>
      <c r="E16" s="9">
        <f>HLOOKUP(B16,'Monthly Returns'!$A$1:$Q$134, 132, FALSE)</f>
        <v>0.15702479338842976</v>
      </c>
      <c r="H16" s="9">
        <f>HLOOKUP(B16,'Yearly returns'!$B$1:$N$140, 133, FALSE)</f>
        <v>0.28925619834710742</v>
      </c>
      <c r="I16" s="9">
        <f>HLOOKUP(B16,'Yearly returns'!$B$1:$N$140, 138, FALSE)</f>
        <v>0.63900000000000001</v>
      </c>
      <c r="J16" s="183">
        <f t="shared" si="0"/>
        <v>6.3684210526315788</v>
      </c>
      <c r="K16" s="185">
        <f t="shared" si="1"/>
        <v>16.600000000000001</v>
      </c>
      <c r="L16" s="47">
        <f t="shared" si="2"/>
        <v>25</v>
      </c>
      <c r="M16" s="47">
        <f t="shared" si="3"/>
        <v>0</v>
      </c>
      <c r="N16" s="47">
        <f t="shared" si="4"/>
        <v>33.4</v>
      </c>
      <c r="P16">
        <f>L16*Assumption!$E$53 + M16*Assumption!$F$53 + N16*Assumption!$G$53</f>
        <v>22.95</v>
      </c>
      <c r="R16" cm="1">
        <f t="array" ref="R16">_xlfn.PERCENTRANK.EXC(_xlfn._xlws.FILTER(P$4:P$16, ISNUMBER(P$4:P$16)),P16)*100</f>
        <v>14.2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0.59</v>
      </c>
      <c r="G5" s="141" cm="1">
        <f t="array" ref="G5">_xll.FDSZ(C5,"FG_PRICE(0)")</f>
        <v>45.83</v>
      </c>
      <c r="H5" s="141" cm="1">
        <f t="array" ref="H5">_xll.FDSZ(C5,"FG_PRICE_MAVG(0,,,,30)")</f>
        <v>45.875655999999999</v>
      </c>
      <c r="I5" s="141" cm="1">
        <f t="array" ref="I5">_xll.FDSZ(C5,"FG_PRICE_MAVG(0,,,,60)")</f>
        <v>45.759050000000002</v>
      </c>
      <c r="J5" s="141" cm="1">
        <f t="array" ref="J5">_xll.FDSZ(C5,"FG_PRICE_MAVG(0,,,,200)")</f>
        <v>45.567554000000001</v>
      </c>
      <c r="L5">
        <f>IF($G5&gt;H5, 1, 0)</f>
        <v>0</v>
      </c>
      <c r="M5">
        <f>IF($G5&gt;I5, 1, 0)</f>
        <v>1</v>
      </c>
      <c r="N5">
        <f>IF($G5&gt;J5, 1, 0)</f>
        <v>1</v>
      </c>
      <c r="P5">
        <f>SUM(L5:N5)</f>
        <v>2</v>
      </c>
      <c r="R5" t="s">
        <v>839</v>
      </c>
      <c r="S5" s="7" cm="1">
        <f t="array" ref="S5">_xll.FDSZ($R5,"FG_PRICE(0)")</f>
        <v>399.64004999999997</v>
      </c>
      <c r="T5" s="7" cm="1">
        <f t="array" ref="T5">_xll.FDSZ($R5,"FG_PRICE(0)")</f>
        <v>399.64004999999997</v>
      </c>
      <c r="U5" s="7" cm="1">
        <f t="array" ref="U5">_xll.FDSZ($R5,"FG_PRICE(0)")</f>
        <v>399.64004999999997</v>
      </c>
      <c r="V5" s="7" cm="1">
        <f t="array" ref="V5">_xll.FDSZ($R5,"FG_PRICE(0)")</f>
        <v>399.64004999999997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0.45</v>
      </c>
      <c r="G6" s="141" cm="1">
        <f t="array" ref="G6">_xll.FDSZ(C6,"FG_PRICE(0)")</f>
        <v>24.43</v>
      </c>
      <c r="H6" s="141" cm="1">
        <f t="array" ref="H6">_xll.FDSZ(C6,"FG_PRICE_MAVG(0,,,,30)")</f>
        <v>24.786000000000001</v>
      </c>
      <c r="I6" s="141" cm="1">
        <f t="array" ref="I6">_xll.FDSZ(C6,"FG_PRICE_MAVG(0,,,,60)")</f>
        <v>24.710332999999999</v>
      </c>
      <c r="J6" s="141" cm="1">
        <f t="array" ref="J6">_xll.FDSZ(C6,"FG_PRICE_MAVG(0,,,,200)")</f>
        <v>23.725300000000001</v>
      </c>
      <c r="L6">
        <f t="shared" ref="L6:L17" si="0">IF($G6&gt;H6, 1, 0)</f>
        <v>0</v>
      </c>
      <c r="M6">
        <f t="shared" ref="M6:M17" si="1">IF($G6&gt;I6, 1, 0)</f>
        <v>0</v>
      </c>
      <c r="N6">
        <f t="shared" ref="N6:N17" si="2">IF($G6&gt;J6, 1, 0)</f>
        <v>1</v>
      </c>
      <c r="P6">
        <f t="shared" ref="P6:P17" si="3">SUM(L6:N6)</f>
        <v>1</v>
      </c>
      <c r="R6" t="s">
        <v>840</v>
      </c>
      <c r="S6" s="7" cm="1">
        <f t="array" ref="S6">_xll.FDSZ($R6,"FG_PRICE(0)")</f>
        <v>368.68414000000001</v>
      </c>
      <c r="T6" s="7" cm="1">
        <f t="array" ref="T6">_xll.FDSZ($R6,"FG_PRICE(0)")</f>
        <v>368.68414000000001</v>
      </c>
      <c r="U6" s="7" cm="1">
        <f t="array" ref="U6">_xll.FDSZ($R6,"FG_PRICE(0)")</f>
        <v>368.68414000000001</v>
      </c>
      <c r="V6" s="7" cm="1">
        <f t="array" ref="V6">_xll.FDSZ($R6,"FG_PRICE(0)")</f>
        <v>368.68414000000001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0.754</v>
      </c>
      <c r="G7" s="141" cm="1">
        <f t="array" ref="G7">_xll.FDSZ(C7,"FG_PRICE(0)")</f>
        <v>38.049999999999997</v>
      </c>
      <c r="H7" s="141" cm="1">
        <f t="array" ref="H7">_xll.FDSZ(C7,"FG_PRICE_MAVG(0,,,,30)")</f>
        <v>37.884999999999998</v>
      </c>
      <c r="I7" s="141" cm="1">
        <f t="array" ref="I7">_xll.FDSZ(C7,"FG_PRICE_MAVG(0,,,,60)")</f>
        <v>37.827835</v>
      </c>
      <c r="J7" s="141" cm="1">
        <f t="array" ref="J7">_xll.FDSZ(C7,"FG_PRICE_MAVG(0,,,,200)")</f>
        <v>36.547800000000002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294.70614999999998</v>
      </c>
      <c r="T7" s="7" cm="1">
        <f t="array" ref="T7">_xll.FDSZ($R7,"FG_PRICE(0)")</f>
        <v>294.70614999999998</v>
      </c>
      <c r="U7" s="7" cm="1">
        <f t="array" ref="U7">_xll.FDSZ($R7,"FG_PRICE(0)")</f>
        <v>294.70614999999998</v>
      </c>
      <c r="V7" s="7" cm="1">
        <f t="array" ref="V7">_xll.FDSZ($R7,"FG_PRICE(0)")</f>
        <v>294.70614999999998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0.36799999999999999</v>
      </c>
      <c r="G8" s="141" cm="1">
        <f t="array" ref="G8">_xll.FDSZ(C8,"FG_PRICE(0)")</f>
        <v>30.35</v>
      </c>
      <c r="H8" s="141" cm="1">
        <f t="array" ref="H8">_xll.FDSZ(C8,"FG_PRICE_MAVG(0,,,,30)")</f>
        <v>30.980667</v>
      </c>
      <c r="I8" s="141" cm="1">
        <f t="array" ref="I8">_xll.FDSZ(C8,"FG_PRICE_MAVG(0,,,,60)")</f>
        <v>31.393833000000001</v>
      </c>
      <c r="J8" s="141" cm="1">
        <f t="array" ref="J8">_xll.FDSZ(C8,"FG_PRICE_MAVG(0,,,,200)")</f>
        <v>29.863050000000001</v>
      </c>
      <c r="L8">
        <f t="shared" si="0"/>
        <v>0</v>
      </c>
      <c r="M8">
        <f t="shared" si="1"/>
        <v>0</v>
      </c>
      <c r="N8">
        <f t="shared" si="2"/>
        <v>1</v>
      </c>
      <c r="P8">
        <f t="shared" si="3"/>
        <v>1</v>
      </c>
      <c r="R8" t="s">
        <v>838</v>
      </c>
      <c r="S8" s="7" cm="1">
        <f t="array" ref="S8">_xll.FDSZ($R8,"FG_PRICE(0)")</f>
        <v>9.8583145000000005</v>
      </c>
      <c r="T8" s="7" cm="1">
        <f t="array" ref="T8">_xll.FDSZ($R8,"FG_PRICE(0)")</f>
        <v>9.8583145000000005</v>
      </c>
      <c r="U8" s="7" cm="1">
        <f t="array" ref="U8">_xll.FDSZ($R8,"FG_PRICE(0)")</f>
        <v>9.8583145000000005</v>
      </c>
      <c r="V8" s="7" cm="1">
        <f t="array" ref="V8">_xll.FDSZ($R8,"FG_PRICE(0)")</f>
        <v>9.8583145000000005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0.39300000000000002</v>
      </c>
      <c r="G9" s="141" cm="1">
        <f t="array" ref="G9">_xll.FDSZ(C9,"FG_PRICE(0)")</f>
        <v>67.55</v>
      </c>
      <c r="H9" s="141" cm="1">
        <f t="array" ref="H9">_xll.FDSZ(C9,"FG_PRICE_MAVG(0,,,,30)")</f>
        <v>69.204999999999998</v>
      </c>
      <c r="I9" s="141" cm="1">
        <f t="array" ref="I9">_xll.FDSZ(C9,"FG_PRICE_MAVG(0,,,,60)")</f>
        <v>68.771834999999996</v>
      </c>
      <c r="J9" s="141" cm="1">
        <f t="array" ref="J9">_xll.FDSZ(C9,"FG_PRICE_MAVG(0,,,,200)")</f>
        <v>66.501050000000006</v>
      </c>
      <c r="L9">
        <f t="shared" si="0"/>
        <v>0</v>
      </c>
      <c r="M9">
        <f t="shared" si="1"/>
        <v>0</v>
      </c>
      <c r="N9">
        <f t="shared" si="2"/>
        <v>1</v>
      </c>
      <c r="P9">
        <f t="shared" si="3"/>
        <v>1</v>
      </c>
      <c r="R9" t="s">
        <v>842</v>
      </c>
      <c r="S9" s="7" cm="1">
        <f t="array" ref="S9">_xll.FDSZ($R9,"FG_PRICE(0)")</f>
        <v>176.86075</v>
      </c>
      <c r="T9" s="7" cm="1">
        <f t="array" ref="T9">_xll.FDSZ($R9,"FG_PRICE(0)")</f>
        <v>176.86075</v>
      </c>
      <c r="U9" s="7" cm="1">
        <f t="array" ref="U9">_xll.FDSZ($R9,"FG_PRICE(0)")</f>
        <v>176.86075</v>
      </c>
      <c r="V9" s="7" cm="1">
        <f t="array" ref="V9">_xll.FDSZ($R9,"FG_PRICE(0)")</f>
        <v>176.86075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0.76200000000000001</v>
      </c>
      <c r="G10" s="141" cm="1">
        <f t="array" ref="G10">_xll.FDSZ(C10,"FG_PRICE(0)")</f>
        <v>50.1</v>
      </c>
      <c r="H10" s="141" cm="1">
        <f t="array" ref="H10">_xll.FDSZ(C10,"FG_PRICE_MAVG(0,,,,30)")</f>
        <v>49.191665999999998</v>
      </c>
      <c r="I10" s="141" cm="1">
        <f t="array" ref="I10">_xll.FDSZ(C10,"FG_PRICE_MAVG(0,,,,60)")</f>
        <v>48.956499999999998</v>
      </c>
      <c r="J10" s="141" cm="1">
        <f t="array" ref="J10">_xll.FDSZ(C10,"FG_PRICE_MAVG(0,,,,200)")</f>
        <v>46.982900000000001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346.71609999999998</v>
      </c>
      <c r="T10" s="7" cm="1">
        <f t="array" ref="T10">_xll.FDSZ($R10,"FG_PRICE(0)")</f>
        <v>346.71609999999998</v>
      </c>
      <c r="U10" s="7" cm="1">
        <f t="array" ref="U10">_xll.FDSZ($R10,"FG_PRICE(0)")</f>
        <v>346.71609999999998</v>
      </c>
      <c r="V10" s="7" cm="1">
        <f t="array" ref="V10">_xll.FDSZ($R10,"FG_PRICE(0)")</f>
        <v>346.71609999999998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0.66300000000000003</v>
      </c>
      <c r="G11" s="141" cm="1">
        <f t="array" ref="G11">_xll.FDSZ(C11,"FG_PRICE(0)")</f>
        <v>35.659999999999997</v>
      </c>
      <c r="H11" s="141" cm="1">
        <f t="array" ref="H11">_xll.FDSZ(C11,"FG_PRICE_MAVG(0,,,,30)")</f>
        <v>35.489333999999999</v>
      </c>
      <c r="I11" s="141" cm="1">
        <f t="array" ref="I11">_xll.FDSZ(C11,"FG_PRICE_MAVG(0,,,,60)")</f>
        <v>35.741999999999997</v>
      </c>
      <c r="J11" s="141" cm="1">
        <f t="array" ref="J11">_xll.FDSZ(C11,"FG_PRICE_MAVG(0,,,,200)")</f>
        <v>33.6614</v>
      </c>
      <c r="L11">
        <f t="shared" si="0"/>
        <v>1</v>
      </c>
      <c r="M11">
        <f t="shared" si="1"/>
        <v>0</v>
      </c>
      <c r="N11">
        <f t="shared" si="2"/>
        <v>1</v>
      </c>
      <c r="P11">
        <f t="shared" si="3"/>
        <v>2</v>
      </c>
      <c r="R11" t="s">
        <v>844</v>
      </c>
      <c r="S11" s="7" cm="1">
        <f t="array" ref="S11">_xll.FDSZ($R11,"FG_PRICE(0)")</f>
        <v>130.23044999999999</v>
      </c>
      <c r="T11" s="7" cm="1">
        <f t="array" ref="T11">_xll.FDSZ($R11,"FG_PRICE(0)")</f>
        <v>130.23044999999999</v>
      </c>
      <c r="U11" s="7" cm="1">
        <f t="array" ref="U11">_xll.FDSZ($R11,"FG_PRICE(0)")</f>
        <v>130.23044999999999</v>
      </c>
      <c r="V11" s="7" cm="1">
        <f t="array" ref="V11">_xll.FDSZ($R11,"FG_PRICE(0)")</f>
        <v>130.23044999999999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0.155</v>
      </c>
      <c r="G12" s="141" cm="1">
        <f t="array" ref="G12">_xll.FDSZ(C12,"FG_PRICE(0)")</f>
        <v>459.66</v>
      </c>
      <c r="H12" s="141" cm="1">
        <f t="array" ref="H12">_xll.FDSZ(C12,"FG_PRICE_MAVG(0,,,,30)")</f>
        <v>480.85700000000003</v>
      </c>
      <c r="I12" s="141" cm="1">
        <f t="array" ref="I12">_xll.FDSZ(C12,"FG_PRICE_MAVG(0,,,,60)")</f>
        <v>469.36282</v>
      </c>
      <c r="J12" s="141" cm="1">
        <f t="array" ref="J12">_xll.FDSZ(C12,"FG_PRICE_MAVG(0,,,,200)")</f>
        <v>429.16305999999997</v>
      </c>
      <c r="L12">
        <f t="shared" si="0"/>
        <v>0</v>
      </c>
      <c r="M12">
        <f t="shared" si="1"/>
        <v>0</v>
      </c>
      <c r="N12">
        <f t="shared" si="2"/>
        <v>1</v>
      </c>
      <c r="P12">
        <f t="shared" si="3"/>
        <v>1</v>
      </c>
      <c r="R12" t="s">
        <v>845</v>
      </c>
      <c r="S12" s="7" cm="1">
        <f t="array" ref="S12">_xll.FDSZ($R12,"FG_PRICE(0)")</f>
        <v>408.25015000000002</v>
      </c>
      <c r="T12" s="7" cm="1">
        <f t="array" ref="T12">_xll.FDSZ($R12,"FG_PRICE(0)")</f>
        <v>408.25015000000002</v>
      </c>
      <c r="U12" s="7" cm="1">
        <f t="array" ref="U12">_xll.FDSZ($R12,"FG_PRICE(0)")</f>
        <v>408.25015000000002</v>
      </c>
      <c r="V12" s="7" cm="1">
        <f t="array" ref="V12">_xll.FDSZ($R12,"FG_PRICE(0)")</f>
        <v>408.25015000000002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0.29499999999999998</v>
      </c>
      <c r="G13" s="141" cm="1">
        <f t="array" ref="G13">_xll.FDSZ(C13,"FG_PRICE(0)")</f>
        <v>543.01</v>
      </c>
      <c r="H13" s="141" cm="1">
        <f t="array" ref="H13">_xll.FDSZ(C13,"FG_PRICE_MAVG(0,,,,30)")</f>
        <v>550.08630000000005</v>
      </c>
      <c r="I13" s="141" cm="1">
        <f t="array" ref="I13">_xll.FDSZ(C13,"FG_PRICE_MAVG(0,,,,60)")</f>
        <v>540.28200000000004</v>
      </c>
      <c r="J13" s="141" cm="1">
        <f t="array" ref="J13">_xll.FDSZ(C13,"FG_PRICE_MAVG(0,,,,200)")</f>
        <v>498.98989999999998</v>
      </c>
      <c r="L13">
        <f t="shared" si="0"/>
        <v>0</v>
      </c>
      <c r="M13">
        <f t="shared" si="1"/>
        <v>1</v>
      </c>
      <c r="N13">
        <f t="shared" si="2"/>
        <v>1</v>
      </c>
      <c r="P13">
        <f t="shared" si="3"/>
        <v>2</v>
      </c>
      <c r="R13" t="s">
        <v>845</v>
      </c>
      <c r="S13" s="7" cm="1">
        <f t="array" ref="S13">_xll.FDSZ($R13,"FG_PRICE(0)")</f>
        <v>408.25015000000002</v>
      </c>
      <c r="T13" s="7" cm="1">
        <f t="array" ref="T13">_xll.FDSZ($R13,"FG_PRICE(0)")</f>
        <v>408.25015000000002</v>
      </c>
      <c r="U13" s="7" cm="1">
        <f t="array" ref="U13">_xll.FDSZ($R13,"FG_PRICE(0)")</f>
        <v>408.25015000000002</v>
      </c>
      <c r="V13" s="7" cm="1">
        <f t="array" ref="V13">_xll.FDSZ($R13,"FG_PRICE(0)")</f>
        <v>408.25015000000002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0.28599999999999998</v>
      </c>
      <c r="G14" s="141" cm="1">
        <f t="array" ref="G14">_xll.FDSZ(C14,"FG_PRICE(0)")</f>
        <v>37.44</v>
      </c>
      <c r="H14" s="141" cm="1">
        <f t="array" ref="H14">_xll.FDSZ(C14,"FG_PRICE_MAVG(0,,,,30)")</f>
        <v>38.565666</v>
      </c>
      <c r="I14" s="141" cm="1">
        <f t="array" ref="I14">_xll.FDSZ(C14,"FG_PRICE_MAVG(0,,,,60)")</f>
        <v>39.893833000000001</v>
      </c>
      <c r="J14" s="141" cm="1">
        <f t="array" ref="J14">_xll.FDSZ(C14,"FG_PRICE_MAVG(0,,,,200)")</f>
        <v>39.048923000000002</v>
      </c>
      <c r="L14">
        <f t="shared" si="0"/>
        <v>0</v>
      </c>
      <c r="M14">
        <f t="shared" si="1"/>
        <v>0</v>
      </c>
      <c r="N14">
        <f t="shared" si="2"/>
        <v>0</v>
      </c>
      <c r="P14">
        <f t="shared" si="3"/>
        <v>0</v>
      </c>
      <c r="R14" t="s">
        <v>845</v>
      </c>
      <c r="S14" s="7" cm="1">
        <f t="array" ref="S14">_xll.FDSZ($R14,"FG_PRICE(0)")</f>
        <v>408.25015000000002</v>
      </c>
      <c r="T14" s="7" cm="1">
        <f t="array" ref="T14">_xll.FDSZ($R14,"FG_PRICE(0)")</f>
        <v>408.25015000000002</v>
      </c>
      <c r="U14" s="7" cm="1">
        <f t="array" ref="U14">_xll.FDSZ($R14,"FG_PRICE(0)")</f>
        <v>408.25015000000002</v>
      </c>
      <c r="V14" s="7" cm="1">
        <f t="array" ref="V14">_xll.FDSZ($R14,"FG_PRICE(0)")</f>
        <v>408.25015000000002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0.16300000000000001</v>
      </c>
      <c r="G15" s="141" cm="1">
        <f t="array" ref="G15">_xll.FDSZ(C15,"FG_PRICE(0)")</f>
        <v>47.86</v>
      </c>
      <c r="H15" s="141" cm="1">
        <f t="array" ref="H15">_xll.FDSZ(C15,"FG_PRICE_MAVG(0,,,,30)")</f>
        <v>50.429670000000002</v>
      </c>
      <c r="I15" s="141" cm="1">
        <f t="array" ref="I15">_xll.FDSZ(C15,"FG_PRICE_MAVG(0,,,,60)")</f>
        <v>50.853499999999997</v>
      </c>
      <c r="J15" s="141" cm="1">
        <f t="array" ref="J15">_xll.FDSZ(C15,"FG_PRICE_MAVG(0,,,,200)")</f>
        <v>46.677585999999998</v>
      </c>
      <c r="L15">
        <f t="shared" si="0"/>
        <v>0</v>
      </c>
      <c r="M15">
        <f t="shared" si="1"/>
        <v>0</v>
      </c>
      <c r="N15">
        <f t="shared" si="2"/>
        <v>1</v>
      </c>
      <c r="P15">
        <f t="shared" si="3"/>
        <v>1</v>
      </c>
      <c r="R15" t="s">
        <v>845</v>
      </c>
      <c r="S15" s="7" cm="1">
        <f t="array" ref="S15">_xll.FDSZ($R15,"FG_PRICE(0)")</f>
        <v>408.25015000000002</v>
      </c>
      <c r="T15" s="7" cm="1">
        <f t="array" ref="T15">_xll.FDSZ($R15,"FG_PRICE(0)")</f>
        <v>408.25015000000002</v>
      </c>
      <c r="U15" s="7" cm="1">
        <f t="array" ref="U15">_xll.FDSZ($R15,"FG_PRICE(0)")</f>
        <v>408.25015000000002</v>
      </c>
      <c r="V15" s="7" cm="1">
        <f t="array" ref="V15">_xll.FDSZ($R15,"FG_PRICE(0)")</f>
        <v>408.25015000000002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0.29499999999999998</v>
      </c>
      <c r="G16" s="141" cm="1">
        <f t="array" ref="G16">_xll.FDSZ(C16,"FG_PRICE(0)")</f>
        <v>39.28</v>
      </c>
      <c r="H16" s="141" cm="1">
        <f t="array" ref="H16">_xll.FDSZ(C16,"FG_PRICE_MAVG(0,,,,30)")</f>
        <v>40.323</v>
      </c>
      <c r="I16" s="141" cm="1">
        <f t="array" ref="I16">_xll.FDSZ(C16,"FG_PRICE_MAVG(0,,,,60)")</f>
        <v>40.805</v>
      </c>
      <c r="J16" s="141" cm="1">
        <f t="array" ref="J16">_xll.FDSZ(C16,"FG_PRICE_MAVG(0,,,,200)")</f>
        <v>38.509524999999996</v>
      </c>
      <c r="L16">
        <f t="shared" si="0"/>
        <v>0</v>
      </c>
      <c r="M16">
        <f t="shared" si="1"/>
        <v>0</v>
      </c>
      <c r="N16">
        <f t="shared" si="2"/>
        <v>1</v>
      </c>
      <c r="P16">
        <f t="shared" si="3"/>
        <v>1</v>
      </c>
      <c r="R16" t="s">
        <v>845</v>
      </c>
      <c r="S16" s="7" cm="1">
        <f t="array" ref="S16">_xll.FDSZ($R16,"FG_PRICE(0)")</f>
        <v>408.25015000000002</v>
      </c>
      <c r="T16" s="7" cm="1">
        <f t="array" ref="T16">_xll.FDSZ($R16,"FG_PRICE(0)")</f>
        <v>408.25015000000002</v>
      </c>
      <c r="U16" s="7" cm="1">
        <f t="array" ref="U16">_xll.FDSZ($R16,"FG_PRICE(0)")</f>
        <v>408.25015000000002</v>
      </c>
      <c r="V16" s="7" cm="1">
        <f t="array" ref="V16">_xll.FDSZ($R16,"FG_PRICE(0)")</f>
        <v>408.25015000000002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0.377</v>
      </c>
      <c r="G17" s="141" cm="1">
        <f t="array" ref="G17">_xll.FDSZ(C17,"FG_PRICE(0)")</f>
        <v>36.049999999999997</v>
      </c>
      <c r="H17" s="141" cm="1">
        <f t="array" ref="H17">_xll.FDSZ(C17,"FG_PRICE_MAVG(0,,,,30)")</f>
        <v>36.988334999999999</v>
      </c>
      <c r="I17" s="141" cm="1">
        <f t="array" ref="I17">_xll.FDSZ(C17,"FG_PRICE_MAVG(0,,,,60)")</f>
        <v>37.545999999999999</v>
      </c>
      <c r="J17" s="141" cm="1">
        <f t="array" ref="J17">_xll.FDSZ(C17,"FG_PRICE_MAVG(0,,,,200)")</f>
        <v>35.227449999999997</v>
      </c>
      <c r="L17">
        <f t="shared" si="0"/>
        <v>0</v>
      </c>
      <c r="M17">
        <f t="shared" si="1"/>
        <v>0</v>
      </c>
      <c r="N17">
        <f t="shared" si="2"/>
        <v>1</v>
      </c>
      <c r="P17">
        <f t="shared" si="3"/>
        <v>1</v>
      </c>
      <c r="R17" t="s">
        <v>845</v>
      </c>
      <c r="S17" s="7" cm="1">
        <f t="array" ref="S17">_xll.FDSZ($R17,"FG_PRICE(0)")</f>
        <v>408.25015000000002</v>
      </c>
      <c r="T17" s="7" cm="1">
        <f t="array" ref="T17">_xll.FDSZ($R17,"FG_PRICE(0)")</f>
        <v>408.25015000000002</v>
      </c>
      <c r="U17" s="7" cm="1">
        <f t="array" ref="U17">_xll.FDSZ($R17,"FG_PRICE(0)")</f>
        <v>408.25015000000002</v>
      </c>
      <c r="V17" s="7" cm="1">
        <f t="array" ref="V17">_xll.FDSZ($R17,"FG_PRICE(0)")</f>
        <v>408.25015000000002</v>
      </c>
    </row>
    <row r="19" spans="1:22" x14ac:dyDescent="0.35">
      <c r="K19" s="1" t="s">
        <v>906</v>
      </c>
      <c r="L19" s="1">
        <f>SUM(L5:L17)</f>
        <v>3</v>
      </c>
      <c r="M19" s="1">
        <f t="shared" ref="M19:N19" si="4">SUM(M5:M17)</f>
        <v>4</v>
      </c>
      <c r="N19" s="1">
        <f t="shared" si="4"/>
        <v>12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0.23076923076923078</v>
      </c>
      <c r="M22" s="182">
        <f t="shared" ref="M22:N22" si="6">M19/M20</f>
        <v>0.30769230769230771</v>
      </c>
      <c r="N22" s="182">
        <f t="shared" si="6"/>
        <v>0.92307692307692313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102.83</v>
      </c>
      <c r="D3" cm="1">
        <f t="array" ref="D3">_xll.FDS($A3,"FG_PRICE_MAVG(0,,,,30)")</f>
        <v>108.06766500000001</v>
      </c>
      <c r="E3" s="47" cm="1">
        <f t="array" ref="E3">_xll.FDS($A3,"FG_PRICE_CHANGE(0,-1AM)")</f>
        <v>-4.7870370370370301</v>
      </c>
      <c r="F3" s="47" cm="1">
        <f t="array" ref="F3">_xll.FDS($A3,"FG_PRICE_CHANGE(0,-3AM)")</f>
        <v>-12.268577766402201</v>
      </c>
      <c r="G3" s="47" cm="1">
        <f t="array" ref="G3">_xll.FDS($A3,"FG_PRICE_CHANGE(0,-6AM)")</f>
        <v>-22.491897188512802</v>
      </c>
      <c r="H3" s="47" cm="1">
        <f t="array" ref="H3">_xll.FDS($A3,"FG_PRICE_CHANGE(0,-1AY)")</f>
        <v>-5.0683161004431296</v>
      </c>
      <c r="I3" s="47" cm="1">
        <f t="array" ref="I3">_xll.FDS($A3,"FG_PRICE(0)/MAX(FG_PRICE(0,-1AY))")</f>
        <v>0.71330466148723604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0</v>
      </c>
      <c r="T3">
        <f>S3</f>
        <v>0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4.0664999999999996</v>
      </c>
      <c r="D4" cm="1">
        <f t="array" ref="D4">_xll.FDS($A4,"FG_PRICE_MAVG(0,,,,30)")</f>
        <v>4.3642500000000002</v>
      </c>
      <c r="E4" s="47" cm="1">
        <f t="array" ref="E4">_xll.FDS($A4,"FG_PRICE_CHANGE(0,-1AM)")</f>
        <v>-8.1328363266689294</v>
      </c>
      <c r="F4" s="47" cm="1">
        <f t="array" ref="F4">_xll.FDS($A4,"FG_PRICE_CHANGE(0,-3AM)")</f>
        <v>-10.675453047775999</v>
      </c>
      <c r="G4" s="47" cm="1">
        <f t="array" ref="G4">_xll.FDS($A4,"FG_PRICE_CHANGE(0,-6AM)")</f>
        <v>5.5548345230369804</v>
      </c>
      <c r="H4" s="47" cm="1">
        <f t="array" ref="H4">_xll.FDS($A4,"FG_PRICE_CHANGE(0,-1AY)")</f>
        <v>4.4433029407987501</v>
      </c>
      <c r="I4" s="47" cm="1">
        <f t="array" ref="I4">_xll.FDS($A4,"FG_PRICE(0)/MAX(FG_PRICE(0,-1AY))")</f>
        <v>0.79439343621801095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1</v>
      </c>
      <c r="T4">
        <f t="shared" ref="T4:T5" si="0">S4</f>
        <v>1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0.32717924748772997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1</v>
      </c>
      <c r="T5">
        <f t="shared" si="0"/>
        <v>1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5.32</v>
      </c>
      <c r="D6" cm="1">
        <f t="array" ref="D6">_xll.FDS($A6,"FG_PRICE_MAVG(0,,,,30)")</f>
        <v>5.4590835999999996</v>
      </c>
      <c r="E6" s="47" cm="1">
        <f t="array" ref="E6">_xll.FDS($A6,"FG_PRICE_CHANGE(0,-1AM)")</f>
        <v>-6.54369784804567</v>
      </c>
      <c r="F6" s="47" cm="1">
        <f t="array" ref="F6">_xll.FDS($A6,"FG_PRICE_CHANGE(0,-3AM)")</f>
        <v>-8.5124677558039501</v>
      </c>
      <c r="G6" s="47" cm="1">
        <f t="array" ref="G6">_xll.FDS($A6,"FG_PRICE_CHANGE(0,-6AM)")</f>
        <v>-11.554447215295101</v>
      </c>
      <c r="H6" s="47" cm="1">
        <f t="array" ref="H6">_xll.FDS($A6,"FG_PRICE_CHANGE(0,-1AY)")</f>
        <v>-18.436182445381402</v>
      </c>
      <c r="I6" s="47" cm="1">
        <f t="array" ref="I6">_xll.FDS($A6,"FG_PRICE(0)/MAX(FG_PRICE(0,-1AY))")</f>
        <v>0.759728668332738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3988</v>
      </c>
      <c r="D7" cm="1">
        <f t="array" ref="D7">_xll.FDS($A7,"FG_PRICE_MAVG(0,,,,30)")</f>
        <v>4004.7</v>
      </c>
      <c r="E7" s="47" cm="1">
        <f t="array" ref="E7">_xll.FDS($A7,"FG_PRICE_CHANGE(0,-1AM)")</f>
        <v>-0.894632206759438</v>
      </c>
      <c r="F7" s="47" cm="1">
        <f t="array" ref="F7">_xll.FDS($A7,"FG_PRICE_CHANGE(0,-3AM)")</f>
        <v>3.2625582599689298</v>
      </c>
      <c r="G7" s="47" cm="1">
        <f t="array" ref="G7">_xll.FDS($A7,"FG_PRICE_CHANGE(0,-6AM)")</f>
        <v>4.5621394861038196</v>
      </c>
      <c r="H7" s="47" cm="1">
        <f t="array" ref="H7">_xll.FDS($A7,"FG_PRICE_CHANGE(0,-1AY)")</f>
        <v>5.67037625861155</v>
      </c>
      <c r="I7" s="47" cm="1">
        <f t="array" ref="I7">_xll.FDS($A7,"FG_PRICE(0)/MAX(FG_PRICE(0,-1AY))")</f>
        <v>0.87093251801703397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978</v>
      </c>
      <c r="D8" cm="1">
        <f t="array" ref="D8">_xll.FDS($A8,"FG_PRICE_MAVG(0,,,,30)")</f>
        <v>987.93335000000002</v>
      </c>
      <c r="E8" s="47" cm="1">
        <f t="array" ref="E8">_xll.FDS($A8,"FG_PRICE_CHANGE(0,-1AM)")</f>
        <v>-1.11223458038423</v>
      </c>
      <c r="F8" s="47" cm="1">
        <f t="array" ref="F8">_xll.FDS($A8,"FG_PRICE_CHANGE(0,-3AM)")</f>
        <v>2.7310924369747802</v>
      </c>
      <c r="G8" s="47" cm="1">
        <f t="array" ref="G8">_xll.FDS($A8,"FG_PRICE_CHANGE(0,-6AM)")</f>
        <v>7.2368421052631602</v>
      </c>
      <c r="H8" s="47" cm="1">
        <f t="array" ref="H8">_xll.FDS($A8,"FG_PRICE_CHANGE(0,-1AY)")</f>
        <v>4.5989304812834098</v>
      </c>
      <c r="I8" s="47" cm="1">
        <f t="array" ref="I8">_xll.FDS($A8,"FG_PRICE(0)/MAX(FG_PRICE(0,-1AY))")</f>
        <v>0.91487371375116899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15870</v>
      </c>
      <c r="D9" cm="1">
        <f t="array" ref="D9">_xll.FDS($A9,"FG_PRICE_MAVG(0,,,,30)")</f>
        <v>16487.5</v>
      </c>
      <c r="E9" s="47" cm="1">
        <f t="array" ref="E9">_xll.FDS($A9,"FG_PRICE_CHANGE(0,-1AM)")</f>
        <v>-7.8397212543553998</v>
      </c>
      <c r="F9" s="47" cm="1">
        <f t="array" ref="F9">_xll.FDS($A9,"FG_PRICE_CHANGE(0,-3AM)")</f>
        <v>-14.769065520945199</v>
      </c>
      <c r="G9" s="47" cm="1">
        <f t="array" ref="G9">_xll.FDS($A9,"FG_PRICE_CHANGE(0,-6AM)")</f>
        <v>-0.71942446043164998</v>
      </c>
      <c r="H9" s="47" cm="1">
        <f t="array" ref="H9">_xll.FDS($A9,"FG_PRICE_CHANGE(0,-1AY)")</f>
        <v>-29.009170208007198</v>
      </c>
      <c r="I9" s="47" cm="1">
        <f t="array" ref="I9">_xll.FDS($A9,"FG_PRICE(0)/MAX(FG_PRICE(0,-1AY))")</f>
        <v>0.70990829791992804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935</v>
      </c>
      <c r="D10" cm="1">
        <f t="array" ref="D10">_xll.FDS($A10,"FG_PRICE_MAVG(0,,,,30)")</f>
        <v>967.26666</v>
      </c>
      <c r="E10" s="47" cm="1">
        <f t="array" ref="E10">_xll.FDS($A10,"FG_PRICE_CHANGE(0,-1AM)")</f>
        <v>-6.4064064064064103</v>
      </c>
      <c r="F10" s="47" cm="1">
        <f t="array" ref="F10">_xll.FDS($A10,"FG_PRICE_CHANGE(0,-3AM)")</f>
        <v>-2.09424083769634</v>
      </c>
      <c r="G10" s="47" cm="1">
        <f t="array" ref="G10">_xll.FDS($A10,"FG_PRICE_CHANGE(0,-6AM)")</f>
        <v>-3.1088082901554399</v>
      </c>
      <c r="H10" s="47" cm="1">
        <f t="array" ref="H10">_xll.FDS($A10,"FG_PRICE_CHANGE(0,-1AY)")</f>
        <v>-25.2</v>
      </c>
      <c r="I10" s="47" cm="1">
        <f t="array" ref="I10">_xll.FDS($A10,"FG_PRICE(0)/MAX(FG_PRICE(0,-1AY))")</f>
        <v>0.69776119402985104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523.5</v>
      </c>
      <c r="D11" cm="1">
        <f t="array" ref="D11">_xll.FDS($A11,"FG_PRICE_MAVG(0,,,,30)")</f>
        <v>555.05999999999995</v>
      </c>
      <c r="E11" s="47" cm="1">
        <f t="array" ref="E11">_xll.FDS($A11,"FG_PRICE_CHANGE(0,-1AM)")</f>
        <v>-10.6502816180235</v>
      </c>
      <c r="F11" s="47" cm="1">
        <f t="array" ref="F11">_xll.FDS($A11,"FG_PRICE_CHANGE(0,-3AM)")</f>
        <v>-7.88316030265704</v>
      </c>
      <c r="G11" s="47" cm="1">
        <f t="array" ref="G11">_xll.FDS($A11,"FG_PRICE_CHANGE(0,-6AM)")</f>
        <v>-19.733210671573101</v>
      </c>
      <c r="H11" s="47" cm="1">
        <f t="array" ref="H11">_xll.FDS($A11,"FG_PRICE_CHANGE(0,-1AY)")</f>
        <v>-25.182220951836499</v>
      </c>
      <c r="I11" s="47" cm="1">
        <f t="array" ref="I11">_xll.FDS($A11,"FG_PRICE(0)/MAX(FG_PRICE(0,-1AY))")</f>
        <v>0.68574796960964102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0.90742270000000003</v>
      </c>
      <c r="D12" cm="1">
        <f t="array" ref="D12">_xll.FDS($A12,"FG_PRICE_MAVG(0,,,,30)")</f>
        <v>0.92674844999999995</v>
      </c>
      <c r="E12" s="47" cm="1">
        <f t="array" ref="E12">_xll.FDS($A12,"FG_PRICE_CHANGE(0,-1AM)")</f>
        <v>-2.7600870598002798</v>
      </c>
      <c r="F12" s="47" cm="1">
        <f t="array" ref="F12">_xll.FDS($A12,"FG_PRICE_CHANGE(0,-3AM)")</f>
        <v>-6.4512680412371104</v>
      </c>
      <c r="G12" s="47" cm="1">
        <f t="array" ref="G12">_xll.FDS($A12,"FG_PRICE_CHANGE(0,-6AM)")</f>
        <v>-6.3681615797873503</v>
      </c>
      <c r="H12" s="47" cm="1">
        <f t="array" ref="H12">_xll.FDS($A12,"FG_PRICE_CHANGE(0,-1AY)")</f>
        <v>-6.5428618175098601</v>
      </c>
      <c r="I12" s="47" cm="1">
        <f t="array" ref="I12">_xll.FDS($A12,"FG_PRICE(0)/MAX(FG_PRICE(0,-1AY))")</f>
        <v>0.872521826923077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41852</v>
      </c>
      <c r="B2" s="3" cm="1">
        <f t="array" ref="B2:B122">_xll.FDS(B1,"FMA_PE(LTMA,-10AY,0,AM,""PORTAGG"",""MEANR"")")</f>
        <v>17.925069511933099</v>
      </c>
      <c r="C2" s="3" cm="1">
        <f t="array" ref="C2:C122">_xll.FDS(C1,"FMA_PE(LTMA,-10AY,0,AM,""PORTAGG"",""MEANR"")")</f>
        <v>15.4155976462339</v>
      </c>
      <c r="D2" s="3" cm="1">
        <f t="array" ref="D2:D122">_xll.FDS(D1,"FMA_PE(LTMA,-10AY,0,AM,""PORTAGG"",""MEANR"")")</f>
        <v>16.2794343638855</v>
      </c>
      <c r="E2" s="3" cm="1">
        <f t="array" ref="E2:E122">_xll.FDS(E1,"FMA_PE(LTMA,-10AY,0,AM,""PORTAGG"",""MEANR"")")</f>
        <v>14.063880587556501</v>
      </c>
      <c r="F2" s="3" cm="1">
        <f t="array" ref="F2:F122">_xll.FDS(F1,"FMA_PE(LTMA,-10AY,0,AM,""PORTAGG"",""MEANR"")")</f>
        <v>15.2311492823174</v>
      </c>
      <c r="G2" s="3" cm="1">
        <f t="array" ref="G2:G122">_xll.FDS(G1,"FMA_PE(LTMA,-10AY,0,AM,""PORTAGG"",""MEANR"")")</f>
        <v>17.125028779583499</v>
      </c>
      <c r="H2" s="3" cm="1">
        <f t="array" ref="H2:H122">_xll.FDS(H1,"FMA_PE(LTMA,-10AY,0,AM,""PORTAGG"",""MEANR"")")</f>
        <v>14.226461885939299</v>
      </c>
      <c r="I2" s="3" cm="1">
        <f t="array" ref="I2:I122">_xll.FDS(I1,"FMA_PE(LTMA,-10AY,0,AM,""PORTAGG"",""MEANR"")")</f>
        <v>18.904589760736101</v>
      </c>
      <c r="J2" s="3" cm="1">
        <f t="array" ref="J2:J122">_xll.FDS(J1,"FMA_PE(LTMA,-10AY,0,AM,""PORTAGG"",""MEANR"")")</f>
        <v>16.140922439269499</v>
      </c>
      <c r="K2" s="3" cm="1">
        <f t="array" ref="K2:K122">_xll.FDS(K1,"FMA_PE(LTMA,-10AY,0,AM,""PORTAGG"",""MEANR"")")</f>
        <v>15.1796147206156</v>
      </c>
      <c r="L2" s="3" cm="1">
        <f t="array" ref="L2:L122">_xll.FDS(L1,"FMA_PE(LTMA,-10AY,0,AM,""PORTAGG"",""MEANR"")")</f>
        <v>16.306555488908401</v>
      </c>
      <c r="M2" s="3" cm="1">
        <f t="array" ref="M2:M122">_xll.FDS(M1,"FMA_PE(LTMA,-10AY,0,AM,""PORTAGG"",""MEANR"")")</f>
        <v>15.8265445072361</v>
      </c>
      <c r="N2" s="3" cm="1">
        <f t="array" ref="N2:N122">_xll.FDS(N1,"FMA_PE(LTMA,-10AY,0,AM,""PORTAGG"",""MEANR"")")</f>
        <v>17.014809151495001</v>
      </c>
    </row>
    <row r="3" spans="1:14" x14ac:dyDescent="0.35">
      <c r="A3" s="2">
        <v>41880</v>
      </c>
      <c r="B3" s="3">
        <v>18.0499421595283</v>
      </c>
      <c r="C3" s="3">
        <v>15.4733873600374</v>
      </c>
      <c r="D3" s="3">
        <v>16.489660025273199</v>
      </c>
      <c r="E3" s="3">
        <v>14.1541128765517</v>
      </c>
      <c r="F3" s="3">
        <v>15.014920188009199</v>
      </c>
      <c r="G3" s="3">
        <v>17.353992857281298</v>
      </c>
      <c r="H3" s="3">
        <v>14.292592514971901</v>
      </c>
      <c r="I3" s="3">
        <v>19.4608535100563</v>
      </c>
      <c r="J3" s="3">
        <v>16.5165946550167</v>
      </c>
      <c r="K3" s="3">
        <v>15.425521995630101</v>
      </c>
      <c r="L3" s="3">
        <v>16.624717302080001</v>
      </c>
      <c r="M3" s="3">
        <v>15.8372840366843</v>
      </c>
      <c r="N3" s="3">
        <v>17.567520702868599</v>
      </c>
    </row>
    <row r="4" spans="1:14" x14ac:dyDescent="0.35">
      <c r="A4" s="2">
        <v>41913</v>
      </c>
      <c r="B4" s="3">
        <v>17.9749527694653</v>
      </c>
      <c r="C4" s="3">
        <v>14.7442280472244</v>
      </c>
      <c r="D4" s="3">
        <v>15.811484762296701</v>
      </c>
      <c r="E4" s="3">
        <v>13.950473292710001</v>
      </c>
      <c r="F4" s="3">
        <v>15.398196149430699</v>
      </c>
      <c r="G4" s="3">
        <v>17.2181329030862</v>
      </c>
      <c r="H4" s="3">
        <v>13.802811846004699</v>
      </c>
      <c r="I4" s="3">
        <v>19.097258965960499</v>
      </c>
      <c r="J4" s="3">
        <v>16.223120776648901</v>
      </c>
      <c r="K4" s="3">
        <v>15.292062338079299</v>
      </c>
      <c r="L4" s="3">
        <v>16.671668476240701</v>
      </c>
      <c r="M4" s="3">
        <v>15.893726906352301</v>
      </c>
      <c r="N4" s="3">
        <v>17.502351291826699</v>
      </c>
    </row>
    <row r="5" spans="1:14" x14ac:dyDescent="0.35">
      <c r="A5" s="2">
        <v>41943</v>
      </c>
      <c r="B5" s="3">
        <v>18.392277620366201</v>
      </c>
      <c r="C5" s="3">
        <v>15.364104482655501</v>
      </c>
      <c r="D5" s="3">
        <v>15.696874634514399</v>
      </c>
      <c r="E5" s="3">
        <v>13.767551041923101</v>
      </c>
      <c r="F5" s="3">
        <v>15.3501722772435</v>
      </c>
      <c r="G5" s="3">
        <v>17.308016603520802</v>
      </c>
      <c r="H5" s="3">
        <v>13.793979569051199</v>
      </c>
      <c r="I5" s="3">
        <v>19.710921824452299</v>
      </c>
      <c r="J5" s="3">
        <v>16.734122955994199</v>
      </c>
      <c r="K5" s="3">
        <v>14.9429776821522</v>
      </c>
      <c r="L5" s="3">
        <v>16.955936255440299</v>
      </c>
      <c r="M5" s="3">
        <v>16.336045081890401</v>
      </c>
      <c r="N5" s="3">
        <v>17.220136655284598</v>
      </c>
    </row>
    <row r="6" spans="1:14" x14ac:dyDescent="0.35">
      <c r="A6" s="2">
        <v>41974</v>
      </c>
      <c r="B6" s="3">
        <v>18.6965745352977</v>
      </c>
      <c r="C6" s="3">
        <v>14.235990554010099</v>
      </c>
      <c r="D6" s="3">
        <v>15.6324437357216</v>
      </c>
      <c r="E6" s="3">
        <v>14.5515605853819</v>
      </c>
      <c r="F6" s="3">
        <v>15.974149249519</v>
      </c>
      <c r="G6" s="3">
        <v>17.644364630220998</v>
      </c>
      <c r="H6" s="3">
        <v>13.915704213884901</v>
      </c>
      <c r="I6" s="3">
        <v>20.3264035807506</v>
      </c>
      <c r="J6" s="3">
        <v>17.0410496778828</v>
      </c>
      <c r="K6" s="3">
        <v>15.4593034524244</v>
      </c>
      <c r="L6" s="3">
        <v>17.901078025671001</v>
      </c>
      <c r="M6" s="3">
        <v>17.271853513155001</v>
      </c>
      <c r="N6" s="3">
        <v>18.729368416975401</v>
      </c>
    </row>
    <row r="7" spans="1:14" x14ac:dyDescent="0.35">
      <c r="A7" s="2">
        <v>42004</v>
      </c>
      <c r="B7" s="3">
        <v>19.197819573856801</v>
      </c>
      <c r="C7" s="3">
        <v>14.8069956260328</v>
      </c>
      <c r="D7" s="3">
        <v>15.596938985253599</v>
      </c>
      <c r="E7" s="3">
        <v>14.3005596447529</v>
      </c>
      <c r="F7" s="3">
        <v>15.974343522102901</v>
      </c>
      <c r="G7" s="3">
        <v>17.239133288204201</v>
      </c>
      <c r="H7" s="3">
        <v>13.792820499869901</v>
      </c>
      <c r="I7" s="3">
        <v>20.109627539486201</v>
      </c>
      <c r="J7" s="3">
        <v>17.301035886125799</v>
      </c>
      <c r="K7" s="3">
        <v>15.070338448628499</v>
      </c>
      <c r="L7" s="3">
        <v>17.675008371862599</v>
      </c>
      <c r="M7" s="3">
        <v>17.584393694781699</v>
      </c>
      <c r="N7" s="3">
        <v>18.239102372713202</v>
      </c>
    </row>
    <row r="8" spans="1:14" x14ac:dyDescent="0.35">
      <c r="A8" s="2">
        <v>42034</v>
      </c>
      <c r="B8" s="3">
        <v>19.835371917287201</v>
      </c>
      <c r="C8" s="3">
        <v>15.190381405750101</v>
      </c>
      <c r="D8" s="3">
        <v>15.7778455702872</v>
      </c>
      <c r="E8" s="3">
        <v>15.450111118834601</v>
      </c>
      <c r="F8" s="3">
        <v>15.523350036288999</v>
      </c>
      <c r="G8" s="3">
        <v>16.692999306828501</v>
      </c>
      <c r="H8" s="3">
        <v>14.176771088098899</v>
      </c>
      <c r="I8" s="3">
        <v>19.451379123540299</v>
      </c>
      <c r="J8" s="3">
        <v>16.718596377064099</v>
      </c>
      <c r="K8" s="3">
        <v>16.165609370768301</v>
      </c>
      <c r="L8" s="3">
        <v>18.8216496666534</v>
      </c>
      <c r="M8" s="3">
        <v>18.7007555337374</v>
      </c>
      <c r="N8" s="3">
        <v>23.6420497500349</v>
      </c>
    </row>
    <row r="9" spans="1:14" x14ac:dyDescent="0.35">
      <c r="A9" s="2">
        <v>42062</v>
      </c>
      <c r="B9" s="3">
        <v>20.533732203332399</v>
      </c>
      <c r="C9" s="3">
        <v>16.215341310102101</v>
      </c>
      <c r="D9" s="3">
        <v>17.032916962246901</v>
      </c>
      <c r="E9" s="3">
        <v>16.487684505982099</v>
      </c>
      <c r="F9" s="3">
        <v>16.932120306701499</v>
      </c>
      <c r="G9" s="3">
        <v>17.992704968647601</v>
      </c>
      <c r="H9" s="3">
        <v>15.183116674161599</v>
      </c>
      <c r="I9" s="3">
        <v>20.792752309655299</v>
      </c>
      <c r="J9" s="3">
        <v>17.591037300020002</v>
      </c>
      <c r="K9" s="3">
        <v>17.559098843139299</v>
      </c>
      <c r="L9" s="3">
        <v>20.1223054586507</v>
      </c>
      <c r="M9" s="3">
        <v>20.302825439712102</v>
      </c>
      <c r="N9" s="3">
        <v>45.366068148585697</v>
      </c>
    </row>
    <row r="10" spans="1:14" x14ac:dyDescent="0.35">
      <c r="A10" s="2">
        <v>42095</v>
      </c>
      <c r="B10" s="3">
        <v>20.280455623972401</v>
      </c>
      <c r="C10" s="3">
        <v>16.242585358934601</v>
      </c>
      <c r="D10" s="3">
        <v>17.0664854199883</v>
      </c>
      <c r="E10" s="3">
        <v>16.535080034881599</v>
      </c>
      <c r="F10" s="3">
        <v>16.7870225499878</v>
      </c>
      <c r="G10" s="3">
        <v>18.014046246565499</v>
      </c>
      <c r="H10" s="3">
        <v>15.245841338449701</v>
      </c>
      <c r="I10" s="3">
        <v>20.4585877421876</v>
      </c>
      <c r="J10" s="3">
        <v>17.470866545937199</v>
      </c>
      <c r="K10" s="3">
        <v>17.5569151354055</v>
      </c>
      <c r="L10" s="3">
        <v>19.908402805859801</v>
      </c>
      <c r="M10" s="3">
        <v>19.9572009832983</v>
      </c>
      <c r="N10" s="3">
        <v>42.383330924143699</v>
      </c>
    </row>
    <row r="11" spans="1:14" x14ac:dyDescent="0.35">
      <c r="A11" s="2">
        <v>42125</v>
      </c>
      <c r="B11" s="3">
        <v>20.100081515401499</v>
      </c>
      <c r="C11" s="3">
        <v>16.3273988245437</v>
      </c>
      <c r="D11" s="3">
        <v>17.350591641290301</v>
      </c>
      <c r="E11" s="3">
        <v>16.2020950800914</v>
      </c>
      <c r="F11" s="3">
        <v>16.885021062558799</v>
      </c>
      <c r="G11" s="3">
        <v>18.082348748538799</v>
      </c>
      <c r="H11" s="3">
        <v>15.568486125708001</v>
      </c>
      <c r="I11" s="3">
        <v>20.3971550159239</v>
      </c>
      <c r="J11" s="3">
        <v>17.554037573883701</v>
      </c>
      <c r="K11" s="3">
        <v>17.461324903749102</v>
      </c>
      <c r="L11" s="3">
        <v>19.626413295004198</v>
      </c>
      <c r="M11" s="3">
        <v>19.256250603648301</v>
      </c>
      <c r="N11" s="3">
        <v>39.584429081175003</v>
      </c>
    </row>
    <row r="12" spans="1:14" x14ac:dyDescent="0.35">
      <c r="A12" s="2">
        <v>42156</v>
      </c>
      <c r="B12" s="3">
        <v>20.035081970229001</v>
      </c>
      <c r="C12" s="3">
        <v>16.1724349889938</v>
      </c>
      <c r="D12" s="3">
        <v>17.246863172231102</v>
      </c>
      <c r="E12" s="3">
        <v>15.9191542300034</v>
      </c>
      <c r="F12" s="3">
        <v>17.185096531051801</v>
      </c>
      <c r="G12" s="3">
        <v>18.0836246497676</v>
      </c>
      <c r="H12" s="3">
        <v>15.7075770815072</v>
      </c>
      <c r="I12" s="3">
        <v>20.275104154860401</v>
      </c>
      <c r="J12" s="3">
        <v>17.526629045696101</v>
      </c>
      <c r="K12" s="3">
        <v>17.406003348879199</v>
      </c>
      <c r="L12" s="3">
        <v>19.443858421108001</v>
      </c>
      <c r="M12" s="3">
        <v>19.305140516870299</v>
      </c>
      <c r="N12" s="3">
        <v>36.667531813675502</v>
      </c>
    </row>
    <row r="13" spans="1:14" x14ac:dyDescent="0.35">
      <c r="A13" s="2">
        <v>42186</v>
      </c>
      <c r="B13" s="3">
        <v>19.788252593827998</v>
      </c>
      <c r="C13" s="3">
        <v>15.946763701420601</v>
      </c>
      <c r="D13" s="3">
        <v>17.049100981851801</v>
      </c>
      <c r="E13" s="3">
        <v>15.544142767250699</v>
      </c>
      <c r="F13" s="3">
        <v>16.779830843963399</v>
      </c>
      <c r="G13" s="3">
        <v>17.7662191113555</v>
      </c>
      <c r="H13" s="3">
        <v>15.4978750791711</v>
      </c>
      <c r="I13" s="3">
        <v>19.947015147479298</v>
      </c>
      <c r="J13" s="3">
        <v>17.392758619253701</v>
      </c>
      <c r="K13" s="3">
        <v>17.080744626127601</v>
      </c>
      <c r="L13" s="3">
        <v>19.052342770186801</v>
      </c>
      <c r="M13" s="3">
        <v>18.6474275073844</v>
      </c>
      <c r="N13" s="3">
        <v>33.6911100040316</v>
      </c>
    </row>
    <row r="14" spans="1:14" x14ac:dyDescent="0.35">
      <c r="A14" s="2">
        <v>42216</v>
      </c>
      <c r="B14" s="3">
        <v>19.847708531534799</v>
      </c>
      <c r="C14" s="3">
        <v>16.191762694742501</v>
      </c>
      <c r="D14" s="3">
        <v>17.022938383267199</v>
      </c>
      <c r="E14" s="3">
        <v>15.4623519316004</v>
      </c>
      <c r="F14" s="3">
        <v>16.859083023359101</v>
      </c>
      <c r="G14" s="3">
        <v>18.215554285285901</v>
      </c>
      <c r="H14" s="3">
        <v>15.7515100816941</v>
      </c>
      <c r="I14" s="3">
        <v>20.426985610299699</v>
      </c>
      <c r="J14" s="3">
        <v>17.528289292212399</v>
      </c>
      <c r="K14" s="3">
        <v>17.1919416855132</v>
      </c>
      <c r="L14" s="3">
        <v>19.009612755602401</v>
      </c>
      <c r="M14" s="3">
        <v>18.4990183364309</v>
      </c>
      <c r="N14" s="3">
        <v>31.332838227190699</v>
      </c>
    </row>
    <row r="15" spans="1:14" x14ac:dyDescent="0.35">
      <c r="A15" s="2">
        <v>42248</v>
      </c>
      <c r="B15" s="3">
        <v>19.244875271858099</v>
      </c>
      <c r="C15" s="3">
        <v>15.2413576832367</v>
      </c>
      <c r="D15" s="3">
        <v>16.341139342981801</v>
      </c>
      <c r="E15" s="3">
        <v>14.1980220803612</v>
      </c>
      <c r="F15" s="3">
        <v>15.5032993288164</v>
      </c>
      <c r="G15" s="3">
        <v>17.189263596797701</v>
      </c>
      <c r="H15" s="3">
        <v>14.836059010793401</v>
      </c>
      <c r="I15" s="3">
        <v>19.064985793959199</v>
      </c>
      <c r="J15" s="3">
        <v>16.493330846983799</v>
      </c>
      <c r="K15" s="3">
        <v>15.897403094729301</v>
      </c>
      <c r="L15" s="3">
        <v>17.292426239141999</v>
      </c>
      <c r="M15" s="3">
        <v>17.255170588050898</v>
      </c>
      <c r="N15" s="3">
        <v>27.548774119980799</v>
      </c>
    </row>
    <row r="16" spans="1:14" x14ac:dyDescent="0.35">
      <c r="A16" s="2">
        <v>42278</v>
      </c>
      <c r="B16" s="3">
        <v>18.600236266046299</v>
      </c>
      <c r="C16" s="3">
        <v>15.270777231694799</v>
      </c>
      <c r="D16" s="3">
        <v>16.302970366916</v>
      </c>
      <c r="E16" s="3">
        <v>13.6776222801206</v>
      </c>
      <c r="F16" s="3">
        <v>15.0392928854986</v>
      </c>
      <c r="G16" s="3">
        <v>16.9694991170573</v>
      </c>
      <c r="H16" s="3">
        <v>14.965959898075401</v>
      </c>
      <c r="I16" s="3">
        <v>19.016103806449099</v>
      </c>
      <c r="J16" s="3">
        <v>16.475754321051198</v>
      </c>
      <c r="K16" s="3">
        <v>15.404263590732</v>
      </c>
      <c r="L16" s="3">
        <v>16.5625494738977</v>
      </c>
      <c r="M16" s="3">
        <v>16.398426569363401</v>
      </c>
      <c r="N16" s="3">
        <v>24.780351132792099</v>
      </c>
    </row>
    <row r="17" spans="1:14" x14ac:dyDescent="0.35">
      <c r="A17" s="2">
        <v>42307</v>
      </c>
      <c r="B17" s="3">
        <v>19.473139354349801</v>
      </c>
      <c r="C17" s="3">
        <v>15.6354822088134</v>
      </c>
      <c r="D17" s="3">
        <v>16.6370606081625</v>
      </c>
      <c r="E17" s="3">
        <v>14.5204785615287</v>
      </c>
      <c r="F17" s="3">
        <v>15.889733662160699</v>
      </c>
      <c r="G17" s="3">
        <v>17.763535919517299</v>
      </c>
      <c r="H17" s="3">
        <v>15.815212471193799</v>
      </c>
      <c r="I17" s="3">
        <v>20.274913349370799</v>
      </c>
      <c r="J17" s="3">
        <v>17.398049176062599</v>
      </c>
      <c r="K17" s="3">
        <v>16.4233636129775</v>
      </c>
      <c r="L17" s="3">
        <v>17.601013897814699</v>
      </c>
      <c r="M17" s="3">
        <v>17.193332412250999</v>
      </c>
      <c r="N17" s="3">
        <v>23.3228676094371</v>
      </c>
    </row>
    <row r="18" spans="1:14" x14ac:dyDescent="0.35">
      <c r="A18" s="2">
        <v>42339</v>
      </c>
      <c r="B18" s="3">
        <v>19.711963342570201</v>
      </c>
      <c r="C18" s="3">
        <v>15.738896920554801</v>
      </c>
      <c r="D18" s="3">
        <v>16.921753337610699</v>
      </c>
      <c r="E18" s="3">
        <v>14.8734080992848</v>
      </c>
      <c r="F18" s="3">
        <v>16.3160938248067</v>
      </c>
      <c r="G18" s="3">
        <v>17.644783495850799</v>
      </c>
      <c r="H18" s="3">
        <v>16.062070610268599</v>
      </c>
      <c r="I18" s="3">
        <v>20.6147852403525</v>
      </c>
      <c r="J18" s="3">
        <v>17.5806980360076</v>
      </c>
      <c r="K18" s="3">
        <v>16.3666522751261</v>
      </c>
      <c r="L18" s="3">
        <v>18.062154770967801</v>
      </c>
      <c r="M18" s="3">
        <v>16.937334281333001</v>
      </c>
      <c r="N18" s="3">
        <v>21.328413188850998</v>
      </c>
    </row>
    <row r="19" spans="1:14" x14ac:dyDescent="0.35">
      <c r="A19" s="2">
        <v>42369</v>
      </c>
      <c r="B19" s="3">
        <v>19.861775829977301</v>
      </c>
      <c r="C19" s="3">
        <v>16.060762601513002</v>
      </c>
      <c r="D19" s="3">
        <v>15.7794491987031</v>
      </c>
      <c r="E19" s="3">
        <v>14.0285507216998</v>
      </c>
      <c r="F19" s="3">
        <v>15.7241220272528</v>
      </c>
      <c r="G19" s="3">
        <v>17.378177511790401</v>
      </c>
      <c r="H19" s="3">
        <v>15.672884588555499</v>
      </c>
      <c r="I19" s="3">
        <v>20.348969660295399</v>
      </c>
      <c r="J19" s="3">
        <v>17.142314327194399</v>
      </c>
      <c r="K19" s="3">
        <v>15.4220750370538</v>
      </c>
      <c r="L19" s="3">
        <v>16.870638649553101</v>
      </c>
      <c r="M19" s="3">
        <v>16.016258065652501</v>
      </c>
      <c r="N19" s="3">
        <v>17.961443208994901</v>
      </c>
    </row>
    <row r="20" spans="1:14" x14ac:dyDescent="0.35">
      <c r="A20" s="2">
        <v>42401</v>
      </c>
      <c r="B20" s="3">
        <v>19.1662283557657</v>
      </c>
      <c r="C20" s="3">
        <v>15.3410957732913</v>
      </c>
      <c r="D20" s="3">
        <v>15.370826928615299</v>
      </c>
      <c r="E20" s="3">
        <v>12.876474882206301</v>
      </c>
      <c r="F20" s="3">
        <v>14.9431742132256</v>
      </c>
      <c r="G20" s="3">
        <v>16.859526422699101</v>
      </c>
      <c r="H20" s="3">
        <v>15.273327344442301</v>
      </c>
      <c r="I20" s="3">
        <v>18.848349397799701</v>
      </c>
      <c r="J20" s="3">
        <v>16.2966838906097</v>
      </c>
      <c r="K20" s="3">
        <v>14.649790734723499</v>
      </c>
      <c r="L20" s="3">
        <v>16.406145654605002</v>
      </c>
      <c r="M20" s="3">
        <v>14.669562299692601</v>
      </c>
      <c r="N20" s="3">
        <v>15.099085548338399</v>
      </c>
    </row>
    <row r="21" spans="1:14" x14ac:dyDescent="0.35">
      <c r="A21" s="2">
        <v>42430</v>
      </c>
      <c r="B21" s="3">
        <v>19.280205088535102</v>
      </c>
      <c r="C21" s="3">
        <v>14.953913152117501</v>
      </c>
      <c r="D21" s="3">
        <v>15.7564101827763</v>
      </c>
      <c r="E21" s="3">
        <v>12.693829745910399</v>
      </c>
      <c r="F21" s="3">
        <v>13.8102014316074</v>
      </c>
      <c r="G21" s="3">
        <v>16.611905913269599</v>
      </c>
      <c r="H21" s="3">
        <v>15.5387681290171</v>
      </c>
      <c r="I21" s="3">
        <v>18.261968865638298</v>
      </c>
      <c r="J21" s="3">
        <v>16.188193427520002</v>
      </c>
      <c r="K21" s="3">
        <v>15.1719451342396</v>
      </c>
      <c r="L21" s="3">
        <v>16.434201094856601</v>
      </c>
      <c r="M21" s="3">
        <v>15.6158799578436</v>
      </c>
      <c r="N21" s="3">
        <v>15.397327784958399</v>
      </c>
    </row>
    <row r="22" spans="1:14" x14ac:dyDescent="0.35">
      <c r="A22" s="2">
        <v>42461</v>
      </c>
      <c r="B22" s="3">
        <v>19.333984789593998</v>
      </c>
      <c r="C22" s="3">
        <v>15.099939008049301</v>
      </c>
      <c r="D22" s="3">
        <v>16.001157655848001</v>
      </c>
      <c r="E22" s="3">
        <v>12.7367373784601</v>
      </c>
      <c r="F22" s="3">
        <v>13.711784284268999</v>
      </c>
      <c r="G22" s="3">
        <v>16.5964163990059</v>
      </c>
      <c r="H22" s="3">
        <v>15.7247270423721</v>
      </c>
      <c r="I22" s="3">
        <v>18.444790260331001</v>
      </c>
      <c r="J22" s="3">
        <v>16.445215307047398</v>
      </c>
      <c r="K22" s="3">
        <v>15.098238696891199</v>
      </c>
      <c r="L22" s="3">
        <v>16.3502918095853</v>
      </c>
      <c r="M22" s="3">
        <v>15.5496259742074</v>
      </c>
      <c r="N22" s="3">
        <v>15.206613016825999</v>
      </c>
    </row>
    <row r="23" spans="1:14" x14ac:dyDescent="0.35">
      <c r="A23" s="2">
        <v>42489</v>
      </c>
      <c r="B23" s="3">
        <v>19.424535406082899</v>
      </c>
      <c r="C23" s="3">
        <v>15.438568717403101</v>
      </c>
      <c r="D23" s="3">
        <v>16.4169682941824</v>
      </c>
      <c r="E23" s="3">
        <v>12.877495689962601</v>
      </c>
      <c r="F23" s="3">
        <v>13.7931562937423</v>
      </c>
      <c r="G23" s="3">
        <v>16.824160045368998</v>
      </c>
      <c r="H23" s="3">
        <v>15.950677924985699</v>
      </c>
      <c r="I23" s="3">
        <v>18.315723427199501</v>
      </c>
      <c r="J23" s="3">
        <v>16.565182572190999</v>
      </c>
      <c r="K23" s="3">
        <v>15.176512719832299</v>
      </c>
      <c r="L23" s="3">
        <v>16.2415206382368</v>
      </c>
      <c r="M23" s="3">
        <v>15.654626448610999</v>
      </c>
      <c r="N23" s="3">
        <v>15.2931220355081</v>
      </c>
    </row>
    <row r="24" spans="1:14" x14ac:dyDescent="0.35">
      <c r="A24" s="2">
        <v>42522</v>
      </c>
      <c r="B24" s="3">
        <v>19.8214919475842</v>
      </c>
      <c r="C24" s="3">
        <v>15.722020150496</v>
      </c>
      <c r="D24" s="3">
        <v>16.654433317118301</v>
      </c>
      <c r="E24" s="3">
        <v>12.912067696588901</v>
      </c>
      <c r="F24" s="3">
        <v>14.1254513403552</v>
      </c>
      <c r="G24" s="3">
        <v>17.119821855445</v>
      </c>
      <c r="H24" s="3">
        <v>15.9554399834539</v>
      </c>
      <c r="I24" s="3">
        <v>18.633683243526701</v>
      </c>
      <c r="J24" s="3">
        <v>16.769577921763499</v>
      </c>
      <c r="K24" s="3">
        <v>15.221339384726299</v>
      </c>
      <c r="L24" s="3">
        <v>16.286048356084098</v>
      </c>
      <c r="M24" s="3">
        <v>15.523444452153001</v>
      </c>
      <c r="N24" s="3">
        <v>15.08027884094</v>
      </c>
    </row>
    <row r="25" spans="1:14" x14ac:dyDescent="0.35">
      <c r="A25" s="2">
        <v>42552</v>
      </c>
      <c r="B25" s="3">
        <v>19.7077987621199</v>
      </c>
      <c r="C25" s="3">
        <v>15.7835404267062</v>
      </c>
      <c r="D25" s="3">
        <v>16.793466531645301</v>
      </c>
      <c r="E25" s="3">
        <v>12.705984699086001</v>
      </c>
      <c r="F25" s="3">
        <v>13.7030448296098</v>
      </c>
      <c r="G25" s="3">
        <v>17.203716797535701</v>
      </c>
      <c r="H25" s="3">
        <v>16.3512579053777</v>
      </c>
      <c r="I25" s="3">
        <v>18.644045727668701</v>
      </c>
      <c r="J25" s="3">
        <v>16.9159239183927</v>
      </c>
      <c r="K25" s="3">
        <v>14.851521350003001</v>
      </c>
      <c r="L25" s="3">
        <v>15.8183783091024</v>
      </c>
      <c r="M25" s="3">
        <v>15.4538294040505</v>
      </c>
      <c r="N25" s="3">
        <v>14.425996843363199</v>
      </c>
    </row>
    <row r="26" spans="1:14" x14ac:dyDescent="0.35">
      <c r="A26" s="2">
        <v>42583</v>
      </c>
      <c r="B26" s="3">
        <v>20.576831728649701</v>
      </c>
      <c r="C26" s="3">
        <v>16.521245420344499</v>
      </c>
      <c r="D26" s="3">
        <v>17.243193550889401</v>
      </c>
      <c r="E26" s="3">
        <v>13.125417049584801</v>
      </c>
      <c r="F26" s="3">
        <v>14.0782900450684</v>
      </c>
      <c r="G26" s="3">
        <v>17.628775022791299</v>
      </c>
      <c r="H26" s="3">
        <v>16.6607308268316</v>
      </c>
      <c r="I26" s="3">
        <v>19.424418244005601</v>
      </c>
      <c r="J26" s="3">
        <v>17.389168646326599</v>
      </c>
      <c r="K26" s="3">
        <v>15.0315918033056</v>
      </c>
      <c r="L26" s="3">
        <v>16.072259275576801</v>
      </c>
      <c r="M26" s="3">
        <v>15.7863929124286</v>
      </c>
      <c r="N26" s="3">
        <v>14.608333075451601</v>
      </c>
    </row>
    <row r="27" spans="1:14" x14ac:dyDescent="0.35">
      <c r="A27" s="2">
        <v>42614</v>
      </c>
      <c r="B27" s="3">
        <v>20.973016254428799</v>
      </c>
      <c r="C27" s="3">
        <v>16.4881311820149</v>
      </c>
      <c r="D27" s="3">
        <v>17.5850219500058</v>
      </c>
      <c r="E27" s="3">
        <v>13.361906265479901</v>
      </c>
      <c r="F27" s="3">
        <v>14.341176987513199</v>
      </c>
      <c r="G27" s="3">
        <v>17.777738016748401</v>
      </c>
      <c r="H27" s="3">
        <v>16.884387166005599</v>
      </c>
      <c r="I27" s="3">
        <v>19.564788150559099</v>
      </c>
      <c r="J27" s="3">
        <v>17.5592781607908</v>
      </c>
      <c r="K27" s="3">
        <v>14.936747787583901</v>
      </c>
      <c r="L27" s="3">
        <v>16.180979733906199</v>
      </c>
      <c r="M27" s="3">
        <v>16.071070160937801</v>
      </c>
      <c r="N27" s="3">
        <v>14.9367940220877</v>
      </c>
    </row>
    <row r="28" spans="1:14" x14ac:dyDescent="0.35">
      <c r="A28" s="2">
        <v>42643</v>
      </c>
      <c r="B28" s="3">
        <v>20.957196712321199</v>
      </c>
      <c r="C28" s="3">
        <v>16.7199617585058</v>
      </c>
      <c r="D28" s="3">
        <v>17.8787659375175</v>
      </c>
      <c r="E28" s="3">
        <v>13.577312567197</v>
      </c>
      <c r="F28" s="3">
        <v>14.1918651950187</v>
      </c>
      <c r="G28" s="3">
        <v>18.027024872288099</v>
      </c>
      <c r="H28" s="3">
        <v>17.073490822109001</v>
      </c>
      <c r="I28" s="3">
        <v>19.971558870214999</v>
      </c>
      <c r="J28" s="3">
        <v>17.747222765192799</v>
      </c>
      <c r="K28" s="3">
        <v>14.8789840518654</v>
      </c>
      <c r="L28" s="3">
        <v>16.156385409687001</v>
      </c>
      <c r="M28" s="3">
        <v>16.4554693449696</v>
      </c>
      <c r="N28" s="3">
        <v>14.6807457855707</v>
      </c>
    </row>
    <row r="29" spans="1:14" x14ac:dyDescent="0.35">
      <c r="A29" s="2">
        <v>42675</v>
      </c>
      <c r="B29" s="3">
        <v>20.009529590703799</v>
      </c>
      <c r="C29" s="3">
        <v>16.721756302178498</v>
      </c>
      <c r="D29" s="3">
        <v>18.173631370557999</v>
      </c>
      <c r="E29" s="3">
        <v>13.6425067445058</v>
      </c>
      <c r="F29" s="3">
        <v>14.811535278711199</v>
      </c>
      <c r="G29" s="3">
        <v>17.5576779117633</v>
      </c>
      <c r="H29" s="3">
        <v>16.618602496059498</v>
      </c>
      <c r="I29" s="3">
        <v>19.640592787748901</v>
      </c>
      <c r="J29" s="3">
        <v>17.484175522349101</v>
      </c>
      <c r="K29" s="3">
        <v>14.854039679431001</v>
      </c>
      <c r="L29" s="3">
        <v>15.6809532882497</v>
      </c>
      <c r="M29" s="3">
        <v>17.1515759308081</v>
      </c>
      <c r="N29" s="3">
        <v>14.693509954946199</v>
      </c>
    </row>
    <row r="30" spans="1:14" x14ac:dyDescent="0.35">
      <c r="A30" s="2">
        <v>42705</v>
      </c>
      <c r="B30" s="3">
        <v>20.122918210054301</v>
      </c>
      <c r="C30" s="3">
        <v>17.2698636116085</v>
      </c>
      <c r="D30" s="3">
        <v>18.7730931844746</v>
      </c>
      <c r="E30" s="3">
        <v>13.5942868011615</v>
      </c>
      <c r="F30" s="3">
        <v>15.9197693067995</v>
      </c>
      <c r="G30" s="3">
        <v>17.303162596864802</v>
      </c>
      <c r="H30" s="3">
        <v>16.415480899789401</v>
      </c>
      <c r="I30" s="3">
        <v>19.603984554528999</v>
      </c>
      <c r="J30" s="3">
        <v>18.265811360350799</v>
      </c>
      <c r="K30" s="3">
        <v>14.959003119199</v>
      </c>
      <c r="L30" s="3">
        <v>15.379251590667</v>
      </c>
      <c r="M30" s="3">
        <v>17.361510211472702</v>
      </c>
      <c r="N30" s="3">
        <v>14.486950005867</v>
      </c>
    </row>
    <row r="31" spans="1:14" x14ac:dyDescent="0.35">
      <c r="A31" s="2">
        <v>42734</v>
      </c>
      <c r="B31" s="3">
        <v>19.970582364952801</v>
      </c>
      <c r="C31" s="3">
        <v>17.7086539390355</v>
      </c>
      <c r="D31" s="3">
        <v>19.369708934889001</v>
      </c>
      <c r="E31" s="3">
        <v>14.7976712735815</v>
      </c>
      <c r="F31" s="3">
        <v>16.336549755412999</v>
      </c>
      <c r="G31" s="3">
        <v>18.2312249975706</v>
      </c>
      <c r="H31" s="3">
        <v>17.205071876992399</v>
      </c>
      <c r="I31" s="3">
        <v>20.294120577380198</v>
      </c>
      <c r="J31" s="3">
        <v>18.788878288081499</v>
      </c>
      <c r="K31" s="3">
        <v>15.7881796008571</v>
      </c>
      <c r="L31" s="3">
        <v>16.299934821553101</v>
      </c>
      <c r="M31" s="3">
        <v>18.185910729348599</v>
      </c>
      <c r="N31" s="3">
        <v>27.659464864347701</v>
      </c>
    </row>
    <row r="32" spans="1:14" x14ac:dyDescent="0.35">
      <c r="A32" s="2">
        <v>42767</v>
      </c>
      <c r="B32" s="3">
        <v>20.396541356389399</v>
      </c>
      <c r="C32" s="3">
        <v>17.561486423313099</v>
      </c>
      <c r="D32" s="3">
        <v>19.5860410126195</v>
      </c>
      <c r="E32" s="3">
        <v>14.9360641191432</v>
      </c>
      <c r="F32" s="3">
        <v>16.328525680740199</v>
      </c>
      <c r="G32" s="3">
        <v>18.5344603349454</v>
      </c>
      <c r="H32" s="3">
        <v>16.962504134662701</v>
      </c>
      <c r="I32" s="3">
        <v>21.246018173396902</v>
      </c>
      <c r="J32" s="3">
        <v>18.9218325814042</v>
      </c>
      <c r="K32" s="3">
        <v>15.527284271564801</v>
      </c>
      <c r="L32" s="3">
        <v>16.112133818695199</v>
      </c>
      <c r="M32" s="3">
        <v>18.2569802689274</v>
      </c>
      <c r="N32" s="3">
        <v>20.035613551147499</v>
      </c>
    </row>
    <row r="33" spans="1:14" x14ac:dyDescent="0.35">
      <c r="A33" s="2">
        <v>42795</v>
      </c>
      <c r="B33" s="3">
        <v>19.695052410820299</v>
      </c>
      <c r="C33" s="3">
        <v>17.5107295950144</v>
      </c>
      <c r="D33" s="3">
        <v>19.4269843736793</v>
      </c>
      <c r="E33" s="3">
        <v>15.005313442873399</v>
      </c>
      <c r="F33" s="3">
        <v>15.972347903181699</v>
      </c>
      <c r="G33" s="3">
        <v>19.677295331119399</v>
      </c>
      <c r="H33" s="3">
        <v>17.388942641486299</v>
      </c>
      <c r="I33" s="3">
        <v>21.744432484729799</v>
      </c>
      <c r="J33" s="3">
        <v>19.530264104742901</v>
      </c>
      <c r="K33" s="3">
        <v>15.622903891917799</v>
      </c>
      <c r="L33" s="3">
        <v>16.4408844449244</v>
      </c>
      <c r="M33" s="3">
        <v>17.474465698077601</v>
      </c>
      <c r="N33" s="3">
        <v>85.791985568263399</v>
      </c>
    </row>
    <row r="34" spans="1:14" x14ac:dyDescent="0.35">
      <c r="A34" s="2">
        <v>42825</v>
      </c>
      <c r="B34" s="3">
        <v>19.7808677360449</v>
      </c>
      <c r="C34" s="3">
        <v>17.388445541750801</v>
      </c>
      <c r="D34" s="3">
        <v>19.1093046046532</v>
      </c>
      <c r="E34" s="3">
        <v>14.970578196584301</v>
      </c>
      <c r="F34" s="3">
        <v>15.7187584660595</v>
      </c>
      <c r="G34" s="3">
        <v>19.483665613401101</v>
      </c>
      <c r="H34" s="3">
        <v>17.120569438288801</v>
      </c>
      <c r="I34" s="3">
        <v>21.662846506715901</v>
      </c>
      <c r="J34" s="3">
        <v>19.3434696885449</v>
      </c>
      <c r="K34" s="3">
        <v>15.6742006521623</v>
      </c>
      <c r="L34" s="3">
        <v>16.5201736815972</v>
      </c>
      <c r="M34" s="3">
        <v>17.604933401968399</v>
      </c>
      <c r="N34" s="3">
        <v>78.854228642247094</v>
      </c>
    </row>
    <row r="35" spans="1:14" x14ac:dyDescent="0.35">
      <c r="A35" s="2">
        <v>42856</v>
      </c>
      <c r="B35" s="3">
        <v>19.929199137973601</v>
      </c>
      <c r="C35" s="3">
        <v>17.316112774013199</v>
      </c>
      <c r="D35" s="3">
        <v>18.779430607894199</v>
      </c>
      <c r="E35" s="3">
        <v>14.896729480968499</v>
      </c>
      <c r="F35" s="3">
        <v>15.6080523557322</v>
      </c>
      <c r="G35" s="3">
        <v>19.4745274237685</v>
      </c>
      <c r="H35" s="3">
        <v>16.838637119658198</v>
      </c>
      <c r="I35" s="3">
        <v>21.751757307304899</v>
      </c>
      <c r="J35" s="3">
        <v>19.2245542627826</v>
      </c>
      <c r="K35" s="3">
        <v>15.767917039691399</v>
      </c>
      <c r="L35" s="3">
        <v>16.661322644140199</v>
      </c>
      <c r="M35" s="3">
        <v>17.634758912758201</v>
      </c>
      <c r="N35" s="3">
        <v>71.523896205951402</v>
      </c>
    </row>
    <row r="36" spans="1:14" x14ac:dyDescent="0.35">
      <c r="A36" s="2">
        <v>42887</v>
      </c>
      <c r="B36" s="3">
        <v>19.9543554132187</v>
      </c>
      <c r="C36" s="3">
        <v>16.853937213354001</v>
      </c>
      <c r="D36" s="3">
        <v>18.451233955503199</v>
      </c>
      <c r="E36" s="3">
        <v>14.778533697648101</v>
      </c>
      <c r="F36" s="3">
        <v>15.666515052706099</v>
      </c>
      <c r="G36" s="3">
        <v>19.585893160628501</v>
      </c>
      <c r="H36" s="3">
        <v>16.805358342696699</v>
      </c>
      <c r="I36" s="3">
        <v>22.010113085712099</v>
      </c>
      <c r="J36" s="3">
        <v>19.214233047077901</v>
      </c>
      <c r="K36" s="3">
        <v>15.792884554729101</v>
      </c>
      <c r="L36" s="3">
        <v>16.749843075810698</v>
      </c>
      <c r="M36" s="3">
        <v>18.104229759829899</v>
      </c>
      <c r="N36" s="3">
        <v>64.2642734956884</v>
      </c>
    </row>
    <row r="37" spans="1:14" x14ac:dyDescent="0.35">
      <c r="A37" s="2">
        <v>42916</v>
      </c>
      <c r="B37" s="3">
        <v>20.101254626645499</v>
      </c>
      <c r="C37" s="3">
        <v>16.791029596471201</v>
      </c>
      <c r="D37" s="3">
        <v>18.057522337090699</v>
      </c>
      <c r="E37" s="3">
        <v>14.4898674106417</v>
      </c>
      <c r="F37" s="3">
        <v>15.561407587874699</v>
      </c>
      <c r="G37" s="3">
        <v>19.342347661175499</v>
      </c>
      <c r="H37" s="3">
        <v>16.421619961282801</v>
      </c>
      <c r="I37" s="3">
        <v>21.637729586664602</v>
      </c>
      <c r="J37" s="3">
        <v>19.082911078838698</v>
      </c>
      <c r="K37" s="3">
        <v>15.5101231229392</v>
      </c>
      <c r="L37" s="3">
        <v>16.4737540777456</v>
      </c>
      <c r="M37" s="3">
        <v>17.499000383484798</v>
      </c>
      <c r="N37" s="3">
        <v>57.3506552325927</v>
      </c>
    </row>
    <row r="38" spans="1:14" x14ac:dyDescent="0.35">
      <c r="A38" s="2">
        <v>42948</v>
      </c>
      <c r="B38" s="3">
        <v>20.458231152889201</v>
      </c>
      <c r="C38" s="3">
        <v>16.892823423104399</v>
      </c>
      <c r="D38" s="3">
        <v>18.0064838442803</v>
      </c>
      <c r="E38" s="3">
        <v>14.362396619776399</v>
      </c>
      <c r="F38" s="3">
        <v>15.449512948375601</v>
      </c>
      <c r="G38" s="3">
        <v>19.328164953905802</v>
      </c>
      <c r="H38" s="3">
        <v>16.432697779733399</v>
      </c>
      <c r="I38" s="3">
        <v>22.124481896098199</v>
      </c>
      <c r="J38" s="3">
        <v>19.191696577310701</v>
      </c>
      <c r="K38" s="3">
        <v>15.532098931677099</v>
      </c>
      <c r="L38" s="3">
        <v>16.747639078274499</v>
      </c>
      <c r="M38" s="3">
        <v>17.168984196270401</v>
      </c>
      <c r="N38" s="3">
        <v>50.270261136602699</v>
      </c>
    </row>
    <row r="39" spans="1:14" x14ac:dyDescent="0.35">
      <c r="A39" s="2">
        <v>42979</v>
      </c>
      <c r="B39" s="3">
        <v>20.609137960041501</v>
      </c>
      <c r="C39" s="3">
        <v>16.621429923767</v>
      </c>
      <c r="D39" s="3">
        <v>17.527426507056902</v>
      </c>
      <c r="E39" s="3">
        <v>14.135047138466399</v>
      </c>
      <c r="F39" s="3">
        <v>14.971999226263399</v>
      </c>
      <c r="G39" s="3">
        <v>19.144466438426399</v>
      </c>
      <c r="H39" s="3">
        <v>16.103619870065</v>
      </c>
      <c r="I39" s="3">
        <v>22.3062549192523</v>
      </c>
      <c r="J39" s="3">
        <v>19.0917620071552</v>
      </c>
      <c r="K39" s="3">
        <v>15.528032370634</v>
      </c>
      <c r="L39" s="3">
        <v>16.601672298103399</v>
      </c>
      <c r="M39" s="3">
        <v>16.975588664667701</v>
      </c>
      <c r="N39" s="3">
        <v>42.932874403175397</v>
      </c>
    </row>
    <row r="40" spans="1:14" x14ac:dyDescent="0.35">
      <c r="A40" s="2">
        <v>43007</v>
      </c>
      <c r="B40" s="3">
        <v>20.6402295727802</v>
      </c>
      <c r="C40" s="3">
        <v>16.318319198928499</v>
      </c>
      <c r="D40" s="3">
        <v>17.654069951605699</v>
      </c>
      <c r="E40" s="3">
        <v>14.620290824259</v>
      </c>
      <c r="F40" s="3">
        <v>15.0466824256912</v>
      </c>
      <c r="G40" s="3">
        <v>19.459998833742201</v>
      </c>
      <c r="H40" s="3">
        <v>15.8458154642555</v>
      </c>
      <c r="I40" s="3">
        <v>22.304278594671199</v>
      </c>
      <c r="J40" s="3">
        <v>19.3338918115731</v>
      </c>
      <c r="K40" s="3">
        <v>15.944684967910201</v>
      </c>
      <c r="L40" s="3">
        <v>17.014056491360499</v>
      </c>
      <c r="M40" s="3">
        <v>17.714698700122099</v>
      </c>
      <c r="N40" s="3">
        <v>36.646634701999297</v>
      </c>
    </row>
    <row r="41" spans="1:14" x14ac:dyDescent="0.35">
      <c r="A41" s="2">
        <v>43040</v>
      </c>
      <c r="B41" s="3">
        <v>21.221137938690301</v>
      </c>
      <c r="C41" s="3">
        <v>16.6934743643464</v>
      </c>
      <c r="D41" s="3">
        <v>17.606748651139299</v>
      </c>
      <c r="E41" s="3">
        <v>15.406289000003</v>
      </c>
      <c r="F41" s="3">
        <v>15.5903459061511</v>
      </c>
      <c r="G41" s="3">
        <v>20.277180041174098</v>
      </c>
      <c r="H41" s="3">
        <v>15.612659205933101</v>
      </c>
      <c r="I41" s="3">
        <v>22.8912840070656</v>
      </c>
      <c r="J41" s="3">
        <v>19.614329420367699</v>
      </c>
      <c r="K41" s="3">
        <v>16.343990368623299</v>
      </c>
      <c r="L41" s="3">
        <v>17.3947003136002</v>
      </c>
      <c r="M41" s="3">
        <v>18.596580342569499</v>
      </c>
      <c r="N41" s="3">
        <v>29.292520969464999</v>
      </c>
    </row>
    <row r="42" spans="1:14" x14ac:dyDescent="0.35">
      <c r="A42" s="2">
        <v>43070</v>
      </c>
      <c r="B42" s="3">
        <v>21.560923949059902</v>
      </c>
      <c r="C42" s="3">
        <v>16.643239141631099</v>
      </c>
      <c r="D42" s="3">
        <v>17.315556170383999</v>
      </c>
      <c r="E42" s="3">
        <v>15.172717455383101</v>
      </c>
      <c r="F42" s="3">
        <v>16.111850124842601</v>
      </c>
      <c r="G42" s="3">
        <v>20.3191407844838</v>
      </c>
      <c r="H42" s="3">
        <v>15.0729034916162</v>
      </c>
      <c r="I42" s="3">
        <v>23.0806527278178</v>
      </c>
      <c r="J42" s="3">
        <v>19.991053194272901</v>
      </c>
      <c r="K42" s="3">
        <v>15.972070810649999</v>
      </c>
      <c r="L42" s="3">
        <v>16.974758562429901</v>
      </c>
      <c r="M42" s="3">
        <v>17.821688902872602</v>
      </c>
      <c r="N42" s="3">
        <v>22.241134483824201</v>
      </c>
    </row>
    <row r="43" spans="1:14" x14ac:dyDescent="0.35">
      <c r="A43" s="2">
        <v>43098</v>
      </c>
      <c r="B43" s="3">
        <v>22.388925154765701</v>
      </c>
      <c r="C43" s="3">
        <v>16.827891133157099</v>
      </c>
      <c r="D43" s="3">
        <v>17.206915172904601</v>
      </c>
      <c r="E43" s="3">
        <v>15.2737781513871</v>
      </c>
      <c r="F43" s="3">
        <v>16.356655473142698</v>
      </c>
      <c r="G43" s="3">
        <v>20.734019633567801</v>
      </c>
      <c r="H43" s="3">
        <v>15.5492985215324</v>
      </c>
      <c r="I43" s="3">
        <v>23.527116252332601</v>
      </c>
      <c r="J43" s="3">
        <v>20.234723313277101</v>
      </c>
      <c r="K43" s="3">
        <v>15.968403181827799</v>
      </c>
      <c r="L43" s="3">
        <v>17.237747078145301</v>
      </c>
      <c r="M43" s="3">
        <v>17.8917428432806</v>
      </c>
      <c r="N43" s="3">
        <v>15.5073974754213</v>
      </c>
    </row>
    <row r="44" spans="1:14" x14ac:dyDescent="0.35">
      <c r="A44" s="2">
        <v>43132</v>
      </c>
      <c r="B44" s="3">
        <v>22.408880497923999</v>
      </c>
      <c r="C44" s="3">
        <v>16.875934108637399</v>
      </c>
      <c r="D44" s="3">
        <v>16.6506424868717</v>
      </c>
      <c r="E44" s="3">
        <v>14.988006197181701</v>
      </c>
      <c r="F44" s="3">
        <v>16.542287470516701</v>
      </c>
      <c r="G44" s="3">
        <v>21.7424950046533</v>
      </c>
      <c r="H44" s="3">
        <v>15.276281211673901</v>
      </c>
      <c r="I44" s="3">
        <v>24.8521242356111</v>
      </c>
      <c r="J44" s="3">
        <v>20.895324538897899</v>
      </c>
      <c r="K44" s="3">
        <v>16.368286499059501</v>
      </c>
      <c r="L44" s="3">
        <v>17.494616035967098</v>
      </c>
      <c r="M44" s="3">
        <v>18.830295735090701</v>
      </c>
      <c r="N44" s="3">
        <v>15.663221713693201</v>
      </c>
    </row>
    <row r="45" spans="1:14" x14ac:dyDescent="0.35">
      <c r="A45" s="2">
        <v>43160</v>
      </c>
      <c r="B45" s="3">
        <v>22.612037192669401</v>
      </c>
      <c r="C45" s="3">
        <v>16.527359917847399</v>
      </c>
      <c r="D45" s="3">
        <v>15.8202568992905</v>
      </c>
      <c r="E45" s="3">
        <v>14.2132891635788</v>
      </c>
      <c r="F45" s="3">
        <v>14.4548739714149</v>
      </c>
      <c r="G45" s="3">
        <v>21.163837727607401</v>
      </c>
      <c r="H45" s="3">
        <v>13.8875130164915</v>
      </c>
      <c r="I45" s="3">
        <v>24.0564794339268</v>
      </c>
      <c r="J45" s="3">
        <v>19.748941592118399</v>
      </c>
      <c r="K45" s="3">
        <v>15.592607359911501</v>
      </c>
      <c r="L45" s="3">
        <v>16.635856667329801</v>
      </c>
      <c r="M45" s="3">
        <v>16.948186678305898</v>
      </c>
      <c r="N45" s="3">
        <v>14.2257603724861</v>
      </c>
    </row>
    <row r="46" spans="1:14" x14ac:dyDescent="0.35">
      <c r="A46" s="2">
        <v>43188</v>
      </c>
      <c r="B46" s="3">
        <v>22.395471668322902</v>
      </c>
      <c r="C46" s="3">
        <v>16.2815090514869</v>
      </c>
      <c r="D46" s="3">
        <v>15.694294246763301</v>
      </c>
      <c r="E46" s="3">
        <v>14.096813167756901</v>
      </c>
      <c r="F46" s="3">
        <v>14.2542395217387</v>
      </c>
      <c r="G46" s="3">
        <v>20.720101104033901</v>
      </c>
      <c r="H46" s="3">
        <v>13.889865731274501</v>
      </c>
      <c r="I46" s="3">
        <v>23.6415291626979</v>
      </c>
      <c r="J46" s="3">
        <v>19.442240691761</v>
      </c>
      <c r="K46" s="3">
        <v>15.467357815326499</v>
      </c>
      <c r="L46" s="3">
        <v>16.559995888604899</v>
      </c>
      <c r="M46" s="3">
        <v>16.8339577519838</v>
      </c>
      <c r="N46" s="3">
        <v>14.083699160272401</v>
      </c>
    </row>
    <row r="47" spans="1:14" x14ac:dyDescent="0.35">
      <c r="A47" s="2">
        <v>43221</v>
      </c>
      <c r="B47" s="3">
        <v>22.302425474194202</v>
      </c>
      <c r="C47" s="3">
        <v>16.301804239532402</v>
      </c>
      <c r="D47" s="3">
        <v>15.596736898241501</v>
      </c>
      <c r="E47" s="3">
        <v>14.154533620338899</v>
      </c>
      <c r="F47" s="3">
        <v>14.282482366905199</v>
      </c>
      <c r="G47" s="3">
        <v>20.282590051458602</v>
      </c>
      <c r="H47" s="3">
        <v>14.028477624294499</v>
      </c>
      <c r="I47" s="3">
        <v>23.2195380192647</v>
      </c>
      <c r="J47" s="3">
        <v>19.080246094786599</v>
      </c>
      <c r="K47" s="3">
        <v>15.6020308436565</v>
      </c>
      <c r="L47" s="3">
        <v>16.5822049425865</v>
      </c>
      <c r="M47" s="3">
        <v>16.7748732453936</v>
      </c>
      <c r="N47" s="3">
        <v>14.1805086823334</v>
      </c>
    </row>
    <row r="48" spans="1:14" x14ac:dyDescent="0.35">
      <c r="A48" s="2">
        <v>43252</v>
      </c>
      <c r="B48" s="3">
        <v>22.426551250118202</v>
      </c>
      <c r="C48" s="3">
        <v>16.131253831061301</v>
      </c>
      <c r="D48" s="3">
        <v>15.517045871110501</v>
      </c>
      <c r="E48" s="3">
        <v>14.089543033653401</v>
      </c>
      <c r="F48" s="3">
        <v>14.089716303669199</v>
      </c>
      <c r="G48" s="3">
        <v>19.696156425107102</v>
      </c>
      <c r="H48" s="3">
        <v>13.9999159097642</v>
      </c>
      <c r="I48" s="3">
        <v>23.295388468917899</v>
      </c>
      <c r="J48" s="3">
        <v>18.923641124726199</v>
      </c>
      <c r="K48" s="3">
        <v>15.448668833230901</v>
      </c>
      <c r="L48" s="3">
        <v>16.636581306373699</v>
      </c>
      <c r="M48" s="3">
        <v>16.627663504387201</v>
      </c>
      <c r="N48" s="3">
        <v>13.597939479651799</v>
      </c>
    </row>
    <row r="49" spans="1:14" x14ac:dyDescent="0.35">
      <c r="A49" s="2">
        <v>43280</v>
      </c>
      <c r="B49" s="3">
        <v>22.847590549453798</v>
      </c>
      <c r="C49" s="3">
        <v>16.2800875614586</v>
      </c>
      <c r="D49" s="3">
        <v>15.4956522413703</v>
      </c>
      <c r="E49" s="3">
        <v>13.8875658519637</v>
      </c>
      <c r="F49" s="3">
        <v>13.910441782047499</v>
      </c>
      <c r="G49" s="3">
        <v>19.276078670819</v>
      </c>
      <c r="H49" s="3">
        <v>13.848330194822999</v>
      </c>
      <c r="I49" s="3">
        <v>22.976028130568199</v>
      </c>
      <c r="J49" s="3">
        <v>18.6134370089549</v>
      </c>
      <c r="K49" s="3">
        <v>15.1696652076955</v>
      </c>
      <c r="L49" s="3">
        <v>16.517634765485699</v>
      </c>
      <c r="M49" s="3">
        <v>16.476991229032699</v>
      </c>
      <c r="N49" s="3">
        <v>13.289562623464599</v>
      </c>
    </row>
    <row r="50" spans="1:14" x14ac:dyDescent="0.35">
      <c r="A50" s="2">
        <v>43313</v>
      </c>
      <c r="B50" s="3">
        <v>22.790245864966799</v>
      </c>
      <c r="C50" s="3">
        <v>16.348022536938998</v>
      </c>
      <c r="D50" s="3">
        <v>15.470682869784101</v>
      </c>
      <c r="E50" s="3">
        <v>14.148271031716799</v>
      </c>
      <c r="F50" s="3">
        <v>13.951211163573999</v>
      </c>
      <c r="G50" s="3">
        <v>19.270600718631901</v>
      </c>
      <c r="H50" s="3">
        <v>13.8888311761969</v>
      </c>
      <c r="I50" s="3">
        <v>22.938790781013999</v>
      </c>
      <c r="J50" s="3">
        <v>18.5893530387516</v>
      </c>
      <c r="K50" s="3">
        <v>15.2922544562108</v>
      </c>
      <c r="L50" s="3">
        <v>16.8226882345913</v>
      </c>
      <c r="M50" s="3">
        <v>16.623264679178799</v>
      </c>
      <c r="N50" s="3">
        <v>13.216464993154499</v>
      </c>
    </row>
    <row r="51" spans="1:14" x14ac:dyDescent="0.35">
      <c r="A51" s="2">
        <v>43343</v>
      </c>
      <c r="B51" s="3">
        <v>23.757388864391</v>
      </c>
      <c r="C51" s="3">
        <v>16.359794784017701</v>
      </c>
      <c r="D51" s="3">
        <v>15.238977878050401</v>
      </c>
      <c r="E51" s="3">
        <v>14.021403360529799</v>
      </c>
      <c r="F51" s="3">
        <v>13.650650473683299</v>
      </c>
      <c r="G51" s="3">
        <v>18.797701941154699</v>
      </c>
      <c r="H51" s="3">
        <v>13.5125453110635</v>
      </c>
      <c r="I51" s="3">
        <v>23.462207281979499</v>
      </c>
      <c r="J51" s="3">
        <v>18.701689354028201</v>
      </c>
      <c r="K51" s="3">
        <v>15.0320387753647</v>
      </c>
      <c r="L51" s="3">
        <v>16.600732905253501</v>
      </c>
      <c r="M51" s="3">
        <v>16.8131756196541</v>
      </c>
      <c r="N51" s="3">
        <v>12.4458594415345</v>
      </c>
    </row>
    <row r="52" spans="1:14" x14ac:dyDescent="0.35">
      <c r="A52" s="2">
        <v>43374</v>
      </c>
      <c r="B52" s="3">
        <v>23.531424107782598</v>
      </c>
      <c r="C52" s="3">
        <v>15.988381647052901</v>
      </c>
      <c r="D52" s="3">
        <v>15.074261227175599</v>
      </c>
      <c r="E52" s="3">
        <v>13.9939062049255</v>
      </c>
      <c r="F52" s="3">
        <v>13.974235480915601</v>
      </c>
      <c r="G52" s="3">
        <v>18.584594107344799</v>
      </c>
      <c r="H52" s="3">
        <v>13.598814344213</v>
      </c>
      <c r="I52" s="3">
        <v>23.296132712989198</v>
      </c>
      <c r="J52" s="3">
        <v>18.628254001456199</v>
      </c>
      <c r="K52" s="3">
        <v>15.1154639985001</v>
      </c>
      <c r="L52" s="3">
        <v>16.343943667157301</v>
      </c>
      <c r="M52" s="3">
        <v>16.9378967265929</v>
      </c>
      <c r="N52" s="3">
        <v>12.255363346233</v>
      </c>
    </row>
    <row r="53" spans="1:14" x14ac:dyDescent="0.35">
      <c r="A53" s="2">
        <v>43405</v>
      </c>
      <c r="B53" s="3">
        <v>22.830517567499999</v>
      </c>
      <c r="C53" s="3">
        <v>15.3013526523547</v>
      </c>
      <c r="D53" s="3">
        <v>14.2366964060455</v>
      </c>
      <c r="E53" s="3">
        <v>13.099169210789499</v>
      </c>
      <c r="F53" s="3">
        <v>12.7436131906918</v>
      </c>
      <c r="G53" s="3">
        <v>18.018979644126802</v>
      </c>
      <c r="H53" s="3">
        <v>12.900146232547</v>
      </c>
      <c r="I53" s="3">
        <v>21.391572162300999</v>
      </c>
      <c r="J53" s="3">
        <v>17.433445042013599</v>
      </c>
      <c r="K53" s="3">
        <v>14.1383518348878</v>
      </c>
      <c r="L53" s="3">
        <v>15.6055159750091</v>
      </c>
      <c r="M53" s="3">
        <v>15.286391102445601</v>
      </c>
      <c r="N53" s="3">
        <v>11.4855890332567</v>
      </c>
    </row>
    <row r="54" spans="1:14" x14ac:dyDescent="0.35">
      <c r="A54" s="2">
        <v>43434</v>
      </c>
      <c r="B54" s="3">
        <v>22.721928670499</v>
      </c>
      <c r="C54" s="3">
        <v>14.8672537208656</v>
      </c>
      <c r="D54" s="3">
        <v>14.054323813252999</v>
      </c>
      <c r="E54" s="3">
        <v>12.8828774173161</v>
      </c>
      <c r="F54" s="3">
        <v>12.8279675403355</v>
      </c>
      <c r="G54" s="3">
        <v>17.703786659699499</v>
      </c>
      <c r="H54" s="3">
        <v>12.550971483693401</v>
      </c>
      <c r="I54" s="3">
        <v>20.752725692926798</v>
      </c>
      <c r="J54" s="3">
        <v>17.253370587726302</v>
      </c>
      <c r="K54" s="3">
        <v>13.753071887567099</v>
      </c>
      <c r="L54" s="3">
        <v>15.412775614075001</v>
      </c>
      <c r="M54" s="3">
        <v>14.8233032959828</v>
      </c>
      <c r="N54" s="3">
        <v>11.2217000747596</v>
      </c>
    </row>
    <row r="55" spans="1:14" x14ac:dyDescent="0.35">
      <c r="A55" s="2">
        <v>43465</v>
      </c>
      <c r="B55" s="3">
        <v>22.974092481471502</v>
      </c>
      <c r="C55" s="3">
        <v>14.6223187067508</v>
      </c>
      <c r="D55" s="3">
        <v>13.131557852534799</v>
      </c>
      <c r="E55" s="3">
        <v>12.0117474275311</v>
      </c>
      <c r="F55" s="3">
        <v>11.478063485722499</v>
      </c>
      <c r="G55" s="3">
        <v>16.186770504770799</v>
      </c>
      <c r="H55" s="3">
        <v>11.9434339120145</v>
      </c>
      <c r="I55" s="3">
        <v>18.639662312282699</v>
      </c>
      <c r="J55" s="3">
        <v>15.4897044891365</v>
      </c>
      <c r="K55" s="3">
        <v>12.9349299562362</v>
      </c>
      <c r="L55" s="3">
        <v>14.2830374670868</v>
      </c>
      <c r="M55" s="3">
        <v>13.801571070511701</v>
      </c>
      <c r="N55" s="3">
        <v>10.387179484884999</v>
      </c>
    </row>
    <row r="56" spans="1:14" x14ac:dyDescent="0.35">
      <c r="A56" s="2">
        <v>43497</v>
      </c>
      <c r="B56" s="3">
        <v>23.279819858548802</v>
      </c>
      <c r="C56" s="3">
        <v>15.2545673380389</v>
      </c>
      <c r="D56" s="3">
        <v>14.517087878377501</v>
      </c>
      <c r="E56" s="3">
        <v>12.840174060001001</v>
      </c>
      <c r="F56" s="3">
        <v>12.161371341043701</v>
      </c>
      <c r="G56" s="3">
        <v>17.6000232415279</v>
      </c>
      <c r="H56" s="3">
        <v>12.6629991530125</v>
      </c>
      <c r="I56" s="3">
        <v>20.304407141964901</v>
      </c>
      <c r="J56" s="3">
        <v>16.696369537999399</v>
      </c>
      <c r="K56" s="3">
        <v>13.835205523177301</v>
      </c>
      <c r="L56" s="3">
        <v>15.2677384156241</v>
      </c>
      <c r="M56" s="3">
        <v>16.234872799480801</v>
      </c>
      <c r="N56" s="3">
        <v>11.036770973470899</v>
      </c>
    </row>
    <row r="57" spans="1:14" x14ac:dyDescent="0.35">
      <c r="A57" s="2">
        <v>43525</v>
      </c>
      <c r="B57" s="3">
        <v>24.185431785191199</v>
      </c>
      <c r="C57" s="3">
        <v>15.9237833795216</v>
      </c>
      <c r="D57" s="3">
        <v>14.733920888522301</v>
      </c>
      <c r="E57" s="3">
        <v>13.2358567209154</v>
      </c>
      <c r="F57" s="3">
        <v>12.7022799934721</v>
      </c>
      <c r="G57" s="3">
        <v>18.3575359207335</v>
      </c>
      <c r="H57" s="3">
        <v>12.9360870157105</v>
      </c>
      <c r="I57" s="3">
        <v>20.921913392507498</v>
      </c>
      <c r="J57" s="3">
        <v>17.127818458014499</v>
      </c>
      <c r="K57" s="3">
        <v>14.582210770583901</v>
      </c>
      <c r="L57" s="3">
        <v>16.160365939624601</v>
      </c>
      <c r="M57" s="3">
        <v>18.161036712129398</v>
      </c>
      <c r="N57" s="3">
        <v>11.2968756302449</v>
      </c>
    </row>
    <row r="58" spans="1:14" x14ac:dyDescent="0.35">
      <c r="A58" s="2">
        <v>43556</v>
      </c>
      <c r="B58" s="3">
        <v>24.160081946159899</v>
      </c>
      <c r="C58" s="3">
        <v>15.8795368562413</v>
      </c>
      <c r="D58" s="3">
        <v>14.737288598720699</v>
      </c>
      <c r="E58" s="3">
        <v>13.198347808877701</v>
      </c>
      <c r="F58" s="3">
        <v>12.732113933714</v>
      </c>
      <c r="G58" s="3">
        <v>18.286893182499501</v>
      </c>
      <c r="H58" s="3">
        <v>12.9795117265313</v>
      </c>
      <c r="I58" s="3">
        <v>21.099413595881099</v>
      </c>
      <c r="J58" s="3">
        <v>17.181851549516299</v>
      </c>
      <c r="K58" s="3">
        <v>14.5743377385841</v>
      </c>
      <c r="L58" s="3">
        <v>16.193161824355698</v>
      </c>
      <c r="M58" s="3">
        <v>17.860133371288001</v>
      </c>
      <c r="N58" s="3">
        <v>11.3433339960844</v>
      </c>
    </row>
    <row r="59" spans="1:14" x14ac:dyDescent="0.35">
      <c r="A59" s="2">
        <v>43586</v>
      </c>
      <c r="B59" s="3">
        <v>24.163446048534599</v>
      </c>
      <c r="C59" s="3">
        <v>15.9028090299238</v>
      </c>
      <c r="D59" s="3">
        <v>14.6153659062406</v>
      </c>
      <c r="E59" s="3">
        <v>13.4045329040034</v>
      </c>
      <c r="F59" s="3">
        <v>12.788975623281001</v>
      </c>
      <c r="G59" s="3">
        <v>18.301015590180899</v>
      </c>
      <c r="H59" s="3">
        <v>13.0056531140849</v>
      </c>
      <c r="I59" s="3">
        <v>21.4115574712153</v>
      </c>
      <c r="J59" s="3">
        <v>17.274602818875699</v>
      </c>
      <c r="K59" s="3">
        <v>14.693370535807601</v>
      </c>
      <c r="L59" s="3">
        <v>16.3637660815908</v>
      </c>
      <c r="M59" s="3">
        <v>17.8758247017429</v>
      </c>
      <c r="N59" s="3">
        <v>11.359434881807701</v>
      </c>
    </row>
    <row r="60" spans="1:14" x14ac:dyDescent="0.35">
      <c r="A60" s="2">
        <v>43616</v>
      </c>
      <c r="B60" s="3">
        <v>24.2756481212711</v>
      </c>
      <c r="C60" s="3">
        <v>15.913793143409499</v>
      </c>
      <c r="D60" s="3">
        <v>14.3717500238412</v>
      </c>
      <c r="E60" s="3">
        <v>13.089620118325101</v>
      </c>
      <c r="F60" s="3">
        <v>12.6047285191562</v>
      </c>
      <c r="G60" s="3">
        <v>18.048041672357801</v>
      </c>
      <c r="H60" s="3">
        <v>12.8170105442727</v>
      </c>
      <c r="I60" s="3">
        <v>20.791920606647501</v>
      </c>
      <c r="J60" s="3">
        <v>16.869952553776901</v>
      </c>
      <c r="K60" s="3">
        <v>14.325010705574901</v>
      </c>
      <c r="L60" s="3">
        <v>16.023790859938199</v>
      </c>
      <c r="M60" s="3">
        <v>16.971715099115599</v>
      </c>
      <c r="N60" s="3">
        <v>10.836667034931001</v>
      </c>
    </row>
    <row r="61" spans="1:14" x14ac:dyDescent="0.35">
      <c r="A61" s="2">
        <v>43647</v>
      </c>
      <c r="B61" s="3">
        <v>24.6781095299587</v>
      </c>
      <c r="C61" s="3">
        <v>16.271040785394899</v>
      </c>
      <c r="D61" s="3">
        <v>14.4890949670935</v>
      </c>
      <c r="E61" s="3">
        <v>13.494792504736401</v>
      </c>
      <c r="F61" s="3">
        <v>12.9951497118566</v>
      </c>
      <c r="G61" s="3">
        <v>18.389007131749601</v>
      </c>
      <c r="H61" s="3">
        <v>13.1013609730655</v>
      </c>
      <c r="I61" s="3">
        <v>21.7566859875649</v>
      </c>
      <c r="J61" s="3">
        <v>17.484085273284499</v>
      </c>
      <c r="K61" s="3">
        <v>14.715417667977</v>
      </c>
      <c r="L61" s="3">
        <v>16.493768179635801</v>
      </c>
      <c r="M61" s="3">
        <v>17.1955360550945</v>
      </c>
      <c r="N61" s="3">
        <v>11.1105671517553</v>
      </c>
    </row>
    <row r="62" spans="1:14" x14ac:dyDescent="0.35">
      <c r="A62" s="2">
        <v>43678</v>
      </c>
      <c r="B62" s="3">
        <v>25.4028299314704</v>
      </c>
      <c r="C62" s="3">
        <v>16.4894137458976</v>
      </c>
      <c r="D62" s="3">
        <v>14.4744053058873</v>
      </c>
      <c r="E62" s="3">
        <v>13.6433531881615</v>
      </c>
      <c r="F62" s="3">
        <v>13.0109939882788</v>
      </c>
      <c r="G62" s="3">
        <v>18.3229944098853</v>
      </c>
      <c r="H62" s="3">
        <v>13.1473928750942</v>
      </c>
      <c r="I62" s="3">
        <v>21.919087642211402</v>
      </c>
      <c r="J62" s="3">
        <v>17.556571688743698</v>
      </c>
      <c r="K62" s="3">
        <v>14.8832749935917</v>
      </c>
      <c r="L62" s="3">
        <v>16.6900385670695</v>
      </c>
      <c r="M62" s="3">
        <v>16.868972100686499</v>
      </c>
      <c r="N62" s="3">
        <v>11.174031526516099</v>
      </c>
    </row>
    <row r="63" spans="1:14" x14ac:dyDescent="0.35">
      <c r="A63" s="2">
        <v>43706</v>
      </c>
      <c r="B63" s="3">
        <v>27.6180524236735</v>
      </c>
      <c r="C63" s="3">
        <v>16.249530543814299</v>
      </c>
      <c r="D63" s="3">
        <v>14.421813003017499</v>
      </c>
      <c r="E63" s="3">
        <v>13.518890503231299</v>
      </c>
      <c r="F63" s="3">
        <v>12.7294125330792</v>
      </c>
      <c r="G63" s="3">
        <v>18.2372817421703</v>
      </c>
      <c r="H63" s="3">
        <v>12.7891325764254</v>
      </c>
      <c r="I63" s="3">
        <v>21.836873930820801</v>
      </c>
      <c r="J63" s="3">
        <v>17.521408279488</v>
      </c>
      <c r="K63" s="3">
        <v>14.772551129469999</v>
      </c>
      <c r="L63" s="3">
        <v>16.526079527875702</v>
      </c>
      <c r="M63" s="3">
        <v>15.795433552306299</v>
      </c>
      <c r="N63" s="3">
        <v>11.1152851854124</v>
      </c>
    </row>
    <row r="64" spans="1:14" x14ac:dyDescent="0.35">
      <c r="A64" s="2">
        <v>43739</v>
      </c>
      <c r="B64" s="3">
        <v>28.7843748564908</v>
      </c>
      <c r="C64" s="3">
        <v>16.947612891973399</v>
      </c>
      <c r="D64" s="3">
        <v>14.5387906903177</v>
      </c>
      <c r="E64" s="3">
        <v>13.9741608227532</v>
      </c>
      <c r="F64" s="3">
        <v>13.5120478063749</v>
      </c>
      <c r="G64" s="3">
        <v>18.294237415052301</v>
      </c>
      <c r="H64" s="3">
        <v>13.082519743961299</v>
      </c>
      <c r="I64" s="3">
        <v>21.970194821306301</v>
      </c>
      <c r="J64" s="3">
        <v>17.714209201055301</v>
      </c>
      <c r="K64" s="3">
        <v>15.037939851845</v>
      </c>
      <c r="L64" s="3">
        <v>16.995977225978798</v>
      </c>
      <c r="M64" s="3">
        <v>16.386359927653601</v>
      </c>
      <c r="N64" s="3">
        <v>11.2741508581476</v>
      </c>
    </row>
    <row r="65" spans="1:14" x14ac:dyDescent="0.35">
      <c r="A65" s="2">
        <v>43770</v>
      </c>
      <c r="B65" s="3">
        <v>28.8281061316689</v>
      </c>
      <c r="C65" s="3">
        <v>17.2934364679023</v>
      </c>
      <c r="D65" s="3">
        <v>14.8354397786325</v>
      </c>
      <c r="E65" s="3">
        <v>14.8613488169956</v>
      </c>
      <c r="F65" s="3">
        <v>14.073638982542301</v>
      </c>
      <c r="G65" s="3">
        <v>18.757811016930098</v>
      </c>
      <c r="H65" s="3">
        <v>13.307722369383701</v>
      </c>
      <c r="I65" s="3">
        <v>23.1364508923354</v>
      </c>
      <c r="J65" s="3">
        <v>18.4911433028593</v>
      </c>
      <c r="K65" s="3">
        <v>15.6943298863329</v>
      </c>
      <c r="L65" s="3">
        <v>17.459749411154199</v>
      </c>
      <c r="M65" s="3">
        <v>16.840293252847701</v>
      </c>
      <c r="N65" s="3">
        <v>11.772032273090501</v>
      </c>
    </row>
    <row r="66" spans="1:14" x14ac:dyDescent="0.35">
      <c r="A66" s="2">
        <v>43798</v>
      </c>
      <c r="B66" s="3">
        <v>31.253720314748499</v>
      </c>
      <c r="C66" s="3">
        <v>17.742054424109298</v>
      </c>
      <c r="D66" s="3">
        <v>15.101999632458099</v>
      </c>
      <c r="E66" s="3">
        <v>15.237152155503001</v>
      </c>
      <c r="F66" s="3">
        <v>14.7328737245686</v>
      </c>
      <c r="G66" s="3">
        <v>19.048754682049601</v>
      </c>
      <c r="H66" s="3">
        <v>13.537079612263</v>
      </c>
      <c r="I66" s="3">
        <v>24.162228206776</v>
      </c>
      <c r="J66" s="3">
        <v>19.0907003478438</v>
      </c>
      <c r="K66" s="3">
        <v>16.093314198081899</v>
      </c>
      <c r="L66" s="3">
        <v>18.074696824567301</v>
      </c>
      <c r="M66" s="3">
        <v>15.8831275318796</v>
      </c>
      <c r="N66" s="3">
        <v>11.9159892515684</v>
      </c>
    </row>
    <row r="67" spans="1:14" x14ac:dyDescent="0.35">
      <c r="A67" s="2">
        <v>43830</v>
      </c>
      <c r="B67" s="3">
        <v>32.341771496178303</v>
      </c>
      <c r="C67" s="3">
        <v>17.768822925351401</v>
      </c>
      <c r="D67" s="3">
        <v>15.253236297726099</v>
      </c>
      <c r="E67" s="3">
        <v>15.472837589439401</v>
      </c>
      <c r="F67" s="3">
        <v>15.318364779566499</v>
      </c>
      <c r="G67" s="3">
        <v>19.619931256546899</v>
      </c>
      <c r="H67" s="3">
        <v>14.132115182960799</v>
      </c>
      <c r="I67" s="3">
        <v>25.470946546886498</v>
      </c>
      <c r="J67" s="3">
        <v>19.878020465615499</v>
      </c>
      <c r="K67" s="3">
        <v>16.4979616323111</v>
      </c>
      <c r="L67" s="3">
        <v>18.632509008504702</v>
      </c>
      <c r="M67" s="3">
        <v>16.172244747034</v>
      </c>
      <c r="N67" s="3">
        <v>12.1127684771213</v>
      </c>
    </row>
    <row r="68" spans="1:14" x14ac:dyDescent="0.35">
      <c r="A68" s="2">
        <v>43861</v>
      </c>
      <c r="B68" s="3">
        <v>32.637837937192003</v>
      </c>
      <c r="C68" s="3">
        <v>18.446037941219998</v>
      </c>
      <c r="D68" s="3">
        <v>15.3686742646582</v>
      </c>
      <c r="E68" s="3">
        <v>15.0341086969967</v>
      </c>
      <c r="F68" s="3">
        <v>15.0413301551696</v>
      </c>
      <c r="G68" s="3">
        <v>19.678318617266399</v>
      </c>
      <c r="H68" s="3">
        <v>13.773417299425599</v>
      </c>
      <c r="I68" s="3">
        <v>25.579729980691098</v>
      </c>
      <c r="J68" s="3">
        <v>19.668928310463102</v>
      </c>
      <c r="K68" s="3">
        <v>16.051571091517399</v>
      </c>
      <c r="L68" s="3">
        <v>18.421976265016198</v>
      </c>
      <c r="M68" s="3">
        <v>13.818764957347501</v>
      </c>
      <c r="N68" s="3">
        <v>11.986559374222301</v>
      </c>
    </row>
    <row r="69" spans="1:14" x14ac:dyDescent="0.35">
      <c r="A69" s="2">
        <v>43889</v>
      </c>
      <c r="B69" s="3">
        <v>31.1164202842496</v>
      </c>
      <c r="C69" s="3">
        <v>16.9463800934025</v>
      </c>
      <c r="D69" s="3">
        <v>14.3479619341519</v>
      </c>
      <c r="E69" s="3">
        <v>14.037558798980401</v>
      </c>
      <c r="F69" s="3">
        <v>13.977459497513101</v>
      </c>
      <c r="G69" s="3">
        <v>18.010310827640598</v>
      </c>
      <c r="H69" s="3">
        <v>12.3306364448541</v>
      </c>
      <c r="I69" s="3">
        <v>23.8036531420065</v>
      </c>
      <c r="J69" s="3">
        <v>17.904501158772099</v>
      </c>
      <c r="K69" s="3">
        <v>14.6441363459583</v>
      </c>
      <c r="L69" s="3">
        <v>17.336755859298499</v>
      </c>
      <c r="M69" s="3">
        <v>12.8819296635769</v>
      </c>
      <c r="N69" s="3">
        <v>11.3567081312941</v>
      </c>
    </row>
    <row r="70" spans="1:14" x14ac:dyDescent="0.35">
      <c r="A70" s="2">
        <v>43922</v>
      </c>
      <c r="B70" s="3">
        <v>30.505132555633399</v>
      </c>
      <c r="C70" s="3">
        <v>16.448267813109201</v>
      </c>
      <c r="D70" s="3">
        <v>14.145123000857099</v>
      </c>
      <c r="E70" s="3">
        <v>13.7626441080291</v>
      </c>
      <c r="F70" s="3">
        <v>13.6310757116992</v>
      </c>
      <c r="G70" s="3">
        <v>17.764361855626198</v>
      </c>
      <c r="H70" s="3">
        <v>12.346184140780901</v>
      </c>
      <c r="I70" s="3">
        <v>23.299028751141599</v>
      </c>
      <c r="J70" s="3">
        <v>17.4460255594161</v>
      </c>
      <c r="K70" s="3">
        <v>14.329485992693099</v>
      </c>
      <c r="L70" s="3">
        <v>16.832305104715498</v>
      </c>
      <c r="M70" s="3">
        <v>12.9085194242034</v>
      </c>
      <c r="N70" s="3">
        <v>11.060909779211601</v>
      </c>
    </row>
    <row r="71" spans="1:14" x14ac:dyDescent="0.35">
      <c r="A71" s="2">
        <v>43952</v>
      </c>
      <c r="B71" s="3">
        <v>31.463126035920499</v>
      </c>
      <c r="C71" s="3">
        <v>17.082438749356101</v>
      </c>
      <c r="D71" s="3">
        <v>15.5747218081999</v>
      </c>
      <c r="E71" s="3">
        <v>15.067650539654201</v>
      </c>
      <c r="F71" s="3">
        <v>14.2436383360163</v>
      </c>
      <c r="G71" s="3">
        <v>18.6034651660968</v>
      </c>
      <c r="H71" s="3">
        <v>13.527137675391799</v>
      </c>
      <c r="I71" s="3">
        <v>24.938638939202701</v>
      </c>
      <c r="J71" s="3">
        <v>19.194077184524598</v>
      </c>
      <c r="K71" s="3">
        <v>15.925724926684</v>
      </c>
      <c r="L71" s="3">
        <v>17.826306014342101</v>
      </c>
      <c r="M71" s="3">
        <v>14.6114326531905</v>
      </c>
      <c r="N71" s="3">
        <v>12.607820897661201</v>
      </c>
    </row>
    <row r="72" spans="1:14" x14ac:dyDescent="0.35">
      <c r="A72" s="2">
        <v>43983</v>
      </c>
      <c r="B72" s="3">
        <v>31.885845881239799</v>
      </c>
      <c r="C72" s="3">
        <v>18.167103276998699</v>
      </c>
      <c r="D72" s="3">
        <v>16.873433311229402</v>
      </c>
      <c r="E72" s="3">
        <v>16.373354535278001</v>
      </c>
      <c r="F72" s="3">
        <v>15.7290322230846</v>
      </c>
      <c r="G72" s="3">
        <v>19.0807798907585</v>
      </c>
      <c r="H72" s="3">
        <v>14.67589058333</v>
      </c>
      <c r="I72" s="3">
        <v>26.580186055275501</v>
      </c>
      <c r="J72" s="3">
        <v>20.528476563382899</v>
      </c>
      <c r="K72" s="3">
        <v>17.170746731385801</v>
      </c>
      <c r="L72" s="3">
        <v>18.6465884471971</v>
      </c>
      <c r="M72" s="3">
        <v>16.039437745497601</v>
      </c>
      <c r="N72" s="3">
        <v>14.8412276477858</v>
      </c>
    </row>
    <row r="73" spans="1:14" x14ac:dyDescent="0.35">
      <c r="A73" s="2">
        <v>44013</v>
      </c>
      <c r="B73" s="3">
        <v>32.5414363620351</v>
      </c>
      <c r="C73" s="3">
        <v>18.495428383044199</v>
      </c>
      <c r="D73" s="3">
        <v>17.340286828693401</v>
      </c>
      <c r="E73" s="3">
        <v>17.6716570642607</v>
      </c>
      <c r="F73" s="3">
        <v>16.8395360549316</v>
      </c>
      <c r="G73" s="3">
        <v>19.626464011875001</v>
      </c>
      <c r="H73" s="3">
        <v>15.154660415865401</v>
      </c>
      <c r="I73" s="3">
        <v>27.8659865407826</v>
      </c>
      <c r="J73" s="3">
        <v>21.2950004898311</v>
      </c>
      <c r="K73" s="3">
        <v>18.632213113185699</v>
      </c>
      <c r="L73" s="3">
        <v>19.549118298150301</v>
      </c>
      <c r="M73" s="3">
        <v>17.351162068409</v>
      </c>
      <c r="N73" s="3">
        <v>16.635333804815399</v>
      </c>
    </row>
    <row r="74" spans="1:14" x14ac:dyDescent="0.35">
      <c r="A74" s="2">
        <v>44043</v>
      </c>
      <c r="B74" s="3">
        <v>33.675229284007102</v>
      </c>
      <c r="C74" s="3">
        <v>18.9843454772302</v>
      </c>
      <c r="D74" s="3">
        <v>17.9754653891431</v>
      </c>
      <c r="E74" s="3">
        <v>18.497753877400701</v>
      </c>
      <c r="F74" s="3">
        <v>17.3845614441937</v>
      </c>
      <c r="G74" s="3">
        <v>19.909446344079601</v>
      </c>
      <c r="H74" s="3">
        <v>15.4176210862083</v>
      </c>
      <c r="I74" s="3">
        <v>28.7176938433232</v>
      </c>
      <c r="J74" s="3">
        <v>22.089259310520099</v>
      </c>
      <c r="K74" s="3">
        <v>20.768184152275399</v>
      </c>
      <c r="L74" s="3">
        <v>20.104972949763301</v>
      </c>
      <c r="M74" s="3">
        <v>16.869591039699898</v>
      </c>
      <c r="N74" s="3">
        <v>17.002658339409098</v>
      </c>
    </row>
    <row r="75" spans="1:14" x14ac:dyDescent="0.35">
      <c r="A75" s="2">
        <v>44075</v>
      </c>
      <c r="B75" s="3">
        <v>33.8037583201397</v>
      </c>
      <c r="C75" s="3">
        <v>19.597054860742599</v>
      </c>
      <c r="D75" s="3">
        <v>18.457071472287499</v>
      </c>
      <c r="E75" s="3">
        <v>20.058109814023901</v>
      </c>
      <c r="F75" s="3">
        <v>18.919050930464699</v>
      </c>
      <c r="G75" s="3">
        <v>20.525177673807701</v>
      </c>
      <c r="H75" s="3">
        <v>16.484694658189301</v>
      </c>
      <c r="I75" s="3">
        <v>31.902981086672199</v>
      </c>
      <c r="J75" s="3">
        <v>23.8394233221223</v>
      </c>
      <c r="K75" s="3">
        <v>22.514428857142502</v>
      </c>
      <c r="L75" s="3">
        <v>21.381440923270901</v>
      </c>
      <c r="M75" s="3">
        <v>17.257861131233799</v>
      </c>
      <c r="N75" s="3">
        <v>17.692493939016199</v>
      </c>
    </row>
    <row r="76" spans="1:14" x14ac:dyDescent="0.35">
      <c r="A76" s="2">
        <v>44105</v>
      </c>
      <c r="B76" s="3">
        <v>33.885419644292497</v>
      </c>
      <c r="C76" s="3">
        <v>19.2433376958491</v>
      </c>
      <c r="D76" s="3">
        <v>18.346204562629101</v>
      </c>
      <c r="E76" s="3">
        <v>20.3866457798621</v>
      </c>
      <c r="F76" s="3">
        <v>20.027357404575</v>
      </c>
      <c r="G76" s="3">
        <v>20.784130762537899</v>
      </c>
      <c r="H76" s="3">
        <v>16.7301990840702</v>
      </c>
      <c r="I76" s="3">
        <v>31.2312423112243</v>
      </c>
      <c r="J76" s="3">
        <v>23.6818370772191</v>
      </c>
      <c r="K76" s="3">
        <v>23.179696456319</v>
      </c>
      <c r="L76" s="3">
        <v>22.0590986209683</v>
      </c>
      <c r="M76" s="3">
        <v>18.1082937305295</v>
      </c>
      <c r="N76" s="3">
        <v>18.135757763570801</v>
      </c>
    </row>
    <row r="77" spans="1:14" x14ac:dyDescent="0.35">
      <c r="A77" s="2">
        <v>44134</v>
      </c>
      <c r="B77" s="3">
        <v>34.868742843247901</v>
      </c>
      <c r="C77" s="3">
        <v>19.532904408087401</v>
      </c>
      <c r="D77" s="3">
        <v>17.985903220693601</v>
      </c>
      <c r="E77" s="3">
        <v>18.392764522593399</v>
      </c>
      <c r="F77" s="3">
        <v>20.151699701079199</v>
      </c>
      <c r="G77" s="3">
        <v>19.6743356945416</v>
      </c>
      <c r="H77" s="3">
        <v>15.7180574115523</v>
      </c>
      <c r="I77" s="3">
        <v>29.742547062874198</v>
      </c>
      <c r="J77" s="3">
        <v>22.845646617756501</v>
      </c>
      <c r="K77" s="3">
        <v>22.951752621145499</v>
      </c>
      <c r="L77" s="3">
        <v>21.594151220429701</v>
      </c>
      <c r="M77" s="3">
        <v>15.0099346954424</v>
      </c>
      <c r="N77" s="3">
        <v>17.976629478364501</v>
      </c>
    </row>
    <row r="78" spans="1:14" x14ac:dyDescent="0.35">
      <c r="A78" s="2">
        <v>44166</v>
      </c>
      <c r="B78" s="3">
        <v>36.261075717863697</v>
      </c>
      <c r="C78" s="3">
        <v>22.404407907936498</v>
      </c>
      <c r="D78" s="3">
        <v>19.863186686207602</v>
      </c>
      <c r="E78" s="3">
        <v>20.843099115720101</v>
      </c>
      <c r="F78" s="3">
        <v>22.380427990715798</v>
      </c>
      <c r="G78" s="3">
        <v>21.054356281661299</v>
      </c>
      <c r="H78" s="3">
        <v>18.751538785273699</v>
      </c>
      <c r="I78" s="3">
        <v>33.642812232713098</v>
      </c>
      <c r="J78" s="3">
        <v>25.616509716205901</v>
      </c>
      <c r="K78" s="3">
        <v>28.249047991553699</v>
      </c>
      <c r="L78" s="3">
        <v>25.861297635334498</v>
      </c>
      <c r="M78" s="3">
        <v>17.014922744029001</v>
      </c>
      <c r="N78" s="3">
        <v>22.539718249443801</v>
      </c>
    </row>
    <row r="79" spans="1:14" x14ac:dyDescent="0.35">
      <c r="A79" s="2">
        <v>44196</v>
      </c>
      <c r="B79" s="3">
        <v>37.928037510666698</v>
      </c>
      <c r="C79" s="3">
        <v>22.9540612302639</v>
      </c>
      <c r="D79" s="3">
        <v>20.367488124811899</v>
      </c>
      <c r="E79" s="3">
        <v>22.126768463538401</v>
      </c>
      <c r="F79" s="3">
        <v>23.610767634912801</v>
      </c>
      <c r="G79" s="3">
        <v>22.0192335076548</v>
      </c>
      <c r="H79" s="3">
        <v>19.732053416266599</v>
      </c>
      <c r="I79" s="3">
        <v>35.237273776558602</v>
      </c>
      <c r="J79" s="3">
        <v>27.423472946589399</v>
      </c>
      <c r="K79" s="3">
        <v>28.860229638401801</v>
      </c>
      <c r="L79" s="3">
        <v>27.348340291144599</v>
      </c>
      <c r="M79" s="3">
        <v>17.91501057852</v>
      </c>
      <c r="N79" s="3">
        <v>23.3237130000973</v>
      </c>
    </row>
    <row r="80" spans="1:14" x14ac:dyDescent="0.35">
      <c r="A80" s="2">
        <v>44228</v>
      </c>
      <c r="B80" s="3">
        <v>36.834766825092899</v>
      </c>
      <c r="C80" s="3">
        <v>22.5216435367592</v>
      </c>
      <c r="D80" s="3">
        <v>20.438091988398401</v>
      </c>
      <c r="E80" s="3">
        <v>20.970796385495699</v>
      </c>
      <c r="F80" s="3">
        <v>23.177640201780601</v>
      </c>
      <c r="G80" s="3">
        <v>21.319049699404601</v>
      </c>
      <c r="H80" s="3">
        <v>19.111048536219499</v>
      </c>
      <c r="I80" s="3">
        <v>34.923173101599303</v>
      </c>
      <c r="J80" s="3">
        <v>26.6698862700779</v>
      </c>
      <c r="K80" s="3">
        <v>27.495990065267701</v>
      </c>
      <c r="L80" s="3">
        <v>27.752600041127302</v>
      </c>
      <c r="M80" s="3">
        <v>18.348567863899699</v>
      </c>
      <c r="N80" s="3">
        <v>20.385418087854099</v>
      </c>
    </row>
    <row r="81" spans="1:14" x14ac:dyDescent="0.35">
      <c r="A81" s="2">
        <v>44256</v>
      </c>
      <c r="B81" s="3">
        <v>34.4544122939392</v>
      </c>
      <c r="C81" s="3">
        <v>21.8271429394159</v>
      </c>
      <c r="D81" s="3">
        <v>19.989144826553801</v>
      </c>
      <c r="E81" s="3">
        <v>20.289652779372499</v>
      </c>
      <c r="F81" s="3">
        <v>21.697187504157</v>
      </c>
      <c r="G81" s="3">
        <v>20.490280030146</v>
      </c>
      <c r="H81" s="3">
        <v>18.801735868938898</v>
      </c>
      <c r="I81" s="3">
        <v>33.034680053156002</v>
      </c>
      <c r="J81" s="3">
        <v>26.334052722778502</v>
      </c>
      <c r="K81" s="3">
        <v>27.031751952154099</v>
      </c>
      <c r="L81" s="3">
        <v>28.915389112596699</v>
      </c>
      <c r="M81" s="3">
        <v>17.652223687010501</v>
      </c>
      <c r="N81" s="3">
        <v>20.307679184225702</v>
      </c>
    </row>
    <row r="82" spans="1:14" x14ac:dyDescent="0.35">
      <c r="A82" s="2">
        <v>44287</v>
      </c>
      <c r="B82" s="3">
        <v>34.442091134783396</v>
      </c>
      <c r="C82" s="3">
        <v>21.301203867256501</v>
      </c>
      <c r="D82" s="3">
        <v>19.611244996882402</v>
      </c>
      <c r="E82" s="3">
        <v>20.077686621953099</v>
      </c>
      <c r="F82" s="3">
        <v>21.313688983280301</v>
      </c>
      <c r="G82" s="3">
        <v>20.455490339632501</v>
      </c>
      <c r="H82" s="3">
        <v>18.215396206828999</v>
      </c>
      <c r="I82" s="3">
        <v>32.6716433165575</v>
      </c>
      <c r="J82" s="3">
        <v>26.0393846071496</v>
      </c>
      <c r="K82" s="3">
        <v>26.301859729062599</v>
      </c>
      <c r="L82" s="3">
        <v>28.641000003442102</v>
      </c>
      <c r="M82" s="3">
        <v>18.167370415933</v>
      </c>
      <c r="N82" s="3">
        <v>19.789567172347599</v>
      </c>
    </row>
    <row r="83" spans="1:14" x14ac:dyDescent="0.35">
      <c r="A83" s="2">
        <v>44316</v>
      </c>
      <c r="B83" s="3">
        <v>34.585075352735799</v>
      </c>
      <c r="C83" s="3">
        <v>21.039286925786801</v>
      </c>
      <c r="D83" s="3">
        <v>19.224525940490299</v>
      </c>
      <c r="E83" s="3">
        <v>19.391804433119098</v>
      </c>
      <c r="F83" s="3">
        <v>20.721540081582202</v>
      </c>
      <c r="G83" s="3">
        <v>20.110864417268701</v>
      </c>
      <c r="H83" s="3">
        <v>17.666542567492399</v>
      </c>
      <c r="I83" s="3">
        <v>32.148346259202199</v>
      </c>
      <c r="J83" s="3">
        <v>25.579834144978001</v>
      </c>
      <c r="K83" s="3">
        <v>25.448476568856002</v>
      </c>
      <c r="L83" s="3">
        <v>27.8915235800863</v>
      </c>
      <c r="M83" s="3">
        <v>17.8426412896061</v>
      </c>
      <c r="N83" s="3">
        <v>19.107018182520498</v>
      </c>
    </row>
    <row r="84" spans="1:14" x14ac:dyDescent="0.35">
      <c r="A84" s="2">
        <v>44348</v>
      </c>
      <c r="B84" s="3">
        <v>35.157453208400703</v>
      </c>
      <c r="C84" s="3">
        <v>20.648339660359401</v>
      </c>
      <c r="D84" s="3">
        <v>18.8096887769834</v>
      </c>
      <c r="E84" s="3">
        <v>18.844412893955798</v>
      </c>
      <c r="F84" s="3">
        <v>20.232051788595001</v>
      </c>
      <c r="G84" s="3">
        <v>20.652110553625398</v>
      </c>
      <c r="H84" s="3">
        <v>17.135664481090799</v>
      </c>
      <c r="I84" s="3">
        <v>31.4202497156856</v>
      </c>
      <c r="J84" s="3">
        <v>25.0592115312852</v>
      </c>
      <c r="K84" s="3">
        <v>24.609627925798598</v>
      </c>
      <c r="L84" s="3">
        <v>27.0826985389916</v>
      </c>
      <c r="M84" s="3">
        <v>17.8474761872877</v>
      </c>
      <c r="N84" s="3">
        <v>18.589374854168099</v>
      </c>
    </row>
    <row r="85" spans="1:14" x14ac:dyDescent="0.35">
      <c r="A85" s="2">
        <v>44378</v>
      </c>
      <c r="B85" s="3">
        <v>36.233815493277902</v>
      </c>
      <c r="C85" s="3">
        <v>19.848421447332999</v>
      </c>
      <c r="D85" s="3">
        <v>18.431801171017401</v>
      </c>
      <c r="E85" s="3">
        <v>18.330901441130798</v>
      </c>
      <c r="F85" s="3">
        <v>19.735068338994299</v>
      </c>
      <c r="G85" s="3">
        <v>20.8642772030353</v>
      </c>
      <c r="H85" s="3">
        <v>16.375025916343901</v>
      </c>
      <c r="I85" s="3">
        <v>31.852876734232701</v>
      </c>
      <c r="J85" s="3">
        <v>24.859755152511401</v>
      </c>
      <c r="K85" s="3">
        <v>23.6448566299334</v>
      </c>
      <c r="L85" s="3">
        <v>26.544349989494101</v>
      </c>
      <c r="M85" s="3">
        <v>17.9379801461636</v>
      </c>
      <c r="N85" s="3">
        <v>18.003325453673298</v>
      </c>
    </row>
    <row r="86" spans="1:14" x14ac:dyDescent="0.35">
      <c r="A86" s="2">
        <v>44407</v>
      </c>
      <c r="B86" s="3">
        <v>36.405731482418197</v>
      </c>
      <c r="C86" s="3">
        <v>19.228086778681501</v>
      </c>
      <c r="D86" s="3">
        <v>17.770151081743101</v>
      </c>
      <c r="E86" s="3">
        <v>17.538391458111299</v>
      </c>
      <c r="F86" s="3">
        <v>19.0042165958948</v>
      </c>
      <c r="G86" s="3">
        <v>20.945849342710101</v>
      </c>
      <c r="H86" s="3">
        <v>15.456404918256499</v>
      </c>
      <c r="I86" s="3">
        <v>31.411727342457901</v>
      </c>
      <c r="J86" s="3">
        <v>24.169961115665501</v>
      </c>
      <c r="K86" s="3">
        <v>22.283665675389599</v>
      </c>
      <c r="L86" s="3">
        <v>26.269624893546698</v>
      </c>
      <c r="M86" s="3">
        <v>17.504191116450301</v>
      </c>
      <c r="N86" s="3">
        <v>17.2330261415573</v>
      </c>
    </row>
    <row r="87" spans="1:14" x14ac:dyDescent="0.35">
      <c r="A87" s="2">
        <v>44440</v>
      </c>
      <c r="B87" s="3">
        <v>38.352679920223402</v>
      </c>
      <c r="C87" s="3">
        <v>19.149768425233098</v>
      </c>
      <c r="D87" s="3">
        <v>17.189969061572999</v>
      </c>
      <c r="E87" s="3">
        <v>16.884222045365799</v>
      </c>
      <c r="F87" s="3">
        <v>18.504304570635899</v>
      </c>
      <c r="G87" s="3">
        <v>21.222749540663401</v>
      </c>
      <c r="H87" s="3">
        <v>14.775006471161401</v>
      </c>
      <c r="I87" s="3">
        <v>31.781102086628199</v>
      </c>
      <c r="J87" s="3">
        <v>24.0012153618291</v>
      </c>
      <c r="K87" s="3">
        <v>21.167613796614202</v>
      </c>
      <c r="L87" s="3">
        <v>26.039531192254501</v>
      </c>
      <c r="M87" s="3">
        <v>17.500482684827499</v>
      </c>
      <c r="N87" s="3">
        <v>15.667051274099901</v>
      </c>
    </row>
    <row r="88" spans="1:14" x14ac:dyDescent="0.35">
      <c r="A88" s="2">
        <v>44470</v>
      </c>
      <c r="B88" s="3">
        <v>38.9620878831889</v>
      </c>
      <c r="C88" s="3">
        <v>18.280316639500999</v>
      </c>
      <c r="D88" s="3">
        <v>16.414442437151401</v>
      </c>
      <c r="E88" s="3">
        <v>15.830232476553</v>
      </c>
      <c r="F88" s="3">
        <v>17.857753274546798</v>
      </c>
      <c r="G88" s="3">
        <v>20.0012053258354</v>
      </c>
      <c r="H88" s="3">
        <v>13.861542408590401</v>
      </c>
      <c r="I88" s="3">
        <v>30.383095114814299</v>
      </c>
      <c r="J88" s="3">
        <v>23.0654726328527</v>
      </c>
      <c r="K88" s="3">
        <v>19.506856786419899</v>
      </c>
      <c r="L88" s="3">
        <v>24.153448650669699</v>
      </c>
      <c r="M88" s="3">
        <v>16.960907065462798</v>
      </c>
      <c r="N88" s="3">
        <v>14.6199042510871</v>
      </c>
    </row>
    <row r="89" spans="1:14" x14ac:dyDescent="0.35">
      <c r="A89" s="2">
        <v>44501</v>
      </c>
      <c r="B89" s="3">
        <v>39.157792742637902</v>
      </c>
      <c r="C89" s="3">
        <v>18.587272672771899</v>
      </c>
      <c r="D89" s="3">
        <v>16.730114429040299</v>
      </c>
      <c r="E89" s="3">
        <v>15.6427399628326</v>
      </c>
      <c r="F89" s="3">
        <v>17.717600416701099</v>
      </c>
      <c r="G89" s="3">
        <v>20.805557289493098</v>
      </c>
      <c r="H89" s="3">
        <v>13.5993137593347</v>
      </c>
      <c r="I89" s="3">
        <v>31.5193139395084</v>
      </c>
      <c r="J89" s="3">
        <v>23.3267714576555</v>
      </c>
      <c r="K89" s="3">
        <v>18.8549829363448</v>
      </c>
      <c r="L89" s="3">
        <v>24.625539219056002</v>
      </c>
      <c r="M89" s="3">
        <v>16.490040397247199</v>
      </c>
      <c r="N89" s="3">
        <v>14.171572972966301</v>
      </c>
    </row>
    <row r="90" spans="1:14" x14ac:dyDescent="0.35">
      <c r="A90" s="2">
        <v>44531</v>
      </c>
      <c r="B90" s="3">
        <v>37.884814332702099</v>
      </c>
      <c r="C90" s="3">
        <v>17.661677510010499</v>
      </c>
      <c r="D90" s="3">
        <v>15.422835063100401</v>
      </c>
      <c r="E90" s="3">
        <v>14.3865742124785</v>
      </c>
      <c r="F90" s="3">
        <v>16.438769319233099</v>
      </c>
      <c r="G90" s="3">
        <v>20.546155950502701</v>
      </c>
      <c r="H90" s="3">
        <v>12.646341042170301</v>
      </c>
      <c r="I90" s="3">
        <v>31.161927286056301</v>
      </c>
      <c r="J90" s="3">
        <v>22.391285178029701</v>
      </c>
      <c r="K90" s="3">
        <v>17.6619658582621</v>
      </c>
      <c r="L90" s="3">
        <v>23.130058609772799</v>
      </c>
      <c r="M90" s="3">
        <v>16.463977638845499</v>
      </c>
      <c r="N90" s="3">
        <v>12.533177897502799</v>
      </c>
    </row>
    <row r="91" spans="1:14" x14ac:dyDescent="0.35">
      <c r="A91" s="2">
        <v>44561</v>
      </c>
      <c r="B91" s="3">
        <v>39.354945247696399</v>
      </c>
      <c r="C91" s="3">
        <v>17.8166424238212</v>
      </c>
      <c r="D91" s="3">
        <v>15.405205419386901</v>
      </c>
      <c r="E91" s="3">
        <v>14.1378654604296</v>
      </c>
      <c r="F91" s="3">
        <v>16.101975479017</v>
      </c>
      <c r="G91" s="3">
        <v>21.667037632477498</v>
      </c>
      <c r="H91" s="3">
        <v>12.3879421269286</v>
      </c>
      <c r="I91" s="3">
        <v>31.901229147892501</v>
      </c>
      <c r="J91" s="3">
        <v>23.234786308636</v>
      </c>
      <c r="K91" s="3">
        <v>17.2038332751852</v>
      </c>
      <c r="L91" s="3">
        <v>22.6891096808763</v>
      </c>
      <c r="M91" s="3">
        <v>16.889818915661898</v>
      </c>
      <c r="N91" s="3">
        <v>12.067455386839599</v>
      </c>
    </row>
    <row r="92" spans="1:14" x14ac:dyDescent="0.35">
      <c r="A92" s="2">
        <v>44593</v>
      </c>
      <c r="B92" s="3">
        <v>36.412944980985998</v>
      </c>
      <c r="C92" s="3">
        <v>15.7778765920654</v>
      </c>
      <c r="D92" s="3">
        <v>15.4559578512852</v>
      </c>
      <c r="E92" s="3">
        <v>13.6884093120049</v>
      </c>
      <c r="F92" s="3">
        <v>15.08424329845</v>
      </c>
      <c r="G92" s="3">
        <v>20.3421936699757</v>
      </c>
      <c r="H92" s="3">
        <v>12.7319573263833</v>
      </c>
      <c r="I92" s="3">
        <v>28.856004132320699</v>
      </c>
      <c r="J92" s="3">
        <v>21.916991938227699</v>
      </c>
      <c r="K92" s="3">
        <v>16.5262365371428</v>
      </c>
      <c r="L92" s="3">
        <v>20.477395980731998</v>
      </c>
      <c r="M92" s="3">
        <v>12.3755857087818</v>
      </c>
      <c r="N92" s="3">
        <v>12.0078746166927</v>
      </c>
    </row>
    <row r="93" spans="1:14" x14ac:dyDescent="0.35">
      <c r="A93" s="2">
        <v>44621</v>
      </c>
      <c r="B93" s="3">
        <v>35.324259020377902</v>
      </c>
      <c r="C93" s="3">
        <v>15.6847576208229</v>
      </c>
      <c r="D93" s="3">
        <v>15.2223884554422</v>
      </c>
      <c r="E93" s="3">
        <v>12.4550894144213</v>
      </c>
      <c r="F93" s="3">
        <v>14.729920481455</v>
      </c>
      <c r="G93" s="3">
        <v>18.4754455629167</v>
      </c>
      <c r="H93" s="3">
        <v>12.517594157098401</v>
      </c>
      <c r="I93" s="3">
        <v>26.633935643931899</v>
      </c>
      <c r="J93" s="3">
        <v>20.662179149681201</v>
      </c>
      <c r="K93" s="3">
        <v>15.386951015276299</v>
      </c>
      <c r="L93" s="3">
        <v>18.3109482689826</v>
      </c>
      <c r="M93" s="3">
        <v>11.603567608241001</v>
      </c>
      <c r="N93" s="3">
        <v>10.606244385423301</v>
      </c>
    </row>
    <row r="94" spans="1:14" x14ac:dyDescent="0.35">
      <c r="A94" s="2">
        <v>44652</v>
      </c>
      <c r="B94" s="3">
        <v>35.014480592642002</v>
      </c>
      <c r="C94" s="3">
        <v>15.796153789093999</v>
      </c>
      <c r="D94" s="3">
        <v>15.0357474837891</v>
      </c>
      <c r="E94" s="3">
        <v>12.4501370702888</v>
      </c>
      <c r="F94" s="3">
        <v>14.611755429075901</v>
      </c>
      <c r="G94" s="3">
        <v>18.589014742865398</v>
      </c>
      <c r="H94" s="3">
        <v>12.3043941310113</v>
      </c>
      <c r="I94" s="3">
        <v>26.836569047303801</v>
      </c>
      <c r="J94" s="3">
        <v>20.716079434427499</v>
      </c>
      <c r="K94" s="3">
        <v>15.257676871552199</v>
      </c>
      <c r="L94" s="3">
        <v>18.5764891902353</v>
      </c>
      <c r="M94" s="3">
        <v>12.1023299211123</v>
      </c>
      <c r="N94" s="3">
        <v>10.582352330359001</v>
      </c>
    </row>
    <row r="95" spans="1:14" x14ac:dyDescent="0.35">
      <c r="A95" s="2">
        <v>44680</v>
      </c>
      <c r="B95" s="3">
        <v>34.610089000813502</v>
      </c>
      <c r="C95" s="3">
        <v>15.4451641663444</v>
      </c>
      <c r="D95" s="3">
        <v>14.6000199213932</v>
      </c>
      <c r="E95" s="3">
        <v>12.266386529839499</v>
      </c>
      <c r="F95" s="3">
        <v>14.357138552426299</v>
      </c>
      <c r="G95" s="3">
        <v>18.525233793317302</v>
      </c>
      <c r="H95" s="3">
        <v>12.0619436134442</v>
      </c>
      <c r="I95" s="3">
        <v>25.824998975186801</v>
      </c>
      <c r="J95" s="3">
        <v>20.0247566197936</v>
      </c>
      <c r="K95" s="3">
        <v>14.867888338855501</v>
      </c>
      <c r="L95" s="3">
        <v>18.3036541239359</v>
      </c>
      <c r="M95" s="3">
        <v>12.2495902206745</v>
      </c>
      <c r="N95" s="3">
        <v>10.4148019498813</v>
      </c>
    </row>
    <row r="96" spans="1:14" x14ac:dyDescent="0.35">
      <c r="A96" s="2">
        <v>44713</v>
      </c>
      <c r="B96" s="3">
        <v>33.718380040863501</v>
      </c>
      <c r="C96" s="3">
        <v>15.0346167727315</v>
      </c>
      <c r="D96" s="3">
        <v>14.267749168894801</v>
      </c>
      <c r="E96" s="3">
        <v>12.116121344703799</v>
      </c>
      <c r="F96" s="3">
        <v>14.2838865392381</v>
      </c>
      <c r="G96" s="3">
        <v>18.1221448223734</v>
      </c>
      <c r="H96" s="3">
        <v>11.706515907019099</v>
      </c>
      <c r="I96" s="3">
        <v>25.260099088506202</v>
      </c>
      <c r="J96" s="3">
        <v>19.681386985465501</v>
      </c>
      <c r="K96" s="3">
        <v>14.333725667005099</v>
      </c>
      <c r="L96" s="3">
        <v>18.509921077784799</v>
      </c>
      <c r="M96" s="3">
        <v>13.728320920182499</v>
      </c>
      <c r="N96" s="3">
        <v>9.9990200324691294</v>
      </c>
    </row>
    <row r="97" spans="1:14" x14ac:dyDescent="0.35">
      <c r="A97" s="2">
        <v>44743</v>
      </c>
      <c r="B97" s="3">
        <v>32.770681768836198</v>
      </c>
      <c r="C97" s="3">
        <v>13.9861244999995</v>
      </c>
      <c r="D97" s="3">
        <v>13.4335584086702</v>
      </c>
      <c r="E97" s="3">
        <v>11.377824534828701</v>
      </c>
      <c r="F97" s="3">
        <v>13.756235971053499</v>
      </c>
      <c r="G97" s="3">
        <v>17.572476820138998</v>
      </c>
      <c r="H97" s="3">
        <v>11.1000349882365</v>
      </c>
      <c r="I97" s="3">
        <v>24.173481436242501</v>
      </c>
      <c r="J97" s="3">
        <v>18.821682457451299</v>
      </c>
      <c r="K97" s="3">
        <v>13.529035854698799</v>
      </c>
      <c r="L97" s="3">
        <v>18.0143758381022</v>
      </c>
      <c r="M97" s="3">
        <v>13.307730669960399</v>
      </c>
      <c r="N97" s="3">
        <v>9.3205218249476491</v>
      </c>
    </row>
    <row r="98" spans="1:14" x14ac:dyDescent="0.35">
      <c r="A98" s="2">
        <v>44774</v>
      </c>
      <c r="B98" s="3">
        <v>33.262613916364799</v>
      </c>
      <c r="C98" s="3">
        <v>14.605620735029399</v>
      </c>
      <c r="D98" s="3">
        <v>13.3331576955509</v>
      </c>
      <c r="E98" s="3">
        <v>11.490485979820701</v>
      </c>
      <c r="F98" s="3">
        <v>14.0018283152212</v>
      </c>
      <c r="G98" s="3">
        <v>18.3148042146363</v>
      </c>
      <c r="H98" s="3">
        <v>11.0072822380247</v>
      </c>
      <c r="I98" s="3">
        <v>25.6341209798005</v>
      </c>
      <c r="J98" s="3">
        <v>19.3149965022114</v>
      </c>
      <c r="K98" s="3">
        <v>13.3421732445853</v>
      </c>
      <c r="L98" s="3">
        <v>19.682407167377299</v>
      </c>
      <c r="M98" s="3">
        <v>14.6863388121544</v>
      </c>
      <c r="N98" s="3">
        <v>8.9853530735535792</v>
      </c>
    </row>
    <row r="99" spans="1:14" x14ac:dyDescent="0.35">
      <c r="A99" s="2">
        <v>44805</v>
      </c>
      <c r="B99" s="3">
        <v>34.172762020336698</v>
      </c>
      <c r="C99" s="3">
        <v>14.117058429060499</v>
      </c>
      <c r="D99" s="3">
        <v>12.7322005112597</v>
      </c>
      <c r="E99" s="3">
        <v>10.5683284939893</v>
      </c>
      <c r="F99" s="3">
        <v>13.6998161769595</v>
      </c>
      <c r="G99" s="3">
        <v>17.633345706082999</v>
      </c>
      <c r="H99" s="3">
        <v>10.1572414670139</v>
      </c>
      <c r="I99" s="3">
        <v>24.7356766317634</v>
      </c>
      <c r="J99" s="3">
        <v>18.6795224687752</v>
      </c>
      <c r="K99" s="3">
        <v>12.4090677805568</v>
      </c>
      <c r="L99" s="3">
        <v>18.214810449360201</v>
      </c>
      <c r="M99" s="3">
        <v>14.144783535959901</v>
      </c>
      <c r="N99" s="3">
        <v>8.3509110611026802</v>
      </c>
    </row>
    <row r="100" spans="1:14" x14ac:dyDescent="0.35">
      <c r="A100" s="2">
        <v>44834</v>
      </c>
      <c r="B100" s="3">
        <v>31.706509206833498</v>
      </c>
      <c r="C100" s="3">
        <v>13.221839173757299</v>
      </c>
      <c r="D100" s="3">
        <v>12.168939639528601</v>
      </c>
      <c r="E100" s="3">
        <v>10.125806244332701</v>
      </c>
      <c r="F100" s="3">
        <v>12.935593800556401</v>
      </c>
      <c r="G100" s="3">
        <v>16.9641631423621</v>
      </c>
      <c r="H100" s="3">
        <v>9.4862558113079594</v>
      </c>
      <c r="I100" s="3">
        <v>22.695700995168899</v>
      </c>
      <c r="J100" s="3">
        <v>17.265555671788199</v>
      </c>
      <c r="K100" s="3">
        <v>11.4728680791524</v>
      </c>
      <c r="L100" s="3">
        <v>17.093409922876301</v>
      </c>
      <c r="M100" s="3">
        <v>14.3110336763274</v>
      </c>
      <c r="N100" s="3">
        <v>8.0290029775019107</v>
      </c>
    </row>
    <row r="101" spans="1:14" x14ac:dyDescent="0.35">
      <c r="A101" s="2">
        <v>44866</v>
      </c>
      <c r="B101" s="3">
        <v>31.549092011988702</v>
      </c>
      <c r="C101" s="3">
        <v>13.678736123373801</v>
      </c>
      <c r="D101" s="3">
        <v>12.535497724921701</v>
      </c>
      <c r="E101" s="3">
        <v>10.5475419509819</v>
      </c>
      <c r="F101" s="3">
        <v>13.3190974350548</v>
      </c>
      <c r="G101" s="3">
        <v>17.804435743583699</v>
      </c>
      <c r="H101" s="3">
        <v>9.5657383753461396</v>
      </c>
      <c r="I101" s="3">
        <v>23.071074333597899</v>
      </c>
      <c r="J101" s="3">
        <v>17.9729925028488</v>
      </c>
      <c r="K101" s="3">
        <v>11.834736687093899</v>
      </c>
      <c r="L101" s="3">
        <v>18.3892898089622</v>
      </c>
      <c r="M101" s="3">
        <v>13.468187957564499</v>
      </c>
      <c r="N101" s="3">
        <v>8.1258303809930101</v>
      </c>
    </row>
    <row r="102" spans="1:14" x14ac:dyDescent="0.35">
      <c r="A102" s="2">
        <v>44896</v>
      </c>
      <c r="B102" s="3">
        <v>30.111392557184001</v>
      </c>
      <c r="C102" s="3">
        <v>14.595365079992799</v>
      </c>
      <c r="D102" s="3">
        <v>12.915765871406</v>
      </c>
      <c r="E102" s="3">
        <v>11.0658973659512</v>
      </c>
      <c r="F102" s="3">
        <v>13.5614101338297</v>
      </c>
      <c r="G102" s="3">
        <v>20.026528196744401</v>
      </c>
      <c r="H102" s="3">
        <v>10.0168415489886</v>
      </c>
      <c r="I102" s="3">
        <v>24.117152927434901</v>
      </c>
      <c r="J102" s="3">
        <v>18.6440558209937</v>
      </c>
      <c r="K102" s="3">
        <v>12.252184076886101</v>
      </c>
      <c r="L102" s="3">
        <v>18.464988689482499</v>
      </c>
      <c r="M102" s="3">
        <v>14.4962517332998</v>
      </c>
      <c r="N102" s="3">
        <v>7.8978083106585597</v>
      </c>
    </row>
    <row r="103" spans="1:14" x14ac:dyDescent="0.35">
      <c r="A103" s="2">
        <v>44925</v>
      </c>
      <c r="B103" s="3">
        <v>29.0383466191266</v>
      </c>
      <c r="C103" s="3">
        <v>14.028935884858701</v>
      </c>
      <c r="D103" s="3">
        <v>12.043371448190801</v>
      </c>
      <c r="E103" s="3">
        <v>10.4151947731043</v>
      </c>
      <c r="F103" s="3">
        <v>12.744945389024201</v>
      </c>
      <c r="G103" s="3">
        <v>20.0573075428435</v>
      </c>
      <c r="H103" s="3">
        <v>9.5638330180029492</v>
      </c>
      <c r="I103" s="3">
        <v>22.730734026583001</v>
      </c>
      <c r="J103" s="3">
        <v>17.410593953619401</v>
      </c>
      <c r="K103" s="3">
        <v>11.5286030839496</v>
      </c>
      <c r="L103" s="3">
        <v>17.6566343355755</v>
      </c>
      <c r="M103" s="3">
        <v>15.445340186393199</v>
      </c>
      <c r="N103" s="3">
        <v>7.3748312726828997</v>
      </c>
    </row>
    <row r="104" spans="1:14" x14ac:dyDescent="0.35">
      <c r="A104" s="2">
        <v>44958</v>
      </c>
      <c r="B104" s="3">
        <v>30.038139902501602</v>
      </c>
      <c r="C104" s="3">
        <v>14.9973616243196</v>
      </c>
      <c r="D104" s="3">
        <v>12.8941868729574</v>
      </c>
      <c r="E104" s="3">
        <v>11.488652806118299</v>
      </c>
      <c r="F104" s="3">
        <v>13.405212465317501</v>
      </c>
      <c r="G104" s="3">
        <v>20.587471229250799</v>
      </c>
      <c r="H104" s="3">
        <v>10.126079752468</v>
      </c>
      <c r="I104" s="3">
        <v>25.6302752699739</v>
      </c>
      <c r="J104" s="3">
        <v>18.700630073050402</v>
      </c>
      <c r="K104" s="3">
        <v>12.8805616333242</v>
      </c>
      <c r="L104" s="3">
        <v>19.466792347252699</v>
      </c>
      <c r="M104" s="3">
        <v>24.523200465982502</v>
      </c>
      <c r="N104" s="3">
        <v>8.1345656710690903</v>
      </c>
    </row>
    <row r="105" spans="1:14" x14ac:dyDescent="0.35">
      <c r="A105" s="2">
        <v>44986</v>
      </c>
      <c r="B105" s="3">
        <v>29.5490590814853</v>
      </c>
      <c r="C105" s="3">
        <v>14.257837339157501</v>
      </c>
      <c r="D105" s="3">
        <v>12.577804467825199</v>
      </c>
      <c r="E105" s="3">
        <v>11.336560817879199</v>
      </c>
      <c r="F105" s="3">
        <v>13.659263776980101</v>
      </c>
      <c r="G105" s="3">
        <v>20.667571733996098</v>
      </c>
      <c r="H105" s="3">
        <v>10.257874409186099</v>
      </c>
      <c r="I105" s="3">
        <v>25.2048214723178</v>
      </c>
      <c r="J105" s="3">
        <v>18.0409962970088</v>
      </c>
      <c r="K105" s="3">
        <v>12.892562128967199</v>
      </c>
      <c r="L105" s="3">
        <v>20.6326683804078</v>
      </c>
      <c r="M105" s="3">
        <v>25.629809545035599</v>
      </c>
      <c r="N105" s="3">
        <v>8.2901905315972098</v>
      </c>
    </row>
    <row r="106" spans="1:14" x14ac:dyDescent="0.35">
      <c r="A106" s="2">
        <v>45016</v>
      </c>
      <c r="B106" s="3">
        <v>28.946948632173601</v>
      </c>
      <c r="C106" s="3">
        <v>14.2408176993964</v>
      </c>
      <c r="D106" s="3">
        <v>12.638405120437501</v>
      </c>
      <c r="E106" s="3">
        <v>11.3853145706614</v>
      </c>
      <c r="F106" s="3">
        <v>13.6528381823089</v>
      </c>
      <c r="G106" s="3">
        <v>20.4309085273748</v>
      </c>
      <c r="H106" s="3">
        <v>10.253501804644801</v>
      </c>
      <c r="I106" s="3">
        <v>25.6827595112123</v>
      </c>
      <c r="J106" s="3">
        <v>18.2162863620187</v>
      </c>
      <c r="K106" s="3">
        <v>12.9903789738096</v>
      </c>
      <c r="L106" s="3">
        <v>20.3592854704907</v>
      </c>
      <c r="M106" s="3">
        <v>24.4474304000133</v>
      </c>
      <c r="N106" s="3">
        <v>8.2993344340549609</v>
      </c>
    </row>
    <row r="107" spans="1:14" x14ac:dyDescent="0.35">
      <c r="A107" s="2">
        <v>45047</v>
      </c>
      <c r="B107" s="3">
        <v>28.504500762735301</v>
      </c>
      <c r="C107" s="3">
        <v>14.364429954600499</v>
      </c>
      <c r="D107" s="3">
        <v>12.821621092144801</v>
      </c>
      <c r="E107" s="3">
        <v>11.430275930101001</v>
      </c>
      <c r="F107" s="3">
        <v>13.807278802334601</v>
      </c>
      <c r="G107" s="3">
        <v>20.259599413348401</v>
      </c>
      <c r="H107" s="3">
        <v>10.4394301465565</v>
      </c>
      <c r="I107" s="3">
        <v>25.6620141469344</v>
      </c>
      <c r="J107" s="3">
        <v>18.3329645885525</v>
      </c>
      <c r="K107" s="3">
        <v>13.2384791899094</v>
      </c>
      <c r="L107" s="3">
        <v>19.817066446892301</v>
      </c>
      <c r="M107" s="3">
        <v>23.384120357451899</v>
      </c>
      <c r="N107" s="3">
        <v>8.3844980829884594</v>
      </c>
    </row>
    <row r="108" spans="1:14" x14ac:dyDescent="0.35">
      <c r="A108" s="2">
        <v>45078</v>
      </c>
      <c r="B108" s="3">
        <v>26.922408780013502</v>
      </c>
      <c r="C108" s="3">
        <v>14.2362669547734</v>
      </c>
      <c r="D108" s="3">
        <v>12.7869830581798</v>
      </c>
      <c r="E108" s="3">
        <v>11.2155407841587</v>
      </c>
      <c r="F108" s="3">
        <v>14.0571005014432</v>
      </c>
      <c r="G108" s="3">
        <v>19.596774990896598</v>
      </c>
      <c r="H108" s="3">
        <v>10.2393423683517</v>
      </c>
      <c r="I108" s="3">
        <v>26.4885100180419</v>
      </c>
      <c r="J108" s="3">
        <v>18.489234862499401</v>
      </c>
      <c r="K108" s="3">
        <v>13.029243988071901</v>
      </c>
      <c r="L108" s="3">
        <v>19.3982925982782</v>
      </c>
      <c r="M108" s="3">
        <v>21.944827046271801</v>
      </c>
      <c r="N108" s="3">
        <v>8.3336425901957796</v>
      </c>
    </row>
    <row r="109" spans="1:14" x14ac:dyDescent="0.35">
      <c r="A109" s="2">
        <v>45107</v>
      </c>
      <c r="B109" s="3">
        <v>26.094790804207101</v>
      </c>
      <c r="C109" s="3">
        <v>14.6024219137249</v>
      </c>
      <c r="D109" s="3">
        <v>13.0375879378741</v>
      </c>
      <c r="E109" s="3">
        <v>11.306251665562201</v>
      </c>
      <c r="F109" s="3">
        <v>14.590014655774601</v>
      </c>
      <c r="G109" s="3">
        <v>19.296185024986599</v>
      </c>
      <c r="H109" s="3">
        <v>10.3685613895827</v>
      </c>
      <c r="I109" s="3">
        <v>27.277733194772502</v>
      </c>
      <c r="J109" s="3">
        <v>19.137326621912099</v>
      </c>
      <c r="K109" s="3">
        <v>13.3012821150877</v>
      </c>
      <c r="L109" s="3">
        <v>19.2358258004028</v>
      </c>
      <c r="M109" s="3">
        <v>20.922881980748802</v>
      </c>
      <c r="N109" s="3">
        <v>8.5992910678854404</v>
      </c>
    </row>
    <row r="110" spans="1:14" x14ac:dyDescent="0.35">
      <c r="A110" s="2">
        <v>45139</v>
      </c>
      <c r="B110" s="3">
        <v>25.314610767895701</v>
      </c>
      <c r="C110" s="3">
        <v>15.1429595486571</v>
      </c>
      <c r="D110" s="3">
        <v>13.5433262153808</v>
      </c>
      <c r="E110" s="3">
        <v>11.3586097080531</v>
      </c>
      <c r="F110" s="3">
        <v>14.817575775892999</v>
      </c>
      <c r="G110" s="3">
        <v>19.208137868405998</v>
      </c>
      <c r="H110" s="3">
        <v>10.6543760009728</v>
      </c>
      <c r="I110" s="3">
        <v>27.112055558065201</v>
      </c>
      <c r="J110" s="3">
        <v>19.677664379527499</v>
      </c>
      <c r="K110" s="3">
        <v>13.3843302687013</v>
      </c>
      <c r="L110" s="3">
        <v>19.090276890087701</v>
      </c>
      <c r="M110" s="3">
        <v>19.475894652632</v>
      </c>
      <c r="N110" s="3">
        <v>8.4728798280150297</v>
      </c>
    </row>
    <row r="111" spans="1:14" x14ac:dyDescent="0.35">
      <c r="A111" s="2">
        <v>45170</v>
      </c>
      <c r="B111" s="3">
        <v>24.818406143067701</v>
      </c>
      <c r="C111" s="3">
        <v>15.1076587386803</v>
      </c>
      <c r="D111" s="3">
        <v>13.6581067908403</v>
      </c>
      <c r="E111" s="3">
        <v>11.253587212099101</v>
      </c>
      <c r="F111" s="3">
        <v>14.8648501478998</v>
      </c>
      <c r="G111" s="3">
        <v>18.888645292324899</v>
      </c>
      <c r="H111" s="3">
        <v>10.5156486733515</v>
      </c>
      <c r="I111" s="3">
        <v>26.788855455543601</v>
      </c>
      <c r="J111" s="3">
        <v>19.5870327873821</v>
      </c>
      <c r="K111" s="3">
        <v>13.278895212457099</v>
      </c>
      <c r="L111" s="3">
        <v>17.816975115929999</v>
      </c>
      <c r="M111" s="3">
        <v>17.941789680959602</v>
      </c>
      <c r="N111" s="3">
        <v>8.3880642204020202</v>
      </c>
    </row>
    <row r="112" spans="1:14" x14ac:dyDescent="0.35">
      <c r="A112" s="2">
        <v>45198</v>
      </c>
      <c r="B112" s="3">
        <v>23.823059962187301</v>
      </c>
      <c r="C112" s="3">
        <v>14.813130596415901</v>
      </c>
      <c r="D112" s="3">
        <v>13.3014635846757</v>
      </c>
      <c r="E112" s="3">
        <v>11.054502495152899</v>
      </c>
      <c r="F112" s="3">
        <v>14.7745346736102</v>
      </c>
      <c r="G112" s="3">
        <v>18.417364703650101</v>
      </c>
      <c r="H112" s="3">
        <v>10.6042420070963</v>
      </c>
      <c r="I112" s="3">
        <v>25.949909251699001</v>
      </c>
      <c r="J112" s="3">
        <v>19.049923863741601</v>
      </c>
      <c r="K112" s="3">
        <v>12.9825633647097</v>
      </c>
      <c r="L112" s="3">
        <v>16.742769676593799</v>
      </c>
      <c r="M112" s="3">
        <v>16.759529082695501</v>
      </c>
      <c r="N112" s="3">
        <v>8.2523887503898603</v>
      </c>
    </row>
    <row r="113" spans="1:25" x14ac:dyDescent="0.35">
      <c r="A113" s="2">
        <v>45231</v>
      </c>
      <c r="B113" s="3">
        <v>22.4677365443026</v>
      </c>
      <c r="C113" s="3">
        <v>14.4922048778273</v>
      </c>
      <c r="D113" s="3">
        <v>13.087472615331301</v>
      </c>
      <c r="E113" s="3">
        <v>10.739158087910001</v>
      </c>
      <c r="F113" s="3">
        <v>14.767976660367699</v>
      </c>
      <c r="G113" s="3">
        <v>17.614582070255999</v>
      </c>
      <c r="H113" s="3">
        <v>10.325681626507601</v>
      </c>
      <c r="I113" s="3">
        <v>25.681340209634602</v>
      </c>
      <c r="J113" s="3">
        <v>19.035570041952901</v>
      </c>
      <c r="K113" s="3">
        <v>12.665369052390499</v>
      </c>
      <c r="L113" s="3">
        <v>15.863246827976999</v>
      </c>
      <c r="M113" s="3">
        <v>15.652131181055299</v>
      </c>
      <c r="N113" s="3">
        <v>8.0377595252518006</v>
      </c>
    </row>
    <row r="114" spans="1:25" x14ac:dyDescent="0.35">
      <c r="A114" s="2">
        <v>45261</v>
      </c>
      <c r="B114" s="3">
        <v>23.4892598821136</v>
      </c>
      <c r="C114" s="3">
        <v>15.264364993702801</v>
      </c>
      <c r="D114" s="3">
        <v>14.0079271804528</v>
      </c>
      <c r="E114" s="3">
        <v>11.6816414665476</v>
      </c>
      <c r="F114" s="3">
        <v>15.256526943183299</v>
      </c>
      <c r="G114" s="3">
        <v>18.019803495957799</v>
      </c>
      <c r="H114" s="3">
        <v>10.930682188119</v>
      </c>
      <c r="I114" s="3">
        <v>27.727625274772102</v>
      </c>
      <c r="J114" s="3">
        <v>20.574372089424699</v>
      </c>
      <c r="K114" s="3">
        <v>13.548890736662701</v>
      </c>
      <c r="L114" s="3">
        <v>16.399544083569801</v>
      </c>
      <c r="M114" s="3">
        <v>17.555270987189601</v>
      </c>
      <c r="N114" s="3">
        <v>8.6323095144898101</v>
      </c>
    </row>
    <row r="115" spans="1:25" x14ac:dyDescent="0.35">
      <c r="A115" s="2">
        <v>45289</v>
      </c>
      <c r="B115" s="3">
        <v>24.079906584360501</v>
      </c>
      <c r="C115" s="3">
        <v>16.569398491348998</v>
      </c>
      <c r="D115" s="3">
        <v>14.6105070525951</v>
      </c>
      <c r="E115" s="3">
        <v>11.9633111578336</v>
      </c>
      <c r="F115" s="3">
        <v>15.291576307860399</v>
      </c>
      <c r="G115" s="3">
        <v>18.426130748494199</v>
      </c>
      <c r="H115" s="3">
        <v>11.3205885332922</v>
      </c>
      <c r="I115" s="3">
        <v>29.163751637895299</v>
      </c>
      <c r="J115" s="3">
        <v>21.7256395465349</v>
      </c>
      <c r="K115" s="3">
        <v>14.0873839351291</v>
      </c>
      <c r="L115" s="3">
        <v>16.627122497565701</v>
      </c>
      <c r="M115" s="3">
        <v>17.9664134766413</v>
      </c>
      <c r="N115" s="3">
        <v>8.8544083316603093</v>
      </c>
    </row>
    <row r="116" spans="1:25" x14ac:dyDescent="0.35">
      <c r="A116" s="2">
        <v>45323</v>
      </c>
      <c r="B116" s="3">
        <v>23.405844183733802</v>
      </c>
      <c r="C116" s="3">
        <v>16.428774766509498</v>
      </c>
      <c r="D116" s="3">
        <v>14.6860330094323</v>
      </c>
      <c r="E116" s="3">
        <v>12.0275113471625</v>
      </c>
      <c r="F116" s="3">
        <v>16.3908947478714</v>
      </c>
      <c r="G116" s="3">
        <v>18.602448506834101</v>
      </c>
      <c r="H116" s="3">
        <v>11.2862853586913</v>
      </c>
      <c r="I116" s="3">
        <v>29.605560139073699</v>
      </c>
      <c r="J116" s="3">
        <v>22.217304918156501</v>
      </c>
      <c r="K116" s="3">
        <v>14.409658365889401</v>
      </c>
      <c r="L116" s="3">
        <v>17.390907142067501</v>
      </c>
      <c r="M116" s="3">
        <v>15.549473422478901</v>
      </c>
      <c r="N116" s="3">
        <v>9.0722561082594009</v>
      </c>
    </row>
    <row r="117" spans="1:25" x14ac:dyDescent="0.35">
      <c r="A117" s="2">
        <v>45352</v>
      </c>
      <c r="B117" s="3">
        <v>23.702877733586998</v>
      </c>
      <c r="C117" s="3">
        <v>16.629271064253299</v>
      </c>
      <c r="D117" s="3">
        <v>14.888683331714301</v>
      </c>
      <c r="E117" s="3">
        <v>12.5191339045415</v>
      </c>
      <c r="F117" s="3">
        <v>17.087380319154999</v>
      </c>
      <c r="G117" s="3">
        <v>19.197693221638399</v>
      </c>
      <c r="H117" s="3">
        <v>11.449875942056201</v>
      </c>
      <c r="I117" s="3">
        <v>30.374440994295298</v>
      </c>
      <c r="J117" s="3">
        <v>22.796487959499601</v>
      </c>
      <c r="K117" s="3">
        <v>15.493282660514399</v>
      </c>
      <c r="L117" s="3">
        <v>18.501055275427699</v>
      </c>
      <c r="M117" s="3">
        <v>15.8068334118034</v>
      </c>
      <c r="N117" s="3">
        <v>9.3606361638865803</v>
      </c>
    </row>
    <row r="118" spans="1:25" x14ac:dyDescent="0.35">
      <c r="A118" s="2">
        <v>45383</v>
      </c>
      <c r="B118" s="3">
        <v>24.074540626030899</v>
      </c>
      <c r="C118" s="3">
        <v>16.661278261870802</v>
      </c>
      <c r="D118" s="3">
        <v>14.9711868408308</v>
      </c>
      <c r="E118" s="3">
        <v>12.6128025790428</v>
      </c>
      <c r="F118" s="3">
        <v>16.948736103775101</v>
      </c>
      <c r="G118" s="3">
        <v>19.142766008362599</v>
      </c>
      <c r="H118" s="3">
        <v>11.533687669168501</v>
      </c>
      <c r="I118" s="3">
        <v>30.049072970359202</v>
      </c>
      <c r="J118" s="3">
        <v>22.741766742886401</v>
      </c>
      <c r="K118" s="3">
        <v>15.516316537707301</v>
      </c>
      <c r="L118" s="3">
        <v>18.439359217488501</v>
      </c>
      <c r="M118" s="3">
        <v>15.9174729521011</v>
      </c>
      <c r="N118" s="3">
        <v>9.4869401880765292</v>
      </c>
    </row>
    <row r="119" spans="1:25" x14ac:dyDescent="0.35">
      <c r="A119" s="2">
        <v>45413</v>
      </c>
      <c r="B119" s="3">
        <v>24.3400774170813</v>
      </c>
      <c r="C119" s="3">
        <v>16.5176699050301</v>
      </c>
      <c r="D119" s="3">
        <v>14.8218683423403</v>
      </c>
      <c r="E119" s="3">
        <v>12.496664203876399</v>
      </c>
      <c r="F119" s="3">
        <v>16.802170463694399</v>
      </c>
      <c r="G119" s="3">
        <v>18.7193134194805</v>
      </c>
      <c r="H119" s="3">
        <v>11.6014465604216</v>
      </c>
      <c r="I119" s="3">
        <v>29.293357230156001</v>
      </c>
      <c r="J119" s="3">
        <v>22.2899579845372</v>
      </c>
      <c r="K119" s="3">
        <v>15.398385933302899</v>
      </c>
      <c r="L119" s="3">
        <v>18.096721687774</v>
      </c>
      <c r="M119" s="3">
        <v>15.909791395450901</v>
      </c>
      <c r="N119" s="3">
        <v>9.4597371679803803</v>
      </c>
    </row>
    <row r="120" spans="1:25" x14ac:dyDescent="0.35">
      <c r="A120" s="2">
        <v>45443</v>
      </c>
      <c r="B120" s="3">
        <v>24.678173779104501</v>
      </c>
      <c r="C120" s="3">
        <v>16.6687307799717</v>
      </c>
      <c r="D120" s="3">
        <v>14.954736798383999</v>
      </c>
      <c r="E120" s="3">
        <v>12.497645120681399</v>
      </c>
      <c r="F120" s="3">
        <v>16.8056780253646</v>
      </c>
      <c r="G120" s="3">
        <v>18.902318117854001</v>
      </c>
      <c r="H120" s="3">
        <v>11.7172413012918</v>
      </c>
      <c r="I120" s="3">
        <v>29.549811015893599</v>
      </c>
      <c r="J120" s="3">
        <v>22.493569369067401</v>
      </c>
      <c r="K120" s="3">
        <v>15.340750992287999</v>
      </c>
      <c r="L120" s="3">
        <v>18.217382775482001</v>
      </c>
      <c r="M120" s="3">
        <v>16.0591727777242</v>
      </c>
      <c r="N120" s="3">
        <v>9.5765932962848197</v>
      </c>
    </row>
    <row r="121" spans="1:25" x14ac:dyDescent="0.35">
      <c r="A121" s="2">
        <v>45474</v>
      </c>
      <c r="B121" s="3">
        <v>24.3081951916067</v>
      </c>
      <c r="C121" s="3">
        <v>16.8313022458407</v>
      </c>
      <c r="D121" s="3">
        <v>14.8145727362961</v>
      </c>
      <c r="E121" s="3">
        <v>12.474668864783499</v>
      </c>
      <c r="F121" s="3">
        <v>16.8188052427796</v>
      </c>
      <c r="G121" s="3">
        <v>18.7703122655935</v>
      </c>
      <c r="H121" s="3">
        <v>11.6348678856071</v>
      </c>
      <c r="I121" s="3">
        <v>30.2160284639567</v>
      </c>
      <c r="J121" s="3">
        <v>22.800113970132902</v>
      </c>
      <c r="K121" s="3">
        <v>14.9396938028056</v>
      </c>
      <c r="L121" s="3">
        <v>18.278112585668001</v>
      </c>
      <c r="M121" s="3">
        <v>16.128657053296902</v>
      </c>
      <c r="N121" s="3">
        <v>9.4972571202745808</v>
      </c>
    </row>
    <row r="122" spans="1:25" x14ac:dyDescent="0.35">
      <c r="A122" s="2">
        <v>45502</v>
      </c>
      <c r="B122" s="3">
        <v>25.004758951996099</v>
      </c>
      <c r="C122" s="3">
        <v>17.133975543940299</v>
      </c>
      <c r="D122" s="3">
        <v>15.1870805903704</v>
      </c>
      <c r="E122" s="3">
        <v>12.534216100470299</v>
      </c>
      <c r="F122" s="3">
        <v>16.423291160764499</v>
      </c>
      <c r="G122" s="3">
        <v>18.842671817194201</v>
      </c>
      <c r="H122" s="3">
        <v>11.8837152994427</v>
      </c>
      <c r="I122" s="3">
        <v>29.710116994821501</v>
      </c>
      <c r="J122" s="3">
        <v>22.669887564598898</v>
      </c>
      <c r="K122" s="3">
        <v>14.896741334349599</v>
      </c>
      <c r="L122" s="3">
        <v>17.768765314154301</v>
      </c>
      <c r="M122" s="3">
        <v>16.4273065144878</v>
      </c>
      <c r="N122" s="3">
        <v>9.7086424429280598</v>
      </c>
    </row>
    <row r="124" spans="1:25" x14ac:dyDescent="0.35">
      <c r="A124" s="2" t="s">
        <v>91</v>
      </c>
      <c r="B124" s="3" cm="1">
        <f t="array" ref="B124">MIN(_xlfn._xlws.FILTER(B1:B122, ISNUMBER(B1:B122)))</f>
        <v>17.925069511933099</v>
      </c>
      <c r="C124" s="3" cm="1">
        <f t="array" ref="C124">MIN(_xlfn._xlws.FILTER(C1:C122, ISNUMBER(C1:C122)))</f>
        <v>13.221839173757299</v>
      </c>
      <c r="D124" s="3" cm="1">
        <f t="array" ref="D124">MIN(_xlfn._xlws.FILTER(D1:D122, ISNUMBER(D1:D122)))</f>
        <v>12.043371448190801</v>
      </c>
      <c r="E124" s="3" cm="1">
        <f t="array" ref="E124">MIN(_xlfn._xlws.FILTER(E1:E122, ISNUMBER(E1:E122)))</f>
        <v>10.125806244332701</v>
      </c>
      <c r="F124" s="3" cm="1">
        <f t="array" ref="F124">MIN(_xlfn._xlws.FILTER(F1:F122, ISNUMBER(F1:F122)))</f>
        <v>11.478063485722499</v>
      </c>
      <c r="G124" s="3" cm="1">
        <f t="array" ref="G124">MIN(_xlfn._xlws.FILTER(G1:G122, ISNUMBER(G1:G122)))</f>
        <v>16.186770504770799</v>
      </c>
      <c r="H124" s="3" cm="1">
        <f t="array" ref="H124">MIN(_xlfn._xlws.FILTER(H1:H122, ISNUMBER(H1:H122)))</f>
        <v>9.4862558113079594</v>
      </c>
      <c r="I124" s="3" cm="1">
        <f t="array" ref="I124">MIN(_xlfn._xlws.FILTER(I1:I122, ISNUMBER(I1:I122)))</f>
        <v>18.261968865638298</v>
      </c>
      <c r="J124" s="3" cm="1">
        <f t="array" ref="J124">MIN(_xlfn._xlws.FILTER(J1:J122, ISNUMBER(J1:J122)))</f>
        <v>15.4897044891365</v>
      </c>
      <c r="K124" s="3" cm="1">
        <f t="array" ref="K124">MIN(_xlfn._xlws.FILTER(K1:K122, ISNUMBER(K1:K122)))</f>
        <v>11.4728680791524</v>
      </c>
      <c r="L124" s="3" cm="1">
        <f t="array" ref="L124">MIN(_xlfn._xlws.FILTER(L1:L122, ISNUMBER(L1:L122)))</f>
        <v>14.2830374670868</v>
      </c>
      <c r="M124" s="3" cm="1">
        <f t="array" ref="M124">MIN(_xlfn._xlws.FILTER(M1:M122, ISNUMBER(M1:M122)))</f>
        <v>11.603567608241001</v>
      </c>
      <c r="N124" s="3" cm="1">
        <f t="array" ref="N124">MIN(_xlfn._xlws.FILTER(N1:N122, ISNUMBER(N1:N122)))</f>
        <v>7.3748312726828997</v>
      </c>
    </row>
    <row r="125" spans="1:25" x14ac:dyDescent="0.35">
      <c r="A125" s="2" t="s">
        <v>92</v>
      </c>
      <c r="B125" s="3" cm="1">
        <f t="array" ref="B125">MAX(_xlfn._xlws.FILTER(B1:B122, ISNUMBER(B1:B122)))</f>
        <v>39.354945247696399</v>
      </c>
      <c r="C125" s="3" cm="1">
        <f t="array" ref="C125">MAX(_xlfn._xlws.FILTER(C1:C122, ISNUMBER(C1:C122)))</f>
        <v>22.9540612302639</v>
      </c>
      <c r="D125" s="3" cm="1">
        <f t="array" ref="D125">MAX(_xlfn._xlws.FILTER(D1:D122, ISNUMBER(D1:D122)))</f>
        <v>20.438091988398401</v>
      </c>
      <c r="E125" s="3" cm="1">
        <f t="array" ref="E125">MAX(_xlfn._xlws.FILTER(E1:E122, ISNUMBER(E1:E122)))</f>
        <v>22.126768463538401</v>
      </c>
      <c r="F125" s="3" cm="1">
        <f t="array" ref="F125">MAX(_xlfn._xlws.FILTER(F1:F122, ISNUMBER(F1:F122)))</f>
        <v>23.610767634912801</v>
      </c>
      <c r="G125" s="3" cm="1">
        <f t="array" ref="G125">MAX(_xlfn._xlws.FILTER(G1:G122, ISNUMBER(G1:G122)))</f>
        <v>22.0192335076548</v>
      </c>
      <c r="H125" s="3" cm="1">
        <f t="array" ref="H125">MAX(_xlfn._xlws.FILTER(H1:H122, ISNUMBER(H1:H122)))</f>
        <v>19.732053416266599</v>
      </c>
      <c r="I125" s="3" cm="1">
        <f t="array" ref="I125">MAX(_xlfn._xlws.FILTER(I1:I122, ISNUMBER(I1:I122)))</f>
        <v>35.237273776558602</v>
      </c>
      <c r="J125" s="3" cm="1">
        <f t="array" ref="J125">MAX(_xlfn._xlws.FILTER(J1:J122, ISNUMBER(J1:J122)))</f>
        <v>27.423472946589399</v>
      </c>
      <c r="K125" s="3" cm="1">
        <f t="array" ref="K125">MAX(_xlfn._xlws.FILTER(K1:K122, ISNUMBER(K1:K122)))</f>
        <v>28.860229638401801</v>
      </c>
      <c r="L125" s="3" cm="1">
        <f t="array" ref="L125">MAX(_xlfn._xlws.FILTER(L1:L122, ISNUMBER(L1:L122)))</f>
        <v>28.915389112596699</v>
      </c>
      <c r="M125" s="3" cm="1">
        <f t="array" ref="M125">MAX(_xlfn._xlws.FILTER(M1:M122, ISNUMBER(M1:M122)))</f>
        <v>25.629809545035599</v>
      </c>
      <c r="N125" s="3" cm="1">
        <f t="array" ref="N125">MAX(_xlfn._xlws.FILTER(N1:N122, ISNUMBER(N1:N122)))</f>
        <v>85.791985568263399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0.54900000000000004</v>
      </c>
      <c r="C127" s="9" cm="1">
        <f t="array" ref="C127">_xlfn.PERCENTRANK.EXC(_xlfn._xlws.FILTER(C1:C122, ISNUMBER(C1:C122)),C121)</f>
        <v>0.68799999999999994</v>
      </c>
      <c r="D127" s="9" cm="1">
        <f t="array" ref="D127">_xlfn.PERCENTRANK.EXC(_xlfn._xlws.FILTER(D1:D122, ISNUMBER(D1:D122)),D121)</f>
        <v>0.30299999999999999</v>
      </c>
      <c r="E127" s="9" cm="1">
        <f t="array" ref="E127">_xlfn.PERCENTRANK.EXC(_xlfn._xlws.FILTER(E1:E122, ISNUMBER(E1:E122)),E121)</f>
        <v>0.21299999999999999</v>
      </c>
      <c r="F127" s="9" cm="1">
        <f t="array" ref="F127">_xlfn.PERCENTRANK.EXC(_xlfn._xlws.FILTER(F1:F122, ISNUMBER(F1:F122)),F121)</f>
        <v>0.80300000000000005</v>
      </c>
      <c r="G127" s="9" cm="1">
        <f t="array" ref="G127">_xlfn.PERCENTRANK.EXC(_xlfn._xlws.FILTER(G1:G122, ISNUMBER(G1:G122)),G121)</f>
        <v>0.52400000000000002</v>
      </c>
      <c r="H127" s="9" cm="1">
        <f t="array" ref="H127">_xlfn.PERCENTRANK.EXC(_xlfn._xlws.FILTER(H1:H122, ISNUMBER(H1:H122)),H121)</f>
        <v>0.19600000000000001</v>
      </c>
      <c r="I127" s="9" cm="1">
        <f t="array" ref="I127">_xlfn.PERCENTRANK.EXC(_xlfn._xlws.FILTER(I1:I122, ISNUMBER(I1:I122)),I121)</f>
        <v>0.85199999999999998</v>
      </c>
      <c r="J127" s="9" cm="1">
        <f t="array" ref="J127">_xlfn.PERCENTRANK.EXC(_xlfn._xlws.FILTER(J1:J122, ISNUMBER(J1:J122)),J121)</f>
        <v>0.86</v>
      </c>
      <c r="K127" s="9" cm="1">
        <f t="array" ref="K127">_xlfn.PERCENTRANK.EXC(_xlfn._xlws.FILTER(K1:K122, ISNUMBER(K1:K122)),K121)</f>
        <v>0.34399999999999997</v>
      </c>
      <c r="L127" s="9" cm="1">
        <f t="array" ref="L127">_xlfn.PERCENTRANK.EXC(_xlfn._xlws.FILTER(L1:L122, ISNUMBER(L1:L122)),L121)</f>
        <v>0.61399999999999999</v>
      </c>
      <c r="M127" s="9" cm="1">
        <f t="array" ref="M127">_xlfn.PERCENTRANK.EXC(_xlfn._xlws.FILTER(M1:M122, ISNUMBER(M1:M122)),M121)</f>
        <v>0.34399999999999997</v>
      </c>
      <c r="N127" s="9" cm="1">
        <f t="array" ref="N127">_xlfn.PERCENTRANK.EXC(_xlfn._xlws.FILTER(N1:N122, ISNUMBER(N1:N122)),N121)</f>
        <v>0.19600000000000001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41852</v>
      </c>
      <c r="B2" s="3" cm="1">
        <f t="array" ref="B2:B122">_xll.FDS(B1,"FMA_PE(NTMA,-10AY,0,AM,""PORTAGG"",""MEANR"")")</f>
        <v>17.0318048653562</v>
      </c>
      <c r="C2" s="3" cm="1">
        <f t="array" ref="C2:C122">_xll.FDS(C1,"FMA_PE(NTMA,-10AY,0,AM,""PORTAGG"",""MEANR"")")</f>
        <v>14.820428742963699</v>
      </c>
      <c r="D2" s="3" cm="1">
        <f t="array" ref="D2:D122">_xll.FDS(D1,"FMA_PE(NTMA,-10AY,0,AM,""PORTAGG"",""MEANR"")")</f>
        <v>14.974445291437601</v>
      </c>
      <c r="E2" s="3" cm="1">
        <f t="array" ref="E2:E122">_xll.FDS(E1,"FMA_PE(NTMA,-10AY,0,AM,""PORTAGG"",""MEANR"")")</f>
        <v>12.3347824705966</v>
      </c>
      <c r="F2" s="3" cm="1">
        <f t="array" ref="F2:F122">_xll.FDS(F1,"FMA_PE(NTMA,-10AY,0,AM,""PORTAGG"",""MEANR"")")</f>
        <v>13.8186266306269</v>
      </c>
      <c r="G2" s="3" cm="1">
        <f t="array" ref="G2:G122">_xll.FDS(G1,"FMA_PE(NTMA,-10AY,0,AM,""PORTAGG"",""MEANR"")")</f>
        <v>15.872720686406099</v>
      </c>
      <c r="H2" s="3" cm="1">
        <f t="array" ref="H2:H122">_xll.FDS(H1,"FMA_PE(NTMA,-10AY,0,AM,""PORTAGG"",""MEANR"")")</f>
        <v>13.4185458223909</v>
      </c>
      <c r="I2" s="3" cm="1">
        <f t="array" ref="I2:I122">_xll.FDS(I1,"FMA_PE(NTMA,-10AY,0,AM,""PORTAGG"",""MEANR"")")</f>
        <v>17.160382821996802</v>
      </c>
      <c r="J2" s="3" cm="1">
        <f t="array" ref="J2:J122">_xll.FDS(J1,"FMA_PE(NTMA,-10AY,0,AM,""PORTAGG"",""MEANR"")")</f>
        <v>14.8567439167192</v>
      </c>
      <c r="K2" s="3" cm="1">
        <f t="array" ref="K2:K122">_xll.FDS(K1,"FMA_PE(NTMA,-10AY,0,AM,""PORTAGG"",""MEANR"")")</f>
        <v>13.2550003021884</v>
      </c>
      <c r="L2" s="3" cm="1">
        <f t="array" ref="L2:L122">_xll.FDS(L1,"FMA_PE(NTMA,-10AY,0,AM,""PORTAGG"",""MEANR"")")</f>
        <v>13.861251922258599</v>
      </c>
      <c r="M2" s="3" cm="1">
        <f t="array" ref="M2:M122">_xll.FDS(M1,"FMA_PE(NTMA,-10AY,0,AM,""PORTAGG"",""MEANR"")")</f>
        <v>15.1825336425474</v>
      </c>
      <c r="N2" s="3" cm="1">
        <f t="array" ref="N2:N122">_xll.FDS(N1,"FMA_PE(NTMA,-10AY,0,AM,""PORTAGG"",""MEANR"")")</f>
        <v>13.650025963865399</v>
      </c>
    </row>
    <row r="3" spans="1:14" x14ac:dyDescent="0.35">
      <c r="A3" s="2">
        <v>41880</v>
      </c>
      <c r="B3" s="3">
        <v>17.425990445087798</v>
      </c>
      <c r="C3" s="3">
        <v>14.8837061335486</v>
      </c>
      <c r="D3" s="3">
        <v>15.2353364171694</v>
      </c>
      <c r="E3" s="3">
        <v>12.568413882496399</v>
      </c>
      <c r="F3" s="3">
        <v>13.585355167216401</v>
      </c>
      <c r="G3" s="3">
        <v>16.115886505196599</v>
      </c>
      <c r="H3" s="3">
        <v>13.5557307291156</v>
      </c>
      <c r="I3" s="3">
        <v>17.877426543949401</v>
      </c>
      <c r="J3" s="3">
        <v>15.3577342548639</v>
      </c>
      <c r="K3" s="3">
        <v>13.6611265422643</v>
      </c>
      <c r="L3" s="3">
        <v>14.457231056903399</v>
      </c>
      <c r="M3" s="3">
        <v>14.7457568698236</v>
      </c>
      <c r="N3" s="3">
        <v>13.8013716688956</v>
      </c>
    </row>
    <row r="4" spans="1:14" x14ac:dyDescent="0.35">
      <c r="A4" s="2">
        <v>41913</v>
      </c>
      <c r="B4" s="3">
        <v>17.202136195917301</v>
      </c>
      <c r="C4" s="3">
        <v>13.955948541859</v>
      </c>
      <c r="D4" s="3">
        <v>14.294766458520501</v>
      </c>
      <c r="E4" s="3">
        <v>12.375056616667401</v>
      </c>
      <c r="F4" s="3">
        <v>14.003708384833701</v>
      </c>
      <c r="G4" s="3">
        <v>15.851720117735701</v>
      </c>
      <c r="H4" s="3">
        <v>12.9366238199687</v>
      </c>
      <c r="I4" s="3">
        <v>17.146455476337199</v>
      </c>
      <c r="J4" s="3">
        <v>14.8204719533268</v>
      </c>
      <c r="K4" s="3">
        <v>13.474022057570201</v>
      </c>
      <c r="L4" s="3">
        <v>14.5183297068243</v>
      </c>
      <c r="M4" s="3">
        <v>14.4493763961582</v>
      </c>
      <c r="N4" s="3">
        <v>13.5154493806152</v>
      </c>
    </row>
    <row r="5" spans="1:14" x14ac:dyDescent="0.35">
      <c r="A5" s="2">
        <v>41943</v>
      </c>
      <c r="B5" s="3">
        <v>17.607549460587101</v>
      </c>
      <c r="C5" s="3">
        <v>14.617147750157599</v>
      </c>
      <c r="D5" s="3">
        <v>14.3528473978999</v>
      </c>
      <c r="E5" s="3">
        <v>12.2997736717441</v>
      </c>
      <c r="F5" s="3">
        <v>13.9869905302651</v>
      </c>
      <c r="G5" s="3">
        <v>15.9486062855683</v>
      </c>
      <c r="H5" s="3">
        <v>13.160472896626599</v>
      </c>
      <c r="I5" s="3">
        <v>17.6885889608936</v>
      </c>
      <c r="J5" s="3">
        <v>15.4981269408046</v>
      </c>
      <c r="K5" s="3">
        <v>13.2064043588754</v>
      </c>
      <c r="L5" s="3">
        <v>14.6029947441027</v>
      </c>
      <c r="M5" s="3">
        <v>14.6907340445612</v>
      </c>
      <c r="N5" s="3">
        <v>12.859005925144</v>
      </c>
    </row>
    <row r="6" spans="1:14" x14ac:dyDescent="0.35">
      <c r="A6" s="2">
        <v>41974</v>
      </c>
      <c r="B6" s="3">
        <v>17.912529650663998</v>
      </c>
      <c r="C6" s="3">
        <v>13.622515193194401</v>
      </c>
      <c r="D6" s="3">
        <v>14.6196410291488</v>
      </c>
      <c r="E6" s="3">
        <v>13.129298107166401</v>
      </c>
      <c r="F6" s="3">
        <v>14.5701753839163</v>
      </c>
      <c r="G6" s="3">
        <v>16.152945932989699</v>
      </c>
      <c r="H6" s="3">
        <v>13.5465448432575</v>
      </c>
      <c r="I6" s="3">
        <v>18.077693458311401</v>
      </c>
      <c r="J6" s="3">
        <v>15.7655384438058</v>
      </c>
      <c r="K6" s="3">
        <v>13.910843006589101</v>
      </c>
      <c r="L6" s="3">
        <v>15.0756520747299</v>
      </c>
      <c r="M6" s="3">
        <v>15.6051584247734</v>
      </c>
      <c r="N6" s="3">
        <v>12.9367762046839</v>
      </c>
    </row>
    <row r="7" spans="1:14" x14ac:dyDescent="0.35">
      <c r="A7" s="2">
        <v>42004</v>
      </c>
      <c r="B7" s="3">
        <v>18.214770787120599</v>
      </c>
      <c r="C7" s="3">
        <v>14.593185536132101</v>
      </c>
      <c r="D7" s="3">
        <v>15.505252280155</v>
      </c>
      <c r="E7" s="3">
        <v>12.8434669890816</v>
      </c>
      <c r="F7" s="3">
        <v>14.297694065687599</v>
      </c>
      <c r="G7" s="3">
        <v>15.6774388962394</v>
      </c>
      <c r="H7" s="3">
        <v>13.8378427236722</v>
      </c>
      <c r="I7" s="3">
        <v>17.4439790635812</v>
      </c>
      <c r="J7" s="3">
        <v>15.971462330108499</v>
      </c>
      <c r="K7" s="3">
        <v>13.7780667903218</v>
      </c>
      <c r="L7" s="3">
        <v>14.847496294931799</v>
      </c>
      <c r="M7" s="3">
        <v>15.610795736420201</v>
      </c>
      <c r="N7" s="3">
        <v>12.338338713316499</v>
      </c>
    </row>
    <row r="8" spans="1:14" x14ac:dyDescent="0.35">
      <c r="A8" s="2">
        <v>42034</v>
      </c>
      <c r="B8" s="3">
        <v>18.934546597998001</v>
      </c>
      <c r="C8" s="3">
        <v>15.2362716214905</v>
      </c>
      <c r="D8" s="3">
        <v>16.493173059250498</v>
      </c>
      <c r="E8" s="3">
        <v>13.983159956977801</v>
      </c>
      <c r="F8" s="3">
        <v>14.0144152447374</v>
      </c>
      <c r="G8" s="3">
        <v>16.3297532069083</v>
      </c>
      <c r="H8" s="3">
        <v>14.971451702718401</v>
      </c>
      <c r="I8" s="3">
        <v>16.936724531548201</v>
      </c>
      <c r="J8" s="3">
        <v>16.039060201694301</v>
      </c>
      <c r="K8" s="3">
        <v>15.2955982571255</v>
      </c>
      <c r="L8" s="3">
        <v>15.7673862704467</v>
      </c>
      <c r="M8" s="3">
        <v>16.202914323963402</v>
      </c>
      <c r="N8" s="3">
        <v>14.004178174042</v>
      </c>
    </row>
    <row r="9" spans="1:14" x14ac:dyDescent="0.35">
      <c r="A9" s="2">
        <v>42062</v>
      </c>
      <c r="B9" s="3">
        <v>19.300625418747899</v>
      </c>
      <c r="C9" s="3">
        <v>16.320292432707301</v>
      </c>
      <c r="D9" s="3">
        <v>17.500357880049499</v>
      </c>
      <c r="E9" s="3">
        <v>14.8213749994138</v>
      </c>
      <c r="F9" s="3">
        <v>15.101562261266899</v>
      </c>
      <c r="G9" s="3">
        <v>17.628133814780799</v>
      </c>
      <c r="H9" s="3">
        <v>15.7673388929755</v>
      </c>
      <c r="I9" s="3">
        <v>18.0987091619455</v>
      </c>
      <c r="J9" s="3">
        <v>16.900731634440199</v>
      </c>
      <c r="K9" s="3">
        <v>16.380690403267899</v>
      </c>
      <c r="L9" s="3">
        <v>16.924455546412901</v>
      </c>
      <c r="M9" s="3">
        <v>17.393614041026598</v>
      </c>
      <c r="N9" s="3">
        <v>15.551223659237801</v>
      </c>
    </row>
    <row r="10" spans="1:14" x14ac:dyDescent="0.35">
      <c r="A10" s="2">
        <v>42095</v>
      </c>
      <c r="B10" s="3">
        <v>18.5206822809259</v>
      </c>
      <c r="C10" s="3">
        <v>16.174405121689901</v>
      </c>
      <c r="D10" s="3">
        <v>17.001418767196999</v>
      </c>
      <c r="E10" s="3">
        <v>15.4770747455457</v>
      </c>
      <c r="F10" s="3">
        <v>15.0649545109149</v>
      </c>
      <c r="G10" s="3">
        <v>17.646596580927401</v>
      </c>
      <c r="H10" s="3">
        <v>15.4346819424511</v>
      </c>
      <c r="I10" s="3">
        <v>17.577814696811402</v>
      </c>
      <c r="J10" s="3">
        <v>16.4128301285687</v>
      </c>
      <c r="K10" s="3">
        <v>16.549546926743702</v>
      </c>
      <c r="L10" s="3">
        <v>17.158007894023001</v>
      </c>
      <c r="M10" s="3">
        <v>16.988815887563501</v>
      </c>
      <c r="N10" s="3">
        <v>15.9821345487538</v>
      </c>
    </row>
    <row r="11" spans="1:14" x14ac:dyDescent="0.35">
      <c r="A11" s="2">
        <v>42125</v>
      </c>
      <c r="B11" s="3">
        <v>18.319896868661999</v>
      </c>
      <c r="C11" s="3">
        <v>16.253407960068099</v>
      </c>
      <c r="D11" s="3">
        <v>17.3653448047375</v>
      </c>
      <c r="E11" s="3">
        <v>14.5569971956958</v>
      </c>
      <c r="F11" s="3">
        <v>15.6616916730624</v>
      </c>
      <c r="G11" s="3">
        <v>17.7436319002889</v>
      </c>
      <c r="H11" s="3">
        <v>16.012448695116699</v>
      </c>
      <c r="I11" s="3">
        <v>18.0048963080168</v>
      </c>
      <c r="J11" s="3">
        <v>16.704581786323399</v>
      </c>
      <c r="K11" s="3">
        <v>16.309646923235299</v>
      </c>
      <c r="L11" s="3">
        <v>16.888361282154701</v>
      </c>
      <c r="M11" s="3">
        <v>15.84340237342</v>
      </c>
      <c r="N11" s="3">
        <v>15.788450623779999</v>
      </c>
    </row>
    <row r="12" spans="1:14" x14ac:dyDescent="0.35">
      <c r="A12" s="2">
        <v>42156</v>
      </c>
      <c r="B12" s="3">
        <v>18.372038333532501</v>
      </c>
      <c r="C12" s="3">
        <v>15.7521685962513</v>
      </c>
      <c r="D12" s="3">
        <v>16.6074128002818</v>
      </c>
      <c r="E12" s="3">
        <v>14.1231698657779</v>
      </c>
      <c r="F12" s="3">
        <v>16.3510098822949</v>
      </c>
      <c r="G12" s="3">
        <v>17.650907957565</v>
      </c>
      <c r="H12" s="3">
        <v>15.880936572021801</v>
      </c>
      <c r="I12" s="3">
        <v>18.055511285822298</v>
      </c>
      <c r="J12" s="3">
        <v>16.564306803352899</v>
      </c>
      <c r="K12" s="3">
        <v>16.123358007770399</v>
      </c>
      <c r="L12" s="3">
        <v>16.9503402901938</v>
      </c>
      <c r="M12" s="3">
        <v>16.5287399669058</v>
      </c>
      <c r="N12" s="3">
        <v>15.598858962664201</v>
      </c>
    </row>
    <row r="13" spans="1:14" x14ac:dyDescent="0.35">
      <c r="A13" s="2">
        <v>42186</v>
      </c>
      <c r="B13" s="3">
        <v>18.052552964461999</v>
      </c>
      <c r="C13" s="3">
        <v>15.264878916082701</v>
      </c>
      <c r="D13" s="3">
        <v>15.881234249062899</v>
      </c>
      <c r="E13" s="3">
        <v>13.6364668381086</v>
      </c>
      <c r="F13" s="3">
        <v>15.444812158591199</v>
      </c>
      <c r="G13" s="3">
        <v>16.946436112733899</v>
      </c>
      <c r="H13" s="3">
        <v>15.0993559238907</v>
      </c>
      <c r="I13" s="3">
        <v>17.6094933846645</v>
      </c>
      <c r="J13" s="3">
        <v>16.221688194283399</v>
      </c>
      <c r="K13" s="3">
        <v>15.478853299699299</v>
      </c>
      <c r="L13" s="3">
        <v>16.546351999694799</v>
      </c>
      <c r="M13" s="3">
        <v>15.7351006377004</v>
      </c>
      <c r="N13" s="3">
        <v>15.0572601254523</v>
      </c>
    </row>
    <row r="14" spans="1:14" x14ac:dyDescent="0.35">
      <c r="A14" s="2">
        <v>42216</v>
      </c>
      <c r="B14" s="3">
        <v>18.3374247523085</v>
      </c>
      <c r="C14" s="3">
        <v>15.6963684051369</v>
      </c>
      <c r="D14" s="3">
        <v>15.658348117453601</v>
      </c>
      <c r="E14" s="3">
        <v>13.7553346204986</v>
      </c>
      <c r="F14" s="3">
        <v>15.5549826524311</v>
      </c>
      <c r="G14" s="3">
        <v>17.728659361365199</v>
      </c>
      <c r="H14" s="3">
        <v>15.402920468491301</v>
      </c>
      <c r="I14" s="3">
        <v>18.625859724397898</v>
      </c>
      <c r="J14" s="3">
        <v>16.428470716538602</v>
      </c>
      <c r="K14" s="3">
        <v>15.7846630693225</v>
      </c>
      <c r="L14" s="3">
        <v>16.8091333988136</v>
      </c>
      <c r="M14" s="3">
        <v>15.968217591357099</v>
      </c>
      <c r="N14" s="3">
        <v>15.466617764074799</v>
      </c>
    </row>
    <row r="15" spans="1:14" x14ac:dyDescent="0.35">
      <c r="A15" s="2">
        <v>42248</v>
      </c>
      <c r="B15" s="3">
        <v>17.581516615999401</v>
      </c>
      <c r="C15" s="3">
        <v>14.178870433114501</v>
      </c>
      <c r="D15" s="3">
        <v>14.510276396401</v>
      </c>
      <c r="E15" s="3">
        <v>12.159874792755801</v>
      </c>
      <c r="F15" s="3">
        <v>13.6441972916762</v>
      </c>
      <c r="G15" s="3">
        <v>16.246094485655501</v>
      </c>
      <c r="H15" s="3">
        <v>13.9357591793298</v>
      </c>
      <c r="I15" s="3">
        <v>16.743996242218699</v>
      </c>
      <c r="J15" s="3">
        <v>14.8956655091951</v>
      </c>
      <c r="K15" s="3">
        <v>14.0094798811561</v>
      </c>
      <c r="L15" s="3">
        <v>14.6791923716135</v>
      </c>
      <c r="M15" s="3">
        <v>14.6030391027339</v>
      </c>
      <c r="N15" s="3">
        <v>14.0914586258487</v>
      </c>
    </row>
    <row r="16" spans="1:14" x14ac:dyDescent="0.35">
      <c r="A16" s="2">
        <v>42278</v>
      </c>
      <c r="B16" s="3">
        <v>16.963128210001901</v>
      </c>
      <c r="C16" s="3">
        <v>14.484116262961599</v>
      </c>
      <c r="D16" s="3">
        <v>14.381378710029701</v>
      </c>
      <c r="E16" s="3">
        <v>11.6915773352854</v>
      </c>
      <c r="F16" s="3">
        <v>13.2591916261833</v>
      </c>
      <c r="G16" s="3">
        <v>15.946539503731</v>
      </c>
      <c r="H16" s="3">
        <v>14.305784348196701</v>
      </c>
      <c r="I16" s="3">
        <v>16.855504049520398</v>
      </c>
      <c r="J16" s="3">
        <v>14.986507190855701</v>
      </c>
      <c r="K16" s="3">
        <v>13.764443589286101</v>
      </c>
      <c r="L16" s="3">
        <v>14.2224090985233</v>
      </c>
      <c r="M16" s="3">
        <v>14.044189344964799</v>
      </c>
      <c r="N16" s="3">
        <v>13.7711923112095</v>
      </c>
    </row>
    <row r="17" spans="1:14" x14ac:dyDescent="0.35">
      <c r="A17" s="2">
        <v>42307</v>
      </c>
      <c r="B17" s="3">
        <v>18.038295420771</v>
      </c>
      <c r="C17" s="3">
        <v>15.0311255121562</v>
      </c>
      <c r="D17" s="3">
        <v>14.7494103952787</v>
      </c>
      <c r="E17" s="3">
        <v>13.3647461553588</v>
      </c>
      <c r="F17" s="3">
        <v>14.385129114322201</v>
      </c>
      <c r="G17" s="3">
        <v>16.969152773784501</v>
      </c>
      <c r="H17" s="3">
        <v>15.3196187474176</v>
      </c>
      <c r="I17" s="3">
        <v>18.545203662959501</v>
      </c>
      <c r="J17" s="3">
        <v>16.270771457812199</v>
      </c>
      <c r="K17" s="3">
        <v>15.1709503017873</v>
      </c>
      <c r="L17" s="3">
        <v>15.8345823022642</v>
      </c>
      <c r="M17" s="3">
        <v>15.454904907849301</v>
      </c>
      <c r="N17" s="3">
        <v>14.740695462059699</v>
      </c>
    </row>
    <row r="18" spans="1:14" x14ac:dyDescent="0.35">
      <c r="A18" s="2">
        <v>42339</v>
      </c>
      <c r="B18" s="3">
        <v>18.254436495242999</v>
      </c>
      <c r="C18" s="3">
        <v>15.2822520086963</v>
      </c>
      <c r="D18" s="3">
        <v>14.8229585886407</v>
      </c>
      <c r="E18" s="3">
        <v>14.0262353267374</v>
      </c>
      <c r="F18" s="3">
        <v>14.7711034545788</v>
      </c>
      <c r="G18" s="3">
        <v>17.026024611721301</v>
      </c>
      <c r="H18" s="3">
        <v>15.4646554821626</v>
      </c>
      <c r="I18" s="3">
        <v>18.859607508009098</v>
      </c>
      <c r="J18" s="3">
        <v>16.427905465188299</v>
      </c>
      <c r="K18" s="3">
        <v>15.3099906780282</v>
      </c>
      <c r="L18" s="3">
        <v>16.392846939242698</v>
      </c>
      <c r="M18" s="3">
        <v>15.6520679912042</v>
      </c>
      <c r="N18" s="3">
        <v>14.975492011871101</v>
      </c>
    </row>
    <row r="19" spans="1:14" x14ac:dyDescent="0.35">
      <c r="A19" s="2">
        <v>42369</v>
      </c>
      <c r="B19" s="3">
        <v>18.2879518587097</v>
      </c>
      <c r="C19" s="3">
        <v>15.7577891400844</v>
      </c>
      <c r="D19" s="3">
        <v>14.121858270811501</v>
      </c>
      <c r="E19" s="3">
        <v>13.350964590216501</v>
      </c>
      <c r="F19" s="3">
        <v>14.059202899593901</v>
      </c>
      <c r="G19" s="3">
        <v>16.878889370263501</v>
      </c>
      <c r="H19" s="3">
        <v>15.2053139260079</v>
      </c>
      <c r="I19" s="3">
        <v>18.458821535757501</v>
      </c>
      <c r="J19" s="3">
        <v>15.991430392029001</v>
      </c>
      <c r="K19" s="3">
        <v>14.552502668719599</v>
      </c>
      <c r="L19" s="3">
        <v>15.3744123294909</v>
      </c>
      <c r="M19" s="3">
        <v>14.9750159777383</v>
      </c>
      <c r="N19" s="3">
        <v>14.0570435212574</v>
      </c>
    </row>
    <row r="20" spans="1:14" x14ac:dyDescent="0.35">
      <c r="A20" s="2">
        <v>42401</v>
      </c>
      <c r="B20" s="3">
        <v>17.463533880565802</v>
      </c>
      <c r="C20" s="3">
        <v>15.380540728003</v>
      </c>
      <c r="D20" s="3">
        <v>14.3080428817242</v>
      </c>
      <c r="E20" s="3">
        <v>12.3246399820035</v>
      </c>
      <c r="F20" s="3">
        <v>13.323653817854</v>
      </c>
      <c r="G20" s="3">
        <v>16.3050868588474</v>
      </c>
      <c r="H20" s="3">
        <v>15.554401699356699</v>
      </c>
      <c r="I20" s="3">
        <v>17.3232415487766</v>
      </c>
      <c r="J20" s="3">
        <v>15.5099438140132</v>
      </c>
      <c r="K20" s="3">
        <v>14.1966976262086</v>
      </c>
      <c r="L20" s="3">
        <v>15.062918416566401</v>
      </c>
      <c r="M20" s="3">
        <v>14.4148181847924</v>
      </c>
      <c r="N20" s="3">
        <v>12.9842808096267</v>
      </c>
    </row>
    <row r="21" spans="1:14" x14ac:dyDescent="0.35">
      <c r="A21" s="2">
        <v>42430</v>
      </c>
      <c r="B21" s="3">
        <v>17.648170021425798</v>
      </c>
      <c r="C21" s="3">
        <v>15.2168801140055</v>
      </c>
      <c r="D21" s="3">
        <v>15.0369506080043</v>
      </c>
      <c r="E21" s="3">
        <v>12.436334224189901</v>
      </c>
      <c r="F21" s="3">
        <v>12.301512770703701</v>
      </c>
      <c r="G21" s="3">
        <v>16.4773012148097</v>
      </c>
      <c r="H21" s="3">
        <v>15.7446437733692</v>
      </c>
      <c r="I21" s="3">
        <v>17.394330783977999</v>
      </c>
      <c r="J21" s="3">
        <v>15.516736353630501</v>
      </c>
      <c r="K21" s="3">
        <v>14.385490569600099</v>
      </c>
      <c r="L21" s="3">
        <v>15.242449549441099</v>
      </c>
      <c r="M21" s="3">
        <v>15.3815493671203</v>
      </c>
      <c r="N21" s="3">
        <v>12.994645009678001</v>
      </c>
    </row>
    <row r="22" spans="1:14" x14ac:dyDescent="0.35">
      <c r="A22" s="2">
        <v>42461</v>
      </c>
      <c r="B22" s="3">
        <v>18.4156126192307</v>
      </c>
      <c r="C22" s="3">
        <v>15.4658529260418</v>
      </c>
      <c r="D22" s="3">
        <v>15.888085104134399</v>
      </c>
      <c r="E22" s="3">
        <v>12.5186064134994</v>
      </c>
      <c r="F22" s="3">
        <v>12.3706974096579</v>
      </c>
      <c r="G22" s="3">
        <v>16.218897521325299</v>
      </c>
      <c r="H22" s="3">
        <v>16.005416729352401</v>
      </c>
      <c r="I22" s="3">
        <v>18.086192954736202</v>
      </c>
      <c r="J22" s="3">
        <v>16.500463546018398</v>
      </c>
      <c r="K22" s="3">
        <v>14.184321111574</v>
      </c>
      <c r="L22" s="3">
        <v>15.1497446213715</v>
      </c>
      <c r="M22" s="3">
        <v>14.9967251926417</v>
      </c>
      <c r="N22" s="3">
        <v>12.8388132228063</v>
      </c>
    </row>
    <row r="23" spans="1:14" x14ac:dyDescent="0.35">
      <c r="A23" s="2">
        <v>42489</v>
      </c>
      <c r="B23" s="3">
        <v>18.714137894830401</v>
      </c>
      <c r="C23" s="3">
        <v>16.185067998896201</v>
      </c>
      <c r="D23" s="3">
        <v>16.696742116561602</v>
      </c>
      <c r="E23" s="3">
        <v>12.7755065394228</v>
      </c>
      <c r="F23" s="3">
        <v>12.8681650989449</v>
      </c>
      <c r="G23" s="3">
        <v>16.7255752354645</v>
      </c>
      <c r="H23" s="3">
        <v>16.217559099455599</v>
      </c>
      <c r="I23" s="3">
        <v>17.4707196772289</v>
      </c>
      <c r="J23" s="3">
        <v>16.522677016730398</v>
      </c>
      <c r="K23" s="3">
        <v>14.4793950055038</v>
      </c>
      <c r="L23" s="3">
        <v>14.946129809202001</v>
      </c>
      <c r="M23" s="3">
        <v>15.2560793560229</v>
      </c>
      <c r="N23" s="3">
        <v>13.422114321749399</v>
      </c>
    </row>
    <row r="24" spans="1:14" x14ac:dyDescent="0.35">
      <c r="A24" s="2">
        <v>42522</v>
      </c>
      <c r="B24" s="3">
        <v>19.5262857810472</v>
      </c>
      <c r="C24" s="3">
        <v>16.323124231300799</v>
      </c>
      <c r="D24" s="3">
        <v>16.560401453756501</v>
      </c>
      <c r="E24" s="3">
        <v>12.623723987601201</v>
      </c>
      <c r="F24" s="3">
        <v>13.617017500005799</v>
      </c>
      <c r="G24" s="3">
        <v>17.100609548026998</v>
      </c>
      <c r="H24" s="3">
        <v>15.715742869641099</v>
      </c>
      <c r="I24" s="3">
        <v>18.008040639903701</v>
      </c>
      <c r="J24" s="3">
        <v>16.605900058916799</v>
      </c>
      <c r="K24" s="3">
        <v>14.469431357827</v>
      </c>
      <c r="L24" s="3">
        <v>15.1136626537828</v>
      </c>
      <c r="M24" s="3">
        <v>14.875331560894701</v>
      </c>
      <c r="N24" s="3">
        <v>13.0363837972069</v>
      </c>
    </row>
    <row r="25" spans="1:14" x14ac:dyDescent="0.35">
      <c r="A25" s="2">
        <v>42552</v>
      </c>
      <c r="B25" s="3">
        <v>19.059687665176</v>
      </c>
      <c r="C25" s="3">
        <v>15.999973819414</v>
      </c>
      <c r="D25" s="3">
        <v>16.292351603394</v>
      </c>
      <c r="E25" s="3">
        <v>12.0769572673331</v>
      </c>
      <c r="F25" s="3">
        <v>12.681855577317201</v>
      </c>
      <c r="G25" s="3">
        <v>16.895370900134999</v>
      </c>
      <c r="H25" s="3">
        <v>16.1076551566143</v>
      </c>
      <c r="I25" s="3">
        <v>17.709323828794599</v>
      </c>
      <c r="J25" s="3">
        <v>16.527476292901198</v>
      </c>
      <c r="K25" s="3">
        <v>13.698228787221201</v>
      </c>
      <c r="L25" s="3">
        <v>14.211112750830999</v>
      </c>
      <c r="M25" s="3">
        <v>14.6967790020612</v>
      </c>
      <c r="N25" s="3">
        <v>11.8557083830139</v>
      </c>
    </row>
    <row r="26" spans="1:14" x14ac:dyDescent="0.35">
      <c r="A26" s="2">
        <v>42583</v>
      </c>
      <c r="B26" s="3">
        <v>20.295012853983302</v>
      </c>
      <c r="C26" s="3">
        <v>16.859766826297399</v>
      </c>
      <c r="D26" s="3">
        <v>16.4280279171271</v>
      </c>
      <c r="E26" s="3">
        <v>12.7323195848768</v>
      </c>
      <c r="F26" s="3">
        <v>13.3922993188955</v>
      </c>
      <c r="G26" s="3">
        <v>17.259663598827501</v>
      </c>
      <c r="H26" s="3">
        <v>16.086065927829399</v>
      </c>
      <c r="I26" s="3">
        <v>18.730378443314599</v>
      </c>
      <c r="J26" s="3">
        <v>16.934153660402099</v>
      </c>
      <c r="K26" s="3">
        <v>14.040908389838201</v>
      </c>
      <c r="L26" s="3">
        <v>14.694489859477301</v>
      </c>
      <c r="M26" s="3">
        <v>15.1548782287795</v>
      </c>
      <c r="N26" s="3">
        <v>12.2228720933673</v>
      </c>
    </row>
    <row r="27" spans="1:14" x14ac:dyDescent="0.35">
      <c r="A27" s="2">
        <v>42614</v>
      </c>
      <c r="B27" s="3">
        <v>20.722289606942699</v>
      </c>
      <c r="C27" s="3">
        <v>16.3645486578706</v>
      </c>
      <c r="D27" s="3">
        <v>16.3288547819539</v>
      </c>
      <c r="E27" s="3">
        <v>12.8741092059004</v>
      </c>
      <c r="F27" s="3">
        <v>13.594903676757101</v>
      </c>
      <c r="G27" s="3">
        <v>17.141784049818298</v>
      </c>
      <c r="H27" s="3">
        <v>15.914790781402299</v>
      </c>
      <c r="I27" s="3">
        <v>18.546315496866999</v>
      </c>
      <c r="J27" s="3">
        <v>16.770474839261901</v>
      </c>
      <c r="K27" s="3">
        <v>13.9661110911611</v>
      </c>
      <c r="L27" s="3">
        <v>15.006826159700701</v>
      </c>
      <c r="M27" s="3">
        <v>15.4726733215774</v>
      </c>
      <c r="N27" s="3">
        <v>12.327830080137</v>
      </c>
    </row>
    <row r="28" spans="1:14" x14ac:dyDescent="0.35">
      <c r="A28" s="2">
        <v>42643</v>
      </c>
      <c r="B28" s="3">
        <v>20.268189641831601</v>
      </c>
      <c r="C28" s="3">
        <v>16.2714200349259</v>
      </c>
      <c r="D28" s="3">
        <v>16.106254223097501</v>
      </c>
      <c r="E28" s="3">
        <v>12.875623321802999</v>
      </c>
      <c r="F28" s="3">
        <v>13.353674536845601</v>
      </c>
      <c r="G28" s="3">
        <v>17.132075768127802</v>
      </c>
      <c r="H28" s="3">
        <v>15.7154072811657</v>
      </c>
      <c r="I28" s="3">
        <v>18.668613979402501</v>
      </c>
      <c r="J28" s="3">
        <v>16.649022243530698</v>
      </c>
      <c r="K28" s="3">
        <v>13.8718181444197</v>
      </c>
      <c r="L28" s="3">
        <v>14.963041658227301</v>
      </c>
      <c r="M28" s="3">
        <v>15.7653590079957</v>
      </c>
      <c r="N28" s="3">
        <v>11.780334821756799</v>
      </c>
    </row>
    <row r="29" spans="1:14" x14ac:dyDescent="0.35">
      <c r="A29" s="2">
        <v>42675</v>
      </c>
      <c r="B29" s="3">
        <v>18.836635464707101</v>
      </c>
      <c r="C29" s="3">
        <v>15.712487827461899</v>
      </c>
      <c r="D29" s="3">
        <v>15.7784976247736</v>
      </c>
      <c r="E29" s="3">
        <v>12.7482599579122</v>
      </c>
      <c r="F29" s="3">
        <v>13.842141569609</v>
      </c>
      <c r="G29" s="3">
        <v>16.379783222823399</v>
      </c>
      <c r="H29" s="3">
        <v>14.778870329417799</v>
      </c>
      <c r="I29" s="3">
        <v>18.010678360550099</v>
      </c>
      <c r="J29" s="3">
        <v>16.137393185573799</v>
      </c>
      <c r="K29" s="3">
        <v>13.8163107415195</v>
      </c>
      <c r="L29" s="3">
        <v>14.5673891984479</v>
      </c>
      <c r="M29" s="3">
        <v>15.8614897618413</v>
      </c>
      <c r="N29" s="3">
        <v>11.873636048535101</v>
      </c>
    </row>
    <row r="30" spans="1:14" x14ac:dyDescent="0.35">
      <c r="A30" s="2">
        <v>42705</v>
      </c>
      <c r="B30" s="3">
        <v>18.824969066334202</v>
      </c>
      <c r="C30" s="3">
        <v>15.909204296832799</v>
      </c>
      <c r="D30" s="3">
        <v>15.8678371798218</v>
      </c>
      <c r="E30" s="3">
        <v>12.663829884716399</v>
      </c>
      <c r="F30" s="3">
        <v>14.6735182133348</v>
      </c>
      <c r="G30" s="3">
        <v>16.121708329053</v>
      </c>
      <c r="H30" s="3">
        <v>14.213407395939599</v>
      </c>
      <c r="I30" s="3">
        <v>17.742710573415799</v>
      </c>
      <c r="J30" s="3">
        <v>16.680338368459601</v>
      </c>
      <c r="K30" s="3">
        <v>13.8338228772437</v>
      </c>
      <c r="L30" s="3">
        <v>14.3575768664828</v>
      </c>
      <c r="M30" s="3">
        <v>16.064556590420899</v>
      </c>
      <c r="N30" s="3">
        <v>12.0085604273307</v>
      </c>
    </row>
    <row r="31" spans="1:14" x14ac:dyDescent="0.35">
      <c r="A31" s="2">
        <v>42734</v>
      </c>
      <c r="B31" s="3">
        <v>18.482568007984501</v>
      </c>
      <c r="C31" s="3">
        <v>15.7804147186182</v>
      </c>
      <c r="D31" s="3">
        <v>15.7399936479628</v>
      </c>
      <c r="E31" s="3">
        <v>13.638581726329701</v>
      </c>
      <c r="F31" s="3">
        <v>14.666066308776999</v>
      </c>
      <c r="G31" s="3">
        <v>16.782175135433</v>
      </c>
      <c r="H31" s="3">
        <v>14.451056544209401</v>
      </c>
      <c r="I31" s="3">
        <v>18.047091871645399</v>
      </c>
      <c r="J31" s="3">
        <v>16.8042774932923</v>
      </c>
      <c r="K31" s="3">
        <v>14.5703388121852</v>
      </c>
      <c r="L31" s="3">
        <v>15.0459531872303</v>
      </c>
      <c r="M31" s="3">
        <v>16.404672303361401</v>
      </c>
      <c r="N31" s="3">
        <v>13.5567131574021</v>
      </c>
    </row>
    <row r="32" spans="1:14" x14ac:dyDescent="0.35">
      <c r="A32" s="2">
        <v>42767</v>
      </c>
      <c r="B32" s="3">
        <v>18.919169126360199</v>
      </c>
      <c r="C32" s="3">
        <v>15.651089492473901</v>
      </c>
      <c r="D32" s="3">
        <v>15.942369651630999</v>
      </c>
      <c r="E32" s="3">
        <v>13.700727661715</v>
      </c>
      <c r="F32" s="3">
        <v>14.4330201562073</v>
      </c>
      <c r="G32" s="3">
        <v>17.167521995196601</v>
      </c>
      <c r="H32" s="3">
        <v>14.198657231734099</v>
      </c>
      <c r="I32" s="3">
        <v>19.245823841299401</v>
      </c>
      <c r="J32" s="3">
        <v>17.059434296111199</v>
      </c>
      <c r="K32" s="3">
        <v>14.2642425668268</v>
      </c>
      <c r="L32" s="3">
        <v>14.971360695739801</v>
      </c>
      <c r="M32" s="3">
        <v>16.382025282421001</v>
      </c>
      <c r="N32" s="3">
        <v>12.667026570166</v>
      </c>
    </row>
    <row r="33" spans="1:14" x14ac:dyDescent="0.35">
      <c r="A33" s="2">
        <v>42795</v>
      </c>
      <c r="B33" s="3">
        <v>18.318924180116898</v>
      </c>
      <c r="C33" s="3">
        <v>15.7063122255334</v>
      </c>
      <c r="D33" s="3">
        <v>16.0796764797031</v>
      </c>
      <c r="E33" s="3">
        <v>13.9448709197979</v>
      </c>
      <c r="F33" s="3">
        <v>14.288670890528699</v>
      </c>
      <c r="G33" s="3">
        <v>17.592962693068799</v>
      </c>
      <c r="H33" s="3">
        <v>14.530666166556999</v>
      </c>
      <c r="I33" s="3">
        <v>20.2435848547949</v>
      </c>
      <c r="J33" s="3">
        <v>17.8945610797958</v>
      </c>
      <c r="K33" s="3">
        <v>14.4567036245952</v>
      </c>
      <c r="L33" s="3">
        <v>15.7181675795303</v>
      </c>
      <c r="M33" s="3">
        <v>16.6003595715598</v>
      </c>
      <c r="N33" s="3">
        <v>13.153803906767299</v>
      </c>
    </row>
    <row r="34" spans="1:14" x14ac:dyDescent="0.35">
      <c r="A34" s="2">
        <v>42825</v>
      </c>
      <c r="B34" s="3">
        <v>19.0001722152101</v>
      </c>
      <c r="C34" s="3">
        <v>15.859258738362501</v>
      </c>
      <c r="D34" s="3">
        <v>15.8540727266835</v>
      </c>
      <c r="E34" s="3">
        <v>14.064418048950801</v>
      </c>
      <c r="F34" s="3">
        <v>13.7674669359031</v>
      </c>
      <c r="G34" s="3">
        <v>17.404040424910299</v>
      </c>
      <c r="H34" s="3">
        <v>14.419069474235799</v>
      </c>
      <c r="I34" s="3">
        <v>20.148536930708701</v>
      </c>
      <c r="J34" s="3">
        <v>17.509620263058899</v>
      </c>
      <c r="K34" s="3">
        <v>14.9122561126064</v>
      </c>
      <c r="L34" s="3">
        <v>16.086544809033001</v>
      </c>
      <c r="M34" s="3">
        <v>17.151096401234199</v>
      </c>
      <c r="N34" s="3">
        <v>13.682327478082</v>
      </c>
    </row>
    <row r="35" spans="1:14" x14ac:dyDescent="0.35">
      <c r="A35" s="2">
        <v>42856</v>
      </c>
      <c r="B35" s="3">
        <v>19.459041843126101</v>
      </c>
      <c r="C35" s="3">
        <v>16.0425707137031</v>
      </c>
      <c r="D35" s="3">
        <v>15.681393719828799</v>
      </c>
      <c r="E35" s="3">
        <v>13.961337440784</v>
      </c>
      <c r="F35" s="3">
        <v>13.924343181177001</v>
      </c>
      <c r="G35" s="3">
        <v>17.786644975508501</v>
      </c>
      <c r="H35" s="3">
        <v>14.2962691851796</v>
      </c>
      <c r="I35" s="3">
        <v>20.502391395886999</v>
      </c>
      <c r="J35" s="3">
        <v>17.455813343422399</v>
      </c>
      <c r="K35" s="3">
        <v>15.2007218905598</v>
      </c>
      <c r="L35" s="3">
        <v>16.345802926515098</v>
      </c>
      <c r="M35" s="3">
        <v>17.076600201344501</v>
      </c>
      <c r="N35" s="3">
        <v>13.3835507872862</v>
      </c>
    </row>
    <row r="36" spans="1:14" x14ac:dyDescent="0.35">
      <c r="A36" s="2">
        <v>42887</v>
      </c>
      <c r="B36" s="3">
        <v>19.377639963703398</v>
      </c>
      <c r="C36" s="3">
        <v>15.2269808529645</v>
      </c>
      <c r="D36" s="3">
        <v>15.5455420683111</v>
      </c>
      <c r="E36" s="3">
        <v>13.775601356975599</v>
      </c>
      <c r="F36" s="3">
        <v>14.366157876494</v>
      </c>
      <c r="G36" s="3">
        <v>18.178988744876499</v>
      </c>
      <c r="H36" s="3">
        <v>14.8391146251839</v>
      </c>
      <c r="I36" s="3">
        <v>21.005066232411199</v>
      </c>
      <c r="J36" s="3">
        <v>17.611738280892101</v>
      </c>
      <c r="K36" s="3">
        <v>15.1938364563026</v>
      </c>
      <c r="L36" s="3">
        <v>16.3567576150107</v>
      </c>
      <c r="M36" s="3">
        <v>17.9878389972043</v>
      </c>
      <c r="N36" s="3">
        <v>13.3073108132948</v>
      </c>
    </row>
    <row r="37" spans="1:14" x14ac:dyDescent="0.35">
      <c r="A37" s="2">
        <v>42916</v>
      </c>
      <c r="B37" s="3">
        <v>19.518948958517601</v>
      </c>
      <c r="C37" s="3">
        <v>15.4265713988627</v>
      </c>
      <c r="D37" s="3">
        <v>15.231540248211999</v>
      </c>
      <c r="E37" s="3">
        <v>13.2857038333978</v>
      </c>
      <c r="F37" s="3">
        <v>14.302704841609501</v>
      </c>
      <c r="G37" s="3">
        <v>17.735162563020001</v>
      </c>
      <c r="H37" s="3">
        <v>14.3989278646626</v>
      </c>
      <c r="I37" s="3">
        <v>20.051943145317701</v>
      </c>
      <c r="J37" s="3">
        <v>17.413959423677198</v>
      </c>
      <c r="K37" s="3">
        <v>14.543953728786899</v>
      </c>
      <c r="L37" s="3">
        <v>15.641227161239399</v>
      </c>
      <c r="M37" s="3">
        <v>16.463775501159599</v>
      </c>
      <c r="N37" s="3">
        <v>12.9922537854392</v>
      </c>
    </row>
    <row r="38" spans="1:14" x14ac:dyDescent="0.35">
      <c r="A38" s="2">
        <v>42948</v>
      </c>
      <c r="B38" s="3">
        <v>19.780149390280499</v>
      </c>
      <c r="C38" s="3">
        <v>15.8372423211236</v>
      </c>
      <c r="D38" s="3">
        <v>15.6550222714376</v>
      </c>
      <c r="E38" s="3">
        <v>13.178051623269001</v>
      </c>
      <c r="F38" s="3">
        <v>14.2536317446626</v>
      </c>
      <c r="G38" s="3">
        <v>17.793353049619899</v>
      </c>
      <c r="H38" s="3">
        <v>14.823684521413</v>
      </c>
      <c r="I38" s="3">
        <v>20.7229932923976</v>
      </c>
      <c r="J38" s="3">
        <v>17.6706973306684</v>
      </c>
      <c r="K38" s="3">
        <v>14.5824937189424</v>
      </c>
      <c r="L38" s="3">
        <v>16.0302534437132</v>
      </c>
      <c r="M38" s="3">
        <v>16.157090506273299</v>
      </c>
      <c r="N38" s="3">
        <v>13.538487773781201</v>
      </c>
    </row>
    <row r="39" spans="1:14" x14ac:dyDescent="0.35">
      <c r="A39" s="2">
        <v>42979</v>
      </c>
      <c r="B39" s="3">
        <v>19.920576353659499</v>
      </c>
      <c r="C39" s="3">
        <v>15.6384385009527</v>
      </c>
      <c r="D39" s="3">
        <v>15.376854398938899</v>
      </c>
      <c r="E39" s="3">
        <v>13.013661405267699</v>
      </c>
      <c r="F39" s="3">
        <v>13.729705411020401</v>
      </c>
      <c r="G39" s="3">
        <v>17.4885502054535</v>
      </c>
      <c r="H39" s="3">
        <v>14.6286836464253</v>
      </c>
      <c r="I39" s="3">
        <v>20.699306723768899</v>
      </c>
      <c r="J39" s="3">
        <v>17.5139583604644</v>
      </c>
      <c r="K39" s="3">
        <v>14.551085269345201</v>
      </c>
      <c r="L39" s="3">
        <v>15.690942441898599</v>
      </c>
      <c r="M39" s="3">
        <v>15.965060274012</v>
      </c>
      <c r="N39" s="3">
        <v>13.3394042700422</v>
      </c>
    </row>
    <row r="40" spans="1:14" x14ac:dyDescent="0.35">
      <c r="A40" s="2">
        <v>43007</v>
      </c>
      <c r="B40" s="3">
        <v>19.831774172798401</v>
      </c>
      <c r="C40" s="3">
        <v>15.4254496003211</v>
      </c>
      <c r="D40" s="3">
        <v>15.7716774901123</v>
      </c>
      <c r="E40" s="3">
        <v>13.6674893399511</v>
      </c>
      <c r="F40" s="3">
        <v>14.011851250326901</v>
      </c>
      <c r="G40" s="3">
        <v>17.754606874660801</v>
      </c>
      <c r="H40" s="3">
        <v>14.541307661188601</v>
      </c>
      <c r="I40" s="3">
        <v>20.376122103290001</v>
      </c>
      <c r="J40" s="3">
        <v>17.732658922695201</v>
      </c>
      <c r="K40" s="3">
        <v>15.1352822443408</v>
      </c>
      <c r="L40" s="3">
        <v>16.020405717015201</v>
      </c>
      <c r="M40" s="3">
        <v>16.811367193639398</v>
      </c>
      <c r="N40" s="3">
        <v>13.590368742710901</v>
      </c>
    </row>
    <row r="41" spans="1:14" x14ac:dyDescent="0.35">
      <c r="A41" s="2">
        <v>43040</v>
      </c>
      <c r="B41" s="3">
        <v>20.2676915133957</v>
      </c>
      <c r="C41" s="3">
        <v>15.849730814266699</v>
      </c>
      <c r="D41" s="3">
        <v>15.929945222009801</v>
      </c>
      <c r="E41" s="3">
        <v>14.275349034375299</v>
      </c>
      <c r="F41" s="3">
        <v>14.749386210198301</v>
      </c>
      <c r="G41" s="3">
        <v>17.898789108689598</v>
      </c>
      <c r="H41" s="3">
        <v>14.514127930962999</v>
      </c>
      <c r="I41" s="3">
        <v>20.813888501882602</v>
      </c>
      <c r="J41" s="3">
        <v>17.955953550621398</v>
      </c>
      <c r="K41" s="3">
        <v>15.431831663553901</v>
      </c>
      <c r="L41" s="3">
        <v>16.3588238205549</v>
      </c>
      <c r="M41" s="3">
        <v>17.350114420106699</v>
      </c>
      <c r="N41" s="3">
        <v>13.7224489992036</v>
      </c>
    </row>
    <row r="42" spans="1:14" x14ac:dyDescent="0.35">
      <c r="A42" s="2">
        <v>43070</v>
      </c>
      <c r="B42" s="3">
        <v>20.219087083514399</v>
      </c>
      <c r="C42" s="3">
        <v>15.862145218841301</v>
      </c>
      <c r="D42" s="3">
        <v>15.923504995357799</v>
      </c>
      <c r="E42" s="3">
        <v>13.732268501705599</v>
      </c>
      <c r="F42" s="3">
        <v>14.750436436626099</v>
      </c>
      <c r="G42" s="3">
        <v>17.6115320037995</v>
      </c>
      <c r="H42" s="3">
        <v>14.119368464593601</v>
      </c>
      <c r="I42" s="3">
        <v>20.810782546182899</v>
      </c>
      <c r="J42" s="3">
        <v>18.196290372400799</v>
      </c>
      <c r="K42" s="3">
        <v>14.8890691457655</v>
      </c>
      <c r="L42" s="3">
        <v>15.764051327794601</v>
      </c>
      <c r="M42" s="3">
        <v>16.345888881215799</v>
      </c>
      <c r="N42" s="3">
        <v>13.2668277987846</v>
      </c>
    </row>
    <row r="43" spans="1:14" x14ac:dyDescent="0.35">
      <c r="A43" s="2">
        <v>43098</v>
      </c>
      <c r="B43" s="3">
        <v>20.939465306715999</v>
      </c>
      <c r="C43" s="3">
        <v>16.0258597214481</v>
      </c>
      <c r="D43" s="3">
        <v>15.9212397952306</v>
      </c>
      <c r="E43" s="3">
        <v>13.7384136589018</v>
      </c>
      <c r="F43" s="3">
        <v>14.7172858599221</v>
      </c>
      <c r="G43" s="3">
        <v>17.691791048020299</v>
      </c>
      <c r="H43" s="3">
        <v>14.777121883385799</v>
      </c>
      <c r="I43" s="3">
        <v>20.794752533218301</v>
      </c>
      <c r="J43" s="3">
        <v>18.125319575866101</v>
      </c>
      <c r="K43" s="3">
        <v>14.803149276416599</v>
      </c>
      <c r="L43" s="3">
        <v>15.907886313488</v>
      </c>
      <c r="M43" s="3">
        <v>16.113894235021998</v>
      </c>
      <c r="N43" s="3">
        <v>12.9476628628246</v>
      </c>
    </row>
    <row r="44" spans="1:14" x14ac:dyDescent="0.35">
      <c r="A44" s="2">
        <v>43132</v>
      </c>
      <c r="B44" s="3">
        <v>20.907449359805899</v>
      </c>
      <c r="C44" s="3">
        <v>15.8673382937729</v>
      </c>
      <c r="D44" s="3">
        <v>15.136807751946</v>
      </c>
      <c r="E44" s="3">
        <v>13.673172594670801</v>
      </c>
      <c r="F44" s="3">
        <v>14.9197210054985</v>
      </c>
      <c r="G44" s="3">
        <v>17.557371677945</v>
      </c>
      <c r="H44" s="3">
        <v>14.280346148368601</v>
      </c>
      <c r="I44" s="3">
        <v>21.460401242788301</v>
      </c>
      <c r="J44" s="3">
        <v>17.879839549492399</v>
      </c>
      <c r="K44" s="3">
        <v>15.133466609980299</v>
      </c>
      <c r="L44" s="3">
        <v>16.2171815168603</v>
      </c>
      <c r="M44" s="3">
        <v>16.6302724178056</v>
      </c>
      <c r="N44" s="3">
        <v>13.2870708447429</v>
      </c>
    </row>
    <row r="45" spans="1:14" x14ac:dyDescent="0.35">
      <c r="A45" s="2">
        <v>43160</v>
      </c>
      <c r="B45" s="3">
        <v>20.415337683936801</v>
      </c>
      <c r="C45" s="3">
        <v>15.422031430463001</v>
      </c>
      <c r="D45" s="3">
        <v>14.3155710689367</v>
      </c>
      <c r="E45" s="3">
        <v>12.8747004762825</v>
      </c>
      <c r="F45" s="3">
        <v>13.0502538838804</v>
      </c>
      <c r="G45" s="3">
        <v>16.246308872570498</v>
      </c>
      <c r="H45" s="3">
        <v>12.9873772597431</v>
      </c>
      <c r="I45" s="3">
        <v>20.456624508815</v>
      </c>
      <c r="J45" s="3">
        <v>16.6426327224729</v>
      </c>
      <c r="K45" s="3">
        <v>14.4766125337113</v>
      </c>
      <c r="L45" s="3">
        <v>15.444206021221699</v>
      </c>
      <c r="M45" s="3">
        <v>16.137135043461299</v>
      </c>
      <c r="N45" s="3">
        <v>12.6102025980028</v>
      </c>
    </row>
    <row r="46" spans="1:14" x14ac:dyDescent="0.35">
      <c r="A46" s="2">
        <v>43188</v>
      </c>
      <c r="B46" s="3">
        <v>19.968462639193898</v>
      </c>
      <c r="C46" s="3">
        <v>14.7277990890281</v>
      </c>
      <c r="D46" s="3">
        <v>14.178992741165301</v>
      </c>
      <c r="E46" s="3">
        <v>12.748070591478101</v>
      </c>
      <c r="F46" s="3">
        <v>12.680179678562499</v>
      </c>
      <c r="G46" s="3">
        <v>16.070666865179401</v>
      </c>
      <c r="H46" s="3">
        <v>13.2236066575751</v>
      </c>
      <c r="I46" s="3">
        <v>19.776305760343799</v>
      </c>
      <c r="J46" s="3">
        <v>16.3326334585674</v>
      </c>
      <c r="K46" s="3">
        <v>14.1993168392958</v>
      </c>
      <c r="L46" s="3">
        <v>15.3810444251276</v>
      </c>
      <c r="M46" s="3">
        <v>15.8207495332629</v>
      </c>
      <c r="N46" s="3">
        <v>12.4578319062636</v>
      </c>
    </row>
    <row r="47" spans="1:14" x14ac:dyDescent="0.35">
      <c r="A47" s="2">
        <v>43221</v>
      </c>
      <c r="B47" s="3">
        <v>20.0490123902159</v>
      </c>
      <c r="C47" s="3">
        <v>15.2318540726896</v>
      </c>
      <c r="D47" s="3">
        <v>14.148227749658</v>
      </c>
      <c r="E47" s="3">
        <v>13.191964672999299</v>
      </c>
      <c r="F47" s="3">
        <v>13.213214902555601</v>
      </c>
      <c r="G47" s="3">
        <v>16.145654307771</v>
      </c>
      <c r="H47" s="3">
        <v>13.7294290262159</v>
      </c>
      <c r="I47" s="3">
        <v>19.542634644575099</v>
      </c>
      <c r="J47" s="3">
        <v>16.107705688720301</v>
      </c>
      <c r="K47" s="3">
        <v>14.805338621635601</v>
      </c>
      <c r="L47" s="3">
        <v>15.659260052819</v>
      </c>
      <c r="M47" s="3">
        <v>15.836921213055099</v>
      </c>
      <c r="N47" s="3">
        <v>13.038414108760399</v>
      </c>
    </row>
    <row r="48" spans="1:14" x14ac:dyDescent="0.35">
      <c r="A48" s="2">
        <v>43252</v>
      </c>
      <c r="B48" s="3">
        <v>20.490978005756901</v>
      </c>
      <c r="C48" s="3">
        <v>15.035679281273101</v>
      </c>
      <c r="D48" s="3">
        <v>14.1750368162333</v>
      </c>
      <c r="E48" s="3">
        <v>13.1606055802944</v>
      </c>
      <c r="F48" s="3">
        <v>12.9500813214387</v>
      </c>
      <c r="G48" s="3">
        <v>15.689540932587001</v>
      </c>
      <c r="H48" s="3">
        <v>13.6334728503001</v>
      </c>
      <c r="I48" s="3">
        <v>20.393196250070499</v>
      </c>
      <c r="J48" s="3">
        <v>16.3485048016767</v>
      </c>
      <c r="K48" s="3">
        <v>14.441501121108599</v>
      </c>
      <c r="L48" s="3">
        <v>15.8200460711922</v>
      </c>
      <c r="M48" s="3">
        <v>15.570142521265099</v>
      </c>
      <c r="N48" s="3">
        <v>11.742044653925401</v>
      </c>
    </row>
    <row r="49" spans="1:14" x14ac:dyDescent="0.35">
      <c r="A49" s="2">
        <v>43280</v>
      </c>
      <c r="B49" s="3">
        <v>21.160631644616</v>
      </c>
      <c r="C49" s="3">
        <v>15.4879372293169</v>
      </c>
      <c r="D49" s="3">
        <v>14.244258693531901</v>
      </c>
      <c r="E49" s="3">
        <v>12.724650759188901</v>
      </c>
      <c r="F49" s="3">
        <v>12.7818554015054</v>
      </c>
      <c r="G49" s="3">
        <v>15.5840372409696</v>
      </c>
      <c r="H49" s="3">
        <v>13.293387598198899</v>
      </c>
      <c r="I49" s="3">
        <v>20.087014612318999</v>
      </c>
      <c r="J49" s="3">
        <v>16.122971940518099</v>
      </c>
      <c r="K49" s="3">
        <v>13.9729637950702</v>
      </c>
      <c r="L49" s="3">
        <v>15.5222598755721</v>
      </c>
      <c r="M49" s="3">
        <v>15.350341786484799</v>
      </c>
      <c r="N49" s="3">
        <v>11.3692943819695</v>
      </c>
    </row>
    <row r="50" spans="1:14" x14ac:dyDescent="0.35">
      <c r="A50" s="2">
        <v>43313</v>
      </c>
      <c r="B50" s="3">
        <v>20.861670587402202</v>
      </c>
      <c r="C50" s="3">
        <v>15.627561266048501</v>
      </c>
      <c r="D50" s="3">
        <v>14.1304579203504</v>
      </c>
      <c r="E50" s="3">
        <v>13.1426179512201</v>
      </c>
      <c r="F50" s="3">
        <v>13.030670362463001</v>
      </c>
      <c r="G50" s="3">
        <v>16.295632694991099</v>
      </c>
      <c r="H50" s="3">
        <v>13.197208044405199</v>
      </c>
      <c r="I50" s="3">
        <v>20.252223788879601</v>
      </c>
      <c r="J50" s="3">
        <v>16.431515047258902</v>
      </c>
      <c r="K50" s="3">
        <v>14.160873593938399</v>
      </c>
      <c r="L50" s="3">
        <v>15.9701484964169</v>
      </c>
      <c r="M50" s="3">
        <v>15.6133765833928</v>
      </c>
      <c r="N50" s="3">
        <v>11.5172624788551</v>
      </c>
    </row>
    <row r="51" spans="1:14" x14ac:dyDescent="0.35">
      <c r="A51" s="2">
        <v>43343</v>
      </c>
      <c r="B51" s="3">
        <v>22.0706051942858</v>
      </c>
      <c r="C51" s="3">
        <v>15.6920441685479</v>
      </c>
      <c r="D51" s="3">
        <v>13.8050323583318</v>
      </c>
      <c r="E51" s="3">
        <v>12.848778393306301</v>
      </c>
      <c r="F51" s="3">
        <v>12.6994134229768</v>
      </c>
      <c r="G51" s="3">
        <v>16.032058781663199</v>
      </c>
      <c r="H51" s="3">
        <v>12.635829076154399</v>
      </c>
      <c r="I51" s="3">
        <v>21.143952225625799</v>
      </c>
      <c r="J51" s="3">
        <v>16.8103827441345</v>
      </c>
      <c r="K51" s="3">
        <v>13.7846595155505</v>
      </c>
      <c r="L51" s="3">
        <v>15.4862825689879</v>
      </c>
      <c r="M51" s="3">
        <v>15.8653631698662</v>
      </c>
      <c r="N51" s="3">
        <v>10.5885717201615</v>
      </c>
    </row>
    <row r="52" spans="1:14" x14ac:dyDescent="0.35">
      <c r="A52" s="2">
        <v>43374</v>
      </c>
      <c r="B52" s="3">
        <v>21.4082138979402</v>
      </c>
      <c r="C52" s="3">
        <v>15.1910963159558</v>
      </c>
      <c r="D52" s="3">
        <v>13.611305379855899</v>
      </c>
      <c r="E52" s="3">
        <v>12.7629835604686</v>
      </c>
      <c r="F52" s="3">
        <v>13.331256400734199</v>
      </c>
      <c r="G52" s="3">
        <v>16.1009288957999</v>
      </c>
      <c r="H52" s="3">
        <v>12.741631465125099</v>
      </c>
      <c r="I52" s="3">
        <v>20.911164171674798</v>
      </c>
      <c r="J52" s="3">
        <v>16.831004109440698</v>
      </c>
      <c r="K52" s="3">
        <v>13.8760921133225</v>
      </c>
      <c r="L52" s="3">
        <v>15.023142909598899</v>
      </c>
      <c r="M52" s="3">
        <v>15.9142664102447</v>
      </c>
      <c r="N52" s="3">
        <v>10.5403998608171</v>
      </c>
    </row>
    <row r="53" spans="1:14" x14ac:dyDescent="0.35">
      <c r="A53" s="2">
        <v>43405</v>
      </c>
      <c r="B53" s="3">
        <v>20.315363906461801</v>
      </c>
      <c r="C53" s="3">
        <v>14.367653808729001</v>
      </c>
      <c r="D53" s="3">
        <v>12.6475585580421</v>
      </c>
      <c r="E53" s="3">
        <v>11.7419156985559</v>
      </c>
      <c r="F53" s="3">
        <v>11.912810324025299</v>
      </c>
      <c r="G53" s="3">
        <v>15.7434829142637</v>
      </c>
      <c r="H53" s="3">
        <v>11.902738259236701</v>
      </c>
      <c r="I53" s="3">
        <v>19.0992278507177</v>
      </c>
      <c r="J53" s="3">
        <v>15.651902288855201</v>
      </c>
      <c r="K53" s="3">
        <v>12.7834896410633</v>
      </c>
      <c r="L53" s="3">
        <v>14.165211252253499</v>
      </c>
      <c r="M53" s="3">
        <v>14.395350038530101</v>
      </c>
      <c r="N53" s="3">
        <v>9.8177481019726809</v>
      </c>
    </row>
    <row r="54" spans="1:14" x14ac:dyDescent="0.35">
      <c r="A54" s="2">
        <v>43434</v>
      </c>
      <c r="B54" s="3">
        <v>19.9671800715046</v>
      </c>
      <c r="C54" s="3">
        <v>14.057780519792001</v>
      </c>
      <c r="D54" s="3">
        <v>12.675442121711299</v>
      </c>
      <c r="E54" s="3">
        <v>11.526251013224099</v>
      </c>
      <c r="F54" s="3">
        <v>12.2456849881368</v>
      </c>
      <c r="G54" s="3">
        <v>15.646935610208001</v>
      </c>
      <c r="H54" s="3">
        <v>11.704956023789499</v>
      </c>
      <c r="I54" s="3">
        <v>18.811449863360099</v>
      </c>
      <c r="J54" s="3">
        <v>15.7392730597703</v>
      </c>
      <c r="K54" s="3">
        <v>12.5043562104057</v>
      </c>
      <c r="L54" s="3">
        <v>14.122416896252</v>
      </c>
      <c r="M54" s="3">
        <v>14.149254482645199</v>
      </c>
      <c r="N54" s="3">
        <v>9.6810525954438997</v>
      </c>
    </row>
    <row r="55" spans="1:14" x14ac:dyDescent="0.35">
      <c r="A55" s="2">
        <v>43465</v>
      </c>
      <c r="B55" s="3">
        <v>20.032983614631799</v>
      </c>
      <c r="C55" s="3">
        <v>13.9599013149694</v>
      </c>
      <c r="D55" s="3">
        <v>12.1168899695446</v>
      </c>
      <c r="E55" s="3">
        <v>10.9212601040765</v>
      </c>
      <c r="F55" s="3">
        <v>11.1043383882119</v>
      </c>
      <c r="G55" s="3">
        <v>14.4906295812933</v>
      </c>
      <c r="H55" s="3">
        <v>11.3877881290485</v>
      </c>
      <c r="I55" s="3">
        <v>17.1033334043296</v>
      </c>
      <c r="J55" s="3">
        <v>14.3997586310989</v>
      </c>
      <c r="K55" s="3">
        <v>11.8840659032109</v>
      </c>
      <c r="L55" s="3">
        <v>13.087477310085299</v>
      </c>
      <c r="M55" s="3">
        <v>13.3494752250555</v>
      </c>
      <c r="N55" s="3">
        <v>9.1384438057625701</v>
      </c>
    </row>
    <row r="56" spans="1:14" x14ac:dyDescent="0.35">
      <c r="A56" s="2">
        <v>43497</v>
      </c>
      <c r="B56" s="3">
        <v>20.458687412802099</v>
      </c>
      <c r="C56" s="3">
        <v>14.618089844254101</v>
      </c>
      <c r="D56" s="3">
        <v>13.6454069515695</v>
      </c>
      <c r="E56" s="3">
        <v>11.735178520677101</v>
      </c>
      <c r="F56" s="3">
        <v>11.918258699116301</v>
      </c>
      <c r="G56" s="3">
        <v>15.5825025071396</v>
      </c>
      <c r="H56" s="3">
        <v>12.2478018688638</v>
      </c>
      <c r="I56" s="3">
        <v>18.985088796116599</v>
      </c>
      <c r="J56" s="3">
        <v>15.782974885227</v>
      </c>
      <c r="K56" s="3">
        <v>12.9237369222963</v>
      </c>
      <c r="L56" s="3">
        <v>14.1490824801262</v>
      </c>
      <c r="M56" s="3">
        <v>14.216734947416001</v>
      </c>
      <c r="N56" s="3">
        <v>9.8950420130967203</v>
      </c>
    </row>
    <row r="57" spans="1:14" x14ac:dyDescent="0.35">
      <c r="A57" s="2">
        <v>43525</v>
      </c>
      <c r="B57" s="3">
        <v>21.630399225427801</v>
      </c>
      <c r="C57" s="3">
        <v>15.438979130833401</v>
      </c>
      <c r="D57" s="3">
        <v>14.188922745809901</v>
      </c>
      <c r="E57" s="3">
        <v>12.222571560444599</v>
      </c>
      <c r="F57" s="3">
        <v>12.572848675728</v>
      </c>
      <c r="G57" s="3">
        <v>16.387212962816001</v>
      </c>
      <c r="H57" s="3">
        <v>12.416293908933399</v>
      </c>
      <c r="I57" s="3">
        <v>19.823892011731701</v>
      </c>
      <c r="J57" s="3">
        <v>16.332083637411301</v>
      </c>
      <c r="K57" s="3">
        <v>13.5461494041884</v>
      </c>
      <c r="L57" s="3">
        <v>14.979078434099</v>
      </c>
      <c r="M57" s="3">
        <v>14.8597644903292</v>
      </c>
      <c r="N57" s="3">
        <v>10.491147927424301</v>
      </c>
    </row>
    <row r="58" spans="1:14" x14ac:dyDescent="0.35">
      <c r="A58" s="2">
        <v>43556</v>
      </c>
      <c r="B58" s="3">
        <v>22.315564592663399</v>
      </c>
      <c r="C58" s="3">
        <v>15.3617798327976</v>
      </c>
      <c r="D58" s="3">
        <v>14.2059028204486</v>
      </c>
      <c r="E58" s="3">
        <v>12.296061872255301</v>
      </c>
      <c r="F58" s="3">
        <v>12.644153963823401</v>
      </c>
      <c r="G58" s="3">
        <v>16.6695921325061</v>
      </c>
      <c r="H58" s="3">
        <v>12.659347532135699</v>
      </c>
      <c r="I58" s="3">
        <v>20.573880183142801</v>
      </c>
      <c r="J58" s="3">
        <v>16.606153161325899</v>
      </c>
      <c r="K58" s="3">
        <v>13.737720568008299</v>
      </c>
      <c r="L58" s="3">
        <v>15.3354104883497</v>
      </c>
      <c r="M58" s="3">
        <v>14.885221013539899</v>
      </c>
      <c r="N58" s="3">
        <v>10.880247927327201</v>
      </c>
    </row>
    <row r="59" spans="1:14" x14ac:dyDescent="0.35">
      <c r="A59" s="2">
        <v>43586</v>
      </c>
      <c r="B59" s="3">
        <v>22.6068747668835</v>
      </c>
      <c r="C59" s="3">
        <v>15.501166803627401</v>
      </c>
      <c r="D59" s="3">
        <v>13.8488284215153</v>
      </c>
      <c r="E59" s="3">
        <v>12.9772311900107</v>
      </c>
      <c r="F59" s="3">
        <v>12.745667653794399</v>
      </c>
      <c r="G59" s="3">
        <v>16.972573238014899</v>
      </c>
      <c r="H59" s="3">
        <v>12.658711265582401</v>
      </c>
      <c r="I59" s="3">
        <v>21.188766920123001</v>
      </c>
      <c r="J59" s="3">
        <v>16.7836188766194</v>
      </c>
      <c r="K59" s="3">
        <v>14.139587061375799</v>
      </c>
      <c r="L59" s="3">
        <v>15.804903833967799</v>
      </c>
      <c r="M59" s="3">
        <v>15.690147024292401</v>
      </c>
      <c r="N59" s="3">
        <v>10.9453946443254</v>
      </c>
    </row>
    <row r="60" spans="1:14" x14ac:dyDescent="0.35">
      <c r="A60" s="2">
        <v>43616</v>
      </c>
      <c r="B60" s="3">
        <v>22.974840903761301</v>
      </c>
      <c r="C60" s="3">
        <v>15.506151760668899</v>
      </c>
      <c r="D60" s="3">
        <v>13.342833980720901</v>
      </c>
      <c r="E60" s="3">
        <v>12.110914827464599</v>
      </c>
      <c r="F60" s="3">
        <v>12.1876913137614</v>
      </c>
      <c r="G60" s="3">
        <v>16.463023262121499</v>
      </c>
      <c r="H60" s="3">
        <v>12.1321932869227</v>
      </c>
      <c r="I60" s="3">
        <v>19.350356014376601</v>
      </c>
      <c r="J60" s="3">
        <v>15.684893028141801</v>
      </c>
      <c r="K60" s="3">
        <v>13.1707166827115</v>
      </c>
      <c r="L60" s="3">
        <v>14.840574598749299</v>
      </c>
      <c r="M60" s="3">
        <v>14.0663539951271</v>
      </c>
      <c r="N60" s="3">
        <v>9.7488061889318498</v>
      </c>
    </row>
    <row r="61" spans="1:14" x14ac:dyDescent="0.35">
      <c r="A61" s="2">
        <v>43647</v>
      </c>
      <c r="B61" s="3">
        <v>23.710773092399901</v>
      </c>
      <c r="C61" s="3">
        <v>16.209109343334902</v>
      </c>
      <c r="D61" s="3">
        <v>13.677659301983301</v>
      </c>
      <c r="E61" s="3">
        <v>12.8694261709758</v>
      </c>
      <c r="F61" s="3">
        <v>12.9832117397877</v>
      </c>
      <c r="G61" s="3">
        <v>17.207348146442399</v>
      </c>
      <c r="H61" s="3">
        <v>12.675422004009601</v>
      </c>
      <c r="I61" s="3">
        <v>21.055155716996001</v>
      </c>
      <c r="J61" s="3">
        <v>16.8637481285954</v>
      </c>
      <c r="K61" s="3">
        <v>13.955738891821801</v>
      </c>
      <c r="L61" s="3">
        <v>15.654701004395999</v>
      </c>
      <c r="M61" s="3">
        <v>15.1444669273921</v>
      </c>
      <c r="N61" s="3">
        <v>10.4687891497575</v>
      </c>
    </row>
    <row r="62" spans="1:14" x14ac:dyDescent="0.35">
      <c r="A62" s="2">
        <v>43678</v>
      </c>
      <c r="B62" s="3">
        <v>24.7189614300096</v>
      </c>
      <c r="C62" s="3">
        <v>16.421027534378801</v>
      </c>
      <c r="D62" s="3">
        <v>13.6663481350531</v>
      </c>
      <c r="E62" s="3">
        <v>12.919100695910601</v>
      </c>
      <c r="F62" s="3">
        <v>12.8708386551993</v>
      </c>
      <c r="G62" s="3">
        <v>17.059142817078001</v>
      </c>
      <c r="H62" s="3">
        <v>12.613662067450999</v>
      </c>
      <c r="I62" s="3">
        <v>20.935001224547602</v>
      </c>
      <c r="J62" s="3">
        <v>16.782918736684199</v>
      </c>
      <c r="K62" s="3">
        <v>14.060828316038901</v>
      </c>
      <c r="L62" s="3">
        <v>15.8373428241743</v>
      </c>
      <c r="M62" s="3">
        <v>15.0067978368082</v>
      </c>
      <c r="N62" s="3">
        <v>10.579388440369099</v>
      </c>
    </row>
    <row r="63" spans="1:14" x14ac:dyDescent="0.35">
      <c r="A63" s="2">
        <v>43706</v>
      </c>
      <c r="B63" s="3">
        <v>25.275378687967098</v>
      </c>
      <c r="C63" s="3">
        <v>15.9437412283025</v>
      </c>
      <c r="D63" s="3">
        <v>13.644417231601</v>
      </c>
      <c r="E63" s="3">
        <v>12.513945099149501</v>
      </c>
      <c r="F63" s="3">
        <v>12.3809222220557</v>
      </c>
      <c r="G63" s="3">
        <v>16.899033037895698</v>
      </c>
      <c r="H63" s="3">
        <v>11.9957798242495</v>
      </c>
      <c r="I63" s="3">
        <v>20.4554378626428</v>
      </c>
      <c r="J63" s="3">
        <v>16.561279730487598</v>
      </c>
      <c r="K63" s="3">
        <v>13.7897920151803</v>
      </c>
      <c r="L63" s="3">
        <v>15.411123426451001</v>
      </c>
      <c r="M63" s="3">
        <v>13.751224065539899</v>
      </c>
      <c r="N63" s="3">
        <v>10.5133520374046</v>
      </c>
    </row>
    <row r="64" spans="1:14" x14ac:dyDescent="0.35">
      <c r="A64" s="2">
        <v>43739</v>
      </c>
      <c r="B64" s="3">
        <v>25.641190908751501</v>
      </c>
      <c r="C64" s="3">
        <v>16.763558192626299</v>
      </c>
      <c r="D64" s="3">
        <v>13.7667889785257</v>
      </c>
      <c r="E64" s="3">
        <v>12.8910676247318</v>
      </c>
      <c r="F64" s="3">
        <v>13.3170996865814</v>
      </c>
      <c r="G64" s="3">
        <v>16.948611190406499</v>
      </c>
      <c r="H64" s="3">
        <v>12.333653879442799</v>
      </c>
      <c r="I64" s="3">
        <v>20.257122296342899</v>
      </c>
      <c r="J64" s="3">
        <v>16.592333880981499</v>
      </c>
      <c r="K64" s="3">
        <v>13.9993680762349</v>
      </c>
      <c r="L64" s="3">
        <v>16.154735837528001</v>
      </c>
      <c r="M64" s="3">
        <v>14.904962867597501</v>
      </c>
      <c r="N64" s="3">
        <v>10.729283079575101</v>
      </c>
    </row>
    <row r="65" spans="1:14" x14ac:dyDescent="0.35">
      <c r="A65" s="2">
        <v>43770</v>
      </c>
      <c r="B65" s="3">
        <v>24.8057520303655</v>
      </c>
      <c r="C65" s="3">
        <v>16.908821260170999</v>
      </c>
      <c r="D65" s="3">
        <v>14.047847349648601</v>
      </c>
      <c r="E65" s="3">
        <v>13.651618672883</v>
      </c>
      <c r="F65" s="3">
        <v>13.8323194712722</v>
      </c>
      <c r="G65" s="3">
        <v>17.373381504783602</v>
      </c>
      <c r="H65" s="3">
        <v>12.7211427763892</v>
      </c>
      <c r="I65" s="3">
        <v>21.323085557256999</v>
      </c>
      <c r="J65" s="3">
        <v>17.3374648120434</v>
      </c>
      <c r="K65" s="3">
        <v>14.522811697274699</v>
      </c>
      <c r="L65" s="3">
        <v>16.3425801739007</v>
      </c>
      <c r="M65" s="3">
        <v>15.753741247290099</v>
      </c>
      <c r="N65" s="3">
        <v>11.1590078572378</v>
      </c>
    </row>
    <row r="66" spans="1:14" x14ac:dyDescent="0.35">
      <c r="A66" s="2">
        <v>43798</v>
      </c>
      <c r="B66" s="3">
        <v>26.041318278881601</v>
      </c>
      <c r="C66" s="3">
        <v>17.368796244065098</v>
      </c>
      <c r="D66" s="3">
        <v>14.378171118759299</v>
      </c>
      <c r="E66" s="3">
        <v>14.087277846428799</v>
      </c>
      <c r="F66" s="3">
        <v>14.218133637035301</v>
      </c>
      <c r="G66" s="3">
        <v>17.528441145979802</v>
      </c>
      <c r="H66" s="3">
        <v>12.9936396162924</v>
      </c>
      <c r="I66" s="3">
        <v>22.003363605534101</v>
      </c>
      <c r="J66" s="3">
        <v>17.7141977946727</v>
      </c>
      <c r="K66" s="3">
        <v>14.7433178453827</v>
      </c>
      <c r="L66" s="3">
        <v>16.730521307243901</v>
      </c>
      <c r="M66" s="3">
        <v>15.616754132028101</v>
      </c>
      <c r="N66" s="3">
        <v>11.232574044650599</v>
      </c>
    </row>
    <row r="67" spans="1:14" x14ac:dyDescent="0.35">
      <c r="A67" s="2">
        <v>43830</v>
      </c>
      <c r="B67" s="3">
        <v>25.697210438063799</v>
      </c>
      <c r="C67" s="3">
        <v>17.177579719855199</v>
      </c>
      <c r="D67" s="3">
        <v>14.4121870789133</v>
      </c>
      <c r="E67" s="3">
        <v>14.0793923786763</v>
      </c>
      <c r="F67" s="3">
        <v>14.5324935785119</v>
      </c>
      <c r="G67" s="3">
        <v>17.8179771621407</v>
      </c>
      <c r="H67" s="3">
        <v>13.452619337213401</v>
      </c>
      <c r="I67" s="3">
        <v>22.733400332141599</v>
      </c>
      <c r="J67" s="3">
        <v>18.1539903546951</v>
      </c>
      <c r="K67" s="3">
        <v>14.888079690122799</v>
      </c>
      <c r="L67" s="3">
        <v>17.007742429646001</v>
      </c>
      <c r="M67" s="3">
        <v>16.0880122737669</v>
      </c>
      <c r="N67" s="3">
        <v>11.378904891543201</v>
      </c>
    </row>
    <row r="68" spans="1:14" x14ac:dyDescent="0.35">
      <c r="A68" s="2">
        <v>43861</v>
      </c>
      <c r="B68" s="3">
        <v>26.175592661348698</v>
      </c>
      <c r="C68" s="3">
        <v>17.899793054860901</v>
      </c>
      <c r="D68" s="3">
        <v>14.457673576329601</v>
      </c>
      <c r="E68" s="3">
        <v>13.8458279539415</v>
      </c>
      <c r="F68" s="3">
        <v>14.2143773006561</v>
      </c>
      <c r="G68" s="3">
        <v>17.8411205610265</v>
      </c>
      <c r="H68" s="3">
        <v>13.074987488229899</v>
      </c>
      <c r="I68" s="3">
        <v>22.7772009086728</v>
      </c>
      <c r="J68" s="3">
        <v>18.053586484879801</v>
      </c>
      <c r="K68" s="3">
        <v>14.520403674480599</v>
      </c>
      <c r="L68" s="3">
        <v>16.8189456167575</v>
      </c>
      <c r="M68" s="3">
        <v>16.100919262561799</v>
      </c>
      <c r="N68" s="3">
        <v>11.240492013789</v>
      </c>
    </row>
    <row r="69" spans="1:14" x14ac:dyDescent="0.35">
      <c r="A69" s="2">
        <v>43889</v>
      </c>
      <c r="B69" s="3">
        <v>25.9075376731227</v>
      </c>
      <c r="C69" s="3">
        <v>16.474077348146</v>
      </c>
      <c r="D69" s="3">
        <v>13.713008542723699</v>
      </c>
      <c r="E69" s="3">
        <v>12.690723718662101</v>
      </c>
      <c r="F69" s="3">
        <v>12.9860798644863</v>
      </c>
      <c r="G69" s="3">
        <v>16.481213972625</v>
      </c>
      <c r="H69" s="3">
        <v>11.8680728997362</v>
      </c>
      <c r="I69" s="3">
        <v>21.363400277171699</v>
      </c>
      <c r="J69" s="3">
        <v>16.5763463062246</v>
      </c>
      <c r="K69" s="3">
        <v>13.4531981354815</v>
      </c>
      <c r="L69" s="3">
        <v>15.652215115505101</v>
      </c>
      <c r="M69" s="3">
        <v>15.0630381290316</v>
      </c>
      <c r="N69" s="3">
        <v>10.5432842641668</v>
      </c>
    </row>
    <row r="70" spans="1:14" x14ac:dyDescent="0.35">
      <c r="A70" s="2">
        <v>43922</v>
      </c>
      <c r="B70" s="3">
        <v>25.094546346486101</v>
      </c>
      <c r="C70" s="3">
        <v>14.592601416301299</v>
      </c>
      <c r="D70" s="3">
        <v>12.829131813798501</v>
      </c>
      <c r="E70" s="3">
        <v>11.7096077329815</v>
      </c>
      <c r="F70" s="3">
        <v>11.8490628097768</v>
      </c>
      <c r="G70" s="3">
        <v>15.903968273974</v>
      </c>
      <c r="H70" s="3">
        <v>11.771879517278199</v>
      </c>
      <c r="I70" s="3">
        <v>19.837799991124498</v>
      </c>
      <c r="J70" s="3">
        <v>14.9749867362055</v>
      </c>
      <c r="K70" s="3">
        <v>12.3572244485167</v>
      </c>
      <c r="L70" s="3">
        <v>14.0425419905498</v>
      </c>
      <c r="M70" s="3">
        <v>13.9400866941386</v>
      </c>
      <c r="N70" s="3">
        <v>9.4832047495702003</v>
      </c>
    </row>
    <row r="71" spans="1:14" x14ac:dyDescent="0.35">
      <c r="A71" s="2">
        <v>43952</v>
      </c>
      <c r="B71" s="3">
        <v>28.862777574899798</v>
      </c>
      <c r="C71" s="3">
        <v>16.6199755158604</v>
      </c>
      <c r="D71" s="3">
        <v>16.398359172072301</v>
      </c>
      <c r="E71" s="3">
        <v>15.1729980028329</v>
      </c>
      <c r="F71" s="3">
        <v>13.801509779376801</v>
      </c>
      <c r="G71" s="3">
        <v>18.383814161020901</v>
      </c>
      <c r="H71" s="3">
        <v>14.5850549870154</v>
      </c>
      <c r="I71" s="3">
        <v>24.772168858342798</v>
      </c>
      <c r="J71" s="3">
        <v>19.891574365830799</v>
      </c>
      <c r="K71" s="3">
        <v>16.544031281260001</v>
      </c>
      <c r="L71" s="3">
        <v>17.2144600259616</v>
      </c>
      <c r="M71" s="3">
        <v>17.2131256482661</v>
      </c>
      <c r="N71" s="3">
        <v>13.3841180198839</v>
      </c>
    </row>
    <row r="72" spans="1:14" x14ac:dyDescent="0.35">
      <c r="A72" s="2">
        <v>43983</v>
      </c>
      <c r="B72" s="3">
        <v>29.671233629566501</v>
      </c>
      <c r="C72" s="3">
        <v>18.850855520216101</v>
      </c>
      <c r="D72" s="3">
        <v>17.889235049309601</v>
      </c>
      <c r="E72" s="3">
        <v>16.8760118230798</v>
      </c>
      <c r="F72" s="3">
        <v>16.583180406525599</v>
      </c>
      <c r="G72" s="3">
        <v>18.943194056972601</v>
      </c>
      <c r="H72" s="3">
        <v>16.033071861977302</v>
      </c>
      <c r="I72" s="3">
        <v>27.447701792037101</v>
      </c>
      <c r="J72" s="3">
        <v>21.705842692174201</v>
      </c>
      <c r="K72" s="3">
        <v>17.9875170696514</v>
      </c>
      <c r="L72" s="3">
        <v>18.587127337375101</v>
      </c>
      <c r="M72" s="3">
        <v>18.936859428378199</v>
      </c>
      <c r="N72" s="3">
        <v>16.628995207021301</v>
      </c>
    </row>
    <row r="73" spans="1:14" x14ac:dyDescent="0.35">
      <c r="A73" s="2">
        <v>44013</v>
      </c>
      <c r="B73" s="3">
        <v>30.67085396369</v>
      </c>
      <c r="C73" s="3">
        <v>18.916772318446299</v>
      </c>
      <c r="D73" s="3">
        <v>17.607389155047901</v>
      </c>
      <c r="E73" s="3">
        <v>17.710278978973001</v>
      </c>
      <c r="F73" s="3">
        <v>17.417040102767601</v>
      </c>
      <c r="G73" s="3">
        <v>19.3917230622286</v>
      </c>
      <c r="H73" s="3">
        <v>15.7930754997527</v>
      </c>
      <c r="I73" s="3">
        <v>28.671440769172101</v>
      </c>
      <c r="J73" s="3">
        <v>21.767211958638899</v>
      </c>
      <c r="K73" s="3">
        <v>18.806629073128601</v>
      </c>
      <c r="L73" s="3">
        <v>19.5233787220068</v>
      </c>
      <c r="M73" s="3">
        <v>19.3959375591274</v>
      </c>
      <c r="N73" s="3">
        <v>17.4647267429648</v>
      </c>
    </row>
    <row r="74" spans="1:14" x14ac:dyDescent="0.35">
      <c r="A74" s="2">
        <v>44043</v>
      </c>
      <c r="B74" s="3">
        <v>31.918968538212201</v>
      </c>
      <c r="C74" s="3">
        <v>19.0209536693887</v>
      </c>
      <c r="D74" s="3">
        <v>17.5936137431103</v>
      </c>
      <c r="E74" s="3">
        <v>17.413262723112702</v>
      </c>
      <c r="F74" s="3">
        <v>17.091251184895501</v>
      </c>
      <c r="G74" s="3">
        <v>19.225382788557599</v>
      </c>
      <c r="H74" s="3">
        <v>15.111264611848201</v>
      </c>
      <c r="I74" s="3">
        <v>28.909678550873402</v>
      </c>
      <c r="J74" s="3">
        <v>21.934053615280899</v>
      </c>
      <c r="K74" s="3">
        <v>19.2534713941739</v>
      </c>
      <c r="L74" s="3">
        <v>19.407070165706401</v>
      </c>
      <c r="M74" s="3">
        <v>18.1484750394544</v>
      </c>
      <c r="N74" s="3">
        <v>16.4093384617975</v>
      </c>
    </row>
    <row r="75" spans="1:14" x14ac:dyDescent="0.35">
      <c r="A75" s="2">
        <v>44075</v>
      </c>
      <c r="B75" s="3">
        <v>32.422708405526699</v>
      </c>
      <c r="C75" s="3">
        <v>19.191206741795899</v>
      </c>
      <c r="D75" s="3">
        <v>17.3230550111528</v>
      </c>
      <c r="E75" s="3">
        <v>17.761099845349499</v>
      </c>
      <c r="F75" s="3">
        <v>18.101675191054099</v>
      </c>
      <c r="G75" s="3">
        <v>19.323660346487301</v>
      </c>
      <c r="H75" s="3">
        <v>15.1021257403282</v>
      </c>
      <c r="I75" s="3">
        <v>31.9928277239819</v>
      </c>
      <c r="J75" s="3">
        <v>23.025863285350599</v>
      </c>
      <c r="K75" s="3">
        <v>19.189932979030601</v>
      </c>
      <c r="L75" s="3">
        <v>19.7723001853184</v>
      </c>
      <c r="M75" s="3">
        <v>18.125224702670799</v>
      </c>
      <c r="N75" s="3">
        <v>15.6458830222348</v>
      </c>
    </row>
    <row r="76" spans="1:14" x14ac:dyDescent="0.35">
      <c r="A76" s="2">
        <v>44105</v>
      </c>
      <c r="B76" s="3">
        <v>32.042028627479702</v>
      </c>
      <c r="C76" s="3">
        <v>18.1771577257187</v>
      </c>
      <c r="D76" s="3">
        <v>16.198408053886599</v>
      </c>
      <c r="E76" s="3">
        <v>16.841929986870799</v>
      </c>
      <c r="F76" s="3">
        <v>18.0754288785973</v>
      </c>
      <c r="G76" s="3">
        <v>19.0334741491349</v>
      </c>
      <c r="H76" s="3">
        <v>14.3282018412519</v>
      </c>
      <c r="I76" s="3">
        <v>29.6358793284036</v>
      </c>
      <c r="J76" s="3">
        <v>21.6211599332762</v>
      </c>
      <c r="K76" s="3">
        <v>18.077124381790998</v>
      </c>
      <c r="L76" s="3">
        <v>19.4228093834063</v>
      </c>
      <c r="M76" s="3">
        <v>18.289899162287199</v>
      </c>
      <c r="N76" s="3">
        <v>14.626724355473399</v>
      </c>
    </row>
    <row r="77" spans="1:14" x14ac:dyDescent="0.35">
      <c r="A77" s="2">
        <v>44134</v>
      </c>
      <c r="B77" s="3">
        <v>32.448419462000999</v>
      </c>
      <c r="C77" s="3">
        <v>17.761910993488101</v>
      </c>
      <c r="D77" s="3">
        <v>15.1667901201261</v>
      </c>
      <c r="E77" s="3">
        <v>14.5512280266285</v>
      </c>
      <c r="F77" s="3">
        <v>17.118485615194999</v>
      </c>
      <c r="G77" s="3">
        <v>17.538472853252902</v>
      </c>
      <c r="H77" s="3">
        <v>12.986256971029601</v>
      </c>
      <c r="I77" s="3">
        <v>27.349168196789901</v>
      </c>
      <c r="J77" s="3">
        <v>20.229803995955901</v>
      </c>
      <c r="K77" s="3">
        <v>16.560024515272101</v>
      </c>
      <c r="L77" s="3">
        <v>18.5871180103249</v>
      </c>
      <c r="M77" s="3">
        <v>15.595547621382901</v>
      </c>
      <c r="N77" s="3">
        <v>13.144101281262399</v>
      </c>
    </row>
    <row r="78" spans="1:14" x14ac:dyDescent="0.35">
      <c r="A78" s="2">
        <v>44166</v>
      </c>
      <c r="B78" s="3">
        <v>32.977126450756899</v>
      </c>
      <c r="C78" s="3">
        <v>19.6652027768605</v>
      </c>
      <c r="D78" s="3">
        <v>16.165275382024401</v>
      </c>
      <c r="E78" s="3">
        <v>16.095512428903501</v>
      </c>
      <c r="F78" s="3">
        <v>18.586510844645701</v>
      </c>
      <c r="G78" s="3">
        <v>18.539628572926802</v>
      </c>
      <c r="H78" s="3">
        <v>14.7948720782277</v>
      </c>
      <c r="I78" s="3">
        <v>30.048093793780499</v>
      </c>
      <c r="J78" s="3">
        <v>22.002814457671501</v>
      </c>
      <c r="K78" s="3">
        <v>19.095829250737101</v>
      </c>
      <c r="L78" s="3">
        <v>20.415977913974199</v>
      </c>
      <c r="M78" s="3">
        <v>17.395596406899902</v>
      </c>
      <c r="N78" s="3">
        <v>15.313549353124801</v>
      </c>
    </row>
    <row r="79" spans="1:14" x14ac:dyDescent="0.35">
      <c r="A79" s="2">
        <v>44196</v>
      </c>
      <c r="B79" s="3">
        <v>34.288284426668199</v>
      </c>
      <c r="C79" s="3">
        <v>18.969370847068301</v>
      </c>
      <c r="D79" s="3">
        <v>15.752046251436401</v>
      </c>
      <c r="E79" s="3">
        <v>16.045161840357299</v>
      </c>
      <c r="F79" s="3">
        <v>18.3692008225545</v>
      </c>
      <c r="G79" s="3">
        <v>18.863138829891898</v>
      </c>
      <c r="H79" s="3">
        <v>14.392585541717001</v>
      </c>
      <c r="I79" s="3">
        <v>30.091851515792399</v>
      </c>
      <c r="J79" s="3">
        <v>22.439392250499498</v>
      </c>
      <c r="K79" s="3">
        <v>17.967719106931199</v>
      </c>
      <c r="L79" s="3">
        <v>20.578124225723201</v>
      </c>
      <c r="M79" s="3">
        <v>17.983752590474101</v>
      </c>
      <c r="N79" s="3">
        <v>14.7412461357557</v>
      </c>
    </row>
    <row r="80" spans="1:14" x14ac:dyDescent="0.35">
      <c r="A80" s="2">
        <v>44228</v>
      </c>
      <c r="B80" s="3">
        <v>33.272504839163197</v>
      </c>
      <c r="C80" s="3">
        <v>18.583849079029399</v>
      </c>
      <c r="D80" s="3">
        <v>15.6786301124739</v>
      </c>
      <c r="E80" s="3">
        <v>15.590361212248199</v>
      </c>
      <c r="F80" s="3">
        <v>18.242107594504301</v>
      </c>
      <c r="G80" s="3">
        <v>18.611017207894701</v>
      </c>
      <c r="H80" s="3">
        <v>13.698469975920201</v>
      </c>
      <c r="I80" s="3">
        <v>29.581557610584699</v>
      </c>
      <c r="J80" s="3">
        <v>21.614464425914001</v>
      </c>
      <c r="K80" s="3">
        <v>17.422321169951999</v>
      </c>
      <c r="L80" s="3">
        <v>21.281962462295699</v>
      </c>
      <c r="M80" s="3">
        <v>18.7115436087003</v>
      </c>
      <c r="N80" s="3">
        <v>13.4783883131916</v>
      </c>
    </row>
    <row r="81" spans="1:14" x14ac:dyDescent="0.35">
      <c r="A81" s="2">
        <v>44256</v>
      </c>
      <c r="B81" s="3">
        <v>32.2140588755369</v>
      </c>
      <c r="C81" s="3">
        <v>18.317792607792502</v>
      </c>
      <c r="D81" s="3">
        <v>15.369452497777299</v>
      </c>
      <c r="E81" s="3">
        <v>15.5315610683564</v>
      </c>
      <c r="F81" s="3">
        <v>17.953823855230201</v>
      </c>
      <c r="G81" s="3">
        <v>18.387291966177202</v>
      </c>
      <c r="H81" s="3">
        <v>13.9823320750883</v>
      </c>
      <c r="I81" s="3">
        <v>28.6169789140977</v>
      </c>
      <c r="J81" s="3">
        <v>21.862106216350501</v>
      </c>
      <c r="K81" s="3">
        <v>17.984843620527801</v>
      </c>
      <c r="L81" s="3">
        <v>21.388505890049</v>
      </c>
      <c r="M81" s="3">
        <v>19.167811885333901</v>
      </c>
      <c r="N81" s="3">
        <v>13.779194580018199</v>
      </c>
    </row>
    <row r="82" spans="1:14" x14ac:dyDescent="0.35">
      <c r="A82" s="2">
        <v>44287</v>
      </c>
      <c r="B82" s="3">
        <v>32.164656082461903</v>
      </c>
      <c r="C82" s="3">
        <v>17.661166539356898</v>
      </c>
      <c r="D82" s="3">
        <v>15.522341639242301</v>
      </c>
      <c r="E82" s="3">
        <v>16.234769821099</v>
      </c>
      <c r="F82" s="3">
        <v>17.585501931509299</v>
      </c>
      <c r="G82" s="3">
        <v>18.814076522944902</v>
      </c>
      <c r="H82" s="3">
        <v>13.431647020745901</v>
      </c>
      <c r="I82" s="3">
        <v>28.415787790601101</v>
      </c>
      <c r="J82" s="3">
        <v>22.053882861246102</v>
      </c>
      <c r="K82" s="3">
        <v>18.301320386801098</v>
      </c>
      <c r="L82" s="3">
        <v>22.738661544925598</v>
      </c>
      <c r="M82" s="3">
        <v>20.275064249258701</v>
      </c>
      <c r="N82" s="3">
        <v>14.0471705125076</v>
      </c>
    </row>
    <row r="83" spans="1:14" x14ac:dyDescent="0.35">
      <c r="A83" s="2">
        <v>44316</v>
      </c>
      <c r="B83" s="3">
        <v>32.4086247751355</v>
      </c>
      <c r="C83" s="3">
        <v>17.995298906045601</v>
      </c>
      <c r="D83" s="3">
        <v>15.4366133742316</v>
      </c>
      <c r="E83" s="3">
        <v>15.1918256612677</v>
      </c>
      <c r="F83" s="3">
        <v>16.687102398868401</v>
      </c>
      <c r="G83" s="3">
        <v>18.2269849452322</v>
      </c>
      <c r="H83" s="3">
        <v>13.240188742094601</v>
      </c>
      <c r="I83" s="3">
        <v>27.796917644553002</v>
      </c>
      <c r="J83" s="3">
        <v>21.651360257304798</v>
      </c>
      <c r="K83" s="3">
        <v>17.945334529854001</v>
      </c>
      <c r="L83" s="3">
        <v>21.8694192303021</v>
      </c>
      <c r="M83" s="3">
        <v>18.6933291451288</v>
      </c>
      <c r="N83" s="3">
        <v>13.4412207407004</v>
      </c>
    </row>
    <row r="84" spans="1:14" x14ac:dyDescent="0.35">
      <c r="A84" s="2">
        <v>44348</v>
      </c>
      <c r="B84" s="3">
        <v>32.966083645310398</v>
      </c>
      <c r="C84" s="3">
        <v>18.015948492338001</v>
      </c>
      <c r="D84" s="3">
        <v>15.57935203722</v>
      </c>
      <c r="E84" s="3">
        <v>14.9277535171616</v>
      </c>
      <c r="F84" s="3">
        <v>16.449444079196901</v>
      </c>
      <c r="G84" s="3">
        <v>19.436121789443298</v>
      </c>
      <c r="H84" s="3">
        <v>13.255296743887399</v>
      </c>
      <c r="I84" s="3">
        <v>26.850185262284</v>
      </c>
      <c r="J84" s="3">
        <v>21.217929484934601</v>
      </c>
      <c r="K84" s="3">
        <v>17.9167332857361</v>
      </c>
      <c r="L84" s="3">
        <v>21.3002708611311</v>
      </c>
      <c r="M84" s="3">
        <v>18.640429746804301</v>
      </c>
      <c r="N84" s="3">
        <v>13.6525597026969</v>
      </c>
    </row>
    <row r="85" spans="1:14" x14ac:dyDescent="0.35">
      <c r="A85" s="2">
        <v>44378</v>
      </c>
      <c r="B85" s="3">
        <v>34.2527174981591</v>
      </c>
      <c r="C85" s="3">
        <v>17.223991999402202</v>
      </c>
      <c r="D85" s="3">
        <v>15.562046667028399</v>
      </c>
      <c r="E85" s="3">
        <v>14.733394094071199</v>
      </c>
      <c r="F85" s="3">
        <v>16.184731124225301</v>
      </c>
      <c r="G85" s="3">
        <v>19.756609776285099</v>
      </c>
      <c r="H85" s="3">
        <v>12.719238782533701</v>
      </c>
      <c r="I85" s="3">
        <v>28.3039672623146</v>
      </c>
      <c r="J85" s="3">
        <v>21.438754168941401</v>
      </c>
      <c r="K85" s="3">
        <v>17.4782056849577</v>
      </c>
      <c r="L85" s="3">
        <v>21.241865487264398</v>
      </c>
      <c r="M85" s="3">
        <v>18.590045246314201</v>
      </c>
      <c r="N85" s="3">
        <v>13.452492983542401</v>
      </c>
    </row>
    <row r="86" spans="1:14" x14ac:dyDescent="0.35">
      <c r="A86" s="2">
        <v>44407</v>
      </c>
      <c r="B86" s="3">
        <v>33.584962161183803</v>
      </c>
      <c r="C86" s="3">
        <v>16.7884811693106</v>
      </c>
      <c r="D86" s="3">
        <v>15.088277357315301</v>
      </c>
      <c r="E86" s="3">
        <v>14.227454921595401</v>
      </c>
      <c r="F86" s="3">
        <v>15.539340871796799</v>
      </c>
      <c r="G86" s="3">
        <v>19.7584499847848</v>
      </c>
      <c r="H86" s="3">
        <v>12.2623839478159</v>
      </c>
      <c r="I86" s="3">
        <v>27.988779775126599</v>
      </c>
      <c r="J86" s="3">
        <v>20.965468308845299</v>
      </c>
      <c r="K86" s="3">
        <v>16.702148464286498</v>
      </c>
      <c r="L86" s="3">
        <v>21.458048540131799</v>
      </c>
      <c r="M86" s="3">
        <v>18.442442329639899</v>
      </c>
      <c r="N86" s="3">
        <v>12.977527843663101</v>
      </c>
    </row>
    <row r="87" spans="1:14" x14ac:dyDescent="0.35">
      <c r="A87" s="2">
        <v>44440</v>
      </c>
      <c r="B87" s="3">
        <v>34.896386913120303</v>
      </c>
      <c r="C87" s="3">
        <v>17.365190722927601</v>
      </c>
      <c r="D87" s="3">
        <v>14.920366076927399</v>
      </c>
      <c r="E87" s="3">
        <v>14.1984006180409</v>
      </c>
      <c r="F87" s="3">
        <v>15.481713000493199</v>
      </c>
      <c r="G87" s="3">
        <v>19.8946170955432</v>
      </c>
      <c r="H87" s="3">
        <v>12.247996727020499</v>
      </c>
      <c r="I87" s="3">
        <v>28.7218371086521</v>
      </c>
      <c r="J87" s="3">
        <v>21.224661890219799</v>
      </c>
      <c r="K87" s="3">
        <v>16.5047160078581</v>
      </c>
      <c r="L87" s="3">
        <v>22.016418348200201</v>
      </c>
      <c r="M87" s="3">
        <v>18.487970285076099</v>
      </c>
      <c r="N87" s="3">
        <v>11.984293786197799</v>
      </c>
    </row>
    <row r="88" spans="1:14" x14ac:dyDescent="0.35">
      <c r="A88" s="2">
        <v>44470</v>
      </c>
      <c r="B88" s="3">
        <v>34.536515266278798</v>
      </c>
      <c r="C88" s="3">
        <v>16.7414712683616</v>
      </c>
      <c r="D88" s="3">
        <v>14.4003158722003</v>
      </c>
      <c r="E88" s="3">
        <v>13.451495362042101</v>
      </c>
      <c r="F88" s="3">
        <v>15.159145976282501</v>
      </c>
      <c r="G88" s="3">
        <v>18.211083298948999</v>
      </c>
      <c r="H88" s="3">
        <v>11.7835488134989</v>
      </c>
      <c r="I88" s="3">
        <v>27.0611441449207</v>
      </c>
      <c r="J88" s="3">
        <v>20.338347359325301</v>
      </c>
      <c r="K88" s="3">
        <v>15.526404320925201</v>
      </c>
      <c r="L88" s="3">
        <v>20.260489883508299</v>
      </c>
      <c r="M88" s="3">
        <v>17.812826671475602</v>
      </c>
      <c r="N88" s="3">
        <v>11.5581456791629</v>
      </c>
    </row>
    <row r="89" spans="1:14" x14ac:dyDescent="0.35">
      <c r="A89" s="2">
        <v>44501</v>
      </c>
      <c r="B89" s="3">
        <v>33.599901610701203</v>
      </c>
      <c r="C89" s="3">
        <v>17.555579433053801</v>
      </c>
      <c r="D89" s="3">
        <v>15.0212924910747</v>
      </c>
      <c r="E89" s="3">
        <v>13.772391857774201</v>
      </c>
      <c r="F89" s="3">
        <v>15.469295607893899</v>
      </c>
      <c r="G89" s="3">
        <v>19.1336738899676</v>
      </c>
      <c r="H89" s="3">
        <v>12.2566536247153</v>
      </c>
      <c r="I89" s="3">
        <v>28.987788541812002</v>
      </c>
      <c r="J89" s="3">
        <v>21.178458764184398</v>
      </c>
      <c r="K89" s="3">
        <v>15.7961039836922</v>
      </c>
      <c r="L89" s="3">
        <v>21.2181100237521</v>
      </c>
      <c r="M89" s="3">
        <v>18.255411848295999</v>
      </c>
      <c r="N89" s="3">
        <v>11.7932502370981</v>
      </c>
    </row>
    <row r="90" spans="1:14" x14ac:dyDescent="0.35">
      <c r="A90" s="2">
        <v>44531</v>
      </c>
      <c r="B90" s="3">
        <v>31.703835204508799</v>
      </c>
      <c r="C90" s="3">
        <v>16.959374570202101</v>
      </c>
      <c r="D90" s="3">
        <v>14.0155740030182</v>
      </c>
      <c r="E90" s="3">
        <v>13.1474692977992</v>
      </c>
      <c r="F90" s="3">
        <v>14.4276781040047</v>
      </c>
      <c r="G90" s="3">
        <v>18.829734026667499</v>
      </c>
      <c r="H90" s="3">
        <v>11.8483322556347</v>
      </c>
      <c r="I90" s="3">
        <v>28.5518089888795</v>
      </c>
      <c r="J90" s="3">
        <v>20.436439142826199</v>
      </c>
      <c r="K90" s="3">
        <v>15.5100234886721</v>
      </c>
      <c r="L90" s="3">
        <v>20.461465216344099</v>
      </c>
      <c r="M90" s="3">
        <v>18.803909461855199</v>
      </c>
      <c r="N90" s="3">
        <v>10.920328601089199</v>
      </c>
    </row>
    <row r="91" spans="1:14" x14ac:dyDescent="0.35">
      <c r="A91" s="2">
        <v>44561</v>
      </c>
      <c r="B91" s="3">
        <v>32.335003130707697</v>
      </c>
      <c r="C91" s="3">
        <v>17.4970792673071</v>
      </c>
      <c r="D91" s="3">
        <v>14.4230586367119</v>
      </c>
      <c r="E91" s="3">
        <v>13.382618460739099</v>
      </c>
      <c r="F91" s="3">
        <v>14.5056304866125</v>
      </c>
      <c r="G91" s="3">
        <v>19.805846670481898</v>
      </c>
      <c r="H91" s="3">
        <v>12.2095342795867</v>
      </c>
      <c r="I91" s="3">
        <v>29.167311749910901</v>
      </c>
      <c r="J91" s="3">
        <v>21.320924667539501</v>
      </c>
      <c r="K91" s="3">
        <v>15.799627643016001</v>
      </c>
      <c r="L91" s="3">
        <v>20.615610542285498</v>
      </c>
      <c r="M91" s="3">
        <v>18.607803335279701</v>
      </c>
      <c r="N91" s="3">
        <v>11.069489560574</v>
      </c>
    </row>
    <row r="92" spans="1:14" x14ac:dyDescent="0.35">
      <c r="A92" s="2">
        <v>44593</v>
      </c>
      <c r="B92" s="3">
        <v>29.591676688207802</v>
      </c>
      <c r="C92" s="3">
        <v>15.608293560498399</v>
      </c>
      <c r="D92" s="3">
        <v>14.219900626075599</v>
      </c>
      <c r="E92" s="3">
        <v>13.0196217440631</v>
      </c>
      <c r="F92" s="3">
        <v>13.6185862687538</v>
      </c>
      <c r="G92" s="3">
        <v>18.355696734247399</v>
      </c>
      <c r="H92" s="3">
        <v>12.2764325740005</v>
      </c>
      <c r="I92" s="3">
        <v>26.343192418651199</v>
      </c>
      <c r="J92" s="3">
        <v>20.0517378469318</v>
      </c>
      <c r="K92" s="3">
        <v>15.1121848624005</v>
      </c>
      <c r="L92" s="3">
        <v>18.939224872595801</v>
      </c>
      <c r="M92" s="3">
        <v>16.837810794256502</v>
      </c>
      <c r="N92" s="3">
        <v>10.860565257959699</v>
      </c>
    </row>
    <row r="93" spans="1:14" x14ac:dyDescent="0.35">
      <c r="A93" s="2">
        <v>44621</v>
      </c>
      <c r="B93" s="3">
        <v>29.234373477264</v>
      </c>
      <c r="C93" s="3">
        <v>15.564799337977901</v>
      </c>
      <c r="D93" s="3">
        <v>13.802357509025301</v>
      </c>
      <c r="E93" s="3">
        <v>11.407135050444399</v>
      </c>
      <c r="F93" s="3">
        <v>13.2023259118016</v>
      </c>
      <c r="G93" s="3">
        <v>17.9387668659326</v>
      </c>
      <c r="H93" s="3">
        <v>11.7699066859395</v>
      </c>
      <c r="I93" s="3">
        <v>24.402887250633501</v>
      </c>
      <c r="J93" s="3">
        <v>18.7882426590091</v>
      </c>
      <c r="K93" s="3">
        <v>13.363640615580801</v>
      </c>
      <c r="L93" s="3">
        <v>17.346950332202301</v>
      </c>
      <c r="M93" s="3">
        <v>14.706329040829299</v>
      </c>
      <c r="N93" s="3">
        <v>9.6153249566986396</v>
      </c>
    </row>
    <row r="94" spans="1:14" x14ac:dyDescent="0.35">
      <c r="A94" s="2">
        <v>44652</v>
      </c>
      <c r="B94" s="3">
        <v>29.4533379080064</v>
      </c>
      <c r="C94" s="3">
        <v>16.152751454822699</v>
      </c>
      <c r="D94" s="3">
        <v>13.5781892894371</v>
      </c>
      <c r="E94" s="3">
        <v>11.6374919242097</v>
      </c>
      <c r="F94" s="3">
        <v>13.2659039327655</v>
      </c>
      <c r="G94" s="3">
        <v>18.339321921986301</v>
      </c>
      <c r="H94" s="3">
        <v>11.2507721742755</v>
      </c>
      <c r="I94" s="3">
        <v>25.625325259187299</v>
      </c>
      <c r="J94" s="3">
        <v>19.495529371339401</v>
      </c>
      <c r="K94" s="3">
        <v>13.5781266823896</v>
      </c>
      <c r="L94" s="3">
        <v>18.378435178272301</v>
      </c>
      <c r="M94" s="3">
        <v>15.2776032536875</v>
      </c>
      <c r="N94" s="3">
        <v>9.8142128288360393</v>
      </c>
    </row>
    <row r="95" spans="1:14" x14ac:dyDescent="0.35">
      <c r="A95" s="2">
        <v>44680</v>
      </c>
      <c r="B95" s="3">
        <v>28.7863079035269</v>
      </c>
      <c r="C95" s="3">
        <v>15.044500546848401</v>
      </c>
      <c r="D95" s="3">
        <v>12.6062626781824</v>
      </c>
      <c r="E95" s="3">
        <v>11.1607123813548</v>
      </c>
      <c r="F95" s="3">
        <v>12.82540765537</v>
      </c>
      <c r="G95" s="3">
        <v>17.925758317786901</v>
      </c>
      <c r="H95" s="3">
        <v>10.8203395738645</v>
      </c>
      <c r="I95" s="3">
        <v>22.460155338173902</v>
      </c>
      <c r="J95" s="3">
        <v>17.540042099285699</v>
      </c>
      <c r="K95" s="3">
        <v>12.8610043081871</v>
      </c>
      <c r="L95" s="3">
        <v>17.189938465031901</v>
      </c>
      <c r="M95" s="3">
        <v>14.5433017398059</v>
      </c>
      <c r="N95" s="3">
        <v>9.4756326178356591</v>
      </c>
    </row>
    <row r="96" spans="1:14" x14ac:dyDescent="0.35">
      <c r="A96" s="2">
        <v>44713</v>
      </c>
      <c r="B96" s="3">
        <v>26.990582506621902</v>
      </c>
      <c r="C96" s="3">
        <v>14.2739948813691</v>
      </c>
      <c r="D96" s="3">
        <v>12.403898691714399</v>
      </c>
      <c r="E96" s="3">
        <v>10.974005777741301</v>
      </c>
      <c r="F96" s="3">
        <v>12.9813462370993</v>
      </c>
      <c r="G96" s="3">
        <v>16.796351962361499</v>
      </c>
      <c r="H96" s="3">
        <v>10.419185914900799</v>
      </c>
      <c r="I96" s="3">
        <v>21.663076990774499</v>
      </c>
      <c r="J96" s="3">
        <v>17.222030747419499</v>
      </c>
      <c r="K96" s="3">
        <v>12.2809443590308</v>
      </c>
      <c r="L96" s="3">
        <v>17.189869990243601</v>
      </c>
      <c r="M96" s="3">
        <v>16.015013065655499</v>
      </c>
      <c r="N96" s="3">
        <v>8.8012133540810495</v>
      </c>
    </row>
    <row r="97" spans="1:14" x14ac:dyDescent="0.35">
      <c r="A97" s="2">
        <v>44743</v>
      </c>
      <c r="B97" s="3">
        <v>25.335570939777</v>
      </c>
      <c r="C97" s="3">
        <v>12.472434732323901</v>
      </c>
      <c r="D97" s="3">
        <v>11.225587953096101</v>
      </c>
      <c r="E97" s="3">
        <v>9.7040902667214493</v>
      </c>
      <c r="F97" s="3">
        <v>12.1577786876913</v>
      </c>
      <c r="G97" s="3">
        <v>15.7364674857983</v>
      </c>
      <c r="H97" s="3">
        <v>9.5387529379258496</v>
      </c>
      <c r="I97" s="3">
        <v>20.087404976813399</v>
      </c>
      <c r="J97" s="3">
        <v>15.98413450488</v>
      </c>
      <c r="K97" s="3">
        <v>11.1854920622389</v>
      </c>
      <c r="L97" s="3">
        <v>15.839937733291301</v>
      </c>
      <c r="M97" s="3">
        <v>14.1175287461339</v>
      </c>
      <c r="N97" s="3">
        <v>7.7034553301887501</v>
      </c>
    </row>
    <row r="98" spans="1:14" x14ac:dyDescent="0.35">
      <c r="A98" s="2">
        <v>44774</v>
      </c>
      <c r="B98" s="3">
        <v>26.319375566797</v>
      </c>
      <c r="C98" s="3">
        <v>13.9943265734729</v>
      </c>
      <c r="D98" s="3">
        <v>11.590805865492699</v>
      </c>
      <c r="E98" s="3">
        <v>10.2849209153805</v>
      </c>
      <c r="F98" s="3">
        <v>12.8777035262305</v>
      </c>
      <c r="G98" s="3">
        <v>16.8836790816896</v>
      </c>
      <c r="H98" s="3">
        <v>9.8819213074855305</v>
      </c>
      <c r="I98" s="3">
        <v>22.983795610225801</v>
      </c>
      <c r="J98" s="3">
        <v>17.3710243677729</v>
      </c>
      <c r="K98" s="3">
        <v>11.6973524295269</v>
      </c>
      <c r="L98" s="3">
        <v>17.9676133831939</v>
      </c>
      <c r="M98" s="3">
        <v>15.298965136462</v>
      </c>
      <c r="N98" s="3">
        <v>7.7417623875589303</v>
      </c>
    </row>
    <row r="99" spans="1:14" x14ac:dyDescent="0.35">
      <c r="A99" s="2">
        <v>44805</v>
      </c>
      <c r="B99" s="3">
        <v>26.934060281517102</v>
      </c>
      <c r="C99" s="3">
        <v>13.569128255735301</v>
      </c>
      <c r="D99" s="3">
        <v>11.231571308166201</v>
      </c>
      <c r="E99" s="3">
        <v>9.3891447709411295</v>
      </c>
      <c r="F99" s="3">
        <v>12.6574474475612</v>
      </c>
      <c r="G99" s="3">
        <v>15.757705392194101</v>
      </c>
      <c r="H99" s="3">
        <v>9.0296226625328302</v>
      </c>
      <c r="I99" s="3">
        <v>21.815659119875399</v>
      </c>
      <c r="J99" s="3">
        <v>16.6933746782159</v>
      </c>
      <c r="K99" s="3">
        <v>10.89842123621</v>
      </c>
      <c r="L99" s="3">
        <v>15.6689388797343</v>
      </c>
      <c r="M99" s="3">
        <v>13.5498486139129</v>
      </c>
      <c r="N99" s="3">
        <v>7.4055962768252703</v>
      </c>
    </row>
    <row r="100" spans="1:14" x14ac:dyDescent="0.35">
      <c r="A100" s="2">
        <v>44834</v>
      </c>
      <c r="B100" s="3">
        <v>24.040849553408499</v>
      </c>
      <c r="C100" s="3">
        <v>12.546369965151801</v>
      </c>
      <c r="D100" s="3">
        <v>10.7655574557414</v>
      </c>
      <c r="E100" s="3">
        <v>8.99432918296975</v>
      </c>
      <c r="F100" s="3">
        <v>11.8310228623086</v>
      </c>
      <c r="G100" s="3">
        <v>14.967383290597301</v>
      </c>
      <c r="H100" s="3">
        <v>8.5551344350877194</v>
      </c>
      <c r="I100" s="3">
        <v>19.524137358372499</v>
      </c>
      <c r="J100" s="3">
        <v>15.1562945006325</v>
      </c>
      <c r="K100" s="3">
        <v>10.2198600502701</v>
      </c>
      <c r="L100" s="3">
        <v>14.3557537296509</v>
      </c>
      <c r="M100" s="3">
        <v>13.06520295104</v>
      </c>
      <c r="N100" s="3">
        <v>7.2112670719934604</v>
      </c>
    </row>
    <row r="101" spans="1:14" x14ac:dyDescent="0.35">
      <c r="A101" s="2">
        <v>44866</v>
      </c>
      <c r="B101" s="3">
        <v>23.8126293785404</v>
      </c>
      <c r="C101" s="3">
        <v>13.5963465076197</v>
      </c>
      <c r="D101" s="3">
        <v>11.5646885748511</v>
      </c>
      <c r="E101" s="3">
        <v>9.9459112725215508</v>
      </c>
      <c r="F101" s="3">
        <v>12.566676979139</v>
      </c>
      <c r="G101" s="3">
        <v>15.6846843010265</v>
      </c>
      <c r="H101" s="3">
        <v>9.1005367628673408</v>
      </c>
      <c r="I101" s="3">
        <v>20.889194596237299</v>
      </c>
      <c r="J101" s="3">
        <v>16.626182051946699</v>
      </c>
      <c r="K101" s="3">
        <v>11.2798536113945</v>
      </c>
      <c r="L101" s="3">
        <v>15.360883181247299</v>
      </c>
      <c r="M101" s="3">
        <v>13.220422940456899</v>
      </c>
      <c r="N101" s="3">
        <v>7.8883196555244002</v>
      </c>
    </row>
    <row r="102" spans="1:14" x14ac:dyDescent="0.35">
      <c r="A102" s="2">
        <v>44896</v>
      </c>
      <c r="B102" s="3">
        <v>23.698595838396098</v>
      </c>
      <c r="C102" s="3">
        <v>14.795298305923501</v>
      </c>
      <c r="D102" s="3">
        <v>12.4683983328945</v>
      </c>
      <c r="E102" s="3">
        <v>10.8348647964217</v>
      </c>
      <c r="F102" s="3">
        <v>12.9080745770954</v>
      </c>
      <c r="G102" s="3">
        <v>16.9916171155105</v>
      </c>
      <c r="H102" s="3">
        <v>9.9574723231988607</v>
      </c>
      <c r="I102" s="3">
        <v>22.345982243992498</v>
      </c>
      <c r="J102" s="3">
        <v>17.611013995998899</v>
      </c>
      <c r="K102" s="3">
        <v>12.188263139703301</v>
      </c>
      <c r="L102" s="3">
        <v>16.476965993169198</v>
      </c>
      <c r="M102" s="3">
        <v>13.1682289691023</v>
      </c>
      <c r="N102" s="3">
        <v>7.9083120217790501</v>
      </c>
    </row>
    <row r="103" spans="1:14" x14ac:dyDescent="0.35">
      <c r="A103" s="2">
        <v>44925</v>
      </c>
      <c r="B103" s="3">
        <v>23.008773274365598</v>
      </c>
      <c r="C103" s="3">
        <v>14.1727504256807</v>
      </c>
      <c r="D103" s="3">
        <v>11.9052655645163</v>
      </c>
      <c r="E103" s="3">
        <v>10.4616660277966</v>
      </c>
      <c r="F103" s="3">
        <v>12.203889655874301</v>
      </c>
      <c r="G103" s="3">
        <v>16.229500473204499</v>
      </c>
      <c r="H103" s="3">
        <v>9.8030577010779698</v>
      </c>
      <c r="I103" s="3">
        <v>20.884599503769898</v>
      </c>
      <c r="J103" s="3">
        <v>16.650131244223001</v>
      </c>
      <c r="K103" s="3">
        <v>11.817344584308801</v>
      </c>
      <c r="L103" s="3">
        <v>15.329639192701499</v>
      </c>
      <c r="M103" s="3">
        <v>12.611548842025799</v>
      </c>
      <c r="N103" s="3">
        <v>7.5943844125458302</v>
      </c>
    </row>
    <row r="104" spans="1:14" x14ac:dyDescent="0.35">
      <c r="A104" s="2">
        <v>44958</v>
      </c>
      <c r="B104" s="3">
        <v>24.2021736706055</v>
      </c>
      <c r="C104" s="3">
        <v>15.0357269506426</v>
      </c>
      <c r="D104" s="3">
        <v>13.043905507496</v>
      </c>
      <c r="E104" s="3">
        <v>11.5453692871497</v>
      </c>
      <c r="F104" s="3">
        <v>12.8652185385497</v>
      </c>
      <c r="G104" s="3">
        <v>17.1700243000274</v>
      </c>
      <c r="H104" s="3">
        <v>10.5111889107365</v>
      </c>
      <c r="I104" s="3">
        <v>23.940790602288999</v>
      </c>
      <c r="J104" s="3">
        <v>18.1681849148735</v>
      </c>
      <c r="K104" s="3">
        <v>13.1651827973037</v>
      </c>
      <c r="L104" s="3">
        <v>17.1352736331275</v>
      </c>
      <c r="M104" s="3">
        <v>14.0250636281282</v>
      </c>
      <c r="N104" s="3">
        <v>8.3835382540540309</v>
      </c>
    </row>
    <row r="105" spans="1:14" x14ac:dyDescent="0.35">
      <c r="A105" s="2">
        <v>44986</v>
      </c>
      <c r="B105" s="3">
        <v>23.7435266515661</v>
      </c>
      <c r="C105" s="3">
        <v>14.4501995011096</v>
      </c>
      <c r="D105" s="3">
        <v>12.717854483306199</v>
      </c>
      <c r="E105" s="3">
        <v>11.4691738156534</v>
      </c>
      <c r="F105" s="3">
        <v>13.115599909958201</v>
      </c>
      <c r="G105" s="3">
        <v>16.913544254753699</v>
      </c>
      <c r="H105" s="3">
        <v>10.522918610249601</v>
      </c>
      <c r="I105" s="3">
        <v>22.896403579843199</v>
      </c>
      <c r="J105" s="3">
        <v>17.405920862629401</v>
      </c>
      <c r="K105" s="3">
        <v>13.153903345413701</v>
      </c>
      <c r="L105" s="3">
        <v>16.426046304930001</v>
      </c>
      <c r="M105" s="3">
        <v>14.0144717341906</v>
      </c>
      <c r="N105" s="3">
        <v>8.6128793702800692</v>
      </c>
    </row>
    <row r="106" spans="1:14" x14ac:dyDescent="0.35">
      <c r="A106" s="2">
        <v>45016</v>
      </c>
      <c r="B106" s="3">
        <v>23.355336161952199</v>
      </c>
      <c r="C106" s="3">
        <v>14.3117517505269</v>
      </c>
      <c r="D106" s="3">
        <v>12.7462780514334</v>
      </c>
      <c r="E106" s="3">
        <v>11.430098906947499</v>
      </c>
      <c r="F106" s="3">
        <v>13.158625553466599</v>
      </c>
      <c r="G106" s="3">
        <v>17.160653338069199</v>
      </c>
      <c r="H106" s="3">
        <v>10.339850583004599</v>
      </c>
      <c r="I106" s="3">
        <v>25.0734268721733</v>
      </c>
      <c r="J106" s="3">
        <v>18.059701082810399</v>
      </c>
      <c r="K106" s="3">
        <v>13.288232842833301</v>
      </c>
      <c r="L106" s="3">
        <v>16.5539690403413</v>
      </c>
      <c r="M106" s="3">
        <v>13.803344961689</v>
      </c>
      <c r="N106" s="3">
        <v>8.4771354117954001</v>
      </c>
    </row>
    <row r="107" spans="1:14" x14ac:dyDescent="0.35">
      <c r="A107" s="2">
        <v>45047</v>
      </c>
      <c r="B107" s="3">
        <v>23.678354194346898</v>
      </c>
      <c r="C107" s="3">
        <v>14.6573201466997</v>
      </c>
      <c r="D107" s="3">
        <v>13.0613046305801</v>
      </c>
      <c r="E107" s="3">
        <v>11.354930929949999</v>
      </c>
      <c r="F107" s="3">
        <v>13.6151657328043</v>
      </c>
      <c r="G107" s="3">
        <v>17.478199843695201</v>
      </c>
      <c r="H107" s="3">
        <v>10.8050503322313</v>
      </c>
      <c r="I107" s="3">
        <v>24.535302870712101</v>
      </c>
      <c r="J107" s="3">
        <v>18.1481047653307</v>
      </c>
      <c r="K107" s="3">
        <v>13.7125880051327</v>
      </c>
      <c r="L107" s="3">
        <v>15.7953850703818</v>
      </c>
      <c r="M107" s="3">
        <v>14.029398836972</v>
      </c>
      <c r="N107" s="3">
        <v>8.5867149325002892</v>
      </c>
    </row>
    <row r="108" spans="1:14" x14ac:dyDescent="0.35">
      <c r="A108" s="2">
        <v>45078</v>
      </c>
      <c r="B108" s="3">
        <v>21.2206191316454</v>
      </c>
      <c r="C108" s="3">
        <v>14.255228636449599</v>
      </c>
      <c r="D108" s="3">
        <v>12.6993906558475</v>
      </c>
      <c r="E108" s="3">
        <v>10.725768042182899</v>
      </c>
      <c r="F108" s="3">
        <v>14.096165975531299</v>
      </c>
      <c r="G108" s="3">
        <v>16.5505940339396</v>
      </c>
      <c r="H108" s="3">
        <v>10.1571941357446</v>
      </c>
      <c r="I108" s="3">
        <v>25.969696990705302</v>
      </c>
      <c r="J108" s="3">
        <v>18.209021976931801</v>
      </c>
      <c r="K108" s="3">
        <v>12.9124027850887</v>
      </c>
      <c r="L108" s="3">
        <v>15.6090835620832</v>
      </c>
      <c r="M108" s="3">
        <v>13.4230147533144</v>
      </c>
      <c r="N108" s="3">
        <v>8.3703337201844903</v>
      </c>
    </row>
    <row r="109" spans="1:14" x14ac:dyDescent="0.35">
      <c r="A109" s="2">
        <v>45107</v>
      </c>
      <c r="B109" s="3">
        <v>20.9845942104727</v>
      </c>
      <c r="C109" s="3">
        <v>14.9313123571497</v>
      </c>
      <c r="D109" s="3">
        <v>13.0104265560103</v>
      </c>
      <c r="E109" s="3">
        <v>10.863379398495599</v>
      </c>
      <c r="F109" s="3">
        <v>14.8859640232373</v>
      </c>
      <c r="G109" s="3">
        <v>16.505346770160902</v>
      </c>
      <c r="H109" s="3">
        <v>10.3759839924505</v>
      </c>
      <c r="I109" s="3">
        <v>26.792181260846</v>
      </c>
      <c r="J109" s="3">
        <v>19.139651269775701</v>
      </c>
      <c r="K109" s="3">
        <v>13.287966679613399</v>
      </c>
      <c r="L109" s="3">
        <v>15.8423339530839</v>
      </c>
      <c r="M109" s="3">
        <v>13.605504818530401</v>
      </c>
      <c r="N109" s="3">
        <v>8.7926071652794295</v>
      </c>
    </row>
    <row r="110" spans="1:14" x14ac:dyDescent="0.35">
      <c r="A110" s="2">
        <v>45139</v>
      </c>
      <c r="B110" s="3">
        <v>21.020468757726</v>
      </c>
      <c r="C110" s="3">
        <v>15.7029312571826</v>
      </c>
      <c r="D110" s="3">
        <v>13.4790635998938</v>
      </c>
      <c r="E110" s="3">
        <v>10.892948648702999</v>
      </c>
      <c r="F110" s="3">
        <v>14.893415352277099</v>
      </c>
      <c r="G110" s="3">
        <v>16.889480295423802</v>
      </c>
      <c r="H110" s="3">
        <v>10.7195052256727</v>
      </c>
      <c r="I110" s="3">
        <v>25.770109881299899</v>
      </c>
      <c r="J110" s="3">
        <v>19.493124595158601</v>
      </c>
      <c r="K110" s="3">
        <v>13.2080553079917</v>
      </c>
      <c r="L110" s="3">
        <v>16.0909290167229</v>
      </c>
      <c r="M110" s="3">
        <v>13.310351936608001</v>
      </c>
      <c r="N110" s="3">
        <v>8.6450927463494605</v>
      </c>
    </row>
    <row r="111" spans="1:14" x14ac:dyDescent="0.35">
      <c r="A111" s="2">
        <v>45170</v>
      </c>
      <c r="B111" s="3">
        <v>20.879533436840902</v>
      </c>
      <c r="C111" s="3">
        <v>15.5104648620548</v>
      </c>
      <c r="D111" s="3">
        <v>13.3546044330381</v>
      </c>
      <c r="E111" s="3">
        <v>10.6467479976154</v>
      </c>
      <c r="F111" s="3">
        <v>14.664906623310401</v>
      </c>
      <c r="G111" s="3">
        <v>16.6075138478088</v>
      </c>
      <c r="H111" s="3">
        <v>10.371903681575001</v>
      </c>
      <c r="I111" s="3">
        <v>24.649671744314499</v>
      </c>
      <c r="J111" s="3">
        <v>18.890712494968199</v>
      </c>
      <c r="K111" s="3">
        <v>12.949965001581701</v>
      </c>
      <c r="L111" s="3">
        <v>14.732192574893499</v>
      </c>
      <c r="M111" s="3">
        <v>12.9978133031696</v>
      </c>
      <c r="N111" s="3">
        <v>8.4826107969633497</v>
      </c>
    </row>
    <row r="112" spans="1:14" x14ac:dyDescent="0.35">
      <c r="A112" s="2">
        <v>45198</v>
      </c>
      <c r="B112" s="3">
        <v>20.166110375563999</v>
      </c>
      <c r="C112" s="3">
        <v>14.9055833664576</v>
      </c>
      <c r="D112" s="3">
        <v>12.600353431407299</v>
      </c>
      <c r="E112" s="3">
        <v>10.320603646779601</v>
      </c>
      <c r="F112" s="3">
        <v>14.3534068686435</v>
      </c>
      <c r="G112" s="3">
        <v>16.171147660873199</v>
      </c>
      <c r="H112" s="3">
        <v>10.4275401746652</v>
      </c>
      <c r="I112" s="3">
        <v>23.1717903425155</v>
      </c>
      <c r="J112" s="3">
        <v>17.8412646830105</v>
      </c>
      <c r="K112" s="3">
        <v>12.480007527925901</v>
      </c>
      <c r="L112" s="3">
        <v>13.630614616387399</v>
      </c>
      <c r="M112" s="3">
        <v>12.9090225088888</v>
      </c>
      <c r="N112" s="3">
        <v>8.2695902325095503</v>
      </c>
    </row>
    <row r="113" spans="1:25" x14ac:dyDescent="0.35">
      <c r="A113" s="2">
        <v>45231</v>
      </c>
      <c r="B113" s="3">
        <v>19.621055032175299</v>
      </c>
      <c r="C113" s="3">
        <v>14.4188500798774</v>
      </c>
      <c r="D113" s="3">
        <v>12.191315814372199</v>
      </c>
      <c r="E113" s="3">
        <v>9.9620472813969503</v>
      </c>
      <c r="F113" s="3">
        <v>14.0696298448803</v>
      </c>
      <c r="G113" s="3">
        <v>15.5339766215029</v>
      </c>
      <c r="H113" s="3">
        <v>9.9927994002014309</v>
      </c>
      <c r="I113" s="3">
        <v>22.703318793790501</v>
      </c>
      <c r="J113" s="3">
        <v>17.5326213139255</v>
      </c>
      <c r="K113" s="3">
        <v>12.1797733546572</v>
      </c>
      <c r="L113" s="3">
        <v>13.393143514132699</v>
      </c>
      <c r="M113" s="3">
        <v>12.473407374822701</v>
      </c>
      <c r="N113" s="3">
        <v>7.9802880898966997</v>
      </c>
    </row>
    <row r="114" spans="1:25" x14ac:dyDescent="0.35">
      <c r="A114" s="2">
        <v>45261</v>
      </c>
      <c r="B114" s="3">
        <v>21.665963490804099</v>
      </c>
      <c r="C114" s="3">
        <v>15.3253993852093</v>
      </c>
      <c r="D114" s="3">
        <v>13.1174459148558</v>
      </c>
      <c r="E114" s="3">
        <v>11.0287432158153</v>
      </c>
      <c r="F114" s="3">
        <v>14.305263421401399</v>
      </c>
      <c r="G114" s="3">
        <v>16.348057322604301</v>
      </c>
      <c r="H114" s="3">
        <v>10.5927338017729</v>
      </c>
      <c r="I114" s="3">
        <v>24.301703445372699</v>
      </c>
      <c r="J114" s="3">
        <v>18.829160085770599</v>
      </c>
      <c r="K114" s="3">
        <v>13.0055804538944</v>
      </c>
      <c r="L114" s="3">
        <v>14.638563486401299</v>
      </c>
      <c r="M114" s="3">
        <v>14.678132156051699</v>
      </c>
      <c r="N114" s="3">
        <v>8.6468414267766498</v>
      </c>
    </row>
    <row r="115" spans="1:25" x14ac:dyDescent="0.35">
      <c r="A115" s="2">
        <v>45289</v>
      </c>
      <c r="B115" s="3">
        <v>22.9720675812572</v>
      </c>
      <c r="C115" s="3">
        <v>16.457881077490502</v>
      </c>
      <c r="D115" s="3">
        <v>13.673469981736799</v>
      </c>
      <c r="E115" s="3">
        <v>11.167694094965</v>
      </c>
      <c r="F115" s="3">
        <v>14.045621985688101</v>
      </c>
      <c r="G115" s="3">
        <v>16.8506095866157</v>
      </c>
      <c r="H115" s="3">
        <v>11.0068145436794</v>
      </c>
      <c r="I115" s="3">
        <v>25.089694103752699</v>
      </c>
      <c r="J115" s="3">
        <v>19.525187347191402</v>
      </c>
      <c r="K115" s="3">
        <v>13.4147515249339</v>
      </c>
      <c r="L115" s="3">
        <v>15.1008577463554</v>
      </c>
      <c r="M115" s="3">
        <v>15.725990014540301</v>
      </c>
      <c r="N115" s="3">
        <v>8.9013012943078405</v>
      </c>
    </row>
    <row r="116" spans="1:25" x14ac:dyDescent="0.35">
      <c r="A116" s="2">
        <v>45323</v>
      </c>
      <c r="B116" s="3">
        <v>22.406450007676</v>
      </c>
      <c r="C116" s="3">
        <v>16.372425059850599</v>
      </c>
      <c r="D116" s="3">
        <v>13.874034931468801</v>
      </c>
      <c r="E116" s="3">
        <v>11.499093399169301</v>
      </c>
      <c r="F116" s="3">
        <v>14.9467150374184</v>
      </c>
      <c r="G116" s="3">
        <v>17.092505656333699</v>
      </c>
      <c r="H116" s="3">
        <v>11.077722844518499</v>
      </c>
      <c r="I116" s="3">
        <v>25.711426268548401</v>
      </c>
      <c r="J116" s="3">
        <v>20.015176363531701</v>
      </c>
      <c r="K116" s="3">
        <v>13.645432007496501</v>
      </c>
      <c r="L116" s="3">
        <v>15.7137155650965</v>
      </c>
      <c r="M116" s="3">
        <v>15.6483554259479</v>
      </c>
      <c r="N116" s="3">
        <v>8.9912651225544895</v>
      </c>
    </row>
    <row r="117" spans="1:25" x14ac:dyDescent="0.35">
      <c r="A117" s="2">
        <v>45352</v>
      </c>
      <c r="B117" s="3">
        <v>24.677137411275499</v>
      </c>
      <c r="C117" s="3">
        <v>16.680892880068502</v>
      </c>
      <c r="D117" s="3">
        <v>14.3279871696125</v>
      </c>
      <c r="E117" s="3">
        <v>12.053308426905399</v>
      </c>
      <c r="F117" s="3">
        <v>15.8135723186191</v>
      </c>
      <c r="G117" s="3">
        <v>17.474323700383799</v>
      </c>
      <c r="H117" s="3">
        <v>11.2370945393809</v>
      </c>
      <c r="I117" s="3">
        <v>26.5752858984212</v>
      </c>
      <c r="J117" s="3">
        <v>20.632632498486199</v>
      </c>
      <c r="K117" s="3">
        <v>14.3276725915482</v>
      </c>
      <c r="L117" s="3">
        <v>16.001465707810201</v>
      </c>
      <c r="M117" s="3">
        <v>16.362120356773801</v>
      </c>
      <c r="N117" s="3">
        <v>9.3411033059742206</v>
      </c>
    </row>
    <row r="118" spans="1:25" x14ac:dyDescent="0.35">
      <c r="A118" s="2">
        <v>45383</v>
      </c>
      <c r="B118" s="3">
        <v>25.241147622637602</v>
      </c>
      <c r="C118" s="3">
        <v>16.732657793252901</v>
      </c>
      <c r="D118" s="3">
        <v>14.6324596904713</v>
      </c>
      <c r="E118" s="3">
        <v>12.384028156439101</v>
      </c>
      <c r="F118" s="3">
        <v>15.593778430332801</v>
      </c>
      <c r="G118" s="3">
        <v>17.635392701613402</v>
      </c>
      <c r="H118" s="3">
        <v>11.504676066261201</v>
      </c>
      <c r="I118" s="3">
        <v>26.205639252540799</v>
      </c>
      <c r="J118" s="3">
        <v>20.8959236749828</v>
      </c>
      <c r="K118" s="3">
        <v>14.670875740167</v>
      </c>
      <c r="L118" s="3">
        <v>16.349763204003999</v>
      </c>
      <c r="M118" s="3">
        <v>16.3942716371151</v>
      </c>
      <c r="N118" s="3">
        <v>9.80583156251822</v>
      </c>
    </row>
    <row r="119" spans="1:25" x14ac:dyDescent="0.35">
      <c r="A119" s="2">
        <v>45413</v>
      </c>
      <c r="B119" s="3">
        <v>25.088016192463499</v>
      </c>
      <c r="C119" s="3">
        <v>16.177724147926501</v>
      </c>
      <c r="D119" s="3">
        <v>14.051715441763299</v>
      </c>
      <c r="E119" s="3">
        <v>11.8931099218866</v>
      </c>
      <c r="F119" s="3">
        <v>15.413884529507399</v>
      </c>
      <c r="G119" s="3">
        <v>16.561484306728602</v>
      </c>
      <c r="H119" s="3">
        <v>11.5660523313369</v>
      </c>
      <c r="I119" s="3">
        <v>24.565723983765199</v>
      </c>
      <c r="J119" s="3">
        <v>19.7483519516529</v>
      </c>
      <c r="K119" s="3">
        <v>14.376252559162401</v>
      </c>
      <c r="L119" s="3">
        <v>15.578237631608699</v>
      </c>
      <c r="M119" s="3">
        <v>16.0043479294402</v>
      </c>
      <c r="N119" s="3">
        <v>9.5545908399122101</v>
      </c>
    </row>
    <row r="120" spans="1:25" x14ac:dyDescent="0.35">
      <c r="A120" s="2">
        <v>45443</v>
      </c>
      <c r="B120" s="3">
        <v>25.378216482170298</v>
      </c>
      <c r="C120" s="3">
        <v>16.552692977632901</v>
      </c>
      <c r="D120" s="3">
        <v>14.312540252208899</v>
      </c>
      <c r="E120" s="3">
        <v>11.856097477080899</v>
      </c>
      <c r="F120" s="3">
        <v>15.576230007633701</v>
      </c>
      <c r="G120" s="3">
        <v>17.321949553688299</v>
      </c>
      <c r="H120" s="3">
        <v>11.670354049823001</v>
      </c>
      <c r="I120" s="3">
        <v>25.736965580623401</v>
      </c>
      <c r="J120" s="3">
        <v>20.471961006970702</v>
      </c>
      <c r="K120" s="3">
        <v>14.2764037688898</v>
      </c>
      <c r="L120" s="3">
        <v>16.0789608252623</v>
      </c>
      <c r="M120" s="3">
        <v>16.186037700678298</v>
      </c>
      <c r="N120" s="3">
        <v>9.7093608648118792</v>
      </c>
    </row>
    <row r="121" spans="1:25" x14ac:dyDescent="0.35">
      <c r="A121" s="2">
        <v>45474</v>
      </c>
      <c r="B121" s="3">
        <v>23.981163501574301</v>
      </c>
      <c r="C121" s="3">
        <v>16.813658235075099</v>
      </c>
      <c r="D121" s="3">
        <v>13.9260134154017</v>
      </c>
      <c r="E121" s="3">
        <v>11.7614814026525</v>
      </c>
      <c r="F121" s="3">
        <v>15.6683594386812</v>
      </c>
      <c r="G121" s="3">
        <v>17.1070845909661</v>
      </c>
      <c r="H121" s="3">
        <v>11.3551987536315</v>
      </c>
      <c r="I121" s="3">
        <v>27.0967871335857</v>
      </c>
      <c r="J121" s="3">
        <v>21.042559103932199</v>
      </c>
      <c r="K121" s="3">
        <v>13.5283860807075</v>
      </c>
      <c r="L121" s="3">
        <v>16.200437343005699</v>
      </c>
      <c r="M121" s="3">
        <v>16.056498424938301</v>
      </c>
      <c r="N121" s="3">
        <v>9.4304556614810906</v>
      </c>
    </row>
    <row r="122" spans="1:25" x14ac:dyDescent="0.35">
      <c r="A122" s="2">
        <v>45502</v>
      </c>
      <c r="B122" s="3">
        <v>24.889308760795601</v>
      </c>
      <c r="C122" s="3">
        <v>17.2480581309438</v>
      </c>
      <c r="D122" s="3">
        <v>14.3643577959352</v>
      </c>
      <c r="E122" s="3">
        <v>11.7568586327834</v>
      </c>
      <c r="F122" s="3">
        <v>15.039820236028801</v>
      </c>
      <c r="G122" s="3">
        <v>17.3232210028434</v>
      </c>
      <c r="H122" s="3">
        <v>11.613644881033</v>
      </c>
      <c r="I122" s="3">
        <v>26.0955667512413</v>
      </c>
      <c r="J122" s="3">
        <v>20.687136624510099</v>
      </c>
      <c r="K122" s="3">
        <v>13.501227993637301</v>
      </c>
      <c r="L122" s="3">
        <v>15.341222739939299</v>
      </c>
      <c r="M122" s="3">
        <v>16.114020879799401</v>
      </c>
      <c r="N122" s="3">
        <v>9.6856178793627308</v>
      </c>
    </row>
    <row r="124" spans="1:25" x14ac:dyDescent="0.35">
      <c r="A124" s="2" t="s">
        <v>91</v>
      </c>
      <c r="B124" s="3" cm="1">
        <f t="array" ref="B124">MIN(_xlfn._xlws.FILTER(B1:B122, ISNUMBER(B1:B122)))</f>
        <v>16.963128210001901</v>
      </c>
      <c r="C124" s="3" cm="1">
        <f t="array" ref="C124">MIN(_xlfn._xlws.FILTER(C1:C122, ISNUMBER(C1:C122)))</f>
        <v>12.472434732323901</v>
      </c>
      <c r="D124" s="3" cm="1">
        <f t="array" ref="D124">MIN(_xlfn._xlws.FILTER(D1:D122, ISNUMBER(D1:D122)))</f>
        <v>10.7655574557414</v>
      </c>
      <c r="E124" s="3" cm="1">
        <f t="array" ref="E124">MIN(_xlfn._xlws.FILTER(E1:E122, ISNUMBER(E1:E122)))</f>
        <v>8.99432918296975</v>
      </c>
      <c r="F124" s="3" cm="1">
        <f t="array" ref="F124">MIN(_xlfn._xlws.FILTER(F1:F122, ISNUMBER(F1:F122)))</f>
        <v>11.1043383882119</v>
      </c>
      <c r="G124" s="3" cm="1">
        <f t="array" ref="G124">MIN(_xlfn._xlws.FILTER(G1:G122, ISNUMBER(G1:G122)))</f>
        <v>14.4906295812933</v>
      </c>
      <c r="H124" s="3" cm="1">
        <f t="array" ref="H124">MIN(_xlfn._xlws.FILTER(H1:H122, ISNUMBER(H1:H122)))</f>
        <v>8.5551344350877194</v>
      </c>
      <c r="I124" s="3" cm="1">
        <f t="array" ref="I124">MIN(_xlfn._xlws.FILTER(I1:I122, ISNUMBER(I1:I122)))</f>
        <v>16.743996242218699</v>
      </c>
      <c r="J124" s="3" cm="1">
        <f t="array" ref="J124">MIN(_xlfn._xlws.FILTER(J1:J122, ISNUMBER(J1:J122)))</f>
        <v>14.3997586310989</v>
      </c>
      <c r="K124" s="3" cm="1">
        <f t="array" ref="K124">MIN(_xlfn._xlws.FILTER(K1:K122, ISNUMBER(K1:K122)))</f>
        <v>10.2198600502701</v>
      </c>
      <c r="L124" s="3" cm="1">
        <f t="array" ref="L124">MIN(_xlfn._xlws.FILTER(L1:L122, ISNUMBER(L1:L122)))</f>
        <v>13.087477310085299</v>
      </c>
      <c r="M124" s="3" cm="1">
        <f t="array" ref="M124">MIN(_xlfn._xlws.FILTER(M1:M122, ISNUMBER(M1:M122)))</f>
        <v>12.473407374822701</v>
      </c>
      <c r="N124" s="3" cm="1">
        <f t="array" ref="N124">MIN(_xlfn._xlws.FILTER(N1:N122, ISNUMBER(N1:N122)))</f>
        <v>7.2112670719934604</v>
      </c>
    </row>
    <row r="125" spans="1:25" x14ac:dyDescent="0.35">
      <c r="A125" s="2" t="s">
        <v>92</v>
      </c>
      <c r="B125" s="3" cm="1">
        <f t="array" ref="B125">MAX(_xlfn._xlws.FILTER(B1:B122, ISNUMBER(B1:B122)))</f>
        <v>34.896386913120303</v>
      </c>
      <c r="C125" s="3" cm="1">
        <f t="array" ref="C125">MAX(_xlfn._xlws.FILTER(C1:C122, ISNUMBER(C1:C122)))</f>
        <v>19.6652027768605</v>
      </c>
      <c r="D125" s="3" cm="1">
        <f t="array" ref="D125">MAX(_xlfn._xlws.FILTER(D1:D122, ISNUMBER(D1:D122)))</f>
        <v>17.889235049309601</v>
      </c>
      <c r="E125" s="3" cm="1">
        <f t="array" ref="E125">MAX(_xlfn._xlws.FILTER(E1:E122, ISNUMBER(E1:E122)))</f>
        <v>17.761099845349499</v>
      </c>
      <c r="F125" s="3" cm="1">
        <f t="array" ref="F125">MAX(_xlfn._xlws.FILTER(F1:F122, ISNUMBER(F1:F122)))</f>
        <v>18.586510844645701</v>
      </c>
      <c r="G125" s="3" cm="1">
        <f t="array" ref="G125">MAX(_xlfn._xlws.FILTER(G1:G122, ISNUMBER(G1:G122)))</f>
        <v>19.8946170955432</v>
      </c>
      <c r="H125" s="3" cm="1">
        <f t="array" ref="H125">MAX(_xlfn._xlws.FILTER(H1:H122, ISNUMBER(H1:H122)))</f>
        <v>16.217559099455599</v>
      </c>
      <c r="I125" s="3" cm="1">
        <f t="array" ref="I125">MAX(_xlfn._xlws.FILTER(I1:I122, ISNUMBER(I1:I122)))</f>
        <v>31.9928277239819</v>
      </c>
      <c r="J125" s="3" cm="1">
        <f t="array" ref="J125">MAX(_xlfn._xlws.FILTER(J1:J122, ISNUMBER(J1:J122)))</f>
        <v>23.025863285350599</v>
      </c>
      <c r="K125" s="3" cm="1">
        <f t="array" ref="K125">MAX(_xlfn._xlws.FILTER(K1:K122, ISNUMBER(K1:K122)))</f>
        <v>19.2534713941739</v>
      </c>
      <c r="L125" s="3" cm="1">
        <f t="array" ref="L125">MAX(_xlfn._xlws.FILTER(L1:L122, ISNUMBER(L1:L122)))</f>
        <v>22.738661544925598</v>
      </c>
      <c r="M125" s="3" cm="1">
        <f t="array" ref="M125">MAX(_xlfn._xlws.FILTER(M1:M122, ISNUMBER(M1:M122)))</f>
        <v>20.275064249258701</v>
      </c>
      <c r="N125" s="3" cm="1">
        <f t="array" ref="N125">MAX(_xlfn._xlws.FILTER(N1:N122, ISNUMBER(N1:N122)))</f>
        <v>17.4647267429648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0.67200000000000004</v>
      </c>
      <c r="C127" s="9" cm="1">
        <f t="array" ref="C127">_xlfn.PERCENTRANK.EXC(_xlfn._xlws.FILTER(C1:C122, ISNUMBER(C1:C122)),C122)</f>
        <v>0.84399999999999997</v>
      </c>
      <c r="D127" s="9" cm="1">
        <f t="array" ref="D127">_xlfn.PERCENTRANK.EXC(_xlfn._xlws.FILTER(D1:D122, ISNUMBER(D1:D122)),D122)</f>
        <v>0.47499999999999998</v>
      </c>
      <c r="E127" s="9" cm="1">
        <f t="array" ref="E127">_xlfn.PERCENTRANK.EXC(_xlfn._xlws.FILTER(E1:E122, ISNUMBER(E1:E122)),E122)</f>
        <v>0.254</v>
      </c>
      <c r="F127" s="9" cm="1">
        <f t="array" ref="F127">_xlfn.PERCENTRANK.EXC(_xlfn._xlws.FILTER(F1:F122, ISNUMBER(F1:F122)),F122)</f>
        <v>0.754</v>
      </c>
      <c r="G127" s="9" cm="1">
        <f t="array" ref="G127">_xlfn.PERCENTRANK.EXC(_xlfn._xlws.FILTER(G1:G122, ISNUMBER(G1:G122)),G122)</f>
        <v>0.59</v>
      </c>
      <c r="H127" s="9" cm="1">
        <f t="array" ref="H127">_xlfn.PERCENTRANK.EXC(_xlfn._xlws.FILTER(H1:H122, ISNUMBER(H1:H122)),H122)</f>
        <v>0.23699999999999999</v>
      </c>
      <c r="I127" s="9" cm="1">
        <f t="array" ref="I127">_xlfn.PERCENTRANK.EXC(_xlfn._xlws.FILTER(I1:I122, ISNUMBER(I1:I122)),I122)</f>
        <v>0.78600000000000003</v>
      </c>
      <c r="J127" s="9" cm="1">
        <f t="array" ref="J127">_xlfn.PERCENTRANK.EXC(_xlfn._xlws.FILTER(J1:J122, ISNUMBER(J1:J122)),J122)</f>
        <v>0.83599999999999997</v>
      </c>
      <c r="K127" s="9" cm="1">
        <f t="array" ref="K127">_xlfn.PERCENTRANK.EXC(_xlfn._xlws.FILTER(K1:K122, ISNUMBER(K1:K122)),K122)</f>
        <v>0.26200000000000001</v>
      </c>
      <c r="L127" s="9" cm="1">
        <f t="array" ref="L127">_xlfn.PERCENTRANK.EXC(_xlfn._xlws.FILTER(L1:L122, ISNUMBER(L1:L122)),L122)</f>
        <v>0.311</v>
      </c>
      <c r="M127" s="9" cm="1">
        <f t="array" ref="M127">_xlfn.PERCENTRANK.EXC(_xlfn._xlws.FILTER(M1:M122, ISNUMBER(M1:M122)),M122)</f>
        <v>0.65500000000000003</v>
      </c>
      <c r="N127" s="9" cm="1">
        <f t="array" ref="N127">_xlfn.PERCENTRANK.EXC(_xlfn._xlws.FILTER(N1:N122, ISNUMBER(N1:N122)),N122)</f>
        <v>0.245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41852</v>
      </c>
      <c r="B2" s="3" cm="1">
        <f t="array" ref="B2:B122">_xll.FDS(B1,"FMA_DIV_YLD(NTMA,-10AY,0,AM,""PORTAGG"",""MEANR"")")</f>
        <v>4.5073231929041704</v>
      </c>
      <c r="C2" s="3" cm="1">
        <f t="array" ref="C2:C122">_xll.FDS(C1,"FMA_DIV_YLD(NTMA,-10AY,0,AM,""PORTAGG"",""MEANR"")")</f>
        <v>4.7104449743113603</v>
      </c>
      <c r="D2" s="3" cm="1">
        <f t="array" ref="D2:D122">_xll.FDS(D1,"FMA_DIV_YLD(NTMA,-10AY,0,AM,""PORTAGG"",""MEANR"")")</f>
        <v>2.8010116764488302</v>
      </c>
      <c r="E2" s="3" cm="1">
        <f t="array" ref="E2:E122">_xll.FDS(E1,"FMA_DIV_YLD(NTMA,-10AY,0,AM,""PORTAGG"",""MEANR"")")</f>
        <v>3.2570429575131601</v>
      </c>
      <c r="F2" s="3" cm="1">
        <f t="array" ref="F2:F122">_xll.FDS(F1,"FMA_DIV_YLD(NTMA,-10AY,0,AM,""PORTAGG"",""MEANR"")")</f>
        <v>2.05814286020646</v>
      </c>
      <c r="G2" s="3" cm="1">
        <f t="array" ref="G2:G122">_xll.FDS(G1,"FMA_DIV_YLD(NTMA,-10AY,0,AM,""PORTAGG"",""MEANR"")")</f>
        <v>3.3915889322552402</v>
      </c>
      <c r="H2" s="3" cm="1">
        <f t="array" ref="H2:H122">_xll.FDS(H1,"FMA_DIV_YLD(NTMA,-10AY,0,AM,""PORTAGG"",""MEANR"")")</f>
        <v>3.9447215028552298</v>
      </c>
      <c r="I2" s="3" cm="1">
        <f t="array" ref="I2:I122">_xll.FDS(I1,"FMA_DIV_YLD(NTMA,-10AY,0,AM,""PORTAGG"",""MEANR"")")</f>
        <v>1.2688900035794599</v>
      </c>
      <c r="J2" s="3" cm="1">
        <f t="array" ref="J2:J122">_xll.FDS(J1,"FMA_DIV_YLD(NTMA,-10AY,0,AM,""PORTAGG"",""MEANR"")")</f>
        <v>2.1562800576019701</v>
      </c>
      <c r="K2" s="3" cm="1">
        <f t="array" ref="K2:K122">_xll.FDS(K1,"FMA_DIV_YLD(NTMA,-10AY,0,AM,""PORTAGG"",""MEANR"")")</f>
        <v>3.6352316836299798</v>
      </c>
      <c r="L2" s="3" cm="1">
        <f t="array" ref="L2:L122">_xll.FDS(L1,"FMA_DIV_YLD(NTMA,-10AY,0,AM,""PORTAGG"",""MEANR"")")</f>
        <v>2.9964627617528099</v>
      </c>
      <c r="M2" s="3" cm="1">
        <f t="array" ref="M2:M122">_xll.FDS(M1,"FMA_DIV_YLD(NTMA,-10AY,0,AM,""PORTAGG"",""MEANR"")")</f>
        <v>4.2837949674724998</v>
      </c>
      <c r="N2" s="3" cm="1">
        <f t="array" ref="N2:N122">_xll.FDS(N1,"FMA_DIV_YLD(NTMA,-10AY,0,AM,""PORTAGG"",""MEANR"")")</f>
        <v>3.5635026708345601</v>
      </c>
    </row>
    <row r="3" spans="1:14" x14ac:dyDescent="0.35">
      <c r="A3" s="2">
        <v>41880</v>
      </c>
      <c r="B3" s="3">
        <v>4.53899776998386</v>
      </c>
      <c r="C3" s="3">
        <v>4.6877023864786302</v>
      </c>
      <c r="D3" s="3">
        <v>2.7501300436627099</v>
      </c>
      <c r="E3" s="3">
        <v>3.1761892656951098</v>
      </c>
      <c r="F3" s="3">
        <v>2.0837418014011302</v>
      </c>
      <c r="G3" s="3">
        <v>3.3253010010495698</v>
      </c>
      <c r="H3" s="3">
        <v>3.8939000024378001</v>
      </c>
      <c r="I3" s="3">
        <v>1.21275980992652</v>
      </c>
      <c r="J3" s="3">
        <v>2.0861312340587199</v>
      </c>
      <c r="K3" s="3">
        <v>3.53449264250309</v>
      </c>
      <c r="L3" s="3">
        <v>2.9875368558412001</v>
      </c>
      <c r="M3" s="3">
        <v>4.2168443615278202</v>
      </c>
      <c r="N3" s="3">
        <v>3.58687276806257</v>
      </c>
    </row>
    <row r="4" spans="1:14" x14ac:dyDescent="0.35">
      <c r="A4" s="2">
        <v>41913</v>
      </c>
      <c r="B4" s="3">
        <v>4.5657986288742398</v>
      </c>
      <c r="C4" s="3">
        <v>5.03261016162282</v>
      </c>
      <c r="D4" s="3">
        <v>2.9116380752544799</v>
      </c>
      <c r="E4" s="3">
        <v>3.2223176580968298</v>
      </c>
      <c r="F4" s="3">
        <v>2.0363402886647499</v>
      </c>
      <c r="G4" s="3">
        <v>3.3502160364617799</v>
      </c>
      <c r="H4" s="3">
        <v>4.0874037033020496</v>
      </c>
      <c r="I4" s="3">
        <v>1.2598621491169799</v>
      </c>
      <c r="J4" s="3">
        <v>2.1618858264556602</v>
      </c>
      <c r="K4" s="3">
        <v>3.5995646945954101</v>
      </c>
      <c r="L4" s="3">
        <v>3.0272738934752499</v>
      </c>
      <c r="M4" s="3">
        <v>4.2692332893689899</v>
      </c>
      <c r="N4" s="3">
        <v>3.6719939070224599</v>
      </c>
    </row>
    <row r="5" spans="1:14" x14ac:dyDescent="0.35">
      <c r="A5" s="2">
        <v>41943</v>
      </c>
      <c r="B5" s="3">
        <v>4.5048395410641398</v>
      </c>
      <c r="C5" s="3">
        <v>4.8244225696928398</v>
      </c>
      <c r="D5" s="3">
        <v>2.9628185389949699</v>
      </c>
      <c r="E5" s="3">
        <v>3.2665099932034498</v>
      </c>
      <c r="F5" s="3">
        <v>2.02193698969938</v>
      </c>
      <c r="G5" s="3">
        <v>3.3234686035494598</v>
      </c>
      <c r="H5" s="3">
        <v>4.0920695337017499</v>
      </c>
      <c r="I5" s="3">
        <v>1.22378485612699</v>
      </c>
      <c r="J5" s="3">
        <v>2.1065324113141402</v>
      </c>
      <c r="K5" s="3">
        <v>3.6976174728139499</v>
      </c>
      <c r="L5" s="3">
        <v>3.1016778638384199</v>
      </c>
      <c r="M5" s="3">
        <v>4.1758112454866598</v>
      </c>
      <c r="N5" s="3">
        <v>3.8600860482479802</v>
      </c>
    </row>
    <row r="6" spans="1:14" x14ac:dyDescent="0.35">
      <c r="A6" s="2">
        <v>41974</v>
      </c>
      <c r="B6" s="3">
        <v>4.5742202477193699</v>
      </c>
      <c r="C6" s="3">
        <v>5.1495836123561398</v>
      </c>
      <c r="D6" s="3">
        <v>2.9553543961065301</v>
      </c>
      <c r="E6" s="3">
        <v>3.1335052285264902</v>
      </c>
      <c r="F6" s="3">
        <v>1.93451284774106</v>
      </c>
      <c r="G6" s="3">
        <v>3.2309647358283802</v>
      </c>
      <c r="H6" s="3">
        <v>4.0635097352763596</v>
      </c>
      <c r="I6" s="3">
        <v>1.2035150310817999</v>
      </c>
      <c r="J6" s="3">
        <v>2.08959495379335</v>
      </c>
      <c r="K6" s="3">
        <v>3.5623170295476201</v>
      </c>
      <c r="L6" s="3">
        <v>3.0035067152288901</v>
      </c>
      <c r="M6" s="3">
        <v>4.1071234902038203</v>
      </c>
      <c r="N6" s="3">
        <v>3.8917559774113801</v>
      </c>
    </row>
    <row r="7" spans="1:14" x14ac:dyDescent="0.35">
      <c r="A7" s="2">
        <v>42004</v>
      </c>
      <c r="B7" s="3">
        <v>4.4360364985371801</v>
      </c>
      <c r="C7" s="3">
        <v>4.9655492920777098</v>
      </c>
      <c r="D7" s="3">
        <v>2.9269196511515401</v>
      </c>
      <c r="E7" s="3">
        <v>3.1914897834533802</v>
      </c>
      <c r="F7" s="3">
        <v>1.96975335127454</v>
      </c>
      <c r="G7" s="3">
        <v>3.30343855307156</v>
      </c>
      <c r="H7" s="3">
        <v>4.13171988007349</v>
      </c>
      <c r="I7" s="3">
        <v>1.2052210367990099</v>
      </c>
      <c r="J7" s="3">
        <v>2.1002609350984098</v>
      </c>
      <c r="K7" s="3">
        <v>3.6305396697283498</v>
      </c>
      <c r="L7" s="3">
        <v>3.07635052922722</v>
      </c>
      <c r="M7" s="3">
        <v>4.0924420991354404</v>
      </c>
      <c r="N7" s="3">
        <v>4.08215400071101</v>
      </c>
    </row>
    <row r="8" spans="1:14" x14ac:dyDescent="0.35">
      <c r="A8" s="2">
        <v>42034</v>
      </c>
      <c r="B8" s="3">
        <v>4.3341534194523401</v>
      </c>
      <c r="C8" s="3">
        <v>4.85263383422431</v>
      </c>
      <c r="D8" s="3">
        <v>2.9582966929683998</v>
      </c>
      <c r="E8" s="3">
        <v>2.9441279703492298</v>
      </c>
      <c r="F8" s="3">
        <v>2.0059378958779299</v>
      </c>
      <c r="G8" s="3">
        <v>3.3808683677697098</v>
      </c>
      <c r="H8" s="3">
        <v>4.0742257622111797</v>
      </c>
      <c r="I8" s="3">
        <v>1.24061559788852</v>
      </c>
      <c r="J8" s="3">
        <v>2.19446282471469</v>
      </c>
      <c r="K8" s="3">
        <v>3.3695858936804699</v>
      </c>
      <c r="L8" s="3">
        <v>2.90003273270605</v>
      </c>
      <c r="M8" s="3">
        <v>3.8497100142387701</v>
      </c>
      <c r="N8" s="3">
        <v>3.7925815159902099</v>
      </c>
    </row>
    <row r="9" spans="1:14" x14ac:dyDescent="0.35">
      <c r="A9" s="2">
        <v>42062</v>
      </c>
      <c r="B9" s="3">
        <v>4.2622728581580498</v>
      </c>
      <c r="C9" s="3">
        <v>4.5482874033505203</v>
      </c>
      <c r="D9" s="3">
        <v>2.84975029796081</v>
      </c>
      <c r="E9" s="3">
        <v>2.7817321445467802</v>
      </c>
      <c r="F9" s="3">
        <v>1.87834190262488</v>
      </c>
      <c r="G9" s="3">
        <v>3.1584835698833902</v>
      </c>
      <c r="H9" s="3">
        <v>3.8845579202623099</v>
      </c>
      <c r="I9" s="3">
        <v>1.21346631716943</v>
      </c>
      <c r="J9" s="3">
        <v>2.0987376201391101</v>
      </c>
      <c r="K9" s="3">
        <v>3.12865411889008</v>
      </c>
      <c r="L9" s="3">
        <v>2.71372282178949</v>
      </c>
      <c r="M9" s="3">
        <v>3.5944542145726501</v>
      </c>
      <c r="N9" s="3">
        <v>3.4145751083191298</v>
      </c>
    </row>
    <row r="10" spans="1:14" x14ac:dyDescent="0.35">
      <c r="A10" s="2">
        <v>42095</v>
      </c>
      <c r="B10" s="3">
        <v>4.40717639045626</v>
      </c>
      <c r="C10" s="3">
        <v>4.6334513671831496</v>
      </c>
      <c r="D10" s="3">
        <v>2.9061553985972202</v>
      </c>
      <c r="E10" s="3">
        <v>2.6761777760309502</v>
      </c>
      <c r="F10" s="3">
        <v>1.90233720110599</v>
      </c>
      <c r="G10" s="3">
        <v>3.1418429821542899</v>
      </c>
      <c r="H10" s="3">
        <v>4.0335097939731597</v>
      </c>
      <c r="I10" s="3">
        <v>1.28284620116048</v>
      </c>
      <c r="J10" s="3">
        <v>2.1878526045973001</v>
      </c>
      <c r="K10" s="3">
        <v>3.1813045727914799</v>
      </c>
      <c r="L10" s="3">
        <v>2.6753684182169102</v>
      </c>
      <c r="M10" s="3">
        <v>3.6723503408736202</v>
      </c>
      <c r="N10" s="3">
        <v>3.1246996377791998</v>
      </c>
    </row>
    <row r="11" spans="1:14" x14ac:dyDescent="0.35">
      <c r="A11" s="2">
        <v>42125</v>
      </c>
      <c r="B11" s="3">
        <v>4.4598945635700602</v>
      </c>
      <c r="C11" s="3">
        <v>4.6577473100721498</v>
      </c>
      <c r="D11" s="3">
        <v>2.8202352580427501</v>
      </c>
      <c r="E11" s="3">
        <v>2.8582508474297699</v>
      </c>
      <c r="F11" s="3">
        <v>1.8620372573981501</v>
      </c>
      <c r="G11" s="3">
        <v>3.09952287960115</v>
      </c>
      <c r="H11" s="3">
        <v>3.9072735492385302</v>
      </c>
      <c r="I11" s="3">
        <v>1.2376520692410999</v>
      </c>
      <c r="J11" s="3">
        <v>2.1493103173069601</v>
      </c>
      <c r="K11" s="3">
        <v>3.2503279245133299</v>
      </c>
      <c r="L11" s="3">
        <v>2.7461343999879002</v>
      </c>
      <c r="M11" s="3">
        <v>3.7982988881022099</v>
      </c>
      <c r="N11" s="3">
        <v>3.19624753464953</v>
      </c>
    </row>
    <row r="12" spans="1:14" x14ac:dyDescent="0.35">
      <c r="A12" s="2">
        <v>42156</v>
      </c>
      <c r="B12" s="3">
        <v>4.4311753700502301</v>
      </c>
      <c r="C12" s="3">
        <v>4.7440096685478599</v>
      </c>
      <c r="D12" s="3">
        <v>2.8891695231038801</v>
      </c>
      <c r="E12" s="3">
        <v>2.93226550337666</v>
      </c>
      <c r="F12" s="3">
        <v>1.8335013109692899</v>
      </c>
      <c r="G12" s="3">
        <v>3.1217954994791399</v>
      </c>
      <c r="H12" s="3">
        <v>3.94401885606583</v>
      </c>
      <c r="I12" s="3">
        <v>1.2351294957358601</v>
      </c>
      <c r="J12" s="3">
        <v>2.1567771792010602</v>
      </c>
      <c r="K12" s="3">
        <v>3.2894436982314601</v>
      </c>
      <c r="L12" s="3">
        <v>2.83231376674112</v>
      </c>
      <c r="M12" s="3">
        <v>3.7860299811060498</v>
      </c>
      <c r="N12" s="3">
        <v>3.2174650099643598</v>
      </c>
    </row>
    <row r="13" spans="1:14" x14ac:dyDescent="0.35">
      <c r="A13" s="2">
        <v>42186</v>
      </c>
      <c r="B13" s="3">
        <v>4.6451646509474998</v>
      </c>
      <c r="C13" s="3">
        <v>4.9262442465480598</v>
      </c>
      <c r="D13" s="3">
        <v>3.01368472075686</v>
      </c>
      <c r="E13" s="3">
        <v>3.03240810569487</v>
      </c>
      <c r="F13" s="3">
        <v>1.91473264454382</v>
      </c>
      <c r="G13" s="3">
        <v>3.2559434656937198</v>
      </c>
      <c r="H13" s="3">
        <v>4.1566508716876198</v>
      </c>
      <c r="I13" s="3">
        <v>1.26221462242627</v>
      </c>
      <c r="J13" s="3">
        <v>2.19209717598785</v>
      </c>
      <c r="K13" s="3">
        <v>3.3938360996755401</v>
      </c>
      <c r="L13" s="3">
        <v>2.9095395102261401</v>
      </c>
      <c r="M13" s="3">
        <v>3.9872222331255598</v>
      </c>
      <c r="N13" s="3">
        <v>3.27847035763845</v>
      </c>
    </row>
    <row r="14" spans="1:14" x14ac:dyDescent="0.35">
      <c r="A14" s="2">
        <v>42216</v>
      </c>
      <c r="B14" s="3">
        <v>4.5533712011916601</v>
      </c>
      <c r="C14" s="3">
        <v>4.8021964473910099</v>
      </c>
      <c r="D14" s="3">
        <v>3.0629996926862799</v>
      </c>
      <c r="E14" s="3">
        <v>3.0122105581785901</v>
      </c>
      <c r="F14" s="3">
        <v>1.8975566776964901</v>
      </c>
      <c r="G14" s="3">
        <v>3.1022687086928</v>
      </c>
      <c r="H14" s="3">
        <v>4.0964170082160001</v>
      </c>
      <c r="I14" s="3">
        <v>1.26115963601434</v>
      </c>
      <c r="J14" s="3">
        <v>2.1873912404734499</v>
      </c>
      <c r="K14" s="3">
        <v>3.2915720318120001</v>
      </c>
      <c r="L14" s="3">
        <v>2.8900662201743001</v>
      </c>
      <c r="M14" s="3">
        <v>3.9554093087774298</v>
      </c>
      <c r="N14" s="3">
        <v>3.1165728231883199</v>
      </c>
    </row>
    <row r="15" spans="1:14" x14ac:dyDescent="0.35">
      <c r="A15" s="2">
        <v>42248</v>
      </c>
      <c r="B15" s="3">
        <v>5.1055569414482003</v>
      </c>
      <c r="C15" s="3">
        <v>5.4397081465696404</v>
      </c>
      <c r="D15" s="3">
        <v>3.25070679775797</v>
      </c>
      <c r="E15" s="3">
        <v>3.4110356521677199</v>
      </c>
      <c r="F15" s="3">
        <v>2.1573460081929898</v>
      </c>
      <c r="G15" s="3">
        <v>3.39137571869915</v>
      </c>
      <c r="H15" s="3">
        <v>4.54183384843056</v>
      </c>
      <c r="I15" s="3">
        <v>1.4049393640947601</v>
      </c>
      <c r="J15" s="3">
        <v>2.4218898721605902</v>
      </c>
      <c r="K15" s="3">
        <v>3.69581072967617</v>
      </c>
      <c r="L15" s="3">
        <v>3.46125880002886</v>
      </c>
      <c r="M15" s="3">
        <v>4.3904799007842499</v>
      </c>
      <c r="N15" s="3">
        <v>3.4599284608760401</v>
      </c>
    </row>
    <row r="16" spans="1:14" x14ac:dyDescent="0.35">
      <c r="A16" s="2">
        <v>42278</v>
      </c>
      <c r="B16" s="3">
        <v>5.3054839031578496</v>
      </c>
      <c r="C16" s="3">
        <v>5.38236887351386</v>
      </c>
      <c r="D16" s="3">
        <v>3.3235318406120999</v>
      </c>
      <c r="E16" s="3">
        <v>3.51147868780938</v>
      </c>
      <c r="F16" s="3">
        <v>2.2209929115241001</v>
      </c>
      <c r="G16" s="3">
        <v>3.45124196958065</v>
      </c>
      <c r="H16" s="3">
        <v>4.47706794942708</v>
      </c>
      <c r="I16" s="3">
        <v>1.39149108690901</v>
      </c>
      <c r="J16" s="3">
        <v>2.4158124254337299</v>
      </c>
      <c r="K16" s="3">
        <v>3.78580525103254</v>
      </c>
      <c r="L16" s="3">
        <v>3.6166270588878899</v>
      </c>
      <c r="M16" s="3">
        <v>4.6054126725398596</v>
      </c>
      <c r="N16" s="3">
        <v>3.7411786895758201</v>
      </c>
    </row>
    <row r="17" spans="1:14" x14ac:dyDescent="0.35">
      <c r="A17" s="2">
        <v>42307</v>
      </c>
      <c r="B17" s="3">
        <v>4.9239741674362696</v>
      </c>
      <c r="C17" s="3">
        <v>5.2340495529272104</v>
      </c>
      <c r="D17" s="3">
        <v>3.2672166108954799</v>
      </c>
      <c r="E17" s="3">
        <v>2.9922005070834201</v>
      </c>
      <c r="F17" s="3">
        <v>2.0513541392902299</v>
      </c>
      <c r="G17" s="3">
        <v>3.2612105382981298</v>
      </c>
      <c r="H17" s="3">
        <v>4.2449180624595799</v>
      </c>
      <c r="I17" s="3">
        <v>1.27153351470829</v>
      </c>
      <c r="J17" s="3">
        <v>2.24984846935225</v>
      </c>
      <c r="K17" s="3">
        <v>3.4321060793834399</v>
      </c>
      <c r="L17" s="3">
        <v>3.2574894017875202</v>
      </c>
      <c r="M17" s="3">
        <v>4.2041751776482297</v>
      </c>
      <c r="N17" s="3">
        <v>3.5464937087541402</v>
      </c>
    </row>
    <row r="18" spans="1:14" x14ac:dyDescent="0.35">
      <c r="A18" s="2">
        <v>42339</v>
      </c>
      <c r="B18" s="3">
        <v>4.7778843530111201</v>
      </c>
      <c r="C18" s="3">
        <v>5.1688046886875503</v>
      </c>
      <c r="D18" s="3">
        <v>3.2460726359073599</v>
      </c>
      <c r="E18" s="3">
        <v>2.8952002119559599</v>
      </c>
      <c r="F18" s="3">
        <v>2.0113649625455698</v>
      </c>
      <c r="G18" s="3">
        <v>3.2448355292783502</v>
      </c>
      <c r="H18" s="3">
        <v>4.1747144128513503</v>
      </c>
      <c r="I18" s="3">
        <v>1.2591347315072099</v>
      </c>
      <c r="J18" s="3">
        <v>2.2520441642242099</v>
      </c>
      <c r="K18" s="3">
        <v>3.4113514037128199</v>
      </c>
      <c r="L18" s="3">
        <v>3.1292636811063201</v>
      </c>
      <c r="M18" s="3">
        <v>4.1004992942577303</v>
      </c>
      <c r="N18" s="3">
        <v>3.5624571504425302</v>
      </c>
    </row>
    <row r="19" spans="1:14" x14ac:dyDescent="0.35">
      <c r="A19" s="2">
        <v>42369</v>
      </c>
      <c r="B19" s="3">
        <v>4.7251598090588898</v>
      </c>
      <c r="C19" s="3">
        <v>5.0962560197721301</v>
      </c>
      <c r="D19" s="3">
        <v>3.3535405693636999</v>
      </c>
      <c r="E19" s="3">
        <v>3.0291933924976502</v>
      </c>
      <c r="F19" s="3">
        <v>2.09547306420622</v>
      </c>
      <c r="G19" s="3">
        <v>3.2704094504136698</v>
      </c>
      <c r="H19" s="3">
        <v>4.3085630194237696</v>
      </c>
      <c r="I19" s="3">
        <v>1.2599780433658301</v>
      </c>
      <c r="J19" s="3">
        <v>2.3146834111961798</v>
      </c>
      <c r="K19" s="3">
        <v>3.60193863288813</v>
      </c>
      <c r="L19" s="3">
        <v>3.1578447626867199</v>
      </c>
      <c r="M19" s="3">
        <v>4.3132758780682803</v>
      </c>
      <c r="N19" s="3">
        <v>3.8318095522954301</v>
      </c>
    </row>
    <row r="20" spans="1:14" x14ac:dyDescent="0.35">
      <c r="A20" s="2">
        <v>42401</v>
      </c>
      <c r="B20" s="3">
        <v>4.8367552548638999</v>
      </c>
      <c r="C20" s="3">
        <v>5.1282203061956197</v>
      </c>
      <c r="D20" s="3">
        <v>3.40460104945315</v>
      </c>
      <c r="E20" s="3">
        <v>3.35945111550105</v>
      </c>
      <c r="F20" s="3">
        <v>2.2314033270374098</v>
      </c>
      <c r="G20" s="3">
        <v>3.4504610896460099</v>
      </c>
      <c r="H20" s="3">
        <v>4.4334123053220003</v>
      </c>
      <c r="I20" s="3">
        <v>1.3574319476146499</v>
      </c>
      <c r="J20" s="3">
        <v>2.4518202590146898</v>
      </c>
      <c r="K20" s="3">
        <v>3.7897492044128298</v>
      </c>
      <c r="L20" s="3">
        <v>3.2264079392023102</v>
      </c>
      <c r="M20" s="3">
        <v>4.4948946197870496</v>
      </c>
      <c r="N20" s="3">
        <v>4.43567347144604</v>
      </c>
    </row>
    <row r="21" spans="1:14" x14ac:dyDescent="0.35">
      <c r="A21" s="2">
        <v>42430</v>
      </c>
      <c r="B21" s="3">
        <v>4.8271316925264101</v>
      </c>
      <c r="C21" s="3">
        <v>5.0064835498936597</v>
      </c>
      <c r="D21" s="3">
        <v>3.3067817978904102</v>
      </c>
      <c r="E21" s="3">
        <v>3.3857126932065298</v>
      </c>
      <c r="F21" s="3">
        <v>2.4754115520869702</v>
      </c>
      <c r="G21" s="3">
        <v>3.5036011660397599</v>
      </c>
      <c r="H21" s="3">
        <v>4.4519350718046704</v>
      </c>
      <c r="I21" s="3">
        <v>1.3710840545105001</v>
      </c>
      <c r="J21" s="3">
        <v>2.4751977345461702</v>
      </c>
      <c r="K21" s="3">
        <v>3.77503950248011</v>
      </c>
      <c r="L21" s="3">
        <v>3.2700804565182802</v>
      </c>
      <c r="M21" s="3">
        <v>4.3113429070188998</v>
      </c>
      <c r="N21" s="3">
        <v>4.39038764100387</v>
      </c>
    </row>
    <row r="22" spans="1:14" x14ac:dyDescent="0.35">
      <c r="A22" s="2">
        <v>42461</v>
      </c>
      <c r="B22" s="3">
        <v>4.57794648713835</v>
      </c>
      <c r="C22" s="3">
        <v>4.9281671105948801</v>
      </c>
      <c r="D22" s="3">
        <v>3.1672246817146501</v>
      </c>
      <c r="E22" s="3">
        <v>3.34682933835506</v>
      </c>
      <c r="F22" s="3">
        <v>2.4842972603484799</v>
      </c>
      <c r="G22" s="3">
        <v>3.59224856747807</v>
      </c>
      <c r="H22" s="3">
        <v>4.3902824733654997</v>
      </c>
      <c r="I22" s="3">
        <v>1.3186627844285399</v>
      </c>
      <c r="J22" s="3">
        <v>2.2917987413403398</v>
      </c>
      <c r="K22" s="3">
        <v>3.8170459736460298</v>
      </c>
      <c r="L22" s="3">
        <v>3.33589768325509</v>
      </c>
      <c r="M22" s="3">
        <v>4.4073417807199604</v>
      </c>
      <c r="N22" s="3">
        <v>4.5018122358865904</v>
      </c>
    </row>
    <row r="23" spans="1:14" x14ac:dyDescent="0.35">
      <c r="A23" s="2">
        <v>42489</v>
      </c>
      <c r="B23" s="3">
        <v>4.5812516138861303</v>
      </c>
      <c r="C23" s="3">
        <v>4.6648807940130803</v>
      </c>
      <c r="D23" s="3">
        <v>3.0501492776759598</v>
      </c>
      <c r="E23" s="3">
        <v>3.2918871979604001</v>
      </c>
      <c r="F23" s="3">
        <v>2.3909478833475899</v>
      </c>
      <c r="G23" s="3">
        <v>3.5055020062550799</v>
      </c>
      <c r="H23" s="3">
        <v>4.27161646826222</v>
      </c>
      <c r="I23" s="3">
        <v>1.3909934419950101</v>
      </c>
      <c r="J23" s="3">
        <v>2.2927014117324598</v>
      </c>
      <c r="K23" s="3">
        <v>3.7235496743684799</v>
      </c>
      <c r="L23" s="3">
        <v>3.3707402030183999</v>
      </c>
      <c r="M23" s="3">
        <v>4.3614311416743101</v>
      </c>
      <c r="N23" s="3">
        <v>4.3137809107264298</v>
      </c>
    </row>
    <row r="24" spans="1:14" x14ac:dyDescent="0.35">
      <c r="A24" s="2">
        <v>42522</v>
      </c>
      <c r="B24" s="3">
        <v>4.3218837055105102</v>
      </c>
      <c r="C24" s="3">
        <v>4.6019710199930497</v>
      </c>
      <c r="D24" s="3">
        <v>3.0443703037109802</v>
      </c>
      <c r="E24" s="3">
        <v>3.29300305507476</v>
      </c>
      <c r="F24" s="3">
        <v>2.3232533291315298</v>
      </c>
      <c r="G24" s="3">
        <v>3.4630668683161598</v>
      </c>
      <c r="H24" s="3">
        <v>4.3463062631528002</v>
      </c>
      <c r="I24" s="3">
        <v>1.3432074886780601</v>
      </c>
      <c r="J24" s="3">
        <v>2.2705968025511201</v>
      </c>
      <c r="K24" s="3">
        <v>3.7055879135047101</v>
      </c>
      <c r="L24" s="3">
        <v>3.15055568485444</v>
      </c>
      <c r="M24" s="3">
        <v>4.4162277409439001</v>
      </c>
      <c r="N24" s="3">
        <v>4.60021940040121</v>
      </c>
    </row>
    <row r="25" spans="1:14" x14ac:dyDescent="0.35">
      <c r="A25" s="2">
        <v>42552</v>
      </c>
      <c r="B25" s="3">
        <v>4.39813902459698</v>
      </c>
      <c r="C25" s="3">
        <v>4.6711015072447699</v>
      </c>
      <c r="D25" s="3">
        <v>3.0768974137006002</v>
      </c>
      <c r="E25" s="3">
        <v>3.4509056450175302</v>
      </c>
      <c r="F25" s="3">
        <v>2.5223679725129</v>
      </c>
      <c r="G25" s="3">
        <v>3.5203014955333001</v>
      </c>
      <c r="H25" s="3">
        <v>4.1832785336422598</v>
      </c>
      <c r="I25" s="3">
        <v>1.35862473258535</v>
      </c>
      <c r="J25" s="3">
        <v>2.2767591215617702</v>
      </c>
      <c r="K25" s="3">
        <v>3.8749892885785799</v>
      </c>
      <c r="L25" s="3">
        <v>3.3296145943365199</v>
      </c>
      <c r="M25" s="3">
        <v>4.4598482880517798</v>
      </c>
      <c r="N25" s="3">
        <v>4.95911206174502</v>
      </c>
    </row>
    <row r="26" spans="1:14" x14ac:dyDescent="0.35">
      <c r="A26" s="2">
        <v>42583</v>
      </c>
      <c r="B26" s="3">
        <v>4.1211147843807003</v>
      </c>
      <c r="C26" s="3">
        <v>4.4027260735222198</v>
      </c>
      <c r="D26" s="3">
        <v>2.9748588858972198</v>
      </c>
      <c r="E26" s="3">
        <v>3.2671446368632902</v>
      </c>
      <c r="F26" s="3">
        <v>2.3825500222084899</v>
      </c>
      <c r="G26" s="3">
        <v>3.4876397972068398</v>
      </c>
      <c r="H26" s="3">
        <v>4.1489103706342103</v>
      </c>
      <c r="I26" s="3">
        <v>1.2836819624451401</v>
      </c>
      <c r="J26" s="3">
        <v>2.2162347086126601</v>
      </c>
      <c r="K26" s="3">
        <v>3.7531240393457699</v>
      </c>
      <c r="L26" s="3">
        <v>3.2168499847407102</v>
      </c>
      <c r="M26" s="3">
        <v>4.3250592985587604</v>
      </c>
      <c r="N26" s="3">
        <v>4.84320851121453</v>
      </c>
    </row>
    <row r="27" spans="1:14" x14ac:dyDescent="0.35">
      <c r="A27" s="2">
        <v>42614</v>
      </c>
      <c r="B27" s="3">
        <v>4.1982291132359899</v>
      </c>
      <c r="C27" s="3">
        <v>4.5495997461306601</v>
      </c>
      <c r="D27" s="3">
        <v>2.9552124221583398</v>
      </c>
      <c r="E27" s="3">
        <v>3.2009297737519602</v>
      </c>
      <c r="F27" s="3">
        <v>2.3498325995694498</v>
      </c>
      <c r="G27" s="3">
        <v>3.48638634033545</v>
      </c>
      <c r="H27" s="3">
        <v>4.12597458434389</v>
      </c>
      <c r="I27" s="3">
        <v>1.2871599420484401</v>
      </c>
      <c r="J27" s="3">
        <v>2.22219995666243</v>
      </c>
      <c r="K27" s="3">
        <v>3.7370910993735</v>
      </c>
      <c r="L27" s="3">
        <v>3.1482984378429801</v>
      </c>
      <c r="M27" s="3">
        <v>4.2304891440982102</v>
      </c>
      <c r="N27" s="3">
        <v>4.7830249053912501</v>
      </c>
    </row>
    <row r="28" spans="1:14" x14ac:dyDescent="0.35">
      <c r="A28" s="2">
        <v>42643</v>
      </c>
      <c r="B28" s="3">
        <v>4.3204043945240702</v>
      </c>
      <c r="C28" s="3">
        <v>4.5419400431494799</v>
      </c>
      <c r="D28" s="3">
        <v>2.9372466292355601</v>
      </c>
      <c r="E28" s="3">
        <v>3.17642683206914</v>
      </c>
      <c r="F28" s="3">
        <v>2.4073945232387199</v>
      </c>
      <c r="G28" s="3">
        <v>3.4921843468164</v>
      </c>
      <c r="H28" s="3">
        <v>4.1564709474935002</v>
      </c>
      <c r="I28" s="3">
        <v>1.2600437969674101</v>
      </c>
      <c r="J28" s="3">
        <v>2.2203824392172802</v>
      </c>
      <c r="K28" s="3">
        <v>3.7246319902403702</v>
      </c>
      <c r="L28" s="3">
        <v>3.1189971125853799</v>
      </c>
      <c r="M28" s="3">
        <v>4.1883276595265704</v>
      </c>
      <c r="N28" s="3">
        <v>4.9730601360768896</v>
      </c>
    </row>
    <row r="29" spans="1:14" x14ac:dyDescent="0.35">
      <c r="A29" s="2">
        <v>42675</v>
      </c>
      <c r="B29" s="3">
        <v>4.5980322770620701</v>
      </c>
      <c r="C29" s="3">
        <v>4.6734072106640996</v>
      </c>
      <c r="D29" s="3">
        <v>2.93461962636795</v>
      </c>
      <c r="E29" s="3">
        <v>3.1923815636405601</v>
      </c>
      <c r="F29" s="3">
        <v>2.3050460063541101</v>
      </c>
      <c r="G29" s="3">
        <v>3.6510607372514499</v>
      </c>
      <c r="H29" s="3">
        <v>4.3668141237444003</v>
      </c>
      <c r="I29" s="3">
        <v>1.2990686498169799</v>
      </c>
      <c r="J29" s="3">
        <v>2.2865973747628798</v>
      </c>
      <c r="K29" s="3">
        <v>3.7593609186917498</v>
      </c>
      <c r="L29" s="3">
        <v>3.16024032194357</v>
      </c>
      <c r="M29" s="3">
        <v>4.17301119083253</v>
      </c>
      <c r="N29" s="3">
        <v>4.8379889606041404</v>
      </c>
    </row>
    <row r="30" spans="1:14" x14ac:dyDescent="0.35">
      <c r="A30" s="2">
        <v>42705</v>
      </c>
      <c r="B30" s="3">
        <v>4.5625908093499401</v>
      </c>
      <c r="C30" s="3">
        <v>4.5422551179457002</v>
      </c>
      <c r="D30" s="3">
        <v>2.8880564995155602</v>
      </c>
      <c r="E30" s="3">
        <v>3.2206945290810798</v>
      </c>
      <c r="F30" s="3">
        <v>2.15897688704514</v>
      </c>
      <c r="G30" s="3">
        <v>3.7225475362588099</v>
      </c>
      <c r="H30" s="3">
        <v>4.4279116669629301</v>
      </c>
      <c r="I30" s="3">
        <v>1.31718174195757</v>
      </c>
      <c r="J30" s="3">
        <v>2.22670033700093</v>
      </c>
      <c r="K30" s="3">
        <v>3.6686934511976701</v>
      </c>
      <c r="L30" s="3">
        <v>3.1443038320719201</v>
      </c>
      <c r="M30" s="3">
        <v>4.0047682342979396</v>
      </c>
      <c r="N30" s="3">
        <v>4.8186368416661098</v>
      </c>
    </row>
    <row r="31" spans="1:14" x14ac:dyDescent="0.35">
      <c r="A31" s="2">
        <v>42734</v>
      </c>
      <c r="B31" s="3">
        <v>4.6345425267272997</v>
      </c>
      <c r="C31" s="3">
        <v>4.5298092555234</v>
      </c>
      <c r="D31" s="3">
        <v>2.8484415941311401</v>
      </c>
      <c r="E31" s="3">
        <v>2.9747084897088998</v>
      </c>
      <c r="F31" s="3">
        <v>2.1245493720034498</v>
      </c>
      <c r="G31" s="3">
        <v>3.5533111966061002</v>
      </c>
      <c r="H31" s="3">
        <v>4.2715173451552699</v>
      </c>
      <c r="I31" s="3">
        <v>1.3019778294631601</v>
      </c>
      <c r="J31" s="3">
        <v>2.1885915165277599</v>
      </c>
      <c r="K31" s="3">
        <v>3.4662792695584099</v>
      </c>
      <c r="L31" s="3">
        <v>2.9618206119659001</v>
      </c>
      <c r="M31" s="3">
        <v>3.9039572492326799</v>
      </c>
      <c r="N31" s="3">
        <v>4.2957062553254302</v>
      </c>
    </row>
    <row r="32" spans="1:14" x14ac:dyDescent="0.35">
      <c r="A32" s="2">
        <v>42767</v>
      </c>
      <c r="B32" s="3">
        <v>4.5416000197817601</v>
      </c>
      <c r="C32" s="3">
        <v>4.55839019293908</v>
      </c>
      <c r="D32" s="3">
        <v>2.8386898173237598</v>
      </c>
      <c r="E32" s="3">
        <v>2.95979320076035</v>
      </c>
      <c r="F32" s="3">
        <v>2.1409941630088198</v>
      </c>
      <c r="G32" s="3">
        <v>3.4738040454739498</v>
      </c>
      <c r="H32" s="3">
        <v>4.3159679682799803</v>
      </c>
      <c r="I32" s="3">
        <v>1.2392950802473801</v>
      </c>
      <c r="J32" s="3">
        <v>2.1688439887456399</v>
      </c>
      <c r="K32" s="3">
        <v>3.5079321999989701</v>
      </c>
      <c r="L32" s="3">
        <v>2.9846562974362199</v>
      </c>
      <c r="M32" s="3">
        <v>3.6984775844089501</v>
      </c>
      <c r="N32" s="3">
        <v>4.4863667713765896</v>
      </c>
    </row>
    <row r="33" spans="1:14" x14ac:dyDescent="0.35">
      <c r="A33" s="2">
        <v>42795</v>
      </c>
      <c r="B33" s="3">
        <v>4.6605377561614301</v>
      </c>
      <c r="C33" s="3">
        <v>4.5783061926040398</v>
      </c>
      <c r="D33" s="3">
        <v>2.8747087677629199</v>
      </c>
      <c r="E33" s="3">
        <v>2.9017715310467902</v>
      </c>
      <c r="F33" s="3">
        <v>2.1386039268154602</v>
      </c>
      <c r="G33" s="3">
        <v>3.3610675156245802</v>
      </c>
      <c r="H33" s="3">
        <v>4.2655251903389004</v>
      </c>
      <c r="I33" s="3">
        <v>1.2109029930067401</v>
      </c>
      <c r="J33" s="3">
        <v>2.0771342888810298</v>
      </c>
      <c r="K33" s="3">
        <v>3.45172051332991</v>
      </c>
      <c r="L33" s="3">
        <v>2.8263019657923198</v>
      </c>
      <c r="M33" s="3">
        <v>3.6146838718490999</v>
      </c>
      <c r="N33" s="3">
        <v>4.1238527935715803</v>
      </c>
    </row>
    <row r="34" spans="1:14" x14ac:dyDescent="0.35">
      <c r="A34" s="2">
        <v>42825</v>
      </c>
      <c r="B34" s="3">
        <v>4.5788271005976604</v>
      </c>
      <c r="C34" s="3">
        <v>4.5046750036187104</v>
      </c>
      <c r="D34" s="3">
        <v>2.91893378364749</v>
      </c>
      <c r="E34" s="3">
        <v>2.9105466510858999</v>
      </c>
      <c r="F34" s="3">
        <v>2.2196924504373499</v>
      </c>
      <c r="G34" s="3">
        <v>3.4179919106528902</v>
      </c>
      <c r="H34" s="3">
        <v>4.3247932402000497</v>
      </c>
      <c r="I34" s="3">
        <v>1.20673171258263</v>
      </c>
      <c r="J34" s="3">
        <v>2.1146458181440702</v>
      </c>
      <c r="K34" s="3">
        <v>3.34878974588245</v>
      </c>
      <c r="L34" s="3">
        <v>2.7591827990322799</v>
      </c>
      <c r="M34" s="3">
        <v>3.6304984907617599</v>
      </c>
      <c r="N34" s="3">
        <v>3.8974900777088299</v>
      </c>
    </row>
    <row r="35" spans="1:14" x14ac:dyDescent="0.35">
      <c r="A35" s="2">
        <v>42856</v>
      </c>
      <c r="B35" s="3">
        <v>4.46322409263077</v>
      </c>
      <c r="C35" s="3">
        <v>4.4362811724248301</v>
      </c>
      <c r="D35" s="3">
        <v>2.9373677254639401</v>
      </c>
      <c r="E35" s="3">
        <v>2.8982592692843601</v>
      </c>
      <c r="F35" s="3">
        <v>2.2019176884414402</v>
      </c>
      <c r="G35" s="3">
        <v>3.35829843888038</v>
      </c>
      <c r="H35" s="3">
        <v>4.3876319817201699</v>
      </c>
      <c r="I35" s="3">
        <v>1.1792858230543799</v>
      </c>
      <c r="J35" s="3">
        <v>2.1063730874020701</v>
      </c>
      <c r="K35" s="3">
        <v>3.2639144941327798</v>
      </c>
      <c r="L35" s="3">
        <v>2.7402448262361299</v>
      </c>
      <c r="M35" s="3">
        <v>3.54095637161628</v>
      </c>
      <c r="N35" s="3">
        <v>3.9251459181685</v>
      </c>
    </row>
    <row r="36" spans="1:14" x14ac:dyDescent="0.35">
      <c r="A36" s="2">
        <v>42887</v>
      </c>
      <c r="B36" s="3">
        <v>4.4364816855431402</v>
      </c>
      <c r="C36" s="3">
        <v>4.65256622299641</v>
      </c>
      <c r="D36" s="3">
        <v>2.9730596784569898</v>
      </c>
      <c r="E36" s="3">
        <v>2.9269270907000098</v>
      </c>
      <c r="F36" s="3">
        <v>2.1782228111794599</v>
      </c>
      <c r="G36" s="3">
        <v>3.28282381623927</v>
      </c>
      <c r="H36" s="3">
        <v>4.2157004180081596</v>
      </c>
      <c r="I36" s="3">
        <v>1.1526957101158299</v>
      </c>
      <c r="J36" s="3">
        <v>2.0836274568659898</v>
      </c>
      <c r="K36" s="3">
        <v>3.2419418472812702</v>
      </c>
      <c r="L36" s="3">
        <v>2.7025092247762599</v>
      </c>
      <c r="M36" s="3">
        <v>3.37298016006886</v>
      </c>
      <c r="N36" s="3">
        <v>3.79177731466475</v>
      </c>
    </row>
    <row r="37" spans="1:14" x14ac:dyDescent="0.35">
      <c r="A37" s="2">
        <v>42916</v>
      </c>
      <c r="B37" s="3">
        <v>4.3930742870532704</v>
      </c>
      <c r="C37" s="3">
        <v>4.6242746098921002</v>
      </c>
      <c r="D37" s="3">
        <v>3.04960316508655</v>
      </c>
      <c r="E37" s="3">
        <v>3.0356339338287999</v>
      </c>
      <c r="F37" s="3">
        <v>2.1702968793699902</v>
      </c>
      <c r="G37" s="3">
        <v>3.2884830810788501</v>
      </c>
      <c r="H37" s="3">
        <v>4.3524396324878403</v>
      </c>
      <c r="I37" s="3">
        <v>1.1996936199808199</v>
      </c>
      <c r="J37" s="3">
        <v>2.1034427098980801</v>
      </c>
      <c r="K37" s="3">
        <v>3.3889258716036101</v>
      </c>
      <c r="L37" s="3">
        <v>2.8183774724831201</v>
      </c>
      <c r="M37" s="3">
        <v>3.6086600928528498</v>
      </c>
      <c r="N37" s="3">
        <v>3.8857594673982598</v>
      </c>
    </row>
    <row r="38" spans="1:14" x14ac:dyDescent="0.35">
      <c r="A38" s="2">
        <v>42948</v>
      </c>
      <c r="B38" s="3">
        <v>4.3773969193248004</v>
      </c>
      <c r="C38" s="3">
        <v>4.5487357891573197</v>
      </c>
      <c r="D38" s="3">
        <v>3.0345450913062</v>
      </c>
      <c r="E38" s="3">
        <v>3.0600651744568799</v>
      </c>
      <c r="F38" s="3">
        <v>2.1623221343930901</v>
      </c>
      <c r="G38" s="3">
        <v>3.27841624612382</v>
      </c>
      <c r="H38" s="3">
        <v>4.2474442858563703</v>
      </c>
      <c r="I38" s="3">
        <v>1.17145423460811</v>
      </c>
      <c r="J38" s="3">
        <v>2.0808470266500798</v>
      </c>
      <c r="K38" s="3">
        <v>3.3872257605546401</v>
      </c>
      <c r="L38" s="3">
        <v>2.7600224330387402</v>
      </c>
      <c r="M38" s="3">
        <v>3.6948524199025798</v>
      </c>
      <c r="N38" s="3">
        <v>3.73398917666304</v>
      </c>
    </row>
    <row r="39" spans="1:14" x14ac:dyDescent="0.35">
      <c r="A39" s="2">
        <v>42979</v>
      </c>
      <c r="B39" s="3">
        <v>4.3877691292458101</v>
      </c>
      <c r="C39" s="3">
        <v>4.5739171505752498</v>
      </c>
      <c r="D39" s="3">
        <v>3.0708359150306999</v>
      </c>
      <c r="E39" s="3">
        <v>3.12476873166622</v>
      </c>
      <c r="F39" s="3">
        <v>2.20887719488853</v>
      </c>
      <c r="G39" s="3">
        <v>3.3196690323312401</v>
      </c>
      <c r="H39" s="3">
        <v>4.3144270116887604</v>
      </c>
      <c r="I39" s="3">
        <v>1.16027732463639</v>
      </c>
      <c r="J39" s="3">
        <v>2.0926726252533601</v>
      </c>
      <c r="K39" s="3">
        <v>3.4048012319706702</v>
      </c>
      <c r="L39" s="3">
        <v>2.86919605885253</v>
      </c>
      <c r="M39" s="3">
        <v>3.7410051753084601</v>
      </c>
      <c r="N39" s="3">
        <v>3.7636520894242902</v>
      </c>
    </row>
    <row r="40" spans="1:14" x14ac:dyDescent="0.35">
      <c r="A40" s="2">
        <v>43007</v>
      </c>
      <c r="B40" s="3">
        <v>4.41229401725204</v>
      </c>
      <c r="C40" s="3">
        <v>4.6183537265397803</v>
      </c>
      <c r="D40" s="3">
        <v>2.98033222192467</v>
      </c>
      <c r="E40" s="3">
        <v>2.9903837523008501</v>
      </c>
      <c r="F40" s="3">
        <v>2.15654878610097</v>
      </c>
      <c r="G40" s="3">
        <v>3.26883982541692</v>
      </c>
      <c r="H40" s="3">
        <v>4.2954948853678099</v>
      </c>
      <c r="I40" s="3">
        <v>1.1627979713816099</v>
      </c>
      <c r="J40" s="3">
        <v>2.06074268842083</v>
      </c>
      <c r="K40" s="3">
        <v>3.2946530053581</v>
      </c>
      <c r="L40" s="3">
        <v>2.7883744483930801</v>
      </c>
      <c r="M40" s="3">
        <v>3.5548727791319799</v>
      </c>
      <c r="N40" s="3">
        <v>3.6756394311624199</v>
      </c>
    </row>
    <row r="41" spans="1:14" x14ac:dyDescent="0.35">
      <c r="A41" s="2">
        <v>43040</v>
      </c>
      <c r="B41" s="3">
        <v>4.3870491905083799</v>
      </c>
      <c r="C41" s="3">
        <v>4.4832638650013497</v>
      </c>
      <c r="D41" s="3">
        <v>2.9153921672097902</v>
      </c>
      <c r="E41" s="3">
        <v>2.8556180093827899</v>
      </c>
      <c r="F41" s="3">
        <v>2.04378421270845</v>
      </c>
      <c r="G41" s="3">
        <v>3.2453369882642602</v>
      </c>
      <c r="H41" s="3">
        <v>4.2952437071700098</v>
      </c>
      <c r="I41" s="3">
        <v>1.1180476334060301</v>
      </c>
      <c r="J41" s="3">
        <v>2.0308827330440198</v>
      </c>
      <c r="K41" s="3">
        <v>3.2334870181180699</v>
      </c>
      <c r="L41" s="3">
        <v>2.73323278089816</v>
      </c>
      <c r="M41" s="3">
        <v>3.51814806956643</v>
      </c>
      <c r="N41" s="3">
        <v>3.74510628602326</v>
      </c>
    </row>
    <row r="42" spans="1:14" x14ac:dyDescent="0.35">
      <c r="A42" s="2">
        <v>43070</v>
      </c>
      <c r="B42" s="3">
        <v>4.3148540991592599</v>
      </c>
      <c r="C42" s="3">
        <v>4.4972461811548898</v>
      </c>
      <c r="D42" s="3">
        <v>2.9185533096231802</v>
      </c>
      <c r="E42" s="3">
        <v>2.9514935627897199</v>
      </c>
      <c r="F42" s="3">
        <v>2.07112668125357</v>
      </c>
      <c r="G42" s="3">
        <v>3.2504472447529</v>
      </c>
      <c r="H42" s="3">
        <v>4.4051747101623997</v>
      </c>
      <c r="I42" s="3">
        <v>1.10938838728236</v>
      </c>
      <c r="J42" s="3">
        <v>1.9745252714719801</v>
      </c>
      <c r="K42" s="3">
        <v>3.3108365060302001</v>
      </c>
      <c r="L42" s="3">
        <v>2.8724087550228199</v>
      </c>
      <c r="M42" s="3">
        <v>3.7148085578828902</v>
      </c>
      <c r="N42" s="3">
        <v>3.9321922357615899</v>
      </c>
    </row>
    <row r="43" spans="1:14" x14ac:dyDescent="0.35">
      <c r="A43" s="2">
        <v>43098</v>
      </c>
      <c r="B43" s="3">
        <v>4.2012875847133504</v>
      </c>
      <c r="C43" s="3">
        <v>4.4475505847228503</v>
      </c>
      <c r="D43" s="3">
        <v>2.9076808922441102</v>
      </c>
      <c r="E43" s="3">
        <v>2.9537049579508801</v>
      </c>
      <c r="F43" s="3">
        <v>2.0587963278246701</v>
      </c>
      <c r="G43" s="3">
        <v>3.2193072494408801</v>
      </c>
      <c r="H43" s="3">
        <v>4.19117596008474</v>
      </c>
      <c r="I43" s="3">
        <v>1.1010354995756799</v>
      </c>
      <c r="J43" s="3">
        <v>1.9630925267995001</v>
      </c>
      <c r="K43" s="3">
        <v>3.32111484492617</v>
      </c>
      <c r="L43" s="3">
        <v>2.8575348401300902</v>
      </c>
      <c r="M43" s="3">
        <v>3.7743353320748398</v>
      </c>
      <c r="N43" s="3">
        <v>3.9892337312195401</v>
      </c>
    </row>
    <row r="44" spans="1:14" x14ac:dyDescent="0.35">
      <c r="A44" s="2">
        <v>43132</v>
      </c>
      <c r="B44" s="3">
        <v>4.2049852238851804</v>
      </c>
      <c r="C44" s="3">
        <v>4.4908769273784301</v>
      </c>
      <c r="D44" s="3">
        <v>2.98710038040065</v>
      </c>
      <c r="E44" s="3">
        <v>2.9817054805488299</v>
      </c>
      <c r="F44" s="3">
        <v>2.0230011951286602</v>
      </c>
      <c r="G44" s="3">
        <v>3.1999498898962599</v>
      </c>
      <c r="H44" s="3">
        <v>4.2362072130488402</v>
      </c>
      <c r="I44" s="3">
        <v>1.0387769683619099</v>
      </c>
      <c r="J44" s="3">
        <v>1.88572759286791</v>
      </c>
      <c r="K44" s="3">
        <v>3.2352142159464701</v>
      </c>
      <c r="L44" s="3">
        <v>2.8164303585747099</v>
      </c>
      <c r="M44" s="3">
        <v>3.76763183180495</v>
      </c>
      <c r="N44" s="3">
        <v>3.7697402271291498</v>
      </c>
    </row>
    <row r="45" spans="1:14" x14ac:dyDescent="0.35">
      <c r="A45" s="2">
        <v>43160</v>
      </c>
      <c r="B45" s="3">
        <v>4.2559481023843597</v>
      </c>
      <c r="C45" s="3">
        <v>4.6329661902200101</v>
      </c>
      <c r="D45" s="3">
        <v>3.1589713577185301</v>
      </c>
      <c r="E45" s="3">
        <v>3.1940546593047698</v>
      </c>
      <c r="F45" s="3">
        <v>2.22461620649654</v>
      </c>
      <c r="G45" s="3">
        <v>3.4725612656031299</v>
      </c>
      <c r="H45" s="3">
        <v>4.65804464854088</v>
      </c>
      <c r="I45" s="3">
        <v>1.0816741535288099</v>
      </c>
      <c r="J45" s="3">
        <v>2.01508823212481</v>
      </c>
      <c r="K45" s="3">
        <v>3.4016743976800301</v>
      </c>
      <c r="L45" s="3">
        <v>2.9615082452410801</v>
      </c>
      <c r="M45" s="3">
        <v>3.8959813569724302</v>
      </c>
      <c r="N45" s="3">
        <v>4.0255189260027997</v>
      </c>
    </row>
    <row r="46" spans="1:14" x14ac:dyDescent="0.35">
      <c r="A46" s="2">
        <v>43188</v>
      </c>
      <c r="B46" s="3">
        <v>4.3162273701020997</v>
      </c>
      <c r="C46" s="3">
        <v>4.8535340522634502</v>
      </c>
      <c r="D46" s="3">
        <v>3.18679481647357</v>
      </c>
      <c r="E46" s="3">
        <v>3.2471765044013199</v>
      </c>
      <c r="F46" s="3">
        <v>2.2877157808157902</v>
      </c>
      <c r="G46" s="3">
        <v>3.4985468183463899</v>
      </c>
      <c r="H46" s="3">
        <v>4.5645342727218097</v>
      </c>
      <c r="I46" s="3">
        <v>1.1216901024719499</v>
      </c>
      <c r="J46" s="3">
        <v>2.0571534030706502</v>
      </c>
      <c r="K46" s="3">
        <v>3.4649735497601002</v>
      </c>
      <c r="L46" s="3">
        <v>2.9861100704902599</v>
      </c>
      <c r="M46" s="3">
        <v>4.0373364353752201</v>
      </c>
      <c r="N46" s="3">
        <v>4.1065813019984896</v>
      </c>
    </row>
    <row r="47" spans="1:14" x14ac:dyDescent="0.35">
      <c r="A47" s="2">
        <v>43221</v>
      </c>
      <c r="B47" s="3">
        <v>4.2813050694098802</v>
      </c>
      <c r="C47" s="3">
        <v>4.6998448407413598</v>
      </c>
      <c r="D47" s="3">
        <v>3.1523426132391199</v>
      </c>
      <c r="E47" s="3">
        <v>3.1590090580447798</v>
      </c>
      <c r="F47" s="3">
        <v>2.2111522083346999</v>
      </c>
      <c r="G47" s="3">
        <v>3.47283148356733</v>
      </c>
      <c r="H47" s="3">
        <v>4.3657274862144799</v>
      </c>
      <c r="I47" s="3">
        <v>1.1154288527313001</v>
      </c>
      <c r="J47" s="3">
        <v>2.06939332844909</v>
      </c>
      <c r="K47" s="3">
        <v>3.3047949665637</v>
      </c>
      <c r="L47" s="3">
        <v>2.9332612743873701</v>
      </c>
      <c r="M47" s="3">
        <v>4.0433061286768597</v>
      </c>
      <c r="N47" s="3">
        <v>3.8948847539719198</v>
      </c>
    </row>
    <row r="48" spans="1:14" x14ac:dyDescent="0.35">
      <c r="A48" s="2">
        <v>43252</v>
      </c>
      <c r="B48" s="3">
        <v>4.1679985743724304</v>
      </c>
      <c r="C48" s="3">
        <v>4.7643423411267998</v>
      </c>
      <c r="D48" s="3">
        <v>3.0933840195799598</v>
      </c>
      <c r="E48" s="3">
        <v>3.15662323993141</v>
      </c>
      <c r="F48" s="3">
        <v>2.2718789706156599</v>
      </c>
      <c r="G48" s="3">
        <v>3.5535266718116301</v>
      </c>
      <c r="H48" s="3">
        <v>4.3296467488619799</v>
      </c>
      <c r="I48" s="3">
        <v>1.0647320038664301</v>
      </c>
      <c r="J48" s="3">
        <v>2.0224137270290501</v>
      </c>
      <c r="K48" s="3">
        <v>3.3611844204511101</v>
      </c>
      <c r="L48" s="3">
        <v>2.8819208146754902</v>
      </c>
      <c r="M48" s="3">
        <v>4.0821995372591902</v>
      </c>
      <c r="N48" s="3">
        <v>4.2961830494836803</v>
      </c>
    </row>
    <row r="49" spans="1:14" x14ac:dyDescent="0.35">
      <c r="A49" s="2">
        <v>43280</v>
      </c>
      <c r="B49" s="3">
        <v>4.0543394762179901</v>
      </c>
      <c r="C49" s="3">
        <v>4.59945664941218</v>
      </c>
      <c r="D49" s="3">
        <v>3.0673178168303399</v>
      </c>
      <c r="E49" s="3">
        <v>3.2748015672860502</v>
      </c>
      <c r="F49" s="3">
        <v>2.3030687197189601</v>
      </c>
      <c r="G49" s="3">
        <v>3.5660646339401998</v>
      </c>
      <c r="H49" s="3">
        <v>4.4032853921743698</v>
      </c>
      <c r="I49" s="3">
        <v>1.07614608708486</v>
      </c>
      <c r="J49" s="3">
        <v>2.0517248625448099</v>
      </c>
      <c r="K49" s="3">
        <v>3.4615021412047802</v>
      </c>
      <c r="L49" s="3">
        <v>2.9501358703740301</v>
      </c>
      <c r="M49" s="3">
        <v>4.1322454075147403</v>
      </c>
      <c r="N49" s="3">
        <v>4.4960884586690097</v>
      </c>
    </row>
    <row r="50" spans="1:14" x14ac:dyDescent="0.35">
      <c r="A50" s="2">
        <v>43313</v>
      </c>
      <c r="B50" s="3">
        <v>4.13311553077338</v>
      </c>
      <c r="C50" s="3">
        <v>4.5873783456280997</v>
      </c>
      <c r="D50" s="3">
        <v>3.0775728314657198</v>
      </c>
      <c r="E50" s="3">
        <v>3.1758385682345498</v>
      </c>
      <c r="F50" s="3">
        <v>2.2580483089027998</v>
      </c>
      <c r="G50" s="3">
        <v>3.37542029819816</v>
      </c>
      <c r="H50" s="3">
        <v>4.4149987545436504</v>
      </c>
      <c r="I50" s="3">
        <v>1.0970390866838899</v>
      </c>
      <c r="J50" s="3">
        <v>2.0059616740164299</v>
      </c>
      <c r="K50" s="3">
        <v>3.3821010169211401</v>
      </c>
      <c r="L50" s="3">
        <v>2.84744218671044</v>
      </c>
      <c r="M50" s="3">
        <v>4.08566944168399</v>
      </c>
      <c r="N50" s="3">
        <v>4.3979684341819398</v>
      </c>
    </row>
    <row r="51" spans="1:14" x14ac:dyDescent="0.35">
      <c r="A51" s="2">
        <v>43343</v>
      </c>
      <c r="B51" s="3">
        <v>3.8955733123540899</v>
      </c>
      <c r="C51" s="3">
        <v>4.6144316496254696</v>
      </c>
      <c r="D51" s="3">
        <v>3.12182649824625</v>
      </c>
      <c r="E51" s="3">
        <v>3.2571169349565499</v>
      </c>
      <c r="F51" s="3">
        <v>2.3170207298104901</v>
      </c>
      <c r="G51" s="3">
        <v>3.41830060980553</v>
      </c>
      <c r="H51" s="3">
        <v>4.5766306421934999</v>
      </c>
      <c r="I51" s="3">
        <v>1.05046082475478</v>
      </c>
      <c r="J51" s="3">
        <v>1.95551789133049</v>
      </c>
      <c r="K51" s="3">
        <v>3.4550461231607899</v>
      </c>
      <c r="L51" s="3">
        <v>2.9031838112027</v>
      </c>
      <c r="M51" s="3">
        <v>4.0194639263428904</v>
      </c>
      <c r="N51" s="3">
        <v>4.7677066505411503</v>
      </c>
    </row>
    <row r="52" spans="1:14" x14ac:dyDescent="0.35">
      <c r="A52" s="2">
        <v>43374</v>
      </c>
      <c r="B52" s="3">
        <v>3.9895427762331099</v>
      </c>
      <c r="C52" s="3">
        <v>4.7737561967030597</v>
      </c>
      <c r="D52" s="3">
        <v>3.16617141777281</v>
      </c>
      <c r="E52" s="3">
        <v>3.2924430983528099</v>
      </c>
      <c r="F52" s="3">
        <v>2.2194354917065802</v>
      </c>
      <c r="G52" s="3">
        <v>3.4035635720580202</v>
      </c>
      <c r="H52" s="3">
        <v>4.5243609664917503</v>
      </c>
      <c r="I52" s="3">
        <v>1.0584130911740699</v>
      </c>
      <c r="J52" s="3">
        <v>1.94999611173807</v>
      </c>
      <c r="K52" s="3">
        <v>3.4286351912759598</v>
      </c>
      <c r="L52" s="3">
        <v>3.0063106717737602</v>
      </c>
      <c r="M52" s="3">
        <v>4.0139751548468903</v>
      </c>
      <c r="N52" s="3">
        <v>4.7342495612603797</v>
      </c>
    </row>
    <row r="53" spans="1:14" x14ac:dyDescent="0.35">
      <c r="A53" s="2">
        <v>43405</v>
      </c>
      <c r="B53" s="3">
        <v>4.2184579876054897</v>
      </c>
      <c r="C53" s="3">
        <v>5.0583955651847203</v>
      </c>
      <c r="D53" s="3">
        <v>3.3838064960374901</v>
      </c>
      <c r="E53" s="3">
        <v>3.6101880389804299</v>
      </c>
      <c r="F53" s="3">
        <v>2.48462515239147</v>
      </c>
      <c r="G53" s="3">
        <v>3.5052549063145499</v>
      </c>
      <c r="H53" s="3">
        <v>4.8209645070407801</v>
      </c>
      <c r="I53" s="3">
        <v>1.1645708207191301</v>
      </c>
      <c r="J53" s="3">
        <v>2.08719079991437</v>
      </c>
      <c r="K53" s="3">
        <v>3.7148856455853698</v>
      </c>
      <c r="L53" s="3">
        <v>3.21519540186523</v>
      </c>
      <c r="M53" s="3">
        <v>4.3646566659043602</v>
      </c>
      <c r="N53" s="3">
        <v>5.0781005482736301</v>
      </c>
    </row>
    <row r="54" spans="1:14" x14ac:dyDescent="0.35">
      <c r="A54" s="2">
        <v>43434</v>
      </c>
      <c r="B54" s="3">
        <v>4.2583297606439601</v>
      </c>
      <c r="C54" s="3">
        <v>5.3200852787218897</v>
      </c>
      <c r="D54" s="3">
        <v>3.3901634773764102</v>
      </c>
      <c r="E54" s="3">
        <v>3.6842650803122599</v>
      </c>
      <c r="F54" s="3">
        <v>2.4659727340486501</v>
      </c>
      <c r="G54" s="3">
        <v>3.52407662738803</v>
      </c>
      <c r="H54" s="3">
        <v>4.9792438680833202</v>
      </c>
      <c r="I54" s="3">
        <v>1.19016442416278</v>
      </c>
      <c r="J54" s="3">
        <v>2.0866905037172701</v>
      </c>
      <c r="K54" s="3">
        <v>3.7944627858353801</v>
      </c>
      <c r="L54" s="3">
        <v>3.2258754723323602</v>
      </c>
      <c r="M54" s="3">
        <v>4.46122081358196</v>
      </c>
      <c r="N54" s="3">
        <v>5.1195146614828904</v>
      </c>
    </row>
    <row r="55" spans="1:14" x14ac:dyDescent="0.35">
      <c r="A55" s="2">
        <v>43465</v>
      </c>
      <c r="B55" s="3">
        <v>4.1806124038384702</v>
      </c>
      <c r="C55" s="3">
        <v>5.3602979038162299</v>
      </c>
      <c r="D55" s="3">
        <v>3.5898014476029898</v>
      </c>
      <c r="E55" s="3">
        <v>3.97098544891004</v>
      </c>
      <c r="F55" s="3">
        <v>2.75200807077962</v>
      </c>
      <c r="G55" s="3">
        <v>3.7055029764154299</v>
      </c>
      <c r="H55" s="3">
        <v>5.3422103242973096</v>
      </c>
      <c r="I55" s="3">
        <v>1.3289676621306299</v>
      </c>
      <c r="J55" s="3">
        <v>2.3197563308836799</v>
      </c>
      <c r="K55" s="3">
        <v>4.0055185201309298</v>
      </c>
      <c r="L55" s="3">
        <v>3.4613794049885702</v>
      </c>
      <c r="M55" s="3">
        <v>4.73856562537439</v>
      </c>
      <c r="N55" s="3">
        <v>5.4595933028088401</v>
      </c>
    </row>
    <row r="56" spans="1:14" x14ac:dyDescent="0.35">
      <c r="A56" s="2">
        <v>43497</v>
      </c>
      <c r="B56" s="3">
        <v>4.0989739418008</v>
      </c>
      <c r="C56" s="3">
        <v>5.12153635098732</v>
      </c>
      <c r="D56" s="3">
        <v>3.3421449041331601</v>
      </c>
      <c r="E56" s="3">
        <v>3.71929133890379</v>
      </c>
      <c r="F56" s="3">
        <v>2.6349268188557899</v>
      </c>
      <c r="G56" s="3">
        <v>3.46170458346392</v>
      </c>
      <c r="H56" s="3">
        <v>5.0485504699158401</v>
      </c>
      <c r="I56" s="3">
        <v>1.22445201957326</v>
      </c>
      <c r="J56" s="3">
        <v>2.1611042285680302</v>
      </c>
      <c r="K56" s="3">
        <v>3.7758925073513301</v>
      </c>
      <c r="L56" s="3">
        <v>3.2642245382825901</v>
      </c>
      <c r="M56" s="3">
        <v>4.3146024316061302</v>
      </c>
      <c r="N56" s="3">
        <v>5.1230138199694002</v>
      </c>
    </row>
    <row r="57" spans="1:14" x14ac:dyDescent="0.35">
      <c r="A57" s="2">
        <v>43525</v>
      </c>
      <c r="B57" s="3">
        <v>3.92348559420387</v>
      </c>
      <c r="C57" s="3">
        <v>4.9317877788052797</v>
      </c>
      <c r="D57" s="3">
        <v>3.2622522595519099</v>
      </c>
      <c r="E57" s="3">
        <v>3.5812632358127301</v>
      </c>
      <c r="F57" s="3">
        <v>2.5543060750266098</v>
      </c>
      <c r="G57" s="3">
        <v>3.33694159663307</v>
      </c>
      <c r="H57" s="3">
        <v>4.9714505368775903</v>
      </c>
      <c r="I57" s="3">
        <v>1.1693555171643999</v>
      </c>
      <c r="J57" s="3">
        <v>2.0943613189264298</v>
      </c>
      <c r="K57" s="3">
        <v>3.62006056995402</v>
      </c>
      <c r="L57" s="3">
        <v>3.10551316904025</v>
      </c>
      <c r="M57" s="3">
        <v>4.1454273453988497</v>
      </c>
      <c r="N57" s="3">
        <v>4.7761264762427196</v>
      </c>
    </row>
    <row r="58" spans="1:14" x14ac:dyDescent="0.35">
      <c r="A58" s="2">
        <v>43556</v>
      </c>
      <c r="B58" s="3">
        <v>3.75467848051936</v>
      </c>
      <c r="C58" s="3">
        <v>4.9195760004807703</v>
      </c>
      <c r="D58" s="3">
        <v>3.2516194994588901</v>
      </c>
      <c r="E58" s="3">
        <v>3.57101010414303</v>
      </c>
      <c r="F58" s="3">
        <v>2.5653860560548201</v>
      </c>
      <c r="G58" s="3">
        <v>3.3053112884017</v>
      </c>
      <c r="H58" s="3">
        <v>4.8663529990935004</v>
      </c>
      <c r="I58" s="3">
        <v>1.12507532018353</v>
      </c>
      <c r="J58" s="3">
        <v>2.0639206610392802</v>
      </c>
      <c r="K58" s="3">
        <v>3.56778772475286</v>
      </c>
      <c r="L58" s="3">
        <v>3.0234684812261499</v>
      </c>
      <c r="M58" s="3">
        <v>4.1572892618546797</v>
      </c>
      <c r="N58" s="3">
        <v>4.6390512846427896</v>
      </c>
    </row>
    <row r="59" spans="1:14" x14ac:dyDescent="0.35">
      <c r="A59" s="2">
        <v>43586</v>
      </c>
      <c r="B59" s="3">
        <v>3.7194425120363999</v>
      </c>
      <c r="C59" s="3">
        <v>4.8534942428693899</v>
      </c>
      <c r="D59" s="3">
        <v>3.2072240416834998</v>
      </c>
      <c r="E59" s="3">
        <v>3.3922549914855402</v>
      </c>
      <c r="F59" s="3">
        <v>2.56707640670251</v>
      </c>
      <c r="G59" s="3">
        <v>3.2470468210497199</v>
      </c>
      <c r="H59" s="3">
        <v>4.8579082709959396</v>
      </c>
      <c r="I59" s="3">
        <v>1.09280026617946</v>
      </c>
      <c r="J59" s="3">
        <v>2.0398728593832298</v>
      </c>
      <c r="K59" s="3">
        <v>3.4679087016377399</v>
      </c>
      <c r="L59" s="3">
        <v>2.94679912733084</v>
      </c>
      <c r="M59" s="3">
        <v>4.0150092361246301</v>
      </c>
      <c r="N59" s="3">
        <v>4.6067551567969298</v>
      </c>
    </row>
    <row r="60" spans="1:14" x14ac:dyDescent="0.35">
      <c r="A60" s="2">
        <v>43616</v>
      </c>
      <c r="B60" s="3">
        <v>3.7079068324885398</v>
      </c>
      <c r="C60" s="3">
        <v>4.8459923579360398</v>
      </c>
      <c r="D60" s="3">
        <v>3.38181444492034</v>
      </c>
      <c r="E60" s="3">
        <v>3.65168275655261</v>
      </c>
      <c r="F60" s="3">
        <v>2.7537457799284399</v>
      </c>
      <c r="G60" s="3">
        <v>3.3445579813944999</v>
      </c>
      <c r="H60" s="3">
        <v>4.9517727205686404</v>
      </c>
      <c r="I60" s="3">
        <v>1.20013896593598</v>
      </c>
      <c r="J60" s="3">
        <v>2.1778423783163499</v>
      </c>
      <c r="K60" s="3">
        <v>3.7272409358984602</v>
      </c>
      <c r="L60" s="3">
        <v>3.17470130173706</v>
      </c>
      <c r="M60" s="3">
        <v>4.4400687449655498</v>
      </c>
      <c r="N60" s="3">
        <v>5.1591103569568997</v>
      </c>
    </row>
    <row r="61" spans="1:14" x14ac:dyDescent="0.35">
      <c r="A61" s="2">
        <v>43647</v>
      </c>
      <c r="B61" s="3">
        <v>3.5719451673468399</v>
      </c>
      <c r="C61" s="3">
        <v>4.63062006578149</v>
      </c>
      <c r="D61" s="3">
        <v>3.32075928352516</v>
      </c>
      <c r="E61" s="3">
        <v>3.4557832164083999</v>
      </c>
      <c r="F61" s="3">
        <v>2.6278561112868801</v>
      </c>
      <c r="G61" s="3">
        <v>3.20639597785414</v>
      </c>
      <c r="H61" s="3">
        <v>4.7497983865125404</v>
      </c>
      <c r="I61" s="3">
        <v>1.1007709242829</v>
      </c>
      <c r="J61" s="3">
        <v>2.0327363763569299</v>
      </c>
      <c r="K61" s="3">
        <v>3.5133471754283701</v>
      </c>
      <c r="L61" s="3">
        <v>2.9750492275162999</v>
      </c>
      <c r="M61" s="3">
        <v>4.1202120212590199</v>
      </c>
      <c r="N61" s="3">
        <v>4.8463695528563804</v>
      </c>
    </row>
    <row r="62" spans="1:14" x14ac:dyDescent="0.35">
      <c r="A62" s="2">
        <v>43678</v>
      </c>
      <c r="B62" s="3">
        <v>3.4057633436787902</v>
      </c>
      <c r="C62" s="3">
        <v>4.5299871701071996</v>
      </c>
      <c r="D62" s="3">
        <v>3.36072959551562</v>
      </c>
      <c r="E62" s="3">
        <v>3.43550931969415</v>
      </c>
      <c r="F62" s="3">
        <v>2.6621234475331099</v>
      </c>
      <c r="G62" s="3">
        <v>3.2302804569742798</v>
      </c>
      <c r="H62" s="3">
        <v>4.8294055450786999</v>
      </c>
      <c r="I62" s="3">
        <v>1.1005287778714301</v>
      </c>
      <c r="J62" s="3">
        <v>2.0509932707877399</v>
      </c>
      <c r="K62" s="3">
        <v>3.53764762208657</v>
      </c>
      <c r="L62" s="3">
        <v>2.8850534643819099</v>
      </c>
      <c r="M62" s="3">
        <v>4.0341570617023903</v>
      </c>
      <c r="N62" s="3">
        <v>4.7914399456991204</v>
      </c>
    </row>
    <row r="63" spans="1:14" x14ac:dyDescent="0.35">
      <c r="A63" s="2">
        <v>43706</v>
      </c>
      <c r="B63" s="3">
        <v>3.4330047886438502</v>
      </c>
      <c r="C63" s="3">
        <v>4.6717509805867197</v>
      </c>
      <c r="D63" s="3">
        <v>3.3921347942993099</v>
      </c>
      <c r="E63" s="3">
        <v>3.55231236928533</v>
      </c>
      <c r="F63" s="3">
        <v>2.7888807189819702</v>
      </c>
      <c r="G63" s="3">
        <v>3.24884662076499</v>
      </c>
      <c r="H63" s="3">
        <v>5.0846097174173801</v>
      </c>
      <c r="I63" s="3">
        <v>1.1176635972232101</v>
      </c>
      <c r="J63" s="3">
        <v>2.0806323109801301</v>
      </c>
      <c r="K63" s="3">
        <v>3.6014142972880401</v>
      </c>
      <c r="L63" s="3">
        <v>2.9689649740651398</v>
      </c>
      <c r="M63" s="3">
        <v>4.2181008853134898</v>
      </c>
      <c r="N63" s="3">
        <v>4.8686967795552203</v>
      </c>
    </row>
    <row r="64" spans="1:14" x14ac:dyDescent="0.35">
      <c r="A64" s="2">
        <v>43739</v>
      </c>
      <c r="B64" s="3">
        <v>3.3068076628321501</v>
      </c>
      <c r="C64" s="3">
        <v>4.43970324718551</v>
      </c>
      <c r="D64" s="3">
        <v>3.3735532737215501</v>
      </c>
      <c r="E64" s="3">
        <v>3.43700265071634</v>
      </c>
      <c r="F64" s="3">
        <v>2.6001806350310099</v>
      </c>
      <c r="G64" s="3">
        <v>3.2397466368129901</v>
      </c>
      <c r="H64" s="3">
        <v>4.934818195519</v>
      </c>
      <c r="I64" s="3">
        <v>1.1258891638392801</v>
      </c>
      <c r="J64" s="3">
        <v>2.0776689964850199</v>
      </c>
      <c r="K64" s="3">
        <v>3.5372665600402202</v>
      </c>
      <c r="L64" s="3">
        <v>2.77584318482173</v>
      </c>
      <c r="M64" s="3">
        <v>3.93779699610044</v>
      </c>
      <c r="N64" s="3">
        <v>4.7665538078331897</v>
      </c>
    </row>
    <row r="65" spans="1:14" x14ac:dyDescent="0.35">
      <c r="A65" s="2">
        <v>43770</v>
      </c>
      <c r="B65" s="3">
        <v>3.3799459038281698</v>
      </c>
      <c r="C65" s="3">
        <v>4.4076844661833796</v>
      </c>
      <c r="D65" s="3">
        <v>3.3378159641192999</v>
      </c>
      <c r="E65" s="3">
        <v>3.2542040431201502</v>
      </c>
      <c r="F65" s="3">
        <v>2.5162135269733801</v>
      </c>
      <c r="G65" s="3">
        <v>3.1455954577069201</v>
      </c>
      <c r="H65" s="3">
        <v>4.8127734702523801</v>
      </c>
      <c r="I65" s="3">
        <v>1.07384042258333</v>
      </c>
      <c r="J65" s="3">
        <v>2.0107030021012702</v>
      </c>
      <c r="K65" s="3">
        <v>3.4317923617045398</v>
      </c>
      <c r="L65" s="3">
        <v>2.72748033360936</v>
      </c>
      <c r="M65" s="3">
        <v>3.72747315673289</v>
      </c>
      <c r="N65" s="3">
        <v>4.5989106785697498</v>
      </c>
    </row>
    <row r="66" spans="1:14" x14ac:dyDescent="0.35">
      <c r="A66" s="2">
        <v>43798</v>
      </c>
      <c r="B66" s="3">
        <v>3.2207020614311102</v>
      </c>
      <c r="C66" s="3">
        <v>4.2750688237062002</v>
      </c>
      <c r="D66" s="3">
        <v>3.2468804623583098</v>
      </c>
      <c r="E66" s="3">
        <v>3.0971551440738501</v>
      </c>
      <c r="F66" s="3">
        <v>2.4670356506982798</v>
      </c>
      <c r="G66" s="3">
        <v>3.0975673393248302</v>
      </c>
      <c r="H66" s="3">
        <v>4.7456583270793899</v>
      </c>
      <c r="I66" s="3">
        <v>1.07169013367975</v>
      </c>
      <c r="J66" s="3">
        <v>1.9756997976927</v>
      </c>
      <c r="K66" s="3">
        <v>3.37893159187036</v>
      </c>
      <c r="L66" s="3">
        <v>2.65154040471967</v>
      </c>
      <c r="M66" s="3">
        <v>3.7143828724944701</v>
      </c>
      <c r="N66" s="3">
        <v>4.56961812429887</v>
      </c>
    </row>
    <row r="67" spans="1:14" x14ac:dyDescent="0.35">
      <c r="A67" s="2">
        <v>43830</v>
      </c>
      <c r="B67" s="3">
        <v>3.1803686260389998</v>
      </c>
      <c r="C67" s="3">
        <v>4.30780774994785</v>
      </c>
      <c r="D67" s="3">
        <v>3.2635605689941798</v>
      </c>
      <c r="E67" s="3">
        <v>3.1013898502386499</v>
      </c>
      <c r="F67" s="3">
        <v>2.4440337793198901</v>
      </c>
      <c r="G67" s="3">
        <v>3.0432891491554299</v>
      </c>
      <c r="H67" s="3">
        <v>4.5701646491884302</v>
      </c>
      <c r="I67" s="3">
        <v>1.04767821812718</v>
      </c>
      <c r="J67" s="3">
        <v>1.9335046586454101</v>
      </c>
      <c r="K67" s="3">
        <v>3.35245755302702</v>
      </c>
      <c r="L67" s="3">
        <v>2.6001811857736601</v>
      </c>
      <c r="M67" s="3">
        <v>3.62646329948458</v>
      </c>
      <c r="N67" s="3">
        <v>4.49658699383727</v>
      </c>
    </row>
    <row r="68" spans="1:14" x14ac:dyDescent="0.35">
      <c r="A68" s="2">
        <v>43861</v>
      </c>
      <c r="B68" s="3">
        <v>3.10302790525696</v>
      </c>
      <c r="C68" s="3">
        <v>4.1711082845887004</v>
      </c>
      <c r="D68" s="3">
        <v>3.28104813208701</v>
      </c>
      <c r="E68" s="3">
        <v>3.1616567148522901</v>
      </c>
      <c r="F68" s="3">
        <v>2.4970799680889999</v>
      </c>
      <c r="G68" s="3">
        <v>3.02734981477521</v>
      </c>
      <c r="H68" s="3">
        <v>4.74674136843967</v>
      </c>
      <c r="I68" s="3">
        <v>1.0234931300755099</v>
      </c>
      <c r="J68" s="3">
        <v>1.9520299281993601</v>
      </c>
      <c r="K68" s="3">
        <v>3.4330016100018801</v>
      </c>
      <c r="L68" s="3">
        <v>2.6842422291951502</v>
      </c>
      <c r="M68" s="3">
        <v>3.6291149674229399</v>
      </c>
      <c r="N68" s="3">
        <v>4.6011370865805299</v>
      </c>
    </row>
    <row r="69" spans="1:14" x14ac:dyDescent="0.35">
      <c r="A69" s="2">
        <v>43889</v>
      </c>
      <c r="B69" s="3">
        <v>3.1699334584336198</v>
      </c>
      <c r="C69" s="3">
        <v>4.4946242762451103</v>
      </c>
      <c r="D69" s="3">
        <v>3.5456181912962199</v>
      </c>
      <c r="E69" s="3">
        <v>3.4328000594677799</v>
      </c>
      <c r="F69" s="3">
        <v>2.7616977240481302</v>
      </c>
      <c r="G69" s="3">
        <v>3.3026211798255098</v>
      </c>
      <c r="H69" s="3">
        <v>5.3349258149478098</v>
      </c>
      <c r="I69" s="3">
        <v>1.0935728969138401</v>
      </c>
      <c r="J69" s="3">
        <v>2.1457295013516502</v>
      </c>
      <c r="K69" s="3">
        <v>3.72782087677705</v>
      </c>
      <c r="L69" s="3">
        <v>2.8703219753556901</v>
      </c>
      <c r="M69" s="3">
        <v>3.8318433537366801</v>
      </c>
      <c r="N69" s="3">
        <v>5.0087033729094204</v>
      </c>
    </row>
    <row r="70" spans="1:14" x14ac:dyDescent="0.35">
      <c r="A70" s="2">
        <v>43922</v>
      </c>
      <c r="B70" s="3">
        <v>3.27081133833935</v>
      </c>
      <c r="C70" s="3">
        <v>5.0346379874248104</v>
      </c>
      <c r="D70" s="3">
        <v>4.4620783208633696</v>
      </c>
      <c r="E70" s="3">
        <v>4.0503090021436003</v>
      </c>
      <c r="F70" s="3">
        <v>3.0937034789182798</v>
      </c>
      <c r="G70" s="3">
        <v>3.5417545686354401</v>
      </c>
      <c r="H70" s="3">
        <v>6.3253930713405504</v>
      </c>
      <c r="I70" s="3">
        <v>1.2403335242326301</v>
      </c>
      <c r="J70" s="3">
        <v>2.5453513221033401</v>
      </c>
      <c r="K70" s="3">
        <v>4.4579809341826202</v>
      </c>
      <c r="L70" s="3">
        <v>3.2908052289029999</v>
      </c>
      <c r="M70" s="3">
        <v>4.1641657752791899</v>
      </c>
      <c r="N70" s="3">
        <v>6.3004741160984201</v>
      </c>
    </row>
    <row r="71" spans="1:14" x14ac:dyDescent="0.35">
      <c r="A71" s="2">
        <v>43952</v>
      </c>
      <c r="B71" s="3">
        <v>2.7149178657469402</v>
      </c>
      <c r="C71" s="3">
        <v>4.0782154311356296</v>
      </c>
      <c r="D71" s="3">
        <v>3.9094621829445</v>
      </c>
      <c r="E71" s="3">
        <v>3.3462663737299998</v>
      </c>
      <c r="F71" s="3">
        <v>2.8654151202537599</v>
      </c>
      <c r="G71" s="3">
        <v>3.26156325188524</v>
      </c>
      <c r="H71" s="3">
        <v>4.83977258060537</v>
      </c>
      <c r="I71" s="3">
        <v>1.0447820605978699</v>
      </c>
      <c r="J71" s="3">
        <v>2.1522642516333601</v>
      </c>
      <c r="K71" s="3">
        <v>3.5170636506044199</v>
      </c>
      <c r="L71" s="3">
        <v>2.7052258483775198</v>
      </c>
      <c r="M71" s="3">
        <v>3.29514658547268</v>
      </c>
      <c r="N71" s="3">
        <v>5.25468343349546</v>
      </c>
    </row>
    <row r="72" spans="1:14" x14ac:dyDescent="0.35">
      <c r="A72" s="2">
        <v>43983</v>
      </c>
      <c r="B72" s="3">
        <v>2.6132165941172998</v>
      </c>
      <c r="C72" s="3">
        <v>3.4734157027906498</v>
      </c>
      <c r="D72" s="3">
        <v>3.61751689528373</v>
      </c>
      <c r="E72" s="3">
        <v>3.0669505721407599</v>
      </c>
      <c r="F72" s="3">
        <v>2.5399555841334598</v>
      </c>
      <c r="G72" s="3">
        <v>3.16567902165986</v>
      </c>
      <c r="H72" s="3">
        <v>4.1293139995946202</v>
      </c>
      <c r="I72" s="3">
        <v>0.946487357302498</v>
      </c>
      <c r="J72" s="3">
        <v>1.97623101139763</v>
      </c>
      <c r="K72" s="3">
        <v>3.26486048992528</v>
      </c>
      <c r="L72" s="3">
        <v>2.4734216130294602</v>
      </c>
      <c r="M72" s="3">
        <v>3.0410860600107599</v>
      </c>
      <c r="N72" s="3">
        <v>4.4774242938729696</v>
      </c>
    </row>
    <row r="73" spans="1:14" x14ac:dyDescent="0.35">
      <c r="A73" s="2">
        <v>44013</v>
      </c>
      <c r="B73" s="3">
        <v>2.5071523068414501</v>
      </c>
      <c r="C73" s="3">
        <v>3.4427891534947901</v>
      </c>
      <c r="D73" s="3">
        <v>3.5498201184163598</v>
      </c>
      <c r="E73" s="3">
        <v>2.9401991099153402</v>
      </c>
      <c r="F73" s="3">
        <v>2.5437292280197301</v>
      </c>
      <c r="G73" s="3">
        <v>3.0710244414507502</v>
      </c>
      <c r="H73" s="3">
        <v>4.1383093225062897</v>
      </c>
      <c r="I73" s="3">
        <v>0.88392369393005599</v>
      </c>
      <c r="J73" s="3">
        <v>1.92263085417017</v>
      </c>
      <c r="K73" s="3">
        <v>3.16284673982048</v>
      </c>
      <c r="L73" s="3">
        <v>2.3746088564427801</v>
      </c>
      <c r="M73" s="3">
        <v>3.0509741745568499</v>
      </c>
      <c r="N73" s="3">
        <v>4.3824278315408796</v>
      </c>
    </row>
    <row r="74" spans="1:14" x14ac:dyDescent="0.35">
      <c r="A74" s="2">
        <v>44043</v>
      </c>
      <c r="B74" s="3">
        <v>2.3984369714194198</v>
      </c>
      <c r="C74" s="3">
        <v>3.42710956751037</v>
      </c>
      <c r="D74" s="3">
        <v>3.42456447855619</v>
      </c>
      <c r="E74" s="3">
        <v>2.9375956752617598</v>
      </c>
      <c r="F74" s="3">
        <v>2.6044037130035398</v>
      </c>
      <c r="G74" s="3">
        <v>3.0201964561597299</v>
      </c>
      <c r="H74" s="3">
        <v>4.1655574388825398</v>
      </c>
      <c r="I74" s="3">
        <v>0.83527683032475397</v>
      </c>
      <c r="J74" s="3">
        <v>1.8178845157530501</v>
      </c>
      <c r="K74" s="3">
        <v>3.2349188579194501</v>
      </c>
      <c r="L74" s="3">
        <v>2.4204340590187701</v>
      </c>
      <c r="M74" s="3">
        <v>3.0772020393808401</v>
      </c>
      <c r="N74" s="3">
        <v>4.0651578393272603</v>
      </c>
    </row>
    <row r="75" spans="1:14" x14ac:dyDescent="0.35">
      <c r="A75" s="2">
        <v>44075</v>
      </c>
      <c r="B75" s="3">
        <v>2.3822878116882902</v>
      </c>
      <c r="C75" s="3">
        <v>3.4672637338387302</v>
      </c>
      <c r="D75" s="3">
        <v>3.32994289757591</v>
      </c>
      <c r="E75" s="3">
        <v>2.8156454424077402</v>
      </c>
      <c r="F75" s="3">
        <v>2.3817554562724701</v>
      </c>
      <c r="G75" s="3">
        <v>2.9532793198037499</v>
      </c>
      <c r="H75" s="3">
        <v>4.1106756018380404</v>
      </c>
      <c r="I75" s="3">
        <v>0.74148339329786195</v>
      </c>
      <c r="J75" s="3">
        <v>1.69114757371265</v>
      </c>
      <c r="K75" s="3">
        <v>3.1562839375738001</v>
      </c>
      <c r="L75" s="3">
        <v>2.29112185949224</v>
      </c>
      <c r="M75" s="3">
        <v>3.0164954722911501</v>
      </c>
      <c r="N75" s="3">
        <v>4.0406395235715804</v>
      </c>
    </row>
    <row r="76" spans="1:14" x14ac:dyDescent="0.35">
      <c r="A76" s="2">
        <v>44105</v>
      </c>
      <c r="B76" s="3">
        <v>2.45226748743542</v>
      </c>
      <c r="C76" s="3">
        <v>3.66910431329037</v>
      </c>
      <c r="D76" s="3">
        <v>3.4435613288864002</v>
      </c>
      <c r="E76" s="3">
        <v>2.8693781866047798</v>
      </c>
      <c r="F76" s="3">
        <v>2.3949548893291999</v>
      </c>
      <c r="G76" s="3">
        <v>2.9581504171875901</v>
      </c>
      <c r="H76" s="3">
        <v>4.2535290660531802</v>
      </c>
      <c r="I76" s="3">
        <v>0.78959563840083902</v>
      </c>
      <c r="J76" s="3">
        <v>1.7643231843151399</v>
      </c>
      <c r="K76" s="3">
        <v>3.2764492596080501</v>
      </c>
      <c r="L76" s="3">
        <v>2.33341503616353</v>
      </c>
      <c r="M76" s="3">
        <v>3.01368654958753</v>
      </c>
      <c r="N76" s="3">
        <v>4.2095612873161796</v>
      </c>
    </row>
    <row r="77" spans="1:14" x14ac:dyDescent="0.35">
      <c r="A77" s="2">
        <v>44134</v>
      </c>
      <c r="B77" s="3">
        <v>2.4369376400744098</v>
      </c>
      <c r="C77" s="3">
        <v>3.7867418114267601</v>
      </c>
      <c r="D77" s="3">
        <v>3.5502529750157601</v>
      </c>
      <c r="E77" s="3">
        <v>3.1821038630237699</v>
      </c>
      <c r="F77" s="3">
        <v>2.4666022874259999</v>
      </c>
      <c r="G77" s="3">
        <v>3.15198115057443</v>
      </c>
      <c r="H77" s="3">
        <v>4.6040756349886101</v>
      </c>
      <c r="I77" s="3">
        <v>0.838160298569396</v>
      </c>
      <c r="J77" s="3">
        <v>1.8328823603312101</v>
      </c>
      <c r="K77" s="3">
        <v>3.44528026962697</v>
      </c>
      <c r="L77" s="3">
        <v>2.41361595395544</v>
      </c>
      <c r="M77" s="3">
        <v>3.33006982371879</v>
      </c>
      <c r="N77" s="3">
        <v>4.5602862639487602</v>
      </c>
    </row>
    <row r="78" spans="1:14" x14ac:dyDescent="0.35">
      <c r="A78" s="2">
        <v>44166</v>
      </c>
      <c r="B78" s="3">
        <v>2.3702839814355401</v>
      </c>
      <c r="C78" s="3">
        <v>3.4505757953059701</v>
      </c>
      <c r="D78" s="3">
        <v>3.1767743413854199</v>
      </c>
      <c r="E78" s="3">
        <v>2.7743644827403098</v>
      </c>
      <c r="F78" s="3">
        <v>2.1711864552945301</v>
      </c>
      <c r="G78" s="3">
        <v>2.9073335526547401</v>
      </c>
      <c r="H78" s="3">
        <v>3.95416245797212</v>
      </c>
      <c r="I78" s="3">
        <v>0.74553896780967399</v>
      </c>
      <c r="J78" s="3">
        <v>1.6392161343537599</v>
      </c>
      <c r="K78" s="3">
        <v>2.8768523124708998</v>
      </c>
      <c r="L78" s="3">
        <v>2.0657570498520901</v>
      </c>
      <c r="M78" s="3">
        <v>3.00785418618903</v>
      </c>
      <c r="N78" s="3">
        <v>3.9306779460225498</v>
      </c>
    </row>
    <row r="79" spans="1:14" x14ac:dyDescent="0.35">
      <c r="A79" s="2">
        <v>44196</v>
      </c>
      <c r="B79" s="3">
        <v>2.4053926364159901</v>
      </c>
      <c r="C79" s="3">
        <v>3.5844448354815501</v>
      </c>
      <c r="D79" s="3">
        <v>3.1389385776855399</v>
      </c>
      <c r="E79" s="3">
        <v>2.7202595320454299</v>
      </c>
      <c r="F79" s="3">
        <v>2.1399484390700398</v>
      </c>
      <c r="G79" s="3">
        <v>2.8207752385023102</v>
      </c>
      <c r="H79" s="3">
        <v>3.9479358923666199</v>
      </c>
      <c r="I79" s="3">
        <v>0.76306680199799304</v>
      </c>
      <c r="J79" s="3">
        <v>1.5777077469910299</v>
      </c>
      <c r="K79" s="3">
        <v>2.9395543476500001</v>
      </c>
      <c r="L79" s="3">
        <v>1.9681814798734101</v>
      </c>
      <c r="M79" s="3">
        <v>3.1072978233720101</v>
      </c>
      <c r="N79" s="3">
        <v>3.9446405353127498</v>
      </c>
    </row>
    <row r="80" spans="1:14" x14ac:dyDescent="0.35">
      <c r="A80" s="2">
        <v>44228</v>
      </c>
      <c r="B80" s="3">
        <v>2.4812783768385902</v>
      </c>
      <c r="C80" s="3">
        <v>3.6690606206230298</v>
      </c>
      <c r="D80" s="3">
        <v>3.09173440799837</v>
      </c>
      <c r="E80" s="3">
        <v>2.7811750175958201</v>
      </c>
      <c r="F80" s="3">
        <v>2.1304643726817099</v>
      </c>
      <c r="G80" s="3">
        <v>2.8533894840034</v>
      </c>
      <c r="H80" s="3">
        <v>4.1027609665897797</v>
      </c>
      <c r="I80" s="3">
        <v>0.74813059925046099</v>
      </c>
      <c r="J80" s="3">
        <v>1.5808935150002399</v>
      </c>
      <c r="K80" s="3">
        <v>2.99692023449406</v>
      </c>
      <c r="L80" s="3">
        <v>1.98254365455708</v>
      </c>
      <c r="M80" s="3">
        <v>3.00493826720284</v>
      </c>
      <c r="N80" s="3">
        <v>4.1468533592508496</v>
      </c>
    </row>
    <row r="81" spans="1:14" x14ac:dyDescent="0.35">
      <c r="A81" s="2">
        <v>44256</v>
      </c>
      <c r="B81" s="3">
        <v>2.5772665202590099</v>
      </c>
      <c r="C81" s="3">
        <v>3.8479393555971502</v>
      </c>
      <c r="D81" s="3">
        <v>2.9316987283008098</v>
      </c>
      <c r="E81" s="3">
        <v>2.8030232876604702</v>
      </c>
      <c r="F81" s="3">
        <v>2.0845104662790899</v>
      </c>
      <c r="G81" s="3">
        <v>2.8880995673393102</v>
      </c>
      <c r="H81" s="3">
        <v>4.0074198819284899</v>
      </c>
      <c r="I81" s="3">
        <v>0.75334485867577095</v>
      </c>
      <c r="J81" s="3">
        <v>1.5434985970656001</v>
      </c>
      <c r="K81" s="3">
        <v>2.8357737915530001</v>
      </c>
      <c r="L81" s="3">
        <v>2.04488038136392</v>
      </c>
      <c r="M81" s="3">
        <v>2.9095969896279001</v>
      </c>
      <c r="N81" s="3">
        <v>4.09564999726034</v>
      </c>
    </row>
    <row r="82" spans="1:14" x14ac:dyDescent="0.35">
      <c r="A82" s="2">
        <v>44287</v>
      </c>
      <c r="B82" s="3">
        <v>2.5951383958601899</v>
      </c>
      <c r="C82" s="3">
        <v>3.97163701521748</v>
      </c>
      <c r="D82" s="3">
        <v>2.80258135035122</v>
      </c>
      <c r="E82" s="3">
        <v>2.6899830780700902</v>
      </c>
      <c r="F82" s="3">
        <v>2.0639766057606201</v>
      </c>
      <c r="G82" s="3">
        <v>2.79350069710843</v>
      </c>
      <c r="H82" s="3">
        <v>4.0490320688677803</v>
      </c>
      <c r="I82" s="3">
        <v>0.75417259031857298</v>
      </c>
      <c r="J82" s="3">
        <v>1.5064657711035301</v>
      </c>
      <c r="K82" s="3">
        <v>2.74011410639921</v>
      </c>
      <c r="L82" s="3">
        <v>1.91768257939403</v>
      </c>
      <c r="M82" s="3">
        <v>2.7547793033497099</v>
      </c>
      <c r="N82" s="3">
        <v>3.9963737163555502</v>
      </c>
    </row>
    <row r="83" spans="1:14" x14ac:dyDescent="0.35">
      <c r="A83" s="2">
        <v>44316</v>
      </c>
      <c r="B83" s="3">
        <v>2.5880948732242199</v>
      </c>
      <c r="C83" s="3">
        <v>3.9314369150242898</v>
      </c>
      <c r="D83" s="3">
        <v>2.7625045175571201</v>
      </c>
      <c r="E83" s="3">
        <v>2.7846560957973798</v>
      </c>
      <c r="F83" s="3">
        <v>2.15617238268872</v>
      </c>
      <c r="G83" s="3">
        <v>2.7748305994456599</v>
      </c>
      <c r="H83" s="3">
        <v>3.9670151911174298</v>
      </c>
      <c r="I83" s="3">
        <v>0.73090196187609202</v>
      </c>
      <c r="J83" s="3">
        <v>1.4601255735988601</v>
      </c>
      <c r="K83" s="3">
        <v>2.7059486768980801</v>
      </c>
      <c r="L83" s="3">
        <v>1.9631256024258199</v>
      </c>
      <c r="M83" s="3">
        <v>2.83925900079951</v>
      </c>
      <c r="N83" s="3">
        <v>4.1908301934866596</v>
      </c>
    </row>
    <row r="84" spans="1:14" x14ac:dyDescent="0.35">
      <c r="A84" s="2">
        <v>44348</v>
      </c>
      <c r="B84" s="3">
        <v>2.68439214191093</v>
      </c>
      <c r="C84" s="3">
        <v>3.8918826761186298</v>
      </c>
      <c r="D84" s="3">
        <v>2.6028620728651002</v>
      </c>
      <c r="E84" s="3">
        <v>2.7962049168150598</v>
      </c>
      <c r="F84" s="3">
        <v>2.17536659875462</v>
      </c>
      <c r="G84" s="3">
        <v>2.6965720041910801</v>
      </c>
      <c r="H84" s="3">
        <v>3.8743208576311101</v>
      </c>
      <c r="I84" s="3">
        <v>0.74378788220314096</v>
      </c>
      <c r="J84" s="3">
        <v>1.4617543816471701</v>
      </c>
      <c r="K84" s="3">
        <v>2.66765332621768</v>
      </c>
      <c r="L84" s="3">
        <v>2.0016023867668702</v>
      </c>
      <c r="M84" s="3">
        <v>2.6791510589870402</v>
      </c>
      <c r="N84" s="3">
        <v>4.09032284827253</v>
      </c>
    </row>
    <row r="85" spans="1:14" x14ac:dyDescent="0.35">
      <c r="A85" s="2">
        <v>44378</v>
      </c>
      <c r="B85" s="3">
        <v>2.6262109072143902</v>
      </c>
      <c r="C85" s="3">
        <v>4.0844542927163303</v>
      </c>
      <c r="D85" s="3">
        <v>2.7085777310422801</v>
      </c>
      <c r="E85" s="3">
        <v>2.8098448050771498</v>
      </c>
      <c r="F85" s="3">
        <v>2.2028453885799499</v>
      </c>
      <c r="G85" s="3">
        <v>2.6326839320678199</v>
      </c>
      <c r="H85" s="3">
        <v>3.9925728086469299</v>
      </c>
      <c r="I85" s="3">
        <v>0.70416975284156202</v>
      </c>
      <c r="J85" s="3">
        <v>1.43586397027977</v>
      </c>
      <c r="K85" s="3">
        <v>2.69259507872989</v>
      </c>
      <c r="L85" s="3">
        <v>2.0135583823206402</v>
      </c>
      <c r="M85" s="3">
        <v>2.7136488439738802</v>
      </c>
      <c r="N85" s="3">
        <v>4.1322693873365202</v>
      </c>
    </row>
    <row r="86" spans="1:14" x14ac:dyDescent="0.35">
      <c r="A86" s="2">
        <v>44407</v>
      </c>
      <c r="B86" s="3">
        <v>2.6580797025582998</v>
      </c>
      <c r="C86" s="3">
        <v>4.1205726895188102</v>
      </c>
      <c r="D86" s="3">
        <v>2.7117435551718199</v>
      </c>
      <c r="E86" s="3">
        <v>2.8432074161782501</v>
      </c>
      <c r="F86" s="3">
        <v>2.2731805824677398</v>
      </c>
      <c r="G86" s="3">
        <v>2.59129954385517</v>
      </c>
      <c r="H86" s="3">
        <v>4.1678669636604999</v>
      </c>
      <c r="I86" s="3">
        <v>0.70392169830168405</v>
      </c>
      <c r="J86" s="3">
        <v>1.42856785043602</v>
      </c>
      <c r="K86" s="3">
        <v>2.7144155867015201</v>
      </c>
      <c r="L86" s="3">
        <v>1.94889365224805</v>
      </c>
      <c r="M86" s="3">
        <v>2.7337722652612499</v>
      </c>
      <c r="N86" s="3">
        <v>4.2353139294577202</v>
      </c>
    </row>
    <row r="87" spans="1:14" x14ac:dyDescent="0.35">
      <c r="A87" s="2">
        <v>44440</v>
      </c>
      <c r="B87" s="3">
        <v>2.5803253756629401</v>
      </c>
      <c r="C87" s="3">
        <v>4.0246302526533997</v>
      </c>
      <c r="D87" s="3">
        <v>2.7305115830832398</v>
      </c>
      <c r="E87" s="3">
        <v>2.8401237361813099</v>
      </c>
      <c r="F87" s="3">
        <v>2.2312310644458102</v>
      </c>
      <c r="G87" s="3">
        <v>2.5599470040229</v>
      </c>
      <c r="H87" s="3">
        <v>4.1817934948268096</v>
      </c>
      <c r="I87" s="3">
        <v>0.67872310362377897</v>
      </c>
      <c r="J87" s="3">
        <v>1.4003835084980401</v>
      </c>
      <c r="K87" s="3">
        <v>2.7226294869971301</v>
      </c>
      <c r="L87" s="3">
        <v>1.8323512917489799</v>
      </c>
      <c r="M87" s="3">
        <v>2.7340009907125702</v>
      </c>
      <c r="N87" s="3">
        <v>4.3970607696372301</v>
      </c>
    </row>
    <row r="88" spans="1:14" x14ac:dyDescent="0.35">
      <c r="A88" s="2">
        <v>44470</v>
      </c>
      <c r="B88" s="3">
        <v>2.6187124957364398</v>
      </c>
      <c r="C88" s="3">
        <v>4.1535813789996601</v>
      </c>
      <c r="D88" s="3">
        <v>2.8261989003586598</v>
      </c>
      <c r="E88" s="3">
        <v>3.0078935552655999</v>
      </c>
      <c r="F88" s="3">
        <v>2.25075954437269</v>
      </c>
      <c r="G88" s="3">
        <v>2.7791957942677601</v>
      </c>
      <c r="H88" s="3">
        <v>4.2090951963265697</v>
      </c>
      <c r="I88" s="3">
        <v>0.72325560370292796</v>
      </c>
      <c r="J88" s="3">
        <v>1.4591706580858499</v>
      </c>
      <c r="K88" s="3">
        <v>2.8661540994536798</v>
      </c>
      <c r="L88" s="3">
        <v>1.97422166671737</v>
      </c>
      <c r="M88" s="3">
        <v>2.9011971633382299</v>
      </c>
      <c r="N88" s="3">
        <v>4.5586557107830403</v>
      </c>
    </row>
    <row r="89" spans="1:14" x14ac:dyDescent="0.35">
      <c r="A89" s="2">
        <v>44501</v>
      </c>
      <c r="B89" s="3">
        <v>2.6772532220104299</v>
      </c>
      <c r="C89" s="3">
        <v>3.9438788181450901</v>
      </c>
      <c r="D89" s="3">
        <v>2.71569075806898</v>
      </c>
      <c r="E89" s="3">
        <v>2.9409941947847602</v>
      </c>
      <c r="F89" s="3">
        <v>2.2100815136631198</v>
      </c>
      <c r="G89" s="3">
        <v>2.6283000273187702</v>
      </c>
      <c r="H89" s="3">
        <v>4.0211887221817202</v>
      </c>
      <c r="I89" s="3">
        <v>0.67651484221193003</v>
      </c>
      <c r="J89" s="3">
        <v>1.3930993396597799</v>
      </c>
      <c r="K89" s="3">
        <v>2.7676340746453998</v>
      </c>
      <c r="L89" s="3">
        <v>1.9050742867253001</v>
      </c>
      <c r="M89" s="3">
        <v>3.02662417746807</v>
      </c>
      <c r="N89" s="3">
        <v>4.3347626195270097</v>
      </c>
    </row>
    <row r="90" spans="1:14" x14ac:dyDescent="0.35">
      <c r="A90" s="2">
        <v>44531</v>
      </c>
      <c r="B90" s="3">
        <v>2.7748707585172498</v>
      </c>
      <c r="C90" s="3">
        <v>4.05207257594859</v>
      </c>
      <c r="D90" s="3">
        <v>2.86543604751418</v>
      </c>
      <c r="E90" s="3">
        <v>3.0893079736340501</v>
      </c>
      <c r="F90" s="3">
        <v>2.3487085883114598</v>
      </c>
      <c r="G90" s="3">
        <v>2.6509088939049401</v>
      </c>
      <c r="H90" s="3">
        <v>4.0958420774717696</v>
      </c>
      <c r="I90" s="3">
        <v>0.68266277441572398</v>
      </c>
      <c r="J90" s="3">
        <v>1.42751868100385</v>
      </c>
      <c r="K90" s="3">
        <v>2.8260202805579202</v>
      </c>
      <c r="L90" s="3">
        <v>1.94104004253809</v>
      </c>
      <c r="M90" s="3">
        <v>2.9540781612682898</v>
      </c>
      <c r="N90" s="3">
        <v>4.6761160595332498</v>
      </c>
    </row>
    <row r="91" spans="1:14" x14ac:dyDescent="0.35">
      <c r="A91" s="2">
        <v>44561</v>
      </c>
      <c r="B91" s="3">
        <v>2.76511566800919</v>
      </c>
      <c r="C91" s="3">
        <v>3.8752438584150299</v>
      </c>
      <c r="D91" s="3">
        <v>2.7873327316916399</v>
      </c>
      <c r="E91" s="3">
        <v>3.0442405681104301</v>
      </c>
      <c r="F91" s="3">
        <v>2.3131354029484799</v>
      </c>
      <c r="G91" s="3">
        <v>2.5276605735921902</v>
      </c>
      <c r="H91" s="3">
        <v>3.90526117650779</v>
      </c>
      <c r="I91" s="3">
        <v>0.667983627087954</v>
      </c>
      <c r="J91" s="3">
        <v>1.3545920242557199</v>
      </c>
      <c r="K91" s="3">
        <v>2.7387953731121502</v>
      </c>
      <c r="L91" s="3">
        <v>1.93656613675911</v>
      </c>
      <c r="M91" s="3">
        <v>2.8324360732191698</v>
      </c>
      <c r="N91" s="3">
        <v>4.5998556478422898</v>
      </c>
    </row>
    <row r="92" spans="1:14" x14ac:dyDescent="0.35">
      <c r="A92" s="2">
        <v>44593</v>
      </c>
      <c r="B92" s="3">
        <v>3.0167375746389502</v>
      </c>
      <c r="C92" s="3">
        <v>4.3734366011415</v>
      </c>
      <c r="D92" s="3">
        <v>2.7967895014934601</v>
      </c>
      <c r="E92" s="3">
        <v>3.1430653770782402</v>
      </c>
      <c r="F92" s="3">
        <v>2.4664710062583</v>
      </c>
      <c r="G92" s="3">
        <v>2.7096189486267002</v>
      </c>
      <c r="H92" s="3">
        <v>3.7957036226680798</v>
      </c>
      <c r="I92" s="3">
        <v>0.73542810358639699</v>
      </c>
      <c r="J92" s="3">
        <v>1.44083421740155</v>
      </c>
      <c r="K92" s="3">
        <v>2.8212326058985799</v>
      </c>
      <c r="L92" s="3">
        <v>2.1627484845376799</v>
      </c>
      <c r="M92" s="3">
        <v>2.83999374359421</v>
      </c>
      <c r="N92" s="3">
        <v>4.6990066274980604</v>
      </c>
    </row>
    <row r="93" spans="1:14" x14ac:dyDescent="0.35">
      <c r="A93" s="2">
        <v>44621</v>
      </c>
      <c r="B93" s="3">
        <v>2.9736402985769299</v>
      </c>
      <c r="C93" s="3">
        <v>4.3560495009399096</v>
      </c>
      <c r="D93" s="3">
        <v>2.8901515790071701</v>
      </c>
      <c r="E93" s="3">
        <v>3.5992600102558501</v>
      </c>
      <c r="F93" s="3">
        <v>2.5457188787305798</v>
      </c>
      <c r="G93" s="3">
        <v>2.82808219096313</v>
      </c>
      <c r="H93" s="3">
        <v>3.9730003251144601</v>
      </c>
      <c r="I93" s="3">
        <v>0.800631761118898</v>
      </c>
      <c r="J93" s="3">
        <v>1.5350205749216601</v>
      </c>
      <c r="K93" s="3">
        <v>3.21057133956496</v>
      </c>
      <c r="L93" s="3">
        <v>2.3370106491070701</v>
      </c>
      <c r="M93" s="3">
        <v>3.2288925559588399</v>
      </c>
      <c r="N93" s="3">
        <v>5.1928433391463997</v>
      </c>
    </row>
    <row r="94" spans="1:14" x14ac:dyDescent="0.35">
      <c r="A94" s="2">
        <v>44652</v>
      </c>
      <c r="B94" s="3">
        <v>3.0634918868110201</v>
      </c>
      <c r="C94" s="3">
        <v>4.2407604971047199</v>
      </c>
      <c r="D94" s="3">
        <v>2.8310748335118001</v>
      </c>
      <c r="E94" s="3">
        <v>3.5348435627422701</v>
      </c>
      <c r="F94" s="3">
        <v>2.5145922937734499</v>
      </c>
      <c r="G94" s="3">
        <v>2.7815893629968702</v>
      </c>
      <c r="H94" s="3">
        <v>4.0025006094712303</v>
      </c>
      <c r="I94" s="3">
        <v>0.757604902503769</v>
      </c>
      <c r="J94" s="3">
        <v>1.45055024921827</v>
      </c>
      <c r="K94" s="3">
        <v>3.0814131755727598</v>
      </c>
      <c r="L94" s="3">
        <v>2.2377347462732602</v>
      </c>
      <c r="M94" s="3">
        <v>3.09699512884962</v>
      </c>
      <c r="N94" s="3">
        <v>5.0079433585054298</v>
      </c>
    </row>
    <row r="95" spans="1:14" x14ac:dyDescent="0.35">
      <c r="A95" s="2">
        <v>44680</v>
      </c>
      <c r="B95" s="3">
        <v>3.0598331746385901</v>
      </c>
      <c r="C95" s="3">
        <v>4.4601295129855298</v>
      </c>
      <c r="D95" s="3">
        <v>3.07116332644503</v>
      </c>
      <c r="E95" s="3">
        <v>3.6968228199090398</v>
      </c>
      <c r="F95" s="3">
        <v>2.59144098377952</v>
      </c>
      <c r="G95" s="3">
        <v>2.84152955009802</v>
      </c>
      <c r="H95" s="3">
        <v>4.0518383640028901</v>
      </c>
      <c r="I95" s="3">
        <v>0.87839368454482802</v>
      </c>
      <c r="J95" s="3">
        <v>1.5989824495648599</v>
      </c>
      <c r="K95" s="3">
        <v>3.1491862062451101</v>
      </c>
      <c r="L95" s="3">
        <v>2.3868799709984301</v>
      </c>
      <c r="M95" s="3">
        <v>3.2751989364167602</v>
      </c>
      <c r="N95" s="3">
        <v>5.11557226472741</v>
      </c>
    </row>
    <row r="96" spans="1:14" x14ac:dyDescent="0.35">
      <c r="A96" s="2">
        <v>44713</v>
      </c>
      <c r="B96" s="3">
        <v>3.1964606733371701</v>
      </c>
      <c r="C96" s="3">
        <v>4.6598772259029797</v>
      </c>
      <c r="D96" s="3">
        <v>3.1092023377313001</v>
      </c>
      <c r="E96" s="3">
        <v>3.7483982927166801</v>
      </c>
      <c r="F96" s="3">
        <v>2.5709958766415002</v>
      </c>
      <c r="G96" s="3">
        <v>2.9852376610285898</v>
      </c>
      <c r="H96" s="3">
        <v>4.07713197459036</v>
      </c>
      <c r="I96" s="3">
        <v>0.90851576211254403</v>
      </c>
      <c r="J96" s="3">
        <v>1.6188050037624799</v>
      </c>
      <c r="K96" s="3">
        <v>3.2402485292758598</v>
      </c>
      <c r="L96" s="3">
        <v>2.55096615863927</v>
      </c>
      <c r="M96" s="3">
        <v>3.28021779740852</v>
      </c>
      <c r="N96" s="3">
        <v>5.2404607171300004</v>
      </c>
    </row>
    <row r="97" spans="1:14" x14ac:dyDescent="0.35">
      <c r="A97" s="2">
        <v>44743</v>
      </c>
      <c r="B97" s="3">
        <v>3.4063392320034298</v>
      </c>
      <c r="C97" s="3">
        <v>5.3160403707034298</v>
      </c>
      <c r="D97" s="3">
        <v>3.42241268976922</v>
      </c>
      <c r="E97" s="3">
        <v>4.21178417068705</v>
      </c>
      <c r="F97" s="3">
        <v>2.7404966490901201</v>
      </c>
      <c r="G97" s="3">
        <v>3.1965228346668</v>
      </c>
      <c r="H97" s="3">
        <v>4.3233461606893702</v>
      </c>
      <c r="I97" s="3">
        <v>0.99234214568880996</v>
      </c>
      <c r="J97" s="3">
        <v>1.7549580659442601</v>
      </c>
      <c r="K97" s="3">
        <v>3.5373300333889501</v>
      </c>
      <c r="L97" s="3">
        <v>3.4842035208358402</v>
      </c>
      <c r="M97" s="3">
        <v>3.6385290367084799</v>
      </c>
      <c r="N97" s="3">
        <v>5.9288194662000402</v>
      </c>
    </row>
    <row r="98" spans="1:14" x14ac:dyDescent="0.35">
      <c r="A98" s="2">
        <v>44774</v>
      </c>
      <c r="B98" s="3">
        <v>3.24355990454516</v>
      </c>
      <c r="C98" s="3">
        <v>4.7696609057277302</v>
      </c>
      <c r="D98" s="3">
        <v>3.32249176557966</v>
      </c>
      <c r="E98" s="3">
        <v>4.0126689150794803</v>
      </c>
      <c r="F98" s="3">
        <v>2.5866863407979102</v>
      </c>
      <c r="G98" s="3">
        <v>3.0546874433442501</v>
      </c>
      <c r="H98" s="3">
        <v>4.1556408525836304</v>
      </c>
      <c r="I98" s="3">
        <v>0.89465414269198695</v>
      </c>
      <c r="J98" s="3">
        <v>1.63772867776388</v>
      </c>
      <c r="K98" s="3">
        <v>3.2846595275355002</v>
      </c>
      <c r="L98" s="3">
        <v>3.0469485120489401</v>
      </c>
      <c r="M98" s="3">
        <v>3.4706243367531799</v>
      </c>
      <c r="N98" s="3">
        <v>5.80753831641921</v>
      </c>
    </row>
    <row r="99" spans="1:14" x14ac:dyDescent="0.35">
      <c r="A99" s="2">
        <v>44805</v>
      </c>
      <c r="B99" s="3">
        <v>3.2116481119587998</v>
      </c>
      <c r="C99" s="3">
        <v>4.8696279961523299</v>
      </c>
      <c r="D99" s="3">
        <v>3.5013627705428401</v>
      </c>
      <c r="E99" s="3">
        <v>4.2808013615837002</v>
      </c>
      <c r="F99" s="3">
        <v>2.6333069587442099</v>
      </c>
      <c r="G99" s="3">
        <v>3.2692309825326098</v>
      </c>
      <c r="H99" s="3">
        <v>4.5291443609972699</v>
      </c>
      <c r="I99" s="3">
        <v>0.94765311626975501</v>
      </c>
      <c r="J99" s="3">
        <v>1.72155252244327</v>
      </c>
      <c r="K99" s="3">
        <v>3.5659678320566002</v>
      </c>
      <c r="L99" s="3">
        <v>3.8774506020474502</v>
      </c>
      <c r="M99" s="3">
        <v>3.8175927889761101</v>
      </c>
      <c r="N99" s="3">
        <v>5.8105370276572899</v>
      </c>
    </row>
    <row r="100" spans="1:14" x14ac:dyDescent="0.35">
      <c r="A100" s="2">
        <v>44834</v>
      </c>
      <c r="B100" s="3">
        <v>3.42620608411407</v>
      </c>
      <c r="C100" s="3">
        <v>5.2635282249166</v>
      </c>
      <c r="D100" s="3">
        <v>3.6346845964218599</v>
      </c>
      <c r="E100" s="3">
        <v>4.4846100059377303</v>
      </c>
      <c r="F100" s="3">
        <v>2.8177640565126199</v>
      </c>
      <c r="G100" s="3">
        <v>3.4263138214808002</v>
      </c>
      <c r="H100" s="3">
        <v>4.7703344757774104</v>
      </c>
      <c r="I100" s="3">
        <v>1.07002595175519</v>
      </c>
      <c r="J100" s="3">
        <v>1.91168557113335</v>
      </c>
      <c r="K100" s="3">
        <v>3.7722992269001798</v>
      </c>
      <c r="L100" s="3">
        <v>3.0790863276424298</v>
      </c>
      <c r="M100" s="3">
        <v>3.7915644393765202</v>
      </c>
      <c r="N100" s="3">
        <v>6.1945506712516201</v>
      </c>
    </row>
    <row r="101" spans="1:14" x14ac:dyDescent="0.35">
      <c r="A101" s="2">
        <v>44866</v>
      </c>
      <c r="B101" s="3">
        <v>3.3683822492147102</v>
      </c>
      <c r="C101" s="3">
        <v>4.8818703697438899</v>
      </c>
      <c r="D101" s="3">
        <v>3.42996893882819</v>
      </c>
      <c r="E101" s="3">
        <v>4.1039401860478701</v>
      </c>
      <c r="F101" s="3">
        <v>2.6593166118296399</v>
      </c>
      <c r="G101" s="3">
        <v>3.29550665285148</v>
      </c>
      <c r="H101" s="3">
        <v>4.4917898229579096</v>
      </c>
      <c r="I101" s="3">
        <v>1.0473580342612001</v>
      </c>
      <c r="J101" s="3">
        <v>1.7917771756180101</v>
      </c>
      <c r="K101" s="3">
        <v>3.4758560241040302</v>
      </c>
      <c r="L101" s="3">
        <v>2.9261723149706298</v>
      </c>
      <c r="M101" s="3">
        <v>3.7398866800286501</v>
      </c>
      <c r="N101" s="3">
        <v>5.6846046940337098</v>
      </c>
    </row>
    <row r="102" spans="1:14" x14ac:dyDescent="0.35">
      <c r="A102" s="2">
        <v>44896</v>
      </c>
      <c r="B102" s="3">
        <v>3.3846111053826999</v>
      </c>
      <c r="C102" s="3">
        <v>4.3813948978185504</v>
      </c>
      <c r="D102" s="3">
        <v>3.27361151994725</v>
      </c>
      <c r="E102" s="3">
        <v>3.7216858431934101</v>
      </c>
      <c r="F102" s="3">
        <v>2.5980883426628898</v>
      </c>
      <c r="G102" s="3">
        <v>3.0743513743524402</v>
      </c>
      <c r="H102" s="3">
        <v>4.2081978854219502</v>
      </c>
      <c r="I102" s="3">
        <v>0.98261855109185003</v>
      </c>
      <c r="J102" s="3">
        <v>1.6995887196508801</v>
      </c>
      <c r="K102" s="3">
        <v>3.2564849803147902</v>
      </c>
      <c r="L102" s="3">
        <v>2.6341302914998401</v>
      </c>
      <c r="M102" s="3">
        <v>3.5612966449371299</v>
      </c>
      <c r="N102" s="3">
        <v>5.6594295910611399</v>
      </c>
    </row>
    <row r="103" spans="1:14" x14ac:dyDescent="0.35">
      <c r="A103" s="2">
        <v>44925</v>
      </c>
      <c r="B103" s="3">
        <v>3.4817595151301202</v>
      </c>
      <c r="C103" s="3">
        <v>4.5472140818103002</v>
      </c>
      <c r="D103" s="3">
        <v>3.4707922433344001</v>
      </c>
      <c r="E103" s="3">
        <v>3.8475143428358201</v>
      </c>
      <c r="F103" s="3">
        <v>2.7626410407882802</v>
      </c>
      <c r="G103" s="3">
        <v>3.2251424731146301</v>
      </c>
      <c r="H103" s="3">
        <v>4.2841462186337296</v>
      </c>
      <c r="I103" s="3">
        <v>1.0384400152722499</v>
      </c>
      <c r="J103" s="3">
        <v>1.8088940776612701</v>
      </c>
      <c r="K103" s="3">
        <v>3.3807948700636898</v>
      </c>
      <c r="L103" s="3">
        <v>2.8174429701382899</v>
      </c>
      <c r="M103" s="3">
        <v>3.7634587716231298</v>
      </c>
      <c r="N103" s="3">
        <v>5.9215585910381598</v>
      </c>
    </row>
    <row r="104" spans="1:14" x14ac:dyDescent="0.35">
      <c r="A104" s="2">
        <v>44958</v>
      </c>
      <c r="B104" s="3">
        <v>3.2887788260105699</v>
      </c>
      <c r="C104" s="3">
        <v>4.2528383446080404</v>
      </c>
      <c r="D104" s="3">
        <v>3.2703478014262002</v>
      </c>
      <c r="E104" s="3">
        <v>3.5024493256879099</v>
      </c>
      <c r="F104" s="3">
        <v>2.6326392381843902</v>
      </c>
      <c r="G104" s="3">
        <v>3.0622541009728601</v>
      </c>
      <c r="H104" s="3">
        <v>4.1148590477898601</v>
      </c>
      <c r="I104" s="3">
        <v>0.93049211508212704</v>
      </c>
      <c r="J104" s="3">
        <v>1.6984099509770001</v>
      </c>
      <c r="K104" s="3">
        <v>3.1145389123310201</v>
      </c>
      <c r="L104" s="3">
        <v>2.5373682164417701</v>
      </c>
      <c r="M104" s="3">
        <v>3.56511917479496</v>
      </c>
      <c r="N104" s="3">
        <v>5.4496422141075396</v>
      </c>
    </row>
    <row r="105" spans="1:14" x14ac:dyDescent="0.35">
      <c r="A105" s="2">
        <v>44986</v>
      </c>
      <c r="B105" s="3">
        <v>3.3800400107860198</v>
      </c>
      <c r="C105" s="3">
        <v>4.4806016820202599</v>
      </c>
      <c r="D105" s="3">
        <v>3.3465419782602099</v>
      </c>
      <c r="E105" s="3">
        <v>3.5397662200897102</v>
      </c>
      <c r="F105" s="3">
        <v>2.6113539211271801</v>
      </c>
      <c r="G105" s="3">
        <v>3.17701626787977</v>
      </c>
      <c r="H105" s="3">
        <v>4.1351307504642003</v>
      </c>
      <c r="I105" s="3">
        <v>0.97048367773493205</v>
      </c>
      <c r="J105" s="3">
        <v>1.77715530397651</v>
      </c>
      <c r="K105" s="3">
        <v>3.1763540529843799</v>
      </c>
      <c r="L105" s="3">
        <v>2.6807545220992801</v>
      </c>
      <c r="M105" s="3">
        <v>3.56299807151668</v>
      </c>
      <c r="N105" s="3">
        <v>5.3177075999041303</v>
      </c>
    </row>
    <row r="106" spans="1:14" x14ac:dyDescent="0.35">
      <c r="A106" s="2">
        <v>45016</v>
      </c>
      <c r="B106" s="3">
        <v>3.3968483428020999</v>
      </c>
      <c r="C106" s="3">
        <v>4.5428269481902097</v>
      </c>
      <c r="D106" s="3">
        <v>3.3464031721368501</v>
      </c>
      <c r="E106" s="3">
        <v>3.5203067591384598</v>
      </c>
      <c r="F106" s="3">
        <v>2.62177551633838</v>
      </c>
      <c r="G106" s="3">
        <v>3.1567808378198201</v>
      </c>
      <c r="H106" s="3">
        <v>4.2250001257609098</v>
      </c>
      <c r="I106" s="3">
        <v>0.884085344676665</v>
      </c>
      <c r="J106" s="3">
        <v>1.7138888336617299</v>
      </c>
      <c r="K106" s="3">
        <v>3.17295242591794</v>
      </c>
      <c r="L106" s="3">
        <v>2.6345248160778798</v>
      </c>
      <c r="M106" s="3">
        <v>3.6305547729728298</v>
      </c>
      <c r="N106" s="3">
        <v>5.4376222814753996</v>
      </c>
    </row>
    <row r="107" spans="1:14" x14ac:dyDescent="0.35">
      <c r="A107" s="2">
        <v>45047</v>
      </c>
      <c r="B107" s="3">
        <v>3.3936173289360001</v>
      </c>
      <c r="C107" s="3">
        <v>4.4033541064440396</v>
      </c>
      <c r="D107" s="3">
        <v>3.2302720887263199</v>
      </c>
      <c r="E107" s="3">
        <v>3.51138865267228</v>
      </c>
      <c r="F107" s="3">
        <v>2.53804062688529</v>
      </c>
      <c r="G107" s="3">
        <v>3.07700993467882</v>
      </c>
      <c r="H107" s="3">
        <v>4.1100159376532099</v>
      </c>
      <c r="I107" s="3">
        <v>0.86523377143615399</v>
      </c>
      <c r="J107" s="3">
        <v>1.6935554907592201</v>
      </c>
      <c r="K107" s="3">
        <v>3.1238043252919501</v>
      </c>
      <c r="L107" s="3">
        <v>2.68855290331912</v>
      </c>
      <c r="M107" s="3">
        <v>3.63684954127634</v>
      </c>
      <c r="N107" s="3">
        <v>5.3959226025686098</v>
      </c>
    </row>
    <row r="108" spans="1:14" x14ac:dyDescent="0.35">
      <c r="A108" s="2">
        <v>45078</v>
      </c>
      <c r="B108" s="3">
        <v>3.4012233634042</v>
      </c>
      <c r="C108" s="3">
        <v>4.5156781954501204</v>
      </c>
      <c r="D108" s="3">
        <v>3.37471637877423</v>
      </c>
      <c r="E108" s="3">
        <v>3.6639102389445499</v>
      </c>
      <c r="F108" s="3">
        <v>2.4589310986611101</v>
      </c>
      <c r="G108" s="3">
        <v>3.1682694575523702</v>
      </c>
      <c r="H108" s="3">
        <v>4.4078330597338304</v>
      </c>
      <c r="I108" s="3">
        <v>0.79682350548670899</v>
      </c>
      <c r="J108" s="3">
        <v>1.67982567010948</v>
      </c>
      <c r="K108" s="3">
        <v>3.3137696564908299</v>
      </c>
      <c r="L108" s="3">
        <v>2.7156887182312901</v>
      </c>
      <c r="M108" s="3">
        <v>3.7801325858153398</v>
      </c>
      <c r="N108" s="3">
        <v>5.5283703922517402</v>
      </c>
    </row>
    <row r="109" spans="1:14" x14ac:dyDescent="0.35">
      <c r="A109" s="2">
        <v>45107</v>
      </c>
      <c r="B109" s="3">
        <v>3.41941461587257</v>
      </c>
      <c r="C109" s="3">
        <v>4.2992331256682998</v>
      </c>
      <c r="D109" s="3">
        <v>3.2521268823118601</v>
      </c>
      <c r="E109" s="3">
        <v>3.6204523088825602</v>
      </c>
      <c r="F109" s="3">
        <v>2.3287754881267002</v>
      </c>
      <c r="G109" s="3">
        <v>3.1648528823911199</v>
      </c>
      <c r="H109" s="3">
        <v>4.3605124375018196</v>
      </c>
      <c r="I109" s="3">
        <v>0.76262951233806997</v>
      </c>
      <c r="J109" s="3">
        <v>1.5965043520533</v>
      </c>
      <c r="K109" s="3">
        <v>3.2260840663456398</v>
      </c>
      <c r="L109" s="3">
        <v>2.69580855444124</v>
      </c>
      <c r="M109" s="3">
        <v>3.7122259136101698</v>
      </c>
      <c r="N109" s="3">
        <v>5.2928205624770799</v>
      </c>
    </row>
    <row r="110" spans="1:14" x14ac:dyDescent="0.35">
      <c r="A110" s="2">
        <v>45139</v>
      </c>
      <c r="B110" s="3">
        <v>3.4083844106207999</v>
      </c>
      <c r="C110" s="3">
        <v>4.08200178572908</v>
      </c>
      <c r="D110" s="3">
        <v>3.14794244772468</v>
      </c>
      <c r="E110" s="3">
        <v>3.6288222655631999</v>
      </c>
      <c r="F110" s="3">
        <v>2.3151705058184802</v>
      </c>
      <c r="G110" s="3">
        <v>3.14713263005057</v>
      </c>
      <c r="H110" s="3">
        <v>4.3217931098955704</v>
      </c>
      <c r="I110" s="3">
        <v>0.85756224411305204</v>
      </c>
      <c r="J110" s="3">
        <v>1.5606925296082399</v>
      </c>
      <c r="K110" s="3">
        <v>3.26836323230755</v>
      </c>
      <c r="L110" s="3">
        <v>2.656119343971</v>
      </c>
      <c r="M110" s="3">
        <v>3.8011924217436901</v>
      </c>
      <c r="N110" s="3">
        <v>5.3005084239701796</v>
      </c>
    </row>
    <row r="111" spans="1:14" x14ac:dyDescent="0.35">
      <c r="A111" s="2">
        <v>45170</v>
      </c>
      <c r="B111" s="3">
        <v>3.3057300783437702</v>
      </c>
      <c r="C111" s="3">
        <v>4.1546426282075704</v>
      </c>
      <c r="D111" s="3">
        <v>3.4466674697377599</v>
      </c>
      <c r="E111" s="3">
        <v>3.71753673276881</v>
      </c>
      <c r="F111" s="3">
        <v>2.3359561341328101</v>
      </c>
      <c r="G111" s="3">
        <v>3.2453674033270001</v>
      </c>
      <c r="H111" s="3">
        <v>4.47451368325211</v>
      </c>
      <c r="I111" s="3">
        <v>0.87420294399488696</v>
      </c>
      <c r="J111" s="3">
        <v>1.59260645217257</v>
      </c>
      <c r="K111" s="3">
        <v>3.3248910163619998</v>
      </c>
      <c r="L111" s="3">
        <v>2.8834296668564301</v>
      </c>
      <c r="M111" s="3">
        <v>3.95389923996707</v>
      </c>
      <c r="N111" s="3">
        <v>5.3873841436868402</v>
      </c>
    </row>
    <row r="112" spans="1:14" x14ac:dyDescent="0.35">
      <c r="A112" s="2">
        <v>45198</v>
      </c>
      <c r="B112" s="3">
        <v>3.42427644033148</v>
      </c>
      <c r="C112" s="3">
        <v>4.2965479520281802</v>
      </c>
      <c r="D112" s="3">
        <v>3.6350731995784602</v>
      </c>
      <c r="E112" s="3">
        <v>3.8585244800712402</v>
      </c>
      <c r="F112" s="3">
        <v>2.3888924504773001</v>
      </c>
      <c r="G112" s="3">
        <v>3.3548247937706601</v>
      </c>
      <c r="H112" s="3">
        <v>4.4562728448942002</v>
      </c>
      <c r="I112" s="3">
        <v>0.94569422829722205</v>
      </c>
      <c r="J112" s="3">
        <v>1.6891304596707599</v>
      </c>
      <c r="K112" s="3">
        <v>3.4214430477884301</v>
      </c>
      <c r="L112" s="3">
        <v>3.0361824670426301</v>
      </c>
      <c r="M112" s="3">
        <v>4.0079529046853599</v>
      </c>
      <c r="N112" s="3">
        <v>5.5058737207415502</v>
      </c>
    </row>
    <row r="113" spans="1:25" x14ac:dyDescent="0.35">
      <c r="A113" s="2">
        <v>45231</v>
      </c>
      <c r="B113" s="3">
        <v>3.5484624612742199</v>
      </c>
      <c r="C113" s="3">
        <v>4.50631860108974</v>
      </c>
      <c r="D113" s="3">
        <v>3.74913194476478</v>
      </c>
      <c r="E113" s="3">
        <v>4.0075010224138303</v>
      </c>
      <c r="F113" s="3">
        <v>2.4222112459213299</v>
      </c>
      <c r="G113" s="3">
        <v>3.5163441237358</v>
      </c>
      <c r="H113" s="3">
        <v>4.6464700674119701</v>
      </c>
      <c r="I113" s="3">
        <v>0.95541456245447898</v>
      </c>
      <c r="J113" s="3">
        <v>1.7152750205823699</v>
      </c>
      <c r="K113" s="3">
        <v>3.5240424782627602</v>
      </c>
      <c r="L113" s="3">
        <v>3.0735173287108402</v>
      </c>
      <c r="M113" s="3">
        <v>3.98468419500372</v>
      </c>
      <c r="N113" s="3">
        <v>5.6760168565885296</v>
      </c>
    </row>
    <row r="114" spans="1:25" x14ac:dyDescent="0.35">
      <c r="A114" s="2">
        <v>45261</v>
      </c>
      <c r="B114" s="3">
        <v>3.10567909452213</v>
      </c>
      <c r="C114" s="3">
        <v>4.2906480702969398</v>
      </c>
      <c r="D114" s="3">
        <v>3.4406107772630001</v>
      </c>
      <c r="E114" s="3">
        <v>3.6181587689138301</v>
      </c>
      <c r="F114" s="3">
        <v>2.38519926028459</v>
      </c>
      <c r="G114" s="3">
        <v>3.3647868004724</v>
      </c>
      <c r="H114" s="3">
        <v>4.4114901457736204</v>
      </c>
      <c r="I114" s="3">
        <v>0.88476172779201601</v>
      </c>
      <c r="J114" s="3">
        <v>1.5870780397103701</v>
      </c>
      <c r="K114" s="3">
        <v>3.3221792478081702</v>
      </c>
      <c r="L114" s="3">
        <v>2.8017672576894501</v>
      </c>
      <c r="M114" s="3">
        <v>3.1435520151650098</v>
      </c>
      <c r="N114" s="3">
        <v>5.4535548821951201</v>
      </c>
    </row>
    <row r="115" spans="1:25" x14ac:dyDescent="0.35">
      <c r="A115" s="2">
        <v>45289</v>
      </c>
      <c r="B115" s="3">
        <v>2.9682775962558399</v>
      </c>
      <c r="C115" s="3">
        <v>3.97495871443751</v>
      </c>
      <c r="D115" s="3">
        <v>3.35843963849128</v>
      </c>
      <c r="E115" s="3">
        <v>3.5531027937618598</v>
      </c>
      <c r="F115" s="3">
        <v>2.4281525102258699</v>
      </c>
      <c r="G115" s="3">
        <v>3.27188692633068</v>
      </c>
      <c r="H115" s="3">
        <v>4.2666636081457003</v>
      </c>
      <c r="I115" s="3">
        <v>0.91927918580402701</v>
      </c>
      <c r="J115" s="3">
        <v>1.54364922666662</v>
      </c>
      <c r="K115" s="3">
        <v>3.2303869117414998</v>
      </c>
      <c r="L115" s="3">
        <v>2.6832251201867101</v>
      </c>
      <c r="M115" s="3">
        <v>2.92065549436807</v>
      </c>
      <c r="N115" s="3">
        <v>5.4807296433605996</v>
      </c>
    </row>
    <row r="116" spans="1:25" x14ac:dyDescent="0.35">
      <c r="A116" s="2">
        <v>45323</v>
      </c>
      <c r="B116" s="3">
        <v>2.97986155650469</v>
      </c>
      <c r="C116" s="3">
        <v>4.01449821989931</v>
      </c>
      <c r="D116" s="3">
        <v>3.3242324170477899</v>
      </c>
      <c r="E116" s="3">
        <v>3.5456485841679499</v>
      </c>
      <c r="F116" s="3">
        <v>2.2789031931357799</v>
      </c>
      <c r="G116" s="3">
        <v>3.3116061718332301</v>
      </c>
      <c r="H116" s="3">
        <v>4.2961895427841297</v>
      </c>
      <c r="I116" s="3">
        <v>0.89205632563320303</v>
      </c>
      <c r="J116" s="3">
        <v>1.5087684941391</v>
      </c>
      <c r="K116" s="3">
        <v>3.2018704316948798</v>
      </c>
      <c r="L116" s="3">
        <v>2.58202596580532</v>
      </c>
      <c r="M116" s="3">
        <v>3.3271854184729199</v>
      </c>
      <c r="N116" s="3">
        <v>5.3888604568292999</v>
      </c>
    </row>
    <row r="117" spans="1:25" x14ac:dyDescent="0.35">
      <c r="A117" s="2">
        <v>45352</v>
      </c>
      <c r="B117" s="3">
        <v>2.7621745959019099</v>
      </c>
      <c r="C117" s="3">
        <v>3.9504601670489601</v>
      </c>
      <c r="D117" s="3">
        <v>3.2241557238524599</v>
      </c>
      <c r="E117" s="3">
        <v>3.4523899065812702</v>
      </c>
      <c r="F117" s="3">
        <v>2.1503208700001601</v>
      </c>
      <c r="G117" s="3">
        <v>3.29531729714116</v>
      </c>
      <c r="H117" s="3">
        <v>4.1558505822848799</v>
      </c>
      <c r="I117" s="3">
        <v>0.87017085958969598</v>
      </c>
      <c r="J117" s="3">
        <v>1.46158072238345</v>
      </c>
      <c r="K117" s="3">
        <v>3.12867746284953</v>
      </c>
      <c r="L117" s="3">
        <v>2.5826740728780599</v>
      </c>
      <c r="M117" s="3">
        <v>3.2804579119965198</v>
      </c>
      <c r="N117" s="3">
        <v>5.2744152485417501</v>
      </c>
    </row>
    <row r="118" spans="1:25" x14ac:dyDescent="0.35">
      <c r="A118" s="2">
        <v>45383</v>
      </c>
      <c r="B118" s="3">
        <v>2.7459057298638001</v>
      </c>
      <c r="C118" s="3">
        <v>3.9092417160926298</v>
      </c>
      <c r="D118" s="3">
        <v>3.0987152929675301</v>
      </c>
      <c r="E118" s="3">
        <v>3.24527753414301</v>
      </c>
      <c r="F118" s="3">
        <v>2.1876248157017399</v>
      </c>
      <c r="G118" s="3">
        <v>3.2640513843959398</v>
      </c>
      <c r="H118" s="3">
        <v>4.0420213405238297</v>
      </c>
      <c r="I118" s="3">
        <v>0.88099607655518897</v>
      </c>
      <c r="J118" s="3">
        <v>1.4297928635414201</v>
      </c>
      <c r="K118" s="3">
        <v>3.0585674364225599</v>
      </c>
      <c r="L118" s="3">
        <v>2.5160916776690998</v>
      </c>
      <c r="M118" s="3">
        <v>3.2318110330874301</v>
      </c>
      <c r="N118" s="3">
        <v>5.0884400743693599</v>
      </c>
    </row>
    <row r="119" spans="1:25" x14ac:dyDescent="0.35">
      <c r="A119" s="2">
        <v>45413</v>
      </c>
      <c r="B119" s="3">
        <v>2.7709714810334298</v>
      </c>
      <c r="C119" s="3">
        <v>4.0625007944274101</v>
      </c>
      <c r="D119" s="3">
        <v>3.1466485814728902</v>
      </c>
      <c r="E119" s="3">
        <v>3.39291422411711</v>
      </c>
      <c r="F119" s="3">
        <v>2.2188577779446601</v>
      </c>
      <c r="G119" s="3">
        <v>3.42060043955727</v>
      </c>
      <c r="H119" s="3">
        <v>3.9573576853204302</v>
      </c>
      <c r="I119" s="3">
        <v>0.95719768428253804</v>
      </c>
      <c r="J119" s="3">
        <v>1.5191698952896999</v>
      </c>
      <c r="K119" s="3">
        <v>3.1477668990474599</v>
      </c>
      <c r="L119" s="3">
        <v>2.5994510066474699</v>
      </c>
      <c r="M119" s="3">
        <v>3.2850189312518099</v>
      </c>
      <c r="N119" s="3">
        <v>5.3086790128667802</v>
      </c>
    </row>
    <row r="120" spans="1:25" x14ac:dyDescent="0.35">
      <c r="A120" s="2">
        <v>45443</v>
      </c>
      <c r="B120" s="3">
        <v>2.7012212453259199</v>
      </c>
      <c r="C120" s="3">
        <v>3.9920913861560399</v>
      </c>
      <c r="D120" s="3">
        <v>3.2611666014981302</v>
      </c>
      <c r="E120" s="3">
        <v>3.3810951391239699</v>
      </c>
      <c r="F120" s="3">
        <v>2.22778838868481</v>
      </c>
      <c r="G120" s="3">
        <v>3.19702705627753</v>
      </c>
      <c r="H120" s="3">
        <v>3.86605294293263</v>
      </c>
      <c r="I120" s="3">
        <v>0.89639099978413095</v>
      </c>
      <c r="J120" s="3">
        <v>1.4540869303298001</v>
      </c>
      <c r="K120" s="3">
        <v>3.1587043136644501</v>
      </c>
      <c r="L120" s="3">
        <v>2.5150862600882902</v>
      </c>
      <c r="M120" s="3">
        <v>3.2015273526621799</v>
      </c>
      <c r="N120" s="3">
        <v>5.2466116733325503</v>
      </c>
    </row>
    <row r="121" spans="1:25" x14ac:dyDescent="0.35">
      <c r="A121" s="2">
        <v>45474</v>
      </c>
      <c r="B121" s="3">
        <v>2.75412721520257</v>
      </c>
      <c r="C121" s="3">
        <v>3.9442342775000601</v>
      </c>
      <c r="D121" s="3">
        <v>3.35019113048088</v>
      </c>
      <c r="E121" s="3">
        <v>3.4103198145272202</v>
      </c>
      <c r="F121" s="3">
        <v>2.2241133931150001</v>
      </c>
      <c r="G121" s="3">
        <v>3.2310153859310802</v>
      </c>
      <c r="H121" s="3">
        <v>3.9748972748806102</v>
      </c>
      <c r="I121" s="3">
        <v>0.837987249346547</v>
      </c>
      <c r="J121" s="3">
        <v>1.4046460465095201</v>
      </c>
      <c r="K121" s="3">
        <v>3.3580822956731402</v>
      </c>
      <c r="L121" s="3">
        <v>2.50750911361281</v>
      </c>
      <c r="M121" s="3">
        <v>3.2130330764959298</v>
      </c>
      <c r="N121" s="3">
        <v>5.4151817297837397</v>
      </c>
    </row>
    <row r="122" spans="1:25" x14ac:dyDescent="0.35">
      <c r="A122" s="2">
        <v>45502</v>
      </c>
      <c r="B122" s="3">
        <v>2.67421207278863</v>
      </c>
      <c r="C122" s="3">
        <v>3.83874754053863</v>
      </c>
      <c r="D122" s="3">
        <v>3.21668898598266</v>
      </c>
      <c r="E122" s="3">
        <v>3.4236281198809499</v>
      </c>
      <c r="F122" s="3">
        <v>2.3121502300413899</v>
      </c>
      <c r="G122" s="3">
        <v>3.1738959520005499</v>
      </c>
      <c r="H122" s="3">
        <v>3.8696509380521702</v>
      </c>
      <c r="I122" s="3">
        <v>0.85141441732131296</v>
      </c>
      <c r="J122" s="3">
        <v>1.42373350476822</v>
      </c>
      <c r="K122" s="3">
        <v>3.4023766782449698</v>
      </c>
      <c r="L122" s="3">
        <v>2.5960324144554399</v>
      </c>
      <c r="M122" s="3">
        <v>3.2243638129479901</v>
      </c>
      <c r="N122" s="3">
        <v>5.3161444575040697</v>
      </c>
    </row>
    <row r="125" spans="1:25" x14ac:dyDescent="0.35">
      <c r="A125" s="2" t="s">
        <v>91</v>
      </c>
      <c r="B125" s="3" cm="1">
        <f t="array" ref="B125">MIN(_xlfn._xlws.FILTER(B1:B122, ISNUMBER(B1:B122)))</f>
        <v>2.3702839814355401</v>
      </c>
      <c r="C125" s="3" cm="1">
        <f t="array" ref="C125">MIN(_xlfn._xlws.FILTER(C1:C122, ISNUMBER(C1:C122)))</f>
        <v>3.42710956751037</v>
      </c>
      <c r="D125" s="3" cm="1">
        <f t="array" ref="D125">MIN(_xlfn._xlws.FILTER(D1:D122, ISNUMBER(D1:D122)))</f>
        <v>2.6028620728651002</v>
      </c>
      <c r="E125" s="3" cm="1">
        <f t="array" ref="E125">MIN(_xlfn._xlws.FILTER(E1:E122, ISNUMBER(E1:E122)))</f>
        <v>2.6761777760309502</v>
      </c>
      <c r="F125" s="3" cm="1">
        <f t="array" ref="F125">MIN(_xlfn._xlws.FILTER(F1:F122, ISNUMBER(F1:F122)))</f>
        <v>1.8335013109692899</v>
      </c>
      <c r="G125" s="3" cm="1">
        <f t="array" ref="G125">MIN(_xlfn._xlws.FILTER(G1:G122, ISNUMBER(G1:G122)))</f>
        <v>2.5276605735921902</v>
      </c>
      <c r="H125" s="3" cm="1">
        <f t="array" ref="H125">MIN(_xlfn._xlws.FILTER(H1:H122, ISNUMBER(H1:H122)))</f>
        <v>3.7957036226680798</v>
      </c>
      <c r="I125" s="3" cm="1">
        <f t="array" ref="I125">MIN(_xlfn._xlws.FILTER(I1:I122, ISNUMBER(I1:I122)))</f>
        <v>0.667983627087954</v>
      </c>
      <c r="J125" s="3" cm="1">
        <f t="array" ref="J125">MIN(_xlfn._xlws.FILTER(J1:J122, ISNUMBER(J1:J122)))</f>
        <v>1.3545920242557199</v>
      </c>
      <c r="K125" s="3" cm="1">
        <f t="array" ref="K125">MIN(_xlfn._xlws.FILTER(K1:K122, ISNUMBER(K1:K122)))</f>
        <v>2.66765332621768</v>
      </c>
      <c r="L125" s="3" cm="1">
        <f t="array" ref="L125">MIN(_xlfn._xlws.FILTER(L1:L122, ISNUMBER(L1:L122)))</f>
        <v>1.8323512917489799</v>
      </c>
      <c r="M125" s="3" cm="1">
        <f t="array" ref="M125">MIN(_xlfn._xlws.FILTER(M1:M122, ISNUMBER(M1:M122)))</f>
        <v>2.6791510589870402</v>
      </c>
      <c r="N125" s="3" cm="1">
        <f t="array" ref="N125">MIN(_xlfn._xlws.FILTER(N1:N122, ISNUMBER(N1:N122)))</f>
        <v>3.1165728231883199</v>
      </c>
    </row>
    <row r="126" spans="1:25" x14ac:dyDescent="0.35">
      <c r="A126" s="2" t="s">
        <v>92</v>
      </c>
      <c r="B126" s="3" cm="1">
        <f t="array" ref="B126">MAX(_xlfn._xlws.FILTER(B1:B122, ISNUMBER(B1:B122)))</f>
        <v>5.3054839031578496</v>
      </c>
      <c r="C126" s="3" cm="1">
        <f t="array" ref="C126">MAX(_xlfn._xlws.FILTER(C1:C122, ISNUMBER(C1:C122)))</f>
        <v>5.4397081465696404</v>
      </c>
      <c r="D126" s="3" cm="1">
        <f t="array" ref="D126">MAX(_xlfn._xlws.FILTER(D1:D122, ISNUMBER(D1:D122)))</f>
        <v>4.4620783208633696</v>
      </c>
      <c r="E126" s="3" cm="1">
        <f t="array" ref="E126">MAX(_xlfn._xlws.FILTER(E1:E122, ISNUMBER(E1:E122)))</f>
        <v>4.4846100059377303</v>
      </c>
      <c r="F126" s="3" cm="1">
        <f t="array" ref="F126">MAX(_xlfn._xlws.FILTER(F1:F122, ISNUMBER(F1:F122)))</f>
        <v>3.0937034789182798</v>
      </c>
      <c r="G126" s="3" cm="1">
        <f t="array" ref="G126">MAX(_xlfn._xlws.FILTER(G1:G122, ISNUMBER(G1:G122)))</f>
        <v>3.7225475362588099</v>
      </c>
      <c r="H126" s="3" cm="1">
        <f t="array" ref="H126">MAX(_xlfn._xlws.FILTER(H1:H122, ISNUMBER(H1:H122)))</f>
        <v>6.3253930713405504</v>
      </c>
      <c r="I126" s="3" cm="1">
        <f t="array" ref="I126">MAX(_xlfn._xlws.FILTER(I1:I122, ISNUMBER(I1:I122)))</f>
        <v>1.4049393640947601</v>
      </c>
      <c r="J126" s="3" cm="1">
        <f t="array" ref="J126">MAX(_xlfn._xlws.FILTER(J1:J122, ISNUMBER(J1:J122)))</f>
        <v>2.5453513221033401</v>
      </c>
      <c r="K126" s="3" cm="1">
        <f t="array" ref="K126">MAX(_xlfn._xlws.FILTER(K1:K122, ISNUMBER(K1:K122)))</f>
        <v>4.4579809341826202</v>
      </c>
      <c r="L126" s="3" cm="1">
        <f t="array" ref="L126">MAX(_xlfn._xlws.FILTER(L1:L122, ISNUMBER(L1:L122)))</f>
        <v>3.8774506020474502</v>
      </c>
      <c r="M126" s="3" cm="1">
        <f t="array" ref="M126">MAX(_xlfn._xlws.FILTER(M1:M122, ISNUMBER(M1:M122)))</f>
        <v>4.73856562537439</v>
      </c>
      <c r="N126" s="3" cm="1">
        <f t="array" ref="N126">MAX(_xlfn._xlws.FILTER(N1:N122, ISNUMBER(N1:N122)))</f>
        <v>6.3004741160984201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0.13900000000000001</v>
      </c>
      <c r="C128" s="9" cm="1">
        <f t="array" ref="C128">_xlfn.PERCENTRANK.EXC(_xlfn._xlws.FILTER(C1:C122, ISNUMBER(C1:C122)),C122)</f>
        <v>8.1000000000000003E-2</v>
      </c>
      <c r="D128" s="9" cm="1">
        <f t="array" ref="D128">_xlfn.PERCENTRANK.EXC(_xlfn._xlws.FILTER(D1:D122, ISNUMBER(D1:D122)),D122)</f>
        <v>0.55700000000000005</v>
      </c>
      <c r="E128" s="9" cm="1">
        <f t="array" ref="E128">_xlfn.PERCENTRANK.EXC(_xlfn._xlws.FILTER(E1:E122, ISNUMBER(E1:E122)),E122)</f>
        <v>0.66300000000000003</v>
      </c>
      <c r="F128" s="9" cm="1">
        <f t="array" ref="F128">_xlfn.PERCENTRANK.EXC(_xlfn._xlws.FILTER(F1:F122, ISNUMBER(F1:F122)),F122)</f>
        <v>0.5</v>
      </c>
      <c r="G128" s="9" cm="1">
        <f t="array" ref="G128">_xlfn.PERCENTRANK.EXC(_xlfn._xlws.FILTER(G1:G122, ISNUMBER(G1:G122)),G122)</f>
        <v>0.35199999999999998</v>
      </c>
      <c r="H128" s="9" cm="1">
        <f t="array" ref="H128">_xlfn.PERCENTRANK.EXC(_xlfn._xlws.FILTER(H1:H122, ISNUMBER(H1:H122)),H122)</f>
        <v>2.4E-2</v>
      </c>
      <c r="I128" s="9" cm="1">
        <f t="array" ref="I128">_xlfn.PERCENTRANK.EXC(_xlfn._xlws.FILTER(I1:I122, ISNUMBER(I1:I122)),I122)</f>
        <v>0.20399999999999999</v>
      </c>
      <c r="J128" s="9" cm="1">
        <f t="array" ref="J128">_xlfn.PERCENTRANK.EXC(_xlfn._xlws.FILTER(J1:J122, ISNUMBER(J1:J122)),J122)</f>
        <v>0.04</v>
      </c>
      <c r="K128" s="9" cm="1">
        <f t="array" ref="K128">_xlfn.PERCENTRANK.EXC(_xlfn._xlws.FILTER(K1:K122, ISNUMBER(K1:K122)),K122)</f>
        <v>0.54900000000000004</v>
      </c>
      <c r="L128" s="9" cm="1">
        <f t="array" ref="L128">_xlfn.PERCENTRANK.EXC(_xlfn._xlws.FILTER(L1:L122, ISNUMBER(L1:L122)),L122)</f>
        <v>0.26200000000000001</v>
      </c>
      <c r="M128" s="9" cm="1">
        <f t="array" ref="M128">_xlfn.PERCENTRANK.EXC(_xlfn._xlws.FILTER(M1:M122, ISNUMBER(M1:M122)),M122)</f>
        <v>0.21299999999999999</v>
      </c>
      <c r="N128" s="9" cm="1">
        <f t="array" ref="N128">_xlfn.PERCENTRANK.EXC(_xlfn._xlws.FILTER(N1:N122, ISNUMBER(N1:N122)),N122)</f>
        <v>0.81899999999999995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41852</v>
      </c>
      <c r="B2" s="24" cm="1">
        <f t="array" ref="B2:B122">_xll.FDS(B1,"FG_TOTAL_RETURNC(-10AY,0,AM)")/100</f>
        <v>-4.8642215999999995E-2</v>
      </c>
      <c r="C2" s="24" cm="1">
        <f t="array" ref="C2:C122">_xll.FDS(C1,"FG_TOTAL_RETURNC(-10AY,0,AM)")/100</f>
        <v>6.4761639999999995E-3</v>
      </c>
      <c r="D2" s="24" cm="1">
        <f t="array" ref="D2:D122">_xll.FDS(D1,"FG_TOTAL_RETURNC(-10AY,0,AM)")/100</f>
        <v>-1.6064227E-2</v>
      </c>
      <c r="E2" s="24" cm="1">
        <f t="array" ref="E2:E122">_xll.FDS(E1,"FG_TOTAL_RETURNC(-10AY,0,AM)")/100</f>
        <v>-8.8104359999999993E-2</v>
      </c>
      <c r="F2" s="24" cm="1">
        <f t="array" ref="F2:F122">_xll.FDS(F1,"FG_TOTAL_RETURNC(-10AY,0,AM)")/100</f>
        <v>-2.1224498999999997E-2</v>
      </c>
      <c r="G2" s="24" cm="1">
        <f t="array" ref="G2:G122">_xll.FDS(G1,"FG_TOTAL_RETURNC(-10AY,0,AM)")/100</f>
        <v>-5.6390999999999997E-2</v>
      </c>
      <c r="H2" s="24" cm="1">
        <f t="array" ref="H2:H122">_xll.FDS(H1,"FG_TOTAL_RETURNC(-10AY,0,AM)")/100</f>
        <v>-4.0796995000000003E-2</v>
      </c>
      <c r="I2" s="24" cm="1">
        <f t="array" ref="I2:I122">_xll.FDS(I1,"FG_TOTAL_RETURNC(-10AY,0,AM)")/100</f>
        <v>-2.8439759999999998E-3</v>
      </c>
      <c r="J2" s="24" cm="1">
        <f t="array" ref="J2:J122">_xll.FDS(J1,"FG_TOTAL_RETURNC(-10AY,0,AM)")/100</f>
        <v>-2.2991419999999999E-2</v>
      </c>
      <c r="K2" s="24" cm="1">
        <f t="array" ref="K2:K122">_xll.FDS(K1,"FG_TOTAL_RETURNC(-10AY,0,AM)")/100</f>
        <v>-7.5400830000000002E-2</v>
      </c>
      <c r="L2" s="24" cm="1">
        <f t="array" ref="L2:L122">_xll.FDS(L1,"FG_TOTAL_RETURNC(-10AY,0,AM)")/100</f>
        <v>-6.7210555000000005E-2</v>
      </c>
      <c r="M2" s="24" cm="1">
        <f t="array" ref="M2:M122">_xll.FDS(M1,"FG_TOTAL_RETURNC(-10AY,0,AM)")/100</f>
        <v>-4.4482049999999995E-2</v>
      </c>
      <c r="N2" s="24" cm="1">
        <f t="array" ref="N2:N122">_xll.FDS(N1,"FG_TOTAL_RETURNC(-10AY,0,AM)")/100</f>
        <v>-7.8320145999999993E-2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41880</v>
      </c>
      <c r="B3" s="24">
        <v>1.3402819999999999E-2</v>
      </c>
      <c r="C3" s="24">
        <v>2.8009057E-2</v>
      </c>
      <c r="D3" s="24">
        <v>3.1711102000000005E-2</v>
      </c>
      <c r="E3" s="24">
        <v>8.7199210000000003E-3</v>
      </c>
      <c r="F3" s="24">
        <v>-1.5846491000000001E-2</v>
      </c>
      <c r="G3" s="24">
        <v>3.0646681999999998E-2</v>
      </c>
      <c r="H3" s="24">
        <v>1.5825987E-2</v>
      </c>
      <c r="I3" s="24">
        <v>5.3977012999999997E-2</v>
      </c>
      <c r="J3" s="24">
        <v>4.2649390000000002E-2</v>
      </c>
      <c r="K3" s="24">
        <v>1.7343162999999998E-2</v>
      </c>
      <c r="L3" s="24">
        <v>2.4573088E-2</v>
      </c>
      <c r="M3" s="24">
        <v>3.0937195000000002E-3</v>
      </c>
      <c r="N3" s="24">
        <v>-1.6625582999999999E-2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41913</v>
      </c>
      <c r="B4" s="24">
        <v>-6.1474441999999997E-2</v>
      </c>
      <c r="C4" s="24">
        <v>-0.11708397</v>
      </c>
      <c r="D4" s="24">
        <v>-7.3341427000000001E-2</v>
      </c>
      <c r="E4" s="24">
        <v>-5.3941910000000003E-2</v>
      </c>
      <c r="F4" s="24">
        <v>-1.8644094E-2</v>
      </c>
      <c r="G4" s="24">
        <v>-4.2818965999999993E-2</v>
      </c>
      <c r="H4" s="24">
        <v>-6.7672910000000003E-2</v>
      </c>
      <c r="I4" s="24">
        <v>-2.3439407000000002E-2</v>
      </c>
      <c r="J4" s="24">
        <v>-2.7156234000000001E-2</v>
      </c>
      <c r="K4" s="24">
        <v>-4.8603535000000003E-2</v>
      </c>
      <c r="L4" s="24">
        <v>-3.0894339999999999E-2</v>
      </c>
      <c r="M4" s="24">
        <v>-4.3618620000000004E-2</v>
      </c>
      <c r="N4" s="24">
        <v>-3.0682564000000002E-2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41943</v>
      </c>
      <c r="B5" s="24">
        <v>3.8097619999999999E-2</v>
      </c>
      <c r="C5" s="24">
        <v>6.0467123999999997E-2</v>
      </c>
      <c r="D5" s="24">
        <v>-1.7405628999999999E-2</v>
      </c>
      <c r="E5" s="24">
        <v>-4.7515035000000004E-3</v>
      </c>
      <c r="F5" s="24">
        <v>4.1450859999999999E-2</v>
      </c>
      <c r="G5" s="24">
        <v>5.5917499999999995E-3</v>
      </c>
      <c r="H5" s="24">
        <v>-7.3106884999999998E-3</v>
      </c>
      <c r="I5" s="24">
        <v>4.3102620000000001E-2</v>
      </c>
      <c r="J5" s="24">
        <v>3.7612556999999998E-2</v>
      </c>
      <c r="K5" s="24">
        <v>-2.5924504000000001E-2</v>
      </c>
      <c r="L5" s="24">
        <v>-3.3515692000000001E-3</v>
      </c>
      <c r="M5" s="24">
        <v>1.1056422999999999E-2</v>
      </c>
      <c r="N5" s="24">
        <v>-3.7467717999999997E-2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41974</v>
      </c>
      <c r="B6" s="24">
        <v>1.3074398000000001E-2</v>
      </c>
      <c r="C6" s="24">
        <v>-8.454579000000001E-2</v>
      </c>
      <c r="D6" s="24">
        <v>-2.5067329999999997E-3</v>
      </c>
      <c r="E6" s="24">
        <v>5.8207870000000002E-2</v>
      </c>
      <c r="F6" s="24">
        <v>-3.1509100999999998E-2</v>
      </c>
      <c r="G6" s="24">
        <v>2.6258944999999999E-2</v>
      </c>
      <c r="H6" s="24">
        <v>1.5782118E-3</v>
      </c>
      <c r="I6" s="24">
        <v>3.3629180000000002E-2</v>
      </c>
      <c r="J6" s="24">
        <v>2.0331264000000002E-2</v>
      </c>
      <c r="K6" s="24">
        <v>3.0919789999999999E-2</v>
      </c>
      <c r="L6" s="24">
        <v>4.9238086E-2</v>
      </c>
      <c r="M6" s="24">
        <v>1.6099690999999999E-2</v>
      </c>
      <c r="N6" s="24">
        <v>-1.1073827999999999E-2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42004</v>
      </c>
      <c r="B7" s="24">
        <v>1.9889355000000001E-2</v>
      </c>
      <c r="C7" s="24">
        <v>-1.6735315000000001E-2</v>
      </c>
      <c r="D7" s="24">
        <v>-1.9650339999999999E-2</v>
      </c>
      <c r="E7" s="24">
        <v>-4.8759339999999998E-2</v>
      </c>
      <c r="F7" s="24">
        <v>-3.2008229999999999E-2</v>
      </c>
      <c r="G7" s="24">
        <v>-4.6056630000000001E-2</v>
      </c>
      <c r="H7" s="24">
        <v>-3.435564E-2</v>
      </c>
      <c r="I7" s="24">
        <v>-1.1231303E-2</v>
      </c>
      <c r="J7" s="24">
        <v>4.4203997E-3</v>
      </c>
      <c r="K7" s="24">
        <v>-5.5847939999999999E-2</v>
      </c>
      <c r="L7" s="24">
        <v>-3.7835062000000003E-2</v>
      </c>
      <c r="M7" s="24">
        <v>-4.6261369999999996E-2</v>
      </c>
      <c r="N7" s="24">
        <v>-7.0612907000000003E-2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42034</v>
      </c>
      <c r="B8" s="24">
        <v>-3.5767912999999998E-2</v>
      </c>
      <c r="C8" s="24">
        <v>-1.1276484E-2</v>
      </c>
      <c r="D8" s="24">
        <v>-8.3853059999999993E-2</v>
      </c>
      <c r="E8" s="24">
        <v>2.3349166000000001E-2</v>
      </c>
      <c r="F8" s="24">
        <v>2.224195E-2</v>
      </c>
      <c r="G8" s="24">
        <v>1.893282E-3</v>
      </c>
      <c r="H8" s="24">
        <v>5.5468081999999997E-4</v>
      </c>
      <c r="I8" s="24">
        <v>-2.082324E-2</v>
      </c>
      <c r="J8" s="24">
        <v>-2.9629229999999999E-2</v>
      </c>
      <c r="K8" s="24">
        <v>1.2170434000000001E-2</v>
      </c>
      <c r="L8" s="24">
        <v>3.5556555000000002E-3</v>
      </c>
      <c r="M8" s="24">
        <v>2.4313210999999998E-2</v>
      </c>
      <c r="N8" s="24">
        <v>8.0882309999999995E-3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42062</v>
      </c>
      <c r="B9" s="24">
        <v>6.2256812999999994E-2</v>
      </c>
      <c r="C9" s="24">
        <v>8.0291990000000008E-2</v>
      </c>
      <c r="D9" s="24">
        <v>5.9757949999999997E-2</v>
      </c>
      <c r="E9" s="24">
        <v>5.8823585999999997E-2</v>
      </c>
      <c r="F9" s="24">
        <v>7.4847700000000003E-2</v>
      </c>
      <c r="G9" s="24">
        <v>4.9448850000000003E-2</v>
      </c>
      <c r="H9" s="24">
        <v>5.875826E-2</v>
      </c>
      <c r="I9" s="24">
        <v>7.2205779999999997E-2</v>
      </c>
      <c r="J9" s="24">
        <v>5.6204557000000002E-2</v>
      </c>
      <c r="K9" s="24">
        <v>6.2124249999999999E-2</v>
      </c>
      <c r="L9" s="24">
        <v>6.6694500000000004E-2</v>
      </c>
      <c r="M9" s="24">
        <v>7.0283650000000003E-2</v>
      </c>
      <c r="N9" s="24">
        <v>8.5339180000000001E-2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42095</v>
      </c>
      <c r="B10" s="24">
        <v>-2.0268679000000001E-2</v>
      </c>
      <c r="C10" s="24">
        <v>-3.2939196000000004E-2</v>
      </c>
      <c r="D10" s="24">
        <v>-2.569598E-2</v>
      </c>
      <c r="E10" s="24">
        <v>1.3468027E-2</v>
      </c>
      <c r="F10" s="24">
        <v>1.8623470999999999E-2</v>
      </c>
      <c r="G10" s="24">
        <v>8.4033010000000002E-3</v>
      </c>
      <c r="H10" s="24">
        <v>-5.0785419999999998E-2</v>
      </c>
      <c r="I10" s="24">
        <v>-2.8689086000000003E-2</v>
      </c>
      <c r="J10" s="24">
        <v>-1.9225419000000001E-2</v>
      </c>
      <c r="K10" s="24">
        <v>-9.056568000000001E-3</v>
      </c>
      <c r="L10" s="24">
        <v>-6.6432356999999997E-3</v>
      </c>
      <c r="M10" s="24">
        <v>-3.6290406999999997E-2</v>
      </c>
      <c r="N10" s="24">
        <v>7.3924065000000004E-3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42125</v>
      </c>
      <c r="B11" s="24">
        <v>6.4805745999999996E-3</v>
      </c>
      <c r="C11" s="24">
        <v>2.4017572000000001E-2</v>
      </c>
      <c r="D11" s="24">
        <v>6.7399263000000001E-2</v>
      </c>
      <c r="E11" s="24">
        <v>-3.3222436999999997E-3</v>
      </c>
      <c r="F11" s="24">
        <v>3.4976243999999997E-2</v>
      </c>
      <c r="G11" s="24">
        <v>4.285717E-2</v>
      </c>
      <c r="H11" s="24">
        <v>6.0121300000000003E-2</v>
      </c>
      <c r="I11" s="24">
        <v>3.8077116000000001E-2</v>
      </c>
      <c r="J11" s="24">
        <v>2.4404525999999999E-2</v>
      </c>
      <c r="K11" s="24">
        <v>4.7600864999999999E-2</v>
      </c>
      <c r="L11" s="24">
        <v>3.7765502999999999E-2</v>
      </c>
      <c r="M11" s="24">
        <v>2.1518229999999999E-2</v>
      </c>
      <c r="N11" s="24">
        <v>3.4022690000000001E-2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42156</v>
      </c>
      <c r="B12" s="24">
        <v>-6.1193704999999994E-2</v>
      </c>
      <c r="C12" s="24">
        <v>-4.6055435999999998E-2</v>
      </c>
      <c r="D12" s="24">
        <v>-4.9759746000000001E-2</v>
      </c>
      <c r="E12" s="24">
        <v>-3.2666623999999998E-2</v>
      </c>
      <c r="F12" s="24">
        <v>6.9123506999999992E-3</v>
      </c>
      <c r="G12" s="24">
        <v>4.2808055999999997E-3</v>
      </c>
      <c r="H12" s="24">
        <v>-4.6826599999999999E-3</v>
      </c>
      <c r="I12" s="24">
        <v>1.2562990000000001E-2</v>
      </c>
      <c r="J12" s="24">
        <v>4.0338039999999993E-3</v>
      </c>
      <c r="K12" s="24">
        <v>-2.3991287E-2</v>
      </c>
      <c r="L12" s="24">
        <v>0</v>
      </c>
      <c r="M12" s="24">
        <v>-8.777022399999999E-3</v>
      </c>
      <c r="N12" s="24">
        <v>0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42186</v>
      </c>
      <c r="B13" s="24">
        <v>-5.7718990000000005E-2</v>
      </c>
      <c r="C13" s="24">
        <v>-2.6588560000000001E-2</v>
      </c>
      <c r="D13" s="24">
        <v>-3.3424914E-2</v>
      </c>
      <c r="E13" s="24">
        <v>-1.4196754000000001E-2</v>
      </c>
      <c r="F13" s="24">
        <v>-1.105386E-2</v>
      </c>
      <c r="G13" s="24">
        <v>-4.2454660000000005E-2</v>
      </c>
      <c r="H13" s="24">
        <v>-2.6485085000000002E-2</v>
      </c>
      <c r="I13" s="24">
        <v>-2.0380378000000001E-2</v>
      </c>
      <c r="J13" s="24">
        <v>-1.4444947E-2</v>
      </c>
      <c r="K13" s="24">
        <v>-1.8304586000000001E-2</v>
      </c>
      <c r="L13" s="24">
        <v>-3.9457082999999997E-3</v>
      </c>
      <c r="M13" s="24">
        <v>-1.7674803999999999E-2</v>
      </c>
      <c r="N13" s="24">
        <v>-9.2998743000000002E-3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42216</v>
      </c>
      <c r="B14" s="24">
        <v>1.1488199E-3</v>
      </c>
      <c r="C14" s="24">
        <v>-1.5992462999999998E-2</v>
      </c>
      <c r="D14" s="24">
        <v>-3.8027107999999997E-2</v>
      </c>
      <c r="E14" s="24">
        <v>7.4679849999999999E-3</v>
      </c>
      <c r="F14" s="24">
        <v>2.3256539999999999E-3</v>
      </c>
      <c r="G14" s="24">
        <v>3.6159157999999997E-2</v>
      </c>
      <c r="H14" s="24">
        <v>1.3668656E-2</v>
      </c>
      <c r="I14" s="24">
        <v>3.7342430000000003E-2</v>
      </c>
      <c r="J14" s="24">
        <v>1.4457822E-2</v>
      </c>
      <c r="K14" s="24">
        <v>3.3179044999999997E-2</v>
      </c>
      <c r="L14" s="24">
        <v>2.0408154000000001E-2</v>
      </c>
      <c r="M14" s="24">
        <v>-3.4214853999999999E-3</v>
      </c>
      <c r="N14" s="24">
        <v>2.5844931999999998E-2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42248</v>
      </c>
      <c r="B15" s="24">
        <v>-8.8640270000000007E-2</v>
      </c>
      <c r="C15" s="24">
        <v>-0.14961755999999998</v>
      </c>
      <c r="D15" s="24">
        <v>-8.0234819999999998E-2</v>
      </c>
      <c r="E15" s="24">
        <v>-9.2834420000000015E-2</v>
      </c>
      <c r="F15" s="24">
        <v>-0.10518181</v>
      </c>
      <c r="G15" s="24">
        <v>-8.8563019999999992E-2</v>
      </c>
      <c r="H15" s="24">
        <v>-0.1143474</v>
      </c>
      <c r="I15" s="24">
        <v>-9.7364850000000003E-2</v>
      </c>
      <c r="J15" s="24">
        <v>-8.897859000000001E-2</v>
      </c>
      <c r="K15" s="24">
        <v>-8.8125469999999997E-2</v>
      </c>
      <c r="L15" s="24">
        <v>-0.10037737999999999</v>
      </c>
      <c r="M15" s="24">
        <v>-7.3970079999999994E-2</v>
      </c>
      <c r="N15" s="24">
        <v>-6.8475430000000004E-2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42278</v>
      </c>
      <c r="B16" s="24">
        <v>4.0918589999999998E-3</v>
      </c>
      <c r="C16" s="24">
        <v>1.5739083000000001E-2</v>
      </c>
      <c r="D16" s="24">
        <v>-2.1276593E-2</v>
      </c>
      <c r="E16" s="24">
        <v>-4.5525311999999998E-2</v>
      </c>
      <c r="F16" s="24">
        <v>-5.1857830000000002E-3</v>
      </c>
      <c r="G16" s="24">
        <v>-1.5765786E-2</v>
      </c>
      <c r="H16" s="24">
        <v>1.8271208000000001E-3</v>
      </c>
      <c r="I16" s="24">
        <v>1.407516E-2</v>
      </c>
      <c r="J16" s="24">
        <v>7.174611E-3</v>
      </c>
      <c r="K16" s="24">
        <v>-1.4742017000000001E-2</v>
      </c>
      <c r="L16" s="24">
        <v>-2.3909389999999999E-2</v>
      </c>
      <c r="M16" s="24">
        <v>-2.6289224999999999E-2</v>
      </c>
      <c r="N16" s="24">
        <v>-1.0402203E-2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42307</v>
      </c>
      <c r="B17" s="24">
        <v>0.13902819</v>
      </c>
      <c r="C17" s="24">
        <v>4.7039270000000001E-2</v>
      </c>
      <c r="D17" s="24">
        <v>3.4782529999999999E-2</v>
      </c>
      <c r="E17" s="24">
        <v>0.10517728999999999</v>
      </c>
      <c r="F17" s="24">
        <v>7.0373535000000001E-2</v>
      </c>
      <c r="G17" s="24">
        <v>3.8574695999999999E-2</v>
      </c>
      <c r="H17" s="24">
        <v>6.2005997E-2</v>
      </c>
      <c r="I17" s="24">
        <v>0.10868715999999999</v>
      </c>
      <c r="J17" s="24">
        <v>8.2235929999999999E-2</v>
      </c>
      <c r="K17" s="24">
        <v>7.1903585999999992E-2</v>
      </c>
      <c r="L17" s="24">
        <v>7.4344634999999992E-2</v>
      </c>
      <c r="M17" s="24">
        <v>4.3613670000000007E-2</v>
      </c>
      <c r="N17" s="24">
        <v>3.7841678000000004E-2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42339</v>
      </c>
      <c r="B18" s="24">
        <v>1.0045409E-2</v>
      </c>
      <c r="C18" s="24">
        <v>3.7526370000000003E-2</v>
      </c>
      <c r="D18" s="24">
        <v>-8.4033010000000002E-3</v>
      </c>
      <c r="E18" s="24">
        <v>5.9019330000000007E-3</v>
      </c>
      <c r="F18" s="24">
        <v>2.0292162999999998E-2</v>
      </c>
      <c r="G18" s="24">
        <v>-2.2033393000000002E-2</v>
      </c>
      <c r="H18" s="24">
        <v>-6.8688389999999998E-3</v>
      </c>
      <c r="I18" s="24">
        <v>1.6147493999999998E-2</v>
      </c>
      <c r="J18" s="24">
        <v>1.3225555E-2</v>
      </c>
      <c r="K18" s="24">
        <v>-1.9775093000000001E-2</v>
      </c>
      <c r="L18" s="24">
        <v>-8.3999634E-3</v>
      </c>
      <c r="M18" s="24">
        <v>8.6236000000000004E-3</v>
      </c>
      <c r="N18" s="24">
        <v>-2.6333570000000001E-2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42369</v>
      </c>
      <c r="B19" s="24">
        <v>4.0780187000000002E-2</v>
      </c>
      <c r="C19" s="24">
        <v>-7.1584579999999995E-3</v>
      </c>
      <c r="D19" s="24">
        <v>-7.661014599999999E-2</v>
      </c>
      <c r="E19" s="24">
        <v>-3.9603948999999999E-2</v>
      </c>
      <c r="F19" s="24">
        <v>-2.8780161999999998E-2</v>
      </c>
      <c r="G19" s="24">
        <v>-9.6553563999999994E-4</v>
      </c>
      <c r="H19" s="24">
        <v>-5.11654E-2</v>
      </c>
      <c r="I19" s="24">
        <v>-2.5628269000000002E-2</v>
      </c>
      <c r="J19" s="24">
        <v>-2.6462615000000002E-2</v>
      </c>
      <c r="K19" s="24">
        <v>-3.8847327000000001E-2</v>
      </c>
      <c r="L19" s="24">
        <v>-3.2407699999999998E-2</v>
      </c>
      <c r="M19" s="24">
        <v>-3.9595604E-2</v>
      </c>
      <c r="N19" s="24">
        <v>-4.4277487000000004E-2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42401</v>
      </c>
      <c r="B20" s="24">
        <v>-5.5763062999999995E-2</v>
      </c>
      <c r="C20" s="24">
        <v>-6.8037929999999996E-2</v>
      </c>
      <c r="D20" s="24">
        <v>-3.2093047999999999E-2</v>
      </c>
      <c r="E20" s="24">
        <v>-7.1783184999999999E-2</v>
      </c>
      <c r="F20" s="24">
        <v>-5.6930660000000001E-2</v>
      </c>
      <c r="G20" s="24">
        <v>-6.1855673999999999E-2</v>
      </c>
      <c r="H20" s="24">
        <v>-4.7087909999999997E-2</v>
      </c>
      <c r="I20" s="24">
        <v>-6.6601094999999999E-2</v>
      </c>
      <c r="J20" s="24">
        <v>-5.0130010000000003E-2</v>
      </c>
      <c r="K20" s="24">
        <v>-3.8413823E-2</v>
      </c>
      <c r="L20" s="24">
        <v>-1.8456399999999998E-2</v>
      </c>
      <c r="M20" s="24">
        <v>-6.8540096000000009E-2</v>
      </c>
      <c r="N20" s="24">
        <v>-0.12445413999999999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42430</v>
      </c>
      <c r="B21" s="24">
        <v>4.1819689999999993E-2</v>
      </c>
      <c r="C21" s="24">
        <v>9.6207859999999992E-3</v>
      </c>
      <c r="D21" s="24">
        <v>6.2470080000000004E-2</v>
      </c>
      <c r="E21" s="24">
        <v>-2.8794407999999999E-3</v>
      </c>
      <c r="F21" s="24">
        <v>-2.3622095999999999E-2</v>
      </c>
      <c r="G21" s="24">
        <v>-3.0906795999999996E-3</v>
      </c>
      <c r="H21" s="24">
        <v>-7.8023075999999999E-3</v>
      </c>
      <c r="I21" s="24">
        <v>1.3217092E-2</v>
      </c>
      <c r="J21" s="24">
        <v>2.3031234999999997E-2</v>
      </c>
      <c r="K21" s="24">
        <v>0</v>
      </c>
      <c r="L21" s="24">
        <v>5.9829949999999996E-3</v>
      </c>
      <c r="M21" s="24">
        <v>3.0537128E-2</v>
      </c>
      <c r="N21" s="24">
        <v>-2.9093862000000002E-2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42461</v>
      </c>
      <c r="B22" s="24">
        <v>0.11038779999999999</v>
      </c>
      <c r="C22" s="24">
        <v>7.6233269999999992E-2</v>
      </c>
      <c r="D22" s="24">
        <v>6.7842603000000001E-2</v>
      </c>
      <c r="E22" s="24">
        <v>5.2805305000000004E-2</v>
      </c>
      <c r="F22" s="24">
        <v>-2.6881695E-3</v>
      </c>
      <c r="G22" s="24">
        <v>1.8601418000000002E-2</v>
      </c>
      <c r="H22" s="24">
        <v>1.7693281000000002E-2</v>
      </c>
      <c r="I22" s="24">
        <v>4.6286582999999999E-2</v>
      </c>
      <c r="J22" s="24">
        <v>4.9834129999999997E-2</v>
      </c>
      <c r="K22" s="24">
        <v>2.9639125000000002E-2</v>
      </c>
      <c r="L22" s="24">
        <v>4.0356755000000001E-2</v>
      </c>
      <c r="M22" s="24">
        <v>5.2838206000000006E-2</v>
      </c>
      <c r="N22" s="24">
        <v>3.0821919999999999E-2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42489</v>
      </c>
      <c r="B23" s="24">
        <v>2.1494865000000002E-2</v>
      </c>
      <c r="C23" s="24">
        <v>3.8020850000000002E-2</v>
      </c>
      <c r="D23" s="24">
        <v>7.5815320000000005E-2</v>
      </c>
      <c r="E23" s="24">
        <v>2.7821302000000003E-2</v>
      </c>
      <c r="F23" s="24">
        <v>2.6055693999999997E-2</v>
      </c>
      <c r="G23" s="24">
        <v>3.5170793999999998E-2</v>
      </c>
      <c r="H23" s="24">
        <v>5.0225377000000002E-2</v>
      </c>
      <c r="I23" s="24">
        <v>-4.204422E-2</v>
      </c>
      <c r="J23" s="24">
        <v>-2.8474926999999999E-3</v>
      </c>
      <c r="K23" s="24">
        <v>3.2540680000000002E-2</v>
      </c>
      <c r="L23" s="24">
        <v>9.3915459999999989E-3</v>
      </c>
      <c r="M23" s="24">
        <v>2.5093198000000001E-2</v>
      </c>
      <c r="N23" s="24">
        <v>5.5647849999999999E-2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42522</v>
      </c>
      <c r="B24" s="24">
        <v>8.1300734999999996E-3</v>
      </c>
      <c r="C24" s="24">
        <v>-2.5589585000000001E-2</v>
      </c>
      <c r="D24" s="24">
        <v>-3.3858239999999998E-2</v>
      </c>
      <c r="E24" s="24">
        <v>-1.0293603E-2</v>
      </c>
      <c r="F24" s="24">
        <v>3.1523585E-2</v>
      </c>
      <c r="G24" s="24">
        <v>2.2867918000000001E-3</v>
      </c>
      <c r="H24" s="24">
        <v>-1.7167330000000001E-2</v>
      </c>
      <c r="I24" s="24">
        <v>4.379487E-2</v>
      </c>
      <c r="J24" s="24">
        <v>1.9091725E-2</v>
      </c>
      <c r="K24" s="24">
        <v>-2.4242400999999998E-3</v>
      </c>
      <c r="L24" s="24">
        <v>1.2945056E-2</v>
      </c>
      <c r="M24" s="24">
        <v>-2.4478971999999998E-2</v>
      </c>
      <c r="N24" s="24">
        <v>-4.9567279999999998E-2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42552</v>
      </c>
      <c r="B25" s="24">
        <v>4.2539239999999999E-2</v>
      </c>
      <c r="C25" s="24">
        <v>2.0445228000000003E-2</v>
      </c>
      <c r="D25" s="24">
        <v>1.9852399999999999E-2</v>
      </c>
      <c r="E25" s="24">
        <v>-4.8300859999999994E-2</v>
      </c>
      <c r="F25" s="24">
        <v>-1.7733931999999997E-2</v>
      </c>
      <c r="G25" s="24">
        <v>-2.4908780999999998E-3</v>
      </c>
      <c r="H25" s="24">
        <v>-1.751262E-2</v>
      </c>
      <c r="I25" s="24">
        <v>-1.7934501000000002E-2</v>
      </c>
      <c r="J25" s="24">
        <v>3.5526752E-3</v>
      </c>
      <c r="K25" s="24">
        <v>-4.9000683000000003E-2</v>
      </c>
      <c r="L25" s="24">
        <v>-6.3732265999999996E-2</v>
      </c>
      <c r="M25" s="24">
        <v>-3.1618952999999998E-2</v>
      </c>
      <c r="N25" s="24">
        <v>-7.8784759999999995E-2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42583</v>
      </c>
      <c r="B26" s="24">
        <v>6.5668106000000004E-2</v>
      </c>
      <c r="C26" s="24">
        <v>5.7318210000000001E-2</v>
      </c>
      <c r="D26" s="24">
        <v>4.0273666000000003E-3</v>
      </c>
      <c r="E26" s="24">
        <v>5.9286833000000004E-2</v>
      </c>
      <c r="F26" s="24">
        <v>5.4007052999999999E-2</v>
      </c>
      <c r="G26" s="24">
        <v>8.7219476999999997E-3</v>
      </c>
      <c r="H26" s="24">
        <v>3.9037465999999998E-3</v>
      </c>
      <c r="I26" s="24">
        <v>7.1798562999999996E-2</v>
      </c>
      <c r="J26" s="24">
        <v>3.3437371E-2</v>
      </c>
      <c r="K26" s="24">
        <v>3.5386682000000003E-2</v>
      </c>
      <c r="L26" s="24">
        <v>3.2886147000000004E-2</v>
      </c>
      <c r="M26" s="24">
        <v>1.0192989999999999E-2</v>
      </c>
      <c r="N26" s="24">
        <v>1.1090516999999999E-2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42614</v>
      </c>
      <c r="B27" s="24">
        <v>1.8162130999999998E-2</v>
      </c>
      <c r="C27" s="24">
        <v>-1.5972911999999999E-2</v>
      </c>
      <c r="D27" s="24">
        <v>2.2462844999999999E-2</v>
      </c>
      <c r="E27" s="24">
        <v>2.9354214999999999E-2</v>
      </c>
      <c r="F27" s="24">
        <v>2.2313952000000001E-2</v>
      </c>
      <c r="G27" s="24">
        <v>6.3185690000000004E-3</v>
      </c>
      <c r="H27" s="24">
        <v>2.8515815999999999E-2</v>
      </c>
      <c r="I27" s="24">
        <v>7.7693459999999999E-3</v>
      </c>
      <c r="J27" s="24">
        <v>2.0742415999999999E-3</v>
      </c>
      <c r="K27" s="24">
        <v>1.6877651E-2</v>
      </c>
      <c r="L27" s="24">
        <v>4.7758700000000001E-2</v>
      </c>
      <c r="M27" s="24">
        <v>3.4954906000000001E-2</v>
      </c>
      <c r="N27" s="24">
        <v>3.9305329999999999E-2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42643</v>
      </c>
      <c r="B28" s="24">
        <v>-5.0753355E-3</v>
      </c>
      <c r="C28" s="24">
        <v>2.8037309999999999E-2</v>
      </c>
      <c r="D28" s="24">
        <v>7.8462359999999995E-3</v>
      </c>
      <c r="E28" s="24">
        <v>-1.1406541000000001E-3</v>
      </c>
      <c r="F28" s="24">
        <v>1.3742924E-2</v>
      </c>
      <c r="G28" s="24">
        <v>9.5835924000000003E-3</v>
      </c>
      <c r="H28" s="24">
        <v>-1.8903613E-3</v>
      </c>
      <c r="I28" s="24">
        <v>1.9508839E-2</v>
      </c>
      <c r="J28" s="24">
        <v>3.1948089999999999E-5</v>
      </c>
      <c r="K28" s="24">
        <v>2.4895668000000002E-3</v>
      </c>
      <c r="L28" s="24">
        <v>1.9991397999999999E-3</v>
      </c>
      <c r="M28" s="24">
        <v>1.2186646000000001E-2</v>
      </c>
      <c r="N28" s="24">
        <v>-3.07827E-2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42675</v>
      </c>
      <c r="B29" s="24">
        <v>-8.8173150000000006E-2</v>
      </c>
      <c r="C29" s="24">
        <v>-3.3492743999999998E-2</v>
      </c>
      <c r="D29" s="24">
        <v>-1.2067019999999999E-2</v>
      </c>
      <c r="E29" s="24">
        <v>-2.1317124E-2</v>
      </c>
      <c r="F29" s="24">
        <v>3.1898021999999999E-3</v>
      </c>
      <c r="G29" s="24">
        <v>-4.7463119999999998E-2</v>
      </c>
      <c r="H29" s="24">
        <v>-5.6186914000000004E-2</v>
      </c>
      <c r="I29" s="24">
        <v>-2.1984517999999998E-2</v>
      </c>
      <c r="J29" s="24">
        <v>-2.4456799999999997E-2</v>
      </c>
      <c r="K29" s="24">
        <v>-8.6920260000000003E-3</v>
      </c>
      <c r="L29" s="24">
        <v>-2.7932942000000002E-2</v>
      </c>
      <c r="M29" s="24">
        <v>-5.6415559999999997E-2</v>
      </c>
      <c r="N29" s="24">
        <v>1.3611554999999999E-2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42705</v>
      </c>
      <c r="B30" s="24">
        <v>-9.1292260000000007E-3</v>
      </c>
      <c r="C30" s="24">
        <v>2.2772193E-2</v>
      </c>
      <c r="D30" s="24">
        <v>2.8762817E-2</v>
      </c>
      <c r="E30" s="24">
        <v>-4.0062189999999998E-2</v>
      </c>
      <c r="F30" s="24">
        <v>-1.6891837E-2</v>
      </c>
      <c r="G30" s="24">
        <v>-3.1615138000000001E-2</v>
      </c>
      <c r="H30" s="24">
        <v>6.6889523999999999E-3</v>
      </c>
      <c r="I30" s="24">
        <v>-5.5119990000000001E-3</v>
      </c>
      <c r="J30" s="24">
        <v>4.05668E-2</v>
      </c>
      <c r="K30" s="24">
        <v>-2.0459353999999999E-2</v>
      </c>
      <c r="L30" s="24">
        <v>-4.3924450000000004E-2</v>
      </c>
      <c r="M30" s="24">
        <v>-3.6460159999999998E-4</v>
      </c>
      <c r="N30" s="24">
        <v>-1.6114593E-2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42734</v>
      </c>
      <c r="B31" s="24">
        <v>-2.8997600000000002E-2</v>
      </c>
      <c r="C31" s="24">
        <v>5.3693055999999998E-3</v>
      </c>
      <c r="D31" s="24">
        <v>1.1538982E-2</v>
      </c>
      <c r="E31" s="24">
        <v>7.3302270000000003E-2</v>
      </c>
      <c r="F31" s="24">
        <v>-7.4672699999999998E-4</v>
      </c>
      <c r="G31" s="24">
        <v>4.6074509999999999E-2</v>
      </c>
      <c r="H31" s="24">
        <v>3.3720254999999998E-2</v>
      </c>
      <c r="I31" s="24">
        <v>2.9112458000000001E-2</v>
      </c>
      <c r="J31" s="24">
        <v>2.4047017E-2</v>
      </c>
      <c r="K31" s="24">
        <v>5.5356740000000002E-2</v>
      </c>
      <c r="L31" s="24">
        <v>5.028701E-2</v>
      </c>
      <c r="M31" s="24">
        <v>4.7953963000000002E-2</v>
      </c>
      <c r="N31" s="24">
        <v>0.11161923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42767</v>
      </c>
      <c r="B32" s="24">
        <v>8.3060629999999996E-2</v>
      </c>
      <c r="C32" s="24">
        <v>5.5363417000000005E-2</v>
      </c>
      <c r="D32" s="24">
        <v>3.6328911999999998E-2</v>
      </c>
      <c r="E32" s="24">
        <v>4.2296050000000002E-2</v>
      </c>
      <c r="F32" s="24">
        <v>4.0523887000000001E-2</v>
      </c>
      <c r="G32" s="24">
        <v>4.3448806E-2</v>
      </c>
      <c r="H32" s="24">
        <v>2.9651403E-2</v>
      </c>
      <c r="I32" s="24">
        <v>5.8659673000000002E-2</v>
      </c>
      <c r="J32" s="24">
        <v>1.8297315000000001E-2</v>
      </c>
      <c r="K32" s="24">
        <v>1.5808701999999997E-2</v>
      </c>
      <c r="L32" s="24">
        <v>2.5672912999999999E-2</v>
      </c>
      <c r="M32" s="24">
        <v>6.7873359999999994E-2</v>
      </c>
      <c r="N32" s="24">
        <v>-1.9826471999999998E-2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42795</v>
      </c>
      <c r="B33" s="24">
        <v>-2.7887224999999997E-3</v>
      </c>
      <c r="C33" s="24">
        <v>3.9812684000000001E-2</v>
      </c>
      <c r="D33" s="24">
        <v>-8.1181526000000011E-3</v>
      </c>
      <c r="E33" s="24">
        <v>1.1231899E-2</v>
      </c>
      <c r="F33" s="24">
        <v>1.9472837E-2</v>
      </c>
      <c r="G33" s="24">
        <v>1.7892003E-2</v>
      </c>
      <c r="H33" s="24">
        <v>1.4557004E-2</v>
      </c>
      <c r="I33" s="24">
        <v>4.7915219999999994E-2</v>
      </c>
      <c r="J33" s="24">
        <v>5.3422330000000004E-2</v>
      </c>
      <c r="K33" s="24">
        <v>7.1827172999999996E-3</v>
      </c>
      <c r="L33" s="24">
        <v>4.0371420000000005E-2</v>
      </c>
      <c r="M33" s="24">
        <v>1.9556283999999998E-3</v>
      </c>
      <c r="N33" s="24">
        <v>1.2642264E-2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42825</v>
      </c>
      <c r="B34" s="24">
        <v>-1.6080140999999999E-2</v>
      </c>
      <c r="C34" s="24">
        <v>1.8468498999999999E-2</v>
      </c>
      <c r="D34" s="24">
        <v>0</v>
      </c>
      <c r="E34" s="24">
        <v>3.0096769999999998E-2</v>
      </c>
      <c r="F34" s="24">
        <v>-6.3670280000000003E-3</v>
      </c>
      <c r="G34" s="24">
        <v>2.2051691999999998E-2</v>
      </c>
      <c r="H34" s="24">
        <v>1.5283823E-2</v>
      </c>
      <c r="I34" s="24">
        <v>9.2482567000000005E-3</v>
      </c>
      <c r="J34" s="24">
        <v>-1.2563586E-2</v>
      </c>
      <c r="K34" s="24">
        <v>5.0316929999999996E-2</v>
      </c>
      <c r="L34" s="24">
        <v>4.0356994000000007E-2</v>
      </c>
      <c r="M34" s="24">
        <v>2.7000666E-2</v>
      </c>
      <c r="N34" s="24">
        <v>7.116103E-2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42856</v>
      </c>
      <c r="B35" s="24">
        <v>1.3500689999999999E-2</v>
      </c>
      <c r="C35" s="24">
        <v>3.0959845000000001E-3</v>
      </c>
      <c r="D35" s="24">
        <v>-2.4553537E-2</v>
      </c>
      <c r="E35" s="24">
        <v>3.8956523E-2</v>
      </c>
      <c r="F35" s="24">
        <v>1.0873794999999999E-2</v>
      </c>
      <c r="G35" s="24">
        <v>4.3151975000000002E-2</v>
      </c>
      <c r="H35" s="24">
        <v>1.7818809000000001E-2</v>
      </c>
      <c r="I35" s="24">
        <v>3.6410331999999997E-2</v>
      </c>
      <c r="J35" s="24">
        <v>1.2471318E-2</v>
      </c>
      <c r="K35" s="24">
        <v>6.1486244000000002E-2</v>
      </c>
      <c r="L35" s="24">
        <v>5.3711295000000006E-2</v>
      </c>
      <c r="M35" s="24">
        <v>5.6699395E-2</v>
      </c>
      <c r="N35" s="24">
        <v>3.2245517000000001E-2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42887</v>
      </c>
      <c r="B36" s="24">
        <v>4.2299509999999998E-2</v>
      </c>
      <c r="C36" s="24">
        <v>-5.4232780000000001E-2</v>
      </c>
      <c r="D36" s="24">
        <v>4.9580335999999999E-3</v>
      </c>
      <c r="E36" s="24">
        <v>4.2852282999999998E-2</v>
      </c>
      <c r="F36" s="24">
        <v>3.2846689999999998E-2</v>
      </c>
      <c r="G36" s="24">
        <v>5.1258920000000006E-2</v>
      </c>
      <c r="H36" s="24">
        <v>5.19166E-2</v>
      </c>
      <c r="I36" s="24">
        <v>3.3819199000000001E-2</v>
      </c>
      <c r="J36" s="24">
        <v>1.9607902E-2</v>
      </c>
      <c r="K36" s="24">
        <v>5.3304910000000004E-2</v>
      </c>
      <c r="L36" s="24">
        <v>5.0973414999999994E-2</v>
      </c>
      <c r="M36" s="24">
        <v>2.8477191999999998E-2</v>
      </c>
      <c r="N36" s="24">
        <v>6.2852859999999997E-2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42916</v>
      </c>
      <c r="B37" s="24">
        <v>5.6590439999999999E-2</v>
      </c>
      <c r="C37" s="24">
        <v>3.2945633000000002E-2</v>
      </c>
      <c r="D37" s="24">
        <v>2.3935556E-2</v>
      </c>
      <c r="E37" s="24">
        <v>-9.3255639999999997E-3</v>
      </c>
      <c r="F37" s="24">
        <v>4.1959286E-3</v>
      </c>
      <c r="G37" s="24">
        <v>-7.5334309999999999E-4</v>
      </c>
      <c r="H37" s="24">
        <v>-2.2163331999999997E-2</v>
      </c>
      <c r="I37" s="24">
        <v>-2.6952683999999998E-2</v>
      </c>
      <c r="J37" s="24">
        <v>-1.5655160000000001E-3</v>
      </c>
      <c r="K37" s="24">
        <v>-1.2913764000000001E-2</v>
      </c>
      <c r="L37" s="24">
        <v>-1.3651788E-2</v>
      </c>
      <c r="M37" s="24">
        <v>1.1086464000000001E-2</v>
      </c>
      <c r="N37" s="24">
        <v>2.3365020999999999E-3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42948</v>
      </c>
      <c r="B38" s="24">
        <v>2.7669787000000001E-2</v>
      </c>
      <c r="C38" s="24">
        <v>5.0737977000000004E-2</v>
      </c>
      <c r="D38" s="24">
        <v>3.9985059999999996E-2</v>
      </c>
      <c r="E38" s="24">
        <v>2.4116278000000001E-2</v>
      </c>
      <c r="F38" s="24">
        <v>2.6654243000000001E-2</v>
      </c>
      <c r="G38" s="24">
        <v>9.9096300000000009E-3</v>
      </c>
      <c r="H38" s="24">
        <v>3.0602931999999999E-2</v>
      </c>
      <c r="I38" s="24">
        <v>4.3010710000000001E-2</v>
      </c>
      <c r="J38" s="24">
        <v>2.2828816999999998E-2</v>
      </c>
      <c r="K38" s="24">
        <v>2.8164148E-2</v>
      </c>
      <c r="L38" s="24">
        <v>6.5675734999999999E-2</v>
      </c>
      <c r="M38" s="24">
        <v>1.3856173000000001E-2</v>
      </c>
      <c r="N38" s="24">
        <v>7.5179814999999997E-2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42979</v>
      </c>
      <c r="B39" s="24">
        <v>-2.6714384999999997E-2</v>
      </c>
      <c r="C39" s="24">
        <v>1.7558336E-3</v>
      </c>
      <c r="D39" s="24">
        <v>1.0061145000000001E-2</v>
      </c>
      <c r="E39" s="24">
        <v>-4.8387049999999996E-3</v>
      </c>
      <c r="F39" s="24">
        <v>-1.071167E-2</v>
      </c>
      <c r="G39" s="24">
        <v>-1.1255503E-2</v>
      </c>
      <c r="H39" s="24">
        <v>-1.0480285000000001E-2</v>
      </c>
      <c r="I39" s="24">
        <v>1.6996384E-2</v>
      </c>
      <c r="J39" s="24">
        <v>2.1024942E-3</v>
      </c>
      <c r="K39" s="24">
        <v>7.7781679999999994E-3</v>
      </c>
      <c r="L39" s="24">
        <v>-4.8654079999999999E-3</v>
      </c>
      <c r="M39" s="24">
        <v>1.2212872999999999E-2</v>
      </c>
      <c r="N39" s="24">
        <v>1.8066287E-2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43007</v>
      </c>
      <c r="B40" s="24">
        <v>1.837039E-2</v>
      </c>
      <c r="C40" s="24">
        <v>-1.6652047999999999E-2</v>
      </c>
      <c r="D40" s="24">
        <v>2.952683E-2</v>
      </c>
      <c r="E40" s="24">
        <v>5.1215529999999995E-2</v>
      </c>
      <c r="F40" s="24">
        <v>2.2389412000000001E-2</v>
      </c>
      <c r="G40" s="24">
        <v>2.2475242999999999E-2</v>
      </c>
      <c r="H40" s="24">
        <v>2.5301456E-2</v>
      </c>
      <c r="I40" s="24">
        <v>-1.5810727999999998E-3</v>
      </c>
      <c r="J40" s="24">
        <v>1.8700241999999999E-2</v>
      </c>
      <c r="K40" s="24">
        <v>3.6912799999999996E-2</v>
      </c>
      <c r="L40" s="24">
        <v>2.3142100000000002E-2</v>
      </c>
      <c r="M40" s="24">
        <v>3.0738234999999999E-2</v>
      </c>
      <c r="N40" s="24">
        <v>3.0561924000000001E-2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43040</v>
      </c>
      <c r="B41" s="24">
        <v>-3.9261400000000002E-2</v>
      </c>
      <c r="C41" s="24">
        <v>1.6488314E-2</v>
      </c>
      <c r="D41" s="24">
        <v>-1.7277598E-3</v>
      </c>
      <c r="E41" s="24">
        <v>2.8368711000000001E-2</v>
      </c>
      <c r="F41" s="24">
        <v>5.8696865999999993E-2</v>
      </c>
      <c r="G41" s="24">
        <v>-1.9982815000000001E-2</v>
      </c>
      <c r="H41" s="24">
        <v>5.7387352000000001E-4</v>
      </c>
      <c r="I41" s="24">
        <v>4.5720219999999999E-2</v>
      </c>
      <c r="J41" s="24">
        <v>2.4917364000000001E-2</v>
      </c>
      <c r="K41" s="24">
        <v>1.4563083999999999E-2</v>
      </c>
      <c r="L41" s="24">
        <v>8.9200735000000003E-3</v>
      </c>
      <c r="M41" s="24">
        <v>-1.254183E-2</v>
      </c>
      <c r="N41" s="24">
        <v>-7.3342323000000001E-3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43070</v>
      </c>
      <c r="B42" s="24">
        <v>1.7229914999999998E-2</v>
      </c>
      <c r="C42" s="24">
        <v>1.7536879E-3</v>
      </c>
      <c r="D42" s="24">
        <v>1.6614795000000002E-2</v>
      </c>
      <c r="E42" s="24">
        <v>-1.1993944999999999E-2</v>
      </c>
      <c r="F42" s="24">
        <v>1.1190176000000001E-2</v>
      </c>
      <c r="G42" s="24">
        <v>2.3303150000000002E-2</v>
      </c>
      <c r="H42" s="24">
        <v>1.7206668999999999E-3</v>
      </c>
      <c r="I42" s="24">
        <v>1.5713334000000002E-2</v>
      </c>
      <c r="J42" s="24">
        <v>2.7068973E-2</v>
      </c>
      <c r="K42" s="24">
        <v>-5.7416560000000004E-3</v>
      </c>
      <c r="L42" s="24">
        <v>-9.7884536000000001E-3</v>
      </c>
      <c r="M42" s="24">
        <v>-3.6692022999999997E-2</v>
      </c>
      <c r="N42" s="24">
        <v>-8.6732507000000011E-3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43098</v>
      </c>
      <c r="B43" s="24">
        <v>5.0637483999999996E-2</v>
      </c>
      <c r="C43" s="24">
        <v>3.8972140000000002E-2</v>
      </c>
      <c r="D43" s="24">
        <v>2.2118091999999999E-2</v>
      </c>
      <c r="E43" s="24">
        <v>4.6538115000000005E-3</v>
      </c>
      <c r="F43" s="24">
        <v>1.1595488000000001E-2</v>
      </c>
      <c r="G43" s="24">
        <v>1.2809634E-2</v>
      </c>
      <c r="H43" s="24">
        <v>4.4856189999999997E-2</v>
      </c>
      <c r="I43" s="24">
        <v>1.0313988000000001E-2</v>
      </c>
      <c r="J43" s="24">
        <v>1.4191628000000001E-2</v>
      </c>
      <c r="K43" s="24">
        <v>4.6486855000000002E-3</v>
      </c>
      <c r="L43" s="24">
        <v>1.7524599999999998E-2</v>
      </c>
      <c r="M43" s="24">
        <v>3.2035112000000001E-3</v>
      </c>
      <c r="N43" s="24">
        <v>-8.1677437000000006E-3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43132</v>
      </c>
      <c r="B44" s="24">
        <v>4.5502424E-2</v>
      </c>
      <c r="C44" s="24">
        <v>3.0642985999999997E-2</v>
      </c>
      <c r="D44" s="24">
        <v>4.7234297000000001E-3</v>
      </c>
      <c r="E44" s="24">
        <v>5.0878286000000002E-2</v>
      </c>
      <c r="F44" s="24">
        <v>5.5397987000000003E-2</v>
      </c>
      <c r="G44" s="24">
        <v>4.7498583999999996E-2</v>
      </c>
      <c r="H44" s="24">
        <v>3.7409306000000003E-2</v>
      </c>
      <c r="I44" s="24">
        <v>7.832575E-2</v>
      </c>
      <c r="J44" s="24">
        <v>5.5160045999999997E-2</v>
      </c>
      <c r="K44" s="24">
        <v>7.3030113999999993E-2</v>
      </c>
      <c r="L44" s="24">
        <v>6.2716722000000003E-2</v>
      </c>
      <c r="M44" s="24">
        <v>7.2271347E-2</v>
      </c>
      <c r="N44" s="24">
        <v>0.12253607000000001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43160</v>
      </c>
      <c r="B45" s="24">
        <v>-2.4984895999999999E-2</v>
      </c>
      <c r="C45" s="24">
        <v>-5.0669966000000004E-2</v>
      </c>
      <c r="D45" s="24">
        <v>-7.2867689999999999E-2</v>
      </c>
      <c r="E45" s="24">
        <v>-8.3285330000000005E-2</v>
      </c>
      <c r="F45" s="24">
        <v>-6.245059E-2</v>
      </c>
      <c r="G45" s="24">
        <v>-7.9688786999999997E-2</v>
      </c>
      <c r="H45" s="24">
        <v>-7.7233552999999996E-2</v>
      </c>
      <c r="I45" s="24">
        <v>-2.0719289999999998E-2</v>
      </c>
      <c r="J45" s="24">
        <v>-4.9293160000000003E-2</v>
      </c>
      <c r="K45" s="24">
        <v>-6.2686563000000001E-2</v>
      </c>
      <c r="L45" s="24">
        <v>-6.5836309999999995E-2</v>
      </c>
      <c r="M45" s="24">
        <v>-7.8679442000000002E-2</v>
      </c>
      <c r="N45" s="24">
        <v>-7.5504779999999994E-2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43188</v>
      </c>
      <c r="B46" s="24">
        <v>8.4728000000000008E-3</v>
      </c>
      <c r="C46" s="24">
        <v>-2.8672217999999999E-2</v>
      </c>
      <c r="D46" s="24">
        <v>-1.8109679E-3</v>
      </c>
      <c r="E46" s="24">
        <v>7.2305200000000007E-3</v>
      </c>
      <c r="F46" s="24">
        <v>2.327156E-2</v>
      </c>
      <c r="G46" s="24">
        <v>2.040863E-3</v>
      </c>
      <c r="H46" s="24">
        <v>1.3414979E-2</v>
      </c>
      <c r="I46" s="24">
        <v>-2.4835645999999999E-2</v>
      </c>
      <c r="J46" s="24">
        <v>-1.3064802E-2</v>
      </c>
      <c r="K46" s="24">
        <v>0</v>
      </c>
      <c r="L46" s="24">
        <v>1.4920592E-2</v>
      </c>
      <c r="M46" s="24">
        <v>-2.9867886999999997E-4</v>
      </c>
      <c r="N46" s="24">
        <v>1.7727137E-2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43221</v>
      </c>
      <c r="B47" s="24">
        <v>-2.8073727999999999E-2</v>
      </c>
      <c r="C47" s="24">
        <v>1.2715697E-2</v>
      </c>
      <c r="D47" s="24">
        <v>2.0682095999999997E-2</v>
      </c>
      <c r="E47" s="24">
        <v>9.3632935999999993E-3</v>
      </c>
      <c r="F47" s="24">
        <v>-1.4832020000000001E-3</v>
      </c>
      <c r="G47" s="24">
        <v>-1.3092816E-2</v>
      </c>
      <c r="H47" s="24">
        <v>3.7985563E-2</v>
      </c>
      <c r="I47" s="24">
        <v>1.6548990999999999E-2</v>
      </c>
      <c r="J47" s="24">
        <v>6.9543122999999995E-3</v>
      </c>
      <c r="K47" s="24">
        <v>3.7261128000000004E-2</v>
      </c>
      <c r="L47" s="24">
        <v>-3.1280518000000002E-4</v>
      </c>
      <c r="M47" s="24">
        <v>-2.5686979999999998E-2</v>
      </c>
      <c r="N47" s="24">
        <v>3.9502263000000003E-2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43252</v>
      </c>
      <c r="B48" s="24">
        <v>2.7408838000000001E-2</v>
      </c>
      <c r="C48" s="24">
        <v>1.8834113999999999E-2</v>
      </c>
      <c r="D48" s="24">
        <v>2.0263076000000001E-2</v>
      </c>
      <c r="E48" s="24">
        <v>-1.6388415999999999E-2</v>
      </c>
      <c r="F48" s="24">
        <v>-7.2618719999999999E-3</v>
      </c>
      <c r="G48" s="24">
        <v>-6.1910149999999994E-3</v>
      </c>
      <c r="H48" s="24">
        <v>5.5447817000000002E-3</v>
      </c>
      <c r="I48" s="24">
        <v>6.1186910000000004E-2</v>
      </c>
      <c r="J48" s="24">
        <v>3.2530785E-2</v>
      </c>
      <c r="K48" s="24">
        <v>-1.4737487000000001E-2</v>
      </c>
      <c r="L48" s="24">
        <v>-9.6995830000000012E-3</v>
      </c>
      <c r="M48" s="24">
        <v>5.2115920000000001E-3</v>
      </c>
      <c r="N48" s="24">
        <v>-9.156185E-2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43280</v>
      </c>
      <c r="B49" s="24">
        <v>8.9037419999999992E-3</v>
      </c>
      <c r="C49" s="24">
        <v>1.4623045999999999E-2</v>
      </c>
      <c r="D49" s="24">
        <v>1.2668371000000001E-3</v>
      </c>
      <c r="E49" s="24">
        <v>-3.4773588000000001E-2</v>
      </c>
      <c r="F49" s="24">
        <v>-2.9700340000000002E-2</v>
      </c>
      <c r="G49" s="24">
        <v>-9.2853903999999994E-3</v>
      </c>
      <c r="H49" s="24">
        <v>-1.8272101999999998E-2</v>
      </c>
      <c r="I49" s="24">
        <v>-4.1799545000000002E-3</v>
      </c>
      <c r="J49" s="24">
        <v>-4.0231347000000001E-3</v>
      </c>
      <c r="K49" s="24">
        <v>-2.9056787000000001E-2</v>
      </c>
      <c r="L49" s="24">
        <v>-2.0341575000000001E-2</v>
      </c>
      <c r="M49" s="24">
        <v>-2.6176214E-2</v>
      </c>
      <c r="N49" s="24">
        <v>-2.1754025999999999E-2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43313</v>
      </c>
      <c r="B50" s="24">
        <v>-1.2893438E-2</v>
      </c>
      <c r="C50" s="24">
        <v>5.3073170000000006E-3</v>
      </c>
      <c r="D50" s="24">
        <v>2.1045207999999999E-2</v>
      </c>
      <c r="E50" s="24">
        <v>3.6023974E-2</v>
      </c>
      <c r="F50" s="24">
        <v>1.7268181000000001E-2</v>
      </c>
      <c r="G50" s="24">
        <v>6.1694263999999999E-2</v>
      </c>
      <c r="H50" s="24">
        <v>-3.1627417000000004E-3</v>
      </c>
      <c r="I50" s="24">
        <v>3.1867145999999999E-2</v>
      </c>
      <c r="J50" s="24">
        <v>3.5313964000000003E-2</v>
      </c>
      <c r="K50" s="24">
        <v>3.4075975000000001E-2</v>
      </c>
      <c r="L50" s="24">
        <v>3.7692547E-2</v>
      </c>
      <c r="M50" s="24">
        <v>5.8013678000000006E-2</v>
      </c>
      <c r="N50" s="24">
        <v>1.2807249999999999E-2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43343</v>
      </c>
      <c r="B51" s="24">
        <v>2.7728796E-2</v>
      </c>
      <c r="C51" s="24">
        <v>-1.0558723999999998E-2</v>
      </c>
      <c r="D51" s="24">
        <v>-1.0649322999999999E-2</v>
      </c>
      <c r="E51" s="24">
        <v>-2.6722489999999998E-2</v>
      </c>
      <c r="F51" s="24">
        <v>-1.1712729999999999E-2</v>
      </c>
      <c r="G51" s="24">
        <v>5.2038430000000005E-3</v>
      </c>
      <c r="H51" s="24">
        <v>-3.1727671999999998E-2</v>
      </c>
      <c r="I51" s="24">
        <v>5.3805350000000002E-2</v>
      </c>
      <c r="J51" s="24">
        <v>3.3646703E-2</v>
      </c>
      <c r="K51" s="24">
        <v>-1.7110228999999998E-2</v>
      </c>
      <c r="L51" s="24">
        <v>-1.9583046E-2</v>
      </c>
      <c r="M51" s="24">
        <v>-1.2701272999999999E-2</v>
      </c>
      <c r="N51" s="24">
        <v>-7.3820887000000002E-2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43374</v>
      </c>
      <c r="B52" s="24">
        <v>-7.1355699999999999E-3</v>
      </c>
      <c r="C52" s="24">
        <v>-1.7785667999999998E-2</v>
      </c>
      <c r="D52" s="24">
        <v>1.1111139999999999E-2</v>
      </c>
      <c r="E52" s="24">
        <v>-1.0916292999999999E-2</v>
      </c>
      <c r="F52" s="24">
        <v>4.1566489999999998E-2</v>
      </c>
      <c r="G52" s="24">
        <v>-1.15042925E-3</v>
      </c>
      <c r="H52" s="24">
        <v>1.5490055000000001E-2</v>
      </c>
      <c r="I52" s="24">
        <v>-7.8308580000000004E-4</v>
      </c>
      <c r="J52" s="24">
        <v>9.4431639999999987E-3</v>
      </c>
      <c r="K52" s="24">
        <v>1.0960698E-2</v>
      </c>
      <c r="L52" s="24">
        <v>-2.5451063999999999E-2</v>
      </c>
      <c r="M52" s="24">
        <v>2.6670813999999998E-2</v>
      </c>
      <c r="N52" s="24">
        <v>1.4391065000000001E-2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43405</v>
      </c>
      <c r="B53" s="24">
        <v>-4.0451765000000001E-2</v>
      </c>
      <c r="C53" s="24">
        <v>-5.2512464999999994E-2</v>
      </c>
      <c r="D53" s="24">
        <v>-8.0013749999999995E-2</v>
      </c>
      <c r="E53" s="24">
        <v>-7.6923075000000007E-2</v>
      </c>
      <c r="F53" s="24">
        <v>-9.779024E-2</v>
      </c>
      <c r="G53" s="24">
        <v>-3.8583338000000002E-2</v>
      </c>
      <c r="H53" s="24">
        <v>-4.8401356E-2</v>
      </c>
      <c r="I53" s="24">
        <v>-7.5790940000000001E-2</v>
      </c>
      <c r="J53" s="24">
        <v>-6.2454995999999999E-2</v>
      </c>
      <c r="K53" s="24">
        <v>-8.3545919999999996E-2</v>
      </c>
      <c r="L53" s="24">
        <v>-5.5537223999999996E-2</v>
      </c>
      <c r="M53" s="24">
        <v>-8.9547690000000013E-2</v>
      </c>
      <c r="N53" s="24">
        <v>-7.0934830000000004E-2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43434</v>
      </c>
      <c r="B54" s="24">
        <v>3.3276319999999998E-2</v>
      </c>
      <c r="C54" s="24">
        <v>-6.2112210000000003E-3</v>
      </c>
      <c r="D54" s="24">
        <v>-5.5991409999999993E-3</v>
      </c>
      <c r="E54" s="24">
        <v>-2.7536212999999997E-2</v>
      </c>
      <c r="F54" s="24">
        <v>1.1515260000000001E-2</v>
      </c>
      <c r="G54" s="24">
        <v>-5.3908230000000003E-3</v>
      </c>
      <c r="H54" s="24">
        <v>-3.1134367E-2</v>
      </c>
      <c r="I54" s="24">
        <v>-1.5634120000000001E-2</v>
      </c>
      <c r="J54" s="24">
        <v>7.8241825000000004E-3</v>
      </c>
      <c r="K54" s="24">
        <v>-2.2964478E-2</v>
      </c>
      <c r="L54" s="24">
        <v>-4.9002170000000001E-3</v>
      </c>
      <c r="M54" s="24">
        <v>-2.1148086E-2</v>
      </c>
      <c r="N54" s="24">
        <v>-5.8732030000000005E-3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43465</v>
      </c>
      <c r="B55" s="24">
        <v>-2.9766499999999998E-2</v>
      </c>
      <c r="C55" s="24">
        <v>-3.8801312000000004E-2</v>
      </c>
      <c r="D55" s="24">
        <v>-8.5541430000000002E-2</v>
      </c>
      <c r="E55" s="24">
        <v>-5.5514153999999996E-2</v>
      </c>
      <c r="F55" s="24">
        <v>-7.6921939999999994E-2</v>
      </c>
      <c r="G55" s="24">
        <v>-5.0888243E-2</v>
      </c>
      <c r="H55" s="24">
        <v>-4.5764627000000002E-2</v>
      </c>
      <c r="I55" s="24">
        <v>-8.6543379999999989E-2</v>
      </c>
      <c r="J55" s="24">
        <v>-8.7936159999999999E-2</v>
      </c>
      <c r="K55" s="24">
        <v>-5.1212189999999998E-2</v>
      </c>
      <c r="L55" s="24">
        <v>-7.0465859999999991E-2</v>
      </c>
      <c r="M55" s="24">
        <v>-3.0971527000000002E-2</v>
      </c>
      <c r="N55" s="24">
        <v>-3.4290433000000002E-2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43497</v>
      </c>
      <c r="B56" s="24">
        <v>5.1064730000000003E-2</v>
      </c>
      <c r="C56" s="24">
        <v>6.8051934000000008E-2</v>
      </c>
      <c r="D56" s="24">
        <v>0.13230383000000001</v>
      </c>
      <c r="E56" s="24">
        <v>5.7593702999999996E-2</v>
      </c>
      <c r="F56" s="24">
        <v>6.6482544000000005E-2</v>
      </c>
      <c r="G56" s="24">
        <v>5.2982210000000002E-2</v>
      </c>
      <c r="H56" s="24">
        <v>7.6660989999999998E-2</v>
      </c>
      <c r="I56" s="24">
        <v>8.5505010000000006E-2</v>
      </c>
      <c r="J56" s="24">
        <v>8.0585839999999992E-2</v>
      </c>
      <c r="K56" s="24">
        <v>6.5233826999999994E-2</v>
      </c>
      <c r="L56" s="24">
        <v>8.1368919999999997E-2</v>
      </c>
      <c r="M56" s="24">
        <v>5.7719590000000001E-2</v>
      </c>
      <c r="N56" s="24">
        <v>7.2284219999999996E-2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43525</v>
      </c>
      <c r="B57" s="24">
        <v>3.1631231000000003E-2</v>
      </c>
      <c r="C57" s="24">
        <v>4.2315245000000001E-2</v>
      </c>
      <c r="D57" s="24">
        <v>2.1747111999999999E-2</v>
      </c>
      <c r="E57" s="24">
        <v>2.9466630000000001E-2</v>
      </c>
      <c r="F57" s="24">
        <v>8.5090400000000007E-3</v>
      </c>
      <c r="G57" s="24">
        <v>4.9111247000000004E-2</v>
      </c>
      <c r="H57" s="24">
        <v>3.2594919999999999E-2</v>
      </c>
      <c r="I57" s="24">
        <v>4.1445255E-2</v>
      </c>
      <c r="J57" s="24">
        <v>3.8361907000000001E-2</v>
      </c>
      <c r="K57" s="24">
        <v>4.7079679999999999E-2</v>
      </c>
      <c r="L57" s="24">
        <v>4.7819969999999996E-2</v>
      </c>
      <c r="M57" s="24">
        <v>1.6069651000000001E-2</v>
      </c>
      <c r="N57" s="24">
        <v>5.238831E-2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43556</v>
      </c>
      <c r="B58" s="24">
        <v>4.8296570000000004E-2</v>
      </c>
      <c r="C58" s="24">
        <v>1.5398979E-2</v>
      </c>
      <c r="D58" s="24">
        <v>1.010108E-2</v>
      </c>
      <c r="E58" s="24">
        <v>-1.0869622000000001E-2</v>
      </c>
      <c r="F58" s="24">
        <v>1.6324282000000002E-2</v>
      </c>
      <c r="G58" s="24">
        <v>2.2400856E-2</v>
      </c>
      <c r="H58" s="24">
        <v>2.5130271999999999E-2</v>
      </c>
      <c r="I58" s="24">
        <v>4.5763610000000003E-2</v>
      </c>
      <c r="J58" s="24">
        <v>2.3760438000000002E-2</v>
      </c>
      <c r="K58" s="24">
        <v>7.775545E-3</v>
      </c>
      <c r="L58" s="24">
        <v>1.5771866000000002E-2</v>
      </c>
      <c r="M58" s="24">
        <v>1.7133473999999999E-2</v>
      </c>
      <c r="N58" s="24">
        <v>2.7086377000000002E-2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43586</v>
      </c>
      <c r="B59" s="24">
        <v>-1.8543303000000001E-2</v>
      </c>
      <c r="C59" s="24">
        <v>-3.2169223000000002E-3</v>
      </c>
      <c r="D59" s="24">
        <v>1.2500048E-2</v>
      </c>
      <c r="E59" s="24">
        <v>4.7985435E-2</v>
      </c>
      <c r="F59" s="24">
        <v>-3.2485127000000001E-3</v>
      </c>
      <c r="G59" s="24">
        <v>1.3483286000000001E-2</v>
      </c>
      <c r="H59" s="24">
        <v>-2.0926594999999999E-3</v>
      </c>
      <c r="I59" s="24">
        <v>3.784883E-2</v>
      </c>
      <c r="J59" s="24">
        <v>2.0921588000000001E-2</v>
      </c>
      <c r="K59" s="24">
        <v>2.9520273E-2</v>
      </c>
      <c r="L59" s="24">
        <v>4.0964603000000002E-2</v>
      </c>
      <c r="M59" s="24">
        <v>3.3689618000000005E-2</v>
      </c>
      <c r="N59" s="24">
        <v>0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43616</v>
      </c>
      <c r="B60" s="24">
        <v>-4.6747326999999998E-3</v>
      </c>
      <c r="C60" s="24">
        <v>5.0714015999999999E-3</v>
      </c>
      <c r="D60" s="24">
        <v>-3.5978853999999998E-2</v>
      </c>
      <c r="E60" s="24">
        <v>-5.9070289999999998E-2</v>
      </c>
      <c r="F60" s="24">
        <v>-4.5446277000000007E-2</v>
      </c>
      <c r="G60" s="24">
        <v>-3.3259988E-3</v>
      </c>
      <c r="H60" s="24">
        <v>-5.0629140000000003E-2</v>
      </c>
      <c r="I60" s="24">
        <v>-7.9288600000000001E-2</v>
      </c>
      <c r="J60" s="24">
        <v>-5.6680737000000002E-2</v>
      </c>
      <c r="K60" s="24">
        <v>-5.5066824E-2</v>
      </c>
      <c r="L60" s="24">
        <v>-5.9028919999999999E-2</v>
      </c>
      <c r="M60" s="24">
        <v>-8.5553110000000002E-2</v>
      </c>
      <c r="N60" s="24">
        <v>-7.5552343999999994E-2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43647</v>
      </c>
      <c r="B61" s="24">
        <v>5.3259970000000004E-2</v>
      </c>
      <c r="C61" s="24">
        <v>5.3194283999999994E-2</v>
      </c>
      <c r="D61" s="24">
        <v>5.9300423000000005E-2</v>
      </c>
      <c r="E61" s="24">
        <v>7.3205350000000002E-2</v>
      </c>
      <c r="F61" s="24">
        <v>5.9609889999999999E-2</v>
      </c>
      <c r="G61" s="24">
        <v>6.2836169999999997E-2</v>
      </c>
      <c r="H61" s="24">
        <v>5.1231264999999998E-2</v>
      </c>
      <c r="I61" s="24">
        <v>9.0416789999999997E-2</v>
      </c>
      <c r="J61" s="24">
        <v>7.9302906999999992E-2</v>
      </c>
      <c r="K61" s="24">
        <v>8.3809740000000008E-2</v>
      </c>
      <c r="L61" s="24">
        <v>7.4025750000000001E-2</v>
      </c>
      <c r="M61" s="24">
        <v>9.9920635000000008E-2</v>
      </c>
      <c r="N61" s="24">
        <v>9.1844670000000003E-2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43678</v>
      </c>
      <c r="B62" s="24">
        <v>2.7159572E-2</v>
      </c>
      <c r="C62" s="24">
        <v>-9.3333124999999996E-3</v>
      </c>
      <c r="D62" s="24">
        <v>-1.5684962E-2</v>
      </c>
      <c r="E62" s="24">
        <v>-4.6941757000000001E-2</v>
      </c>
      <c r="F62" s="24">
        <v>-1.8424869E-2</v>
      </c>
      <c r="G62" s="24">
        <v>-4.8063992999999999E-3</v>
      </c>
      <c r="H62" s="24">
        <v>-4.03325E-2</v>
      </c>
      <c r="I62" s="24">
        <v>4.7025679999999999E-3</v>
      </c>
      <c r="J62" s="24">
        <v>-2.7734637000000001E-3</v>
      </c>
      <c r="K62" s="24">
        <v>-3.3257245999999997E-2</v>
      </c>
      <c r="L62" s="24">
        <v>-9.0090035999999991E-3</v>
      </c>
      <c r="M62" s="24">
        <v>-6.2379417000000006E-2</v>
      </c>
      <c r="N62" s="24">
        <v>-1.6076027999999999E-2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43707</v>
      </c>
      <c r="B63" s="24">
        <v>-5.3066434999999995E-2</v>
      </c>
      <c r="C63" s="24">
        <v>-2.7366578999999999E-2</v>
      </c>
      <c r="D63" s="24">
        <v>-1.7704964E-3</v>
      </c>
      <c r="E63" s="24">
        <v>-2.0522355999999999E-2</v>
      </c>
      <c r="F63" s="24">
        <v>-7.7291730000000006E-3</v>
      </c>
      <c r="G63" s="24">
        <v>5.3663254000000001E-3</v>
      </c>
      <c r="H63" s="24">
        <v>-2.6628137E-2</v>
      </c>
      <c r="I63" s="24">
        <v>-1.4094114E-2</v>
      </c>
      <c r="J63" s="24">
        <v>-8.1060530000000002E-3</v>
      </c>
      <c r="K63" s="24">
        <v>-5.3963064999999998E-3</v>
      </c>
      <c r="L63" s="24">
        <v>-6.4934490000000001E-3</v>
      </c>
      <c r="M63" s="24">
        <v>-2.8806566999999998E-2</v>
      </c>
      <c r="N63" s="24">
        <v>-7.4267389999999999E-4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43739</v>
      </c>
      <c r="B64" s="24">
        <v>1.0083436999999999E-2</v>
      </c>
      <c r="C64" s="24">
        <v>1.3376354999999999E-2</v>
      </c>
      <c r="D64" s="24">
        <v>1.2060999999999999E-2</v>
      </c>
      <c r="E64" s="24">
        <v>1.5238046999999999E-2</v>
      </c>
      <c r="F64" s="24">
        <v>4.7663330000000004E-2</v>
      </c>
      <c r="G64" s="24">
        <v>-5.8714149999999996E-3</v>
      </c>
      <c r="H64" s="24">
        <v>2.4390220000000001E-2</v>
      </c>
      <c r="I64" s="24">
        <v>9.4759464E-4</v>
      </c>
      <c r="J64" s="24">
        <v>7.3524714000000003E-3</v>
      </c>
      <c r="K64" s="24">
        <v>9.8339320000000001E-3</v>
      </c>
      <c r="L64" s="24">
        <v>1.7973781000000001E-2</v>
      </c>
      <c r="M64" s="24">
        <v>2.4717570000000001E-2</v>
      </c>
      <c r="N64" s="24">
        <v>1.4121175E-2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43770</v>
      </c>
      <c r="B65" s="24">
        <v>1.2286425E-2</v>
      </c>
      <c r="C65" s="24">
        <v>3.5958169999999998E-2</v>
      </c>
      <c r="D65" s="24">
        <v>1.7525433999999999E-2</v>
      </c>
      <c r="E65" s="24">
        <v>7.992494E-2</v>
      </c>
      <c r="F65" s="24">
        <v>4.9035189999999999E-2</v>
      </c>
      <c r="G65" s="24">
        <v>3.9194583999999998E-2</v>
      </c>
      <c r="H65" s="24">
        <v>5.1480054999999997E-2</v>
      </c>
      <c r="I65" s="24">
        <v>6.1942576999999999E-2</v>
      </c>
      <c r="J65" s="24">
        <v>4.3991326999999997E-2</v>
      </c>
      <c r="K65" s="24">
        <v>5.5406329999999997E-2</v>
      </c>
      <c r="L65" s="24">
        <v>3.7881255000000003E-2</v>
      </c>
      <c r="M65" s="24">
        <v>0.10096491</v>
      </c>
      <c r="N65" s="24">
        <v>7.0721864999999995E-2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43798</v>
      </c>
      <c r="B66" s="24">
        <v>5.9738280000000005E-2</v>
      </c>
      <c r="C66" s="24">
        <v>3.0755997000000003E-3</v>
      </c>
      <c r="D66" s="24">
        <v>2.0668268E-2</v>
      </c>
      <c r="E66" s="24">
        <v>5.5594443999999995E-3</v>
      </c>
      <c r="F66" s="24">
        <v>2.8687716000000002E-3</v>
      </c>
      <c r="G66" s="24">
        <v>4.9083232999999997E-3</v>
      </c>
      <c r="H66" s="24">
        <v>7.6498984999999993E-3</v>
      </c>
      <c r="I66" s="24">
        <v>3.1327010000000002E-2</v>
      </c>
      <c r="J66" s="24">
        <v>2.6687025999999999E-2</v>
      </c>
      <c r="K66" s="24">
        <v>7.3177813999999999E-3</v>
      </c>
      <c r="L66" s="24">
        <v>8.3513259999999992E-3</v>
      </c>
      <c r="M66" s="24">
        <v>-7.1988105999999993E-3</v>
      </c>
      <c r="N66" s="24">
        <v>-1.1293649999999999E-2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43830</v>
      </c>
      <c r="B67" s="24">
        <v>5.5488943999999998E-2</v>
      </c>
      <c r="C67" s="24">
        <v>1.1503577000000001E-2</v>
      </c>
      <c r="D67" s="24">
        <v>2.224052E-2</v>
      </c>
      <c r="E67" s="24">
        <v>1.5894889999999998E-2</v>
      </c>
      <c r="F67" s="24">
        <v>8.6407659999999994E-3</v>
      </c>
      <c r="G67" s="24">
        <v>4.4730066999999998E-2</v>
      </c>
      <c r="H67" s="24">
        <v>5.3659916000000002E-2</v>
      </c>
      <c r="I67" s="24">
        <v>3.885603E-2</v>
      </c>
      <c r="J67" s="24">
        <v>2.9033541999999999E-2</v>
      </c>
      <c r="K67" s="24">
        <v>3.5365105000000001E-2</v>
      </c>
      <c r="L67" s="24">
        <v>4.2917490000000003E-2</v>
      </c>
      <c r="M67" s="24">
        <v>5.0202129999999998E-2</v>
      </c>
      <c r="N67" s="24">
        <v>2.8223991E-2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43861</v>
      </c>
      <c r="B68" s="24">
        <v>-2.7532458000000003E-2</v>
      </c>
      <c r="C68" s="24">
        <v>-1.6784429999999999E-2</v>
      </c>
      <c r="D68" s="24">
        <v>-7.3602796000000002E-3</v>
      </c>
      <c r="E68" s="24">
        <v>-2.9591799000000002E-2</v>
      </c>
      <c r="F68" s="24">
        <v>-2.5151968E-2</v>
      </c>
      <c r="G68" s="24">
        <v>2.4607181999999998E-3</v>
      </c>
      <c r="H68" s="24">
        <v>-4.2815209999999999E-2</v>
      </c>
      <c r="I68" s="24">
        <v>3.0384302000000002E-2</v>
      </c>
      <c r="J68" s="24">
        <v>-4.0382147000000003E-4</v>
      </c>
      <c r="K68" s="24">
        <v>-4.0048895000000001E-2</v>
      </c>
      <c r="L68" s="24">
        <v>-3.4554123999999999E-2</v>
      </c>
      <c r="M68" s="24">
        <v>-2.7051747000000001E-2</v>
      </c>
      <c r="N68" s="24">
        <v>-2.4406729999999998E-2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43889</v>
      </c>
      <c r="B69" s="24">
        <v>-5.8582664E-2</v>
      </c>
      <c r="C69" s="24">
        <v>-9.6136510000000008E-2</v>
      </c>
      <c r="D69" s="24">
        <v>-7.0104479999999997E-2</v>
      </c>
      <c r="E69" s="24">
        <v>-8.0967430000000007E-2</v>
      </c>
      <c r="F69" s="24">
        <v>-8.2943735000000005E-2</v>
      </c>
      <c r="G69" s="24">
        <v>-7.0201279999999991E-2</v>
      </c>
      <c r="H69" s="24">
        <v>-0.10232841499999999</v>
      </c>
      <c r="I69" s="24">
        <v>-6.0574235999999997E-2</v>
      </c>
      <c r="J69" s="24">
        <v>-7.9165754000000005E-2</v>
      </c>
      <c r="K69" s="24">
        <v>-7.8662394999999996E-2</v>
      </c>
      <c r="L69" s="24">
        <v>-6.8828344E-2</v>
      </c>
      <c r="M69" s="24">
        <v>-5.0921560000000005E-2</v>
      </c>
      <c r="N69" s="24">
        <v>-5.3509416999999997E-2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43922</v>
      </c>
      <c r="B70" s="24">
        <v>-0.15906942000000002</v>
      </c>
      <c r="C70" s="24">
        <v>-0.25397617</v>
      </c>
      <c r="D70" s="24">
        <v>-0.24646609999999999</v>
      </c>
      <c r="E70" s="24">
        <v>-0.22273074999999998</v>
      </c>
      <c r="F70" s="24">
        <v>-0.11178244</v>
      </c>
      <c r="G70" s="24">
        <v>-8.9229160000000002E-2</v>
      </c>
      <c r="H70" s="24">
        <v>-0.22423208</v>
      </c>
      <c r="I70" s="24">
        <v>-0.1122551</v>
      </c>
      <c r="J70" s="24">
        <v>-0.16403793</v>
      </c>
      <c r="K70" s="24">
        <v>-0.23297612999999998</v>
      </c>
      <c r="L70" s="24">
        <v>-0.18331140000000001</v>
      </c>
      <c r="M70" s="24">
        <v>-0.20441078000000001</v>
      </c>
      <c r="N70" s="24">
        <v>-0.27055794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43952</v>
      </c>
      <c r="B71" s="24">
        <v>7.5798509999999999E-2</v>
      </c>
      <c r="C71" s="24">
        <v>7.8614235000000005E-2</v>
      </c>
      <c r="D71" s="24">
        <v>0.14189505999999999</v>
      </c>
      <c r="E71" s="24">
        <v>0.13199222999999999</v>
      </c>
      <c r="F71" s="24">
        <v>8.0994839999999999E-2</v>
      </c>
      <c r="G71" s="24">
        <v>5.4782629999999999E-2</v>
      </c>
      <c r="H71" s="24">
        <v>8.1830260000000002E-2</v>
      </c>
      <c r="I71" s="24">
        <v>0.16691349999999999</v>
      </c>
      <c r="J71" s="24">
        <v>0.14885234999999999</v>
      </c>
      <c r="K71" s="24">
        <v>8.2018850000000004E-2</v>
      </c>
      <c r="L71" s="24">
        <v>0.11826218000000001</v>
      </c>
      <c r="M71" s="24">
        <v>0.10343397</v>
      </c>
      <c r="N71" s="24">
        <v>4.2778014999999996E-2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43983</v>
      </c>
      <c r="B72" s="24">
        <v>9.6801169999999992E-2</v>
      </c>
      <c r="C72" s="24">
        <v>0.1704756</v>
      </c>
      <c r="D72" s="24">
        <v>8.0454940000000003E-2</v>
      </c>
      <c r="E72" s="24">
        <v>0.14867794000000001</v>
      </c>
      <c r="F72" s="24">
        <v>0.10619472999999999</v>
      </c>
      <c r="G72" s="24">
        <v>6.6226960000000001E-2</v>
      </c>
      <c r="H72" s="24">
        <v>7.5233816999999995E-2</v>
      </c>
      <c r="I72" s="24">
        <v>0.10021615</v>
      </c>
      <c r="J72" s="24">
        <v>8.0483674999999991E-2</v>
      </c>
      <c r="K72" s="24">
        <v>0.1028738</v>
      </c>
      <c r="L72" s="24">
        <v>0.11870502999999999</v>
      </c>
      <c r="M72" s="24">
        <v>0.15598046999999998</v>
      </c>
      <c r="N72" s="24">
        <v>0.11245179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44013</v>
      </c>
      <c r="B73" s="24">
        <v>7.702398299999999E-2</v>
      </c>
      <c r="C73" s="24">
        <v>4.2136550000000002E-2</v>
      </c>
      <c r="D73" s="24">
        <v>2.0697950999999999E-2</v>
      </c>
      <c r="E73" s="24">
        <v>3.2925010000000005E-2</v>
      </c>
      <c r="F73" s="24">
        <v>-1.7787873999999999E-2</v>
      </c>
      <c r="G73" s="24">
        <v>3.1190157E-2</v>
      </c>
      <c r="H73" s="24">
        <v>-4.0391684000000002E-3</v>
      </c>
      <c r="I73" s="24">
        <v>7.2035910000000009E-2</v>
      </c>
      <c r="J73" s="24">
        <v>2.0764350000000001E-2</v>
      </c>
      <c r="K73" s="24">
        <v>4.3784379999999998E-2</v>
      </c>
      <c r="L73" s="24">
        <v>6.6172003999999993E-2</v>
      </c>
      <c r="M73" s="24">
        <v>2.2341609999999998E-2</v>
      </c>
      <c r="N73" s="24">
        <v>5.4738163999999999E-2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44043</v>
      </c>
      <c r="B74" s="24">
        <v>4.6685695999999999E-2</v>
      </c>
      <c r="C74" s="24">
        <v>2.3124456000000002E-2</v>
      </c>
      <c r="D74" s="24">
        <v>5.3626537000000002E-2</v>
      </c>
      <c r="E74" s="24">
        <v>4.2820215000000002E-2</v>
      </c>
      <c r="F74" s="24">
        <v>-8.7575316E-3</v>
      </c>
      <c r="G74" s="24">
        <v>2.9464006000000001E-2</v>
      </c>
      <c r="H74" s="24">
        <v>-3.8552284000000002E-4</v>
      </c>
      <c r="I74" s="24">
        <v>6.1080336999999998E-2</v>
      </c>
      <c r="J74" s="24">
        <v>5.1526427000000007E-2</v>
      </c>
      <c r="K74" s="24">
        <v>1.7844199999999998E-2</v>
      </c>
      <c r="L74" s="24">
        <v>3.0339836999999998E-2</v>
      </c>
      <c r="M74" s="24">
        <v>7.7657580000000004E-2</v>
      </c>
      <c r="N74" s="24">
        <v>2.7847051999999997E-2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44075</v>
      </c>
      <c r="B75" s="24">
        <v>2.1280169999999998E-2</v>
      </c>
      <c r="C75" s="24">
        <v>4.3194413000000001E-2</v>
      </c>
      <c r="D75" s="24">
        <v>5.8220387000000005E-2</v>
      </c>
      <c r="E75" s="24">
        <v>6.6194772999999998E-2</v>
      </c>
      <c r="F75" s="24">
        <v>7.086324699999999E-2</v>
      </c>
      <c r="G75" s="24">
        <v>3.1828283999999998E-2</v>
      </c>
      <c r="H75" s="24">
        <v>1.9282699E-2</v>
      </c>
      <c r="I75" s="24">
        <v>0.12840962</v>
      </c>
      <c r="J75" s="24">
        <v>7.9872609999999997E-2</v>
      </c>
      <c r="K75" s="24">
        <v>4.5080422999999994E-2</v>
      </c>
      <c r="L75" s="24">
        <v>5.0353290000000002E-2</v>
      </c>
      <c r="M75" s="24">
        <v>5.0206779999999999E-2</v>
      </c>
      <c r="N75" s="24">
        <v>3.8010478E-2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44105</v>
      </c>
      <c r="B76" s="24">
        <v>-2.8171419999999999E-2</v>
      </c>
      <c r="C76" s="24">
        <v>-4.2850313000000001E-2</v>
      </c>
      <c r="D76" s="24">
        <v>-4.6020746000000001E-2</v>
      </c>
      <c r="E76" s="24">
        <v>-2.6560484999999998E-2</v>
      </c>
      <c r="F76" s="24">
        <v>1.5469313E-2</v>
      </c>
      <c r="G76" s="24">
        <v>-1.0282158999999999E-2</v>
      </c>
      <c r="H76" s="24">
        <v>-3.3673822999999999E-2</v>
      </c>
      <c r="I76" s="24">
        <v>-5.7549953000000001E-2</v>
      </c>
      <c r="J76" s="24">
        <v>-4.0257750000000002E-2</v>
      </c>
      <c r="K76" s="24">
        <v>-3.8000643000000001E-2</v>
      </c>
      <c r="L76" s="24">
        <v>-7.0086720000000005E-3</v>
      </c>
      <c r="M76" s="24">
        <v>4.78065E-3</v>
      </c>
      <c r="N76" s="24">
        <v>-4.5968056E-2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44134</v>
      </c>
      <c r="B77" s="24">
        <v>1.8353343000000001E-2</v>
      </c>
      <c r="C77" s="24">
        <v>-5.5331589999999993E-3</v>
      </c>
      <c r="D77" s="24">
        <v>-3.9898454999999999E-2</v>
      </c>
      <c r="E77" s="24">
        <v>-0.10368347</v>
      </c>
      <c r="F77" s="24">
        <v>-1.4218032E-2</v>
      </c>
      <c r="G77" s="24">
        <v>-5.9434649999999999E-2</v>
      </c>
      <c r="H77" s="24">
        <v>-4.6985150000000003E-2</v>
      </c>
      <c r="I77" s="24">
        <v>-4.5597849999999995E-2</v>
      </c>
      <c r="J77" s="24">
        <v>-3.1153559999999997E-2</v>
      </c>
      <c r="K77" s="24">
        <v>-5.0889673000000003E-2</v>
      </c>
      <c r="L77" s="24">
        <v>-4.1219653999999994E-2</v>
      </c>
      <c r="M77" s="24">
        <v>-5.4575976999999998E-2</v>
      </c>
      <c r="N77" s="24">
        <v>-6.8599462999999999E-2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44166</v>
      </c>
      <c r="B78" s="24">
        <v>0.12941384</v>
      </c>
      <c r="C78" s="24">
        <v>0.17197776999999997</v>
      </c>
      <c r="D78" s="24">
        <v>0.15035892000000001</v>
      </c>
      <c r="E78" s="24">
        <v>0.18607306999999998</v>
      </c>
      <c r="F78" s="24">
        <v>0.12826228000000001</v>
      </c>
      <c r="G78" s="24">
        <v>0.11045467</v>
      </c>
      <c r="H78" s="24">
        <v>0.19515205000000002</v>
      </c>
      <c r="I78" s="24">
        <v>0.12651263999999998</v>
      </c>
      <c r="J78" s="24">
        <v>0.12090397</v>
      </c>
      <c r="K78" s="24">
        <v>0.25121856999999997</v>
      </c>
      <c r="L78" s="24">
        <v>0.17638408999999999</v>
      </c>
      <c r="M78" s="24">
        <v>0.17821193999999999</v>
      </c>
      <c r="N78" s="24">
        <v>0.27444099999999999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44196</v>
      </c>
      <c r="B79" s="24">
        <v>2.6886106E-2</v>
      </c>
      <c r="C79" s="24">
        <v>4.2436003999999999E-2</v>
      </c>
      <c r="D79" s="24">
        <v>2.5483490000000001E-2</v>
      </c>
      <c r="E79" s="24">
        <v>3.2090544999999998E-2</v>
      </c>
      <c r="F79" s="24">
        <v>3.2182932000000004E-2</v>
      </c>
      <c r="G79" s="24">
        <v>3.4081578000000001E-2</v>
      </c>
      <c r="H79" s="24">
        <v>1.8411516999999999E-2</v>
      </c>
      <c r="I79" s="24">
        <v>3.5754679999999997E-2</v>
      </c>
      <c r="J79" s="24">
        <v>2.5845885000000002E-2</v>
      </c>
      <c r="K79" s="24">
        <v>1.6372204000000001E-3</v>
      </c>
      <c r="L79" s="24">
        <v>3.8176656000000003E-2</v>
      </c>
      <c r="M79" s="24">
        <v>7.4840784E-3</v>
      </c>
      <c r="N79" s="24">
        <v>2.1092534E-2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44228</v>
      </c>
      <c r="B80" s="24">
        <v>-5.4356455999999996E-3</v>
      </c>
      <c r="C80" s="24">
        <v>8.7682009999999998E-3</v>
      </c>
      <c r="D80" s="24">
        <v>3.2426120000000002E-3</v>
      </c>
      <c r="E80" s="24">
        <v>0</v>
      </c>
      <c r="F80" s="24">
        <v>1.9242764000000001E-3</v>
      </c>
      <c r="G80" s="24">
        <v>-5.1476955000000005E-3</v>
      </c>
      <c r="H80" s="24">
        <v>1.0242343000000001E-2</v>
      </c>
      <c r="I80" s="24">
        <v>2.7666330000000003E-2</v>
      </c>
      <c r="J80" s="24">
        <v>6.2854290000000004E-3</v>
      </c>
      <c r="K80" s="24">
        <v>-1.5935003999999999E-2</v>
      </c>
      <c r="L80" s="24">
        <v>4.6444060000000002E-2</v>
      </c>
      <c r="M80" s="24">
        <v>3.7688494000000003E-2</v>
      </c>
      <c r="N80" s="24">
        <v>-2.4456560000000002E-2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44256</v>
      </c>
      <c r="B81" s="24">
        <v>-5.4652810000000003E-2</v>
      </c>
      <c r="C81" s="24">
        <v>5.0082803000000002E-2</v>
      </c>
      <c r="D81" s="24">
        <v>6.3025117000000005E-2</v>
      </c>
      <c r="E81" s="24">
        <v>2.2033334000000002E-2</v>
      </c>
      <c r="F81" s="24">
        <v>2.4523497000000002E-2</v>
      </c>
      <c r="G81" s="24">
        <v>-1.5298069000000001E-2</v>
      </c>
      <c r="H81" s="24">
        <v>4.3257833000000002E-2</v>
      </c>
      <c r="I81" s="24">
        <v>3.6287308E-3</v>
      </c>
      <c r="J81" s="24">
        <v>3.5483598999999998E-2</v>
      </c>
      <c r="K81" s="24">
        <v>5.0412536000000001E-2</v>
      </c>
      <c r="L81" s="24">
        <v>3.6523342E-2</v>
      </c>
      <c r="M81" s="24">
        <v>4.2615055999999998E-2</v>
      </c>
      <c r="N81" s="24">
        <v>6.1281322999999999E-2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44287</v>
      </c>
      <c r="B82" s="24">
        <v>-2.5781274E-2</v>
      </c>
      <c r="C82" s="24">
        <v>-9.4600320000000002E-3</v>
      </c>
      <c r="D82" s="24">
        <v>5.3207636000000003E-2</v>
      </c>
      <c r="E82" s="24">
        <v>4.5580505999999993E-2</v>
      </c>
      <c r="F82" s="24">
        <v>-3.0280948000000001E-3</v>
      </c>
      <c r="G82" s="24">
        <v>2.6959061999999999E-2</v>
      </c>
      <c r="H82" s="24">
        <v>2.5915146E-2</v>
      </c>
      <c r="I82" s="24">
        <v>4.2710303999999996E-3</v>
      </c>
      <c r="J82" s="24">
        <v>3.1686187000000005E-2</v>
      </c>
      <c r="K82" s="24">
        <v>2.9377460000000001E-2</v>
      </c>
      <c r="L82" s="24">
        <v>5.642283E-2</v>
      </c>
      <c r="M82" s="24">
        <v>5.0859213E-2</v>
      </c>
      <c r="N82" s="24">
        <v>4.3963312999999997E-2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44316</v>
      </c>
      <c r="B83" s="24">
        <v>3.560543E-2</v>
      </c>
      <c r="C83" s="24">
        <v>2.9844759999999998E-2</v>
      </c>
      <c r="D83" s="24">
        <v>2.8002381E-2</v>
      </c>
      <c r="E83" s="24">
        <v>1.973486E-2</v>
      </c>
      <c r="F83" s="24">
        <v>-2.4877071000000001E-2</v>
      </c>
      <c r="G83" s="24">
        <v>2.9810905000000002E-2</v>
      </c>
      <c r="H83" s="24">
        <v>2.7155041999999997E-2</v>
      </c>
      <c r="I83" s="24">
        <v>4.1346908000000002E-2</v>
      </c>
      <c r="J83" s="24">
        <v>4.1661499999999997E-2</v>
      </c>
      <c r="K83" s="24">
        <v>4.4927954999999999E-2</v>
      </c>
      <c r="L83" s="24">
        <v>1.4777302999999999E-2</v>
      </c>
      <c r="M83" s="24">
        <v>2.5856256000000001E-2</v>
      </c>
      <c r="N83" s="24">
        <v>-6.5996049999999997E-3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44348</v>
      </c>
      <c r="B84" s="24">
        <v>-2.8496206000000003E-2</v>
      </c>
      <c r="C84" s="24">
        <v>3.7867188000000003E-2</v>
      </c>
      <c r="D84" s="24">
        <v>7.0766686999999995E-2</v>
      </c>
      <c r="E84" s="24">
        <v>4.2749879999999997E-2</v>
      </c>
      <c r="F84" s="24">
        <v>1.0827659999999999E-2</v>
      </c>
      <c r="G84" s="24">
        <v>5.9624075999999998E-2</v>
      </c>
      <c r="H84" s="24">
        <v>4.6418786000000004E-2</v>
      </c>
      <c r="I84" s="24">
        <v>-1.5296280000000001E-2</v>
      </c>
      <c r="J84" s="24">
        <v>5.6794879999999999E-3</v>
      </c>
      <c r="K84" s="24">
        <v>6.0843705999999997E-2</v>
      </c>
      <c r="L84" s="24">
        <v>3.8901566999999998E-2</v>
      </c>
      <c r="M84" s="24">
        <v>5.8164597000000005E-2</v>
      </c>
      <c r="N84" s="24">
        <v>7.1496249999999997E-2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44378</v>
      </c>
      <c r="B85" s="24">
        <v>-2.1673439999999999E-2</v>
      </c>
      <c r="C85" s="24">
        <v>-2.2678672999999996E-2</v>
      </c>
      <c r="D85" s="24">
        <v>-7.0384740000000003E-3</v>
      </c>
      <c r="E85" s="24">
        <v>-2.3012339999999999E-2</v>
      </c>
      <c r="F85" s="24">
        <v>-2.4154782000000001E-3</v>
      </c>
      <c r="G85" s="24">
        <v>1.2838720999999999E-2</v>
      </c>
      <c r="H85" s="24">
        <v>-1.6860425000000002E-2</v>
      </c>
      <c r="I85" s="24">
        <v>6.6578150000000003E-2</v>
      </c>
      <c r="J85" s="24">
        <v>2.9040217E-2</v>
      </c>
      <c r="K85" s="24">
        <v>-1.872915E-2</v>
      </c>
      <c r="L85" s="24">
        <v>-2.6232780000000001E-2</v>
      </c>
      <c r="M85" s="24">
        <v>-2.9418885999999998E-2</v>
      </c>
      <c r="N85" s="24">
        <v>-2.7254998999999999E-2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44407</v>
      </c>
      <c r="B86" s="24">
        <v>-6.2479377000000001E-3</v>
      </c>
      <c r="C86" s="24">
        <v>-4.6349764E-3</v>
      </c>
      <c r="D86" s="24">
        <v>-7.9723597000000007E-3</v>
      </c>
      <c r="E86" s="24">
        <v>-4.6135783000000007E-3</v>
      </c>
      <c r="F86" s="24">
        <v>-5.6304336E-3</v>
      </c>
      <c r="G86" s="24">
        <v>2.9930353E-2</v>
      </c>
      <c r="H86" s="24">
        <v>-3.6462545E-3</v>
      </c>
      <c r="I86" s="24">
        <v>2.820313E-2</v>
      </c>
      <c r="J86" s="24">
        <v>1.8772006000000001E-2</v>
      </c>
      <c r="K86" s="24">
        <v>7.0922375000000001E-3</v>
      </c>
      <c r="L86" s="24">
        <v>3.4154415E-2</v>
      </c>
      <c r="M86" s="24">
        <v>3.9064169999999995E-2</v>
      </c>
      <c r="N86" s="24">
        <v>-1.8432139999999999E-3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44440</v>
      </c>
      <c r="B87" s="24">
        <v>5.1952360000000003E-2</v>
      </c>
      <c r="C87" s="24">
        <v>1.5909909999999999E-2</v>
      </c>
      <c r="D87" s="24">
        <v>6.6970587000000003E-3</v>
      </c>
      <c r="E87" s="24">
        <v>1.5063762999999999E-2</v>
      </c>
      <c r="F87" s="24">
        <v>3.5762189999999999E-2</v>
      </c>
      <c r="G87" s="24">
        <v>1.4729261E-2</v>
      </c>
      <c r="H87" s="24">
        <v>1.2808679999999999E-2</v>
      </c>
      <c r="I87" s="24">
        <v>4.3914676000000007E-2</v>
      </c>
      <c r="J87" s="24">
        <v>3.0307173999999999E-2</v>
      </c>
      <c r="K87" s="24">
        <v>2.8168917000000002E-2</v>
      </c>
      <c r="L87" s="24">
        <v>6.6653370000000003E-2</v>
      </c>
      <c r="M87" s="24">
        <v>-4.3379068000000002E-3</v>
      </c>
      <c r="N87" s="24">
        <v>2.185285E-2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44470</v>
      </c>
      <c r="B88" s="24">
        <v>-1.4469981E-2</v>
      </c>
      <c r="C88" s="24">
        <v>-4.7364415999999999E-2</v>
      </c>
      <c r="D88" s="24">
        <v>-2.5279402999999999E-2</v>
      </c>
      <c r="E88" s="24">
        <v>-5.9931574000000001E-2</v>
      </c>
      <c r="F88" s="24">
        <v>6.0422419999999998E-3</v>
      </c>
      <c r="G88" s="24">
        <v>-7.8462123999999994E-2</v>
      </c>
      <c r="H88" s="24">
        <v>-2.4691342999999998E-2</v>
      </c>
      <c r="I88" s="24">
        <v>-5.253124E-2</v>
      </c>
      <c r="J88" s="24">
        <v>-3.5757064999999998E-2</v>
      </c>
      <c r="K88" s="24">
        <v>-4.6423078E-2</v>
      </c>
      <c r="L88" s="24">
        <v>-7.2996798000000002E-2</v>
      </c>
      <c r="M88" s="24">
        <v>-6.0166000000000004E-2</v>
      </c>
      <c r="N88" s="24">
        <v>-3.9156675000000002E-2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44501</v>
      </c>
      <c r="B89" s="24">
        <v>1.7397045999999999E-2</v>
      </c>
      <c r="C89" s="24">
        <v>6.1347126999999994E-2</v>
      </c>
      <c r="D89" s="24">
        <v>8.2172985000000004E-2</v>
      </c>
      <c r="E89" s="24">
        <v>3.7644267000000002E-2</v>
      </c>
      <c r="F89" s="24">
        <v>-7.1499944000000008E-3</v>
      </c>
      <c r="G89" s="24">
        <v>7.4925539999999999E-2</v>
      </c>
      <c r="H89" s="24">
        <v>4.6310544000000002E-2</v>
      </c>
      <c r="I89" s="24">
        <v>7.5656651999999991E-2</v>
      </c>
      <c r="J89" s="24">
        <v>5.9414149999999999E-2</v>
      </c>
      <c r="K89" s="24">
        <v>5.7728050000000003E-2</v>
      </c>
      <c r="L89" s="24">
        <v>5.9311747999999997E-2</v>
      </c>
      <c r="M89" s="24">
        <v>6.7549706000000001E-2</v>
      </c>
      <c r="N89" s="24">
        <v>6.6144109999999992E-2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44531</v>
      </c>
      <c r="B90" s="24">
        <v>-8.2537889999999989E-2</v>
      </c>
      <c r="C90" s="24">
        <v>-8.3868500000000012E-2</v>
      </c>
      <c r="D90" s="24">
        <v>-7.0131119999999991E-2</v>
      </c>
      <c r="E90" s="24">
        <v>-7.0509076000000004E-2</v>
      </c>
      <c r="F90" s="24">
        <v>-4.9690304000000005E-2</v>
      </c>
      <c r="G90" s="24">
        <v>-3.0296981000000001E-2</v>
      </c>
      <c r="H90" s="24">
        <v>-6.1375019999999995E-2</v>
      </c>
      <c r="I90" s="24">
        <v>-8.0013274999999999E-4</v>
      </c>
      <c r="J90" s="24">
        <v>-2.0737350000000002E-2</v>
      </c>
      <c r="K90" s="24">
        <v>-5.5834950000000001E-2</v>
      </c>
      <c r="L90" s="24">
        <v>-6.7456539999999995E-2</v>
      </c>
      <c r="M90" s="24">
        <v>-7.6716303999999999E-2</v>
      </c>
      <c r="N90" s="24">
        <v>-7.9682406999999997E-2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44561</v>
      </c>
      <c r="B91" s="24">
        <v>2.2116064999999997E-2</v>
      </c>
      <c r="C91" s="24">
        <v>6.1233880000000004E-2</v>
      </c>
      <c r="D91" s="24">
        <v>5.6088924000000005E-2</v>
      </c>
      <c r="E91" s="24">
        <v>4.0717719999999999E-2</v>
      </c>
      <c r="F91" s="24">
        <v>2.8327702999999999E-2</v>
      </c>
      <c r="G91" s="24">
        <v>7.678162999999999E-2</v>
      </c>
      <c r="H91" s="24">
        <v>7.0490837000000001E-2</v>
      </c>
      <c r="I91" s="24">
        <v>2.9044032000000001E-2</v>
      </c>
      <c r="J91" s="24">
        <v>5.8046936999999993E-2</v>
      </c>
      <c r="K91" s="24">
        <v>6.4346433000000008E-2</v>
      </c>
      <c r="L91" s="24">
        <v>3.292954E-2</v>
      </c>
      <c r="M91" s="24">
        <v>7.0250153999999995E-2</v>
      </c>
      <c r="N91" s="24">
        <v>6.3168882999999995E-2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44593</v>
      </c>
      <c r="B92" s="24">
        <v>-9.680706E-2</v>
      </c>
      <c r="C92" s="24">
        <v>-6.8062839999999999E-2</v>
      </c>
      <c r="D92" s="24">
        <v>6.5053699999999999E-3</v>
      </c>
      <c r="E92" s="24">
        <v>-1.5253186E-2</v>
      </c>
      <c r="F92" s="24">
        <v>-4.2712092000000007E-2</v>
      </c>
      <c r="G92" s="24">
        <v>-5.1393867000000003E-2</v>
      </c>
      <c r="H92" s="24">
        <v>3.4399510000000001E-2</v>
      </c>
      <c r="I92" s="24">
        <v>-8.1261819999999998E-2</v>
      </c>
      <c r="J92" s="24">
        <v>-4.6340703999999996E-2</v>
      </c>
      <c r="K92" s="24">
        <v>-1.1831343000000001E-2</v>
      </c>
      <c r="L92" s="24">
        <v>-6.7702109999999996E-2</v>
      </c>
      <c r="M92" s="24">
        <v>-7.5760899999999992E-2</v>
      </c>
      <c r="N92" s="24">
        <v>1.5238523000000001E-3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44621</v>
      </c>
      <c r="B93" s="24">
        <v>3.1402707000000002E-2</v>
      </c>
      <c r="C93" s="24">
        <v>3.0250669000000001E-2</v>
      </c>
      <c r="D93" s="24">
        <v>-2.5336086999999997E-2</v>
      </c>
      <c r="E93" s="24">
        <v>-0.13166040000000001</v>
      </c>
      <c r="F93" s="24">
        <v>-3.1513213999999998E-2</v>
      </c>
      <c r="G93" s="24">
        <v>-5.1979246000000007E-2</v>
      </c>
      <c r="H93" s="24">
        <v>-3.7047863E-2</v>
      </c>
      <c r="I93" s="24">
        <v>-6.5741960000000002E-2</v>
      </c>
      <c r="J93" s="24">
        <v>-5.0711989999999998E-2</v>
      </c>
      <c r="K93" s="24">
        <v>-0.11426342</v>
      </c>
      <c r="L93" s="24">
        <v>-0.118539095</v>
      </c>
      <c r="M93" s="24">
        <v>-0.15086406999999999</v>
      </c>
      <c r="N93" s="24">
        <v>-0.11655509999999999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44652</v>
      </c>
      <c r="B94" s="24">
        <v>8.5688830000000011E-3</v>
      </c>
      <c r="C94" s="24">
        <v>0.11954700000000001</v>
      </c>
      <c r="D94" s="24">
        <v>6.6843510000000009E-2</v>
      </c>
      <c r="E94" s="24">
        <v>2.069211E-2</v>
      </c>
      <c r="F94" s="24">
        <v>-2.4162531000000002E-3</v>
      </c>
      <c r="G94" s="24">
        <v>4.4074179999999998E-2</v>
      </c>
      <c r="H94" s="24">
        <v>2.7870417000000001E-2</v>
      </c>
      <c r="I94" s="24">
        <v>6.0933830000000001E-2</v>
      </c>
      <c r="J94" s="24">
        <v>5.6588289999999999E-2</v>
      </c>
      <c r="K94" s="24">
        <v>4.7311186999999998E-2</v>
      </c>
      <c r="L94" s="24">
        <v>3.5619140000000001E-2</v>
      </c>
      <c r="M94" s="24">
        <v>9.2959289999999986E-2</v>
      </c>
      <c r="N94" s="24">
        <v>3.2380223E-2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44680</v>
      </c>
      <c r="B95" s="24">
        <v>-9.6890809999999994E-2</v>
      </c>
      <c r="C95" s="24">
        <v>-7.9055843000000001E-2</v>
      </c>
      <c r="D95" s="24">
        <v>-7.8816532999999994E-2</v>
      </c>
      <c r="E95" s="24">
        <v>-9.087735000000001E-2</v>
      </c>
      <c r="F95" s="24">
        <v>-8.5741999999999999E-2</v>
      </c>
      <c r="G95" s="24">
        <v>-6.2815546999999999E-2</v>
      </c>
      <c r="H95" s="24">
        <v>-4.8040093999999998E-2</v>
      </c>
      <c r="I95" s="24">
        <v>-0.13430982999999999</v>
      </c>
      <c r="J95" s="24">
        <v>-9.0347109999999994E-2</v>
      </c>
      <c r="K95" s="24">
        <v>-7.5476939999999992E-2</v>
      </c>
      <c r="L95" s="24">
        <v>-0.10084236000000001</v>
      </c>
      <c r="M95" s="24">
        <v>-9.637648E-2</v>
      </c>
      <c r="N95" s="24">
        <v>-8.4751370000000006E-2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44713</v>
      </c>
      <c r="B96" s="24">
        <v>-3.1024813999999998E-2</v>
      </c>
      <c r="C96" s="24">
        <v>7.3230267000000005E-3</v>
      </c>
      <c r="D96" s="24">
        <v>1.8893361000000001E-2</v>
      </c>
      <c r="E96" s="24">
        <v>3.8446783999999998E-2</v>
      </c>
      <c r="F96" s="24">
        <v>1.7838240000000002E-2</v>
      </c>
      <c r="G96" s="24">
        <v>-3.8793147E-2</v>
      </c>
      <c r="H96" s="24">
        <v>1.2693524000000001E-2</v>
      </c>
      <c r="I96" s="24">
        <v>-2.3144424E-2</v>
      </c>
      <c r="J96" s="24">
        <v>-5.8495399999999994E-3</v>
      </c>
      <c r="K96" s="24">
        <v>2.4582624000000001E-2</v>
      </c>
      <c r="L96" s="24">
        <v>7.0257187E-3</v>
      </c>
      <c r="M96" s="24">
        <v>2.7847290000000001E-3</v>
      </c>
      <c r="N96" s="24">
        <v>3.2446145999999995E-2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44743</v>
      </c>
      <c r="B97" s="24">
        <v>-7.311773299999999E-2</v>
      </c>
      <c r="C97" s="24">
        <v>-0.12070465000000001</v>
      </c>
      <c r="D97" s="24">
        <v>-9.1556429999999994E-2</v>
      </c>
      <c r="E97" s="24">
        <v>-0.12098866</v>
      </c>
      <c r="F97" s="24">
        <v>-7.0466875999999998E-2</v>
      </c>
      <c r="G97" s="24">
        <v>-4.8691690000000003E-2</v>
      </c>
      <c r="H97" s="24">
        <v>-6.9435415E-2</v>
      </c>
      <c r="I97" s="24">
        <v>-7.6276540000000004E-2</v>
      </c>
      <c r="J97" s="24">
        <v>-6.5203850000000008E-2</v>
      </c>
      <c r="K97" s="24">
        <v>-8.1808680000000009E-2</v>
      </c>
      <c r="L97" s="24">
        <v>-9.0573730000000005E-2</v>
      </c>
      <c r="M97" s="24">
        <v>-0.12735361000000001</v>
      </c>
      <c r="N97" s="24">
        <v>-0.11888731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44774</v>
      </c>
      <c r="B98" s="24">
        <v>9.3348390000000003E-2</v>
      </c>
      <c r="C98" s="24">
        <v>7.776189E-2</v>
      </c>
      <c r="D98" s="24">
        <v>2.7027009999999997E-2</v>
      </c>
      <c r="E98" s="24">
        <v>2.3447632999999999E-2</v>
      </c>
      <c r="F98" s="24">
        <v>7.2007536999999996E-2</v>
      </c>
      <c r="G98" s="24">
        <v>4.5454499999999995E-2</v>
      </c>
      <c r="H98" s="24">
        <v>3.3790588000000003E-2</v>
      </c>
      <c r="I98" s="24">
        <v>0.11746347</v>
      </c>
      <c r="J98" s="24">
        <v>7.7457786000000001E-2</v>
      </c>
      <c r="K98" s="24">
        <v>5.7788133999999998E-2</v>
      </c>
      <c r="L98" s="24">
        <v>9.0673449999999989E-2</v>
      </c>
      <c r="M98" s="24">
        <v>9.6594700000000006E-2</v>
      </c>
      <c r="N98" s="24">
        <v>1.7761229999999999E-2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44805</v>
      </c>
      <c r="B99" s="24">
        <v>-4.4132890000000001E-2</v>
      </c>
      <c r="C99" s="24">
        <v>-4.3994720000000001E-2</v>
      </c>
      <c r="D99" s="24">
        <v>-4.5766534999999997E-2</v>
      </c>
      <c r="E99" s="24">
        <v>-8.6126380000000002E-2</v>
      </c>
      <c r="F99" s="24">
        <v>-6.8929076000000006E-2</v>
      </c>
      <c r="G99" s="24">
        <v>-7.7294707000000004E-2</v>
      </c>
      <c r="H99" s="24">
        <v>-8.0258900000000008E-2</v>
      </c>
      <c r="I99" s="24">
        <v>-5.033779E-2</v>
      </c>
      <c r="J99" s="24">
        <v>-3.4934342E-2</v>
      </c>
      <c r="K99" s="24">
        <v>-8.2260609999999998E-2</v>
      </c>
      <c r="L99" s="24">
        <v>-0.11770915999999999</v>
      </c>
      <c r="M99" s="24">
        <v>-0.12391764</v>
      </c>
      <c r="N99" s="24">
        <v>-6.8993449999999998E-2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44834</v>
      </c>
      <c r="B100" s="24">
        <v>-0.11154259</v>
      </c>
      <c r="C100" s="24">
        <v>-9.7100729999999996E-2</v>
      </c>
      <c r="D100" s="24">
        <v>-7.7937659999999992E-2</v>
      </c>
      <c r="E100" s="24">
        <v>-8.3565529999999999E-2</v>
      </c>
      <c r="F100" s="24">
        <v>-7.7431559999999997E-2</v>
      </c>
      <c r="G100" s="24">
        <v>-6.6317615999999996E-2</v>
      </c>
      <c r="H100" s="24">
        <v>-7.7762183999999998E-2</v>
      </c>
      <c r="I100" s="24">
        <v>-0.10575753</v>
      </c>
      <c r="J100" s="24">
        <v>-9.5255375000000003E-2</v>
      </c>
      <c r="K100" s="24">
        <v>-8.3133750000000006E-2</v>
      </c>
      <c r="L100" s="24">
        <v>-8.5551920000000004E-2</v>
      </c>
      <c r="M100" s="24">
        <v>-7.1233806999999996E-2</v>
      </c>
      <c r="N100" s="24">
        <v>-6.2772455000000005E-2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44866</v>
      </c>
      <c r="B101" s="24">
        <v>6.5080166000000009E-2</v>
      </c>
      <c r="C101" s="24">
        <v>7.0846080000000006E-2</v>
      </c>
      <c r="D101" s="24">
        <v>7.8023434000000003E-2</v>
      </c>
      <c r="E101" s="24">
        <v>0.11347521000000001</v>
      </c>
      <c r="F101" s="24">
        <v>3.1115650000000002E-2</v>
      </c>
      <c r="G101" s="24">
        <v>4.2456626999999997E-2</v>
      </c>
      <c r="H101" s="24">
        <v>8.2029820000000003E-2</v>
      </c>
      <c r="I101" s="24">
        <v>2.9372096E-2</v>
      </c>
      <c r="J101" s="24">
        <v>7.6544046000000004E-2</v>
      </c>
      <c r="K101" s="24">
        <v>0.11977612999999999</v>
      </c>
      <c r="L101" s="24">
        <v>7.850837699999999E-2</v>
      </c>
      <c r="M101" s="24">
        <v>9.0275170000000002E-2</v>
      </c>
      <c r="N101" s="24">
        <v>0.12976752999999999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44896</v>
      </c>
      <c r="B102" s="24">
        <v>0.13155496999999999</v>
      </c>
      <c r="C102" s="24">
        <v>0.12946213000000001</v>
      </c>
      <c r="D102" s="24">
        <v>6.785285499999999E-2</v>
      </c>
      <c r="E102" s="24">
        <v>0.16378533999999997</v>
      </c>
      <c r="F102" s="24">
        <v>0.11534643000000001</v>
      </c>
      <c r="G102" s="24">
        <v>0.11424171</v>
      </c>
      <c r="H102" s="24">
        <v>0.12200284</v>
      </c>
      <c r="I102" s="24">
        <v>6.7645789999999997E-2</v>
      </c>
      <c r="J102" s="24">
        <v>5.9450745999999999E-2</v>
      </c>
      <c r="K102" s="24">
        <v>0.13228916999999998</v>
      </c>
      <c r="L102" s="24">
        <v>0.19593561000000001</v>
      </c>
      <c r="M102" s="24">
        <v>0.15516663</v>
      </c>
      <c r="N102" s="24">
        <v>0.15232598999999999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44925</v>
      </c>
      <c r="B103" s="24">
        <v>-1.7017960000000002E-2</v>
      </c>
      <c r="C103" s="24">
        <v>-4.5766710000000002E-2</v>
      </c>
      <c r="D103" s="24">
        <v>-6.2216279999999999E-2</v>
      </c>
      <c r="E103" s="24">
        <v>-3.2904148000000001E-2</v>
      </c>
      <c r="F103" s="24">
        <v>-2.881825E-2</v>
      </c>
      <c r="G103" s="24">
        <v>-3.6091923999999997E-2</v>
      </c>
      <c r="H103" s="24">
        <v>-2.2037684999999998E-2</v>
      </c>
      <c r="I103" s="24">
        <v>-9.1219610000000007E-2</v>
      </c>
      <c r="J103" s="24">
        <v>-5.6881846999999999E-2</v>
      </c>
      <c r="K103" s="24">
        <v>-2.1793364999999999E-2</v>
      </c>
      <c r="L103" s="24">
        <v>-4.96763E-2</v>
      </c>
      <c r="M103" s="24">
        <v>-5.2598119999999998E-2</v>
      </c>
      <c r="N103" s="24">
        <v>-2.3040473000000002E-2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44958</v>
      </c>
      <c r="B104" s="24">
        <v>8.5890880000000003E-2</v>
      </c>
      <c r="C104" s="24">
        <v>0.13000451999999998</v>
      </c>
      <c r="D104" s="24">
        <v>9.471439999999999E-2</v>
      </c>
      <c r="E104" s="24">
        <v>0.15325522</v>
      </c>
      <c r="F104" s="24">
        <v>8.1374049999999989E-2</v>
      </c>
      <c r="G104" s="24">
        <v>8.4426400000000013E-2</v>
      </c>
      <c r="H104" s="24">
        <v>6.5883874999999995E-2</v>
      </c>
      <c r="I104" s="24">
        <v>0.13008869000000001</v>
      </c>
      <c r="J104" s="24">
        <v>7.4183464000000005E-2</v>
      </c>
      <c r="K104" s="24">
        <v>0.12801932999999999</v>
      </c>
      <c r="L104" s="24">
        <v>0.15950583999999998</v>
      </c>
      <c r="M104" s="24">
        <v>0.10702133</v>
      </c>
      <c r="N104" s="24">
        <v>0.13734220999999999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44986</v>
      </c>
      <c r="B105" s="24">
        <v>-6.0508369999999999E-2</v>
      </c>
      <c r="C105" s="24">
        <v>-8.0812159999999994E-2</v>
      </c>
      <c r="D105" s="24">
        <v>-4.4376189999999996E-2</v>
      </c>
      <c r="E105" s="24">
        <v>-3.6115050000000003E-2</v>
      </c>
      <c r="F105" s="24">
        <v>-4.8241909999999999E-2</v>
      </c>
      <c r="G105" s="24">
        <v>-4.5964359999999996E-2</v>
      </c>
      <c r="H105" s="24">
        <v>-6.1199665000000007E-3</v>
      </c>
      <c r="I105" s="24">
        <v>-3.2300950000000002E-2</v>
      </c>
      <c r="J105" s="24">
        <v>-3.9094448000000004E-2</v>
      </c>
      <c r="K105" s="24">
        <v>-1.6059995000000001E-2</v>
      </c>
      <c r="L105" s="24">
        <v>-4.9559949999999998E-2</v>
      </c>
      <c r="M105" s="24">
        <v>-1.3132215000000001E-2</v>
      </c>
      <c r="N105" s="24">
        <v>-1.6318559999999999E-2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45016</v>
      </c>
      <c r="B106" s="24">
        <v>8.0759525000000006E-3</v>
      </c>
      <c r="C106" s="24">
        <v>-6.4963099999999999E-3</v>
      </c>
      <c r="D106" s="24">
        <v>-1.7523765999999999E-3</v>
      </c>
      <c r="E106" s="24">
        <v>3.5285592000000005E-2</v>
      </c>
      <c r="F106" s="24">
        <v>4.7474622999999994E-2</v>
      </c>
      <c r="G106" s="24">
        <v>4.4721007000000007E-2</v>
      </c>
      <c r="H106" s="24">
        <v>-6.7734119999999995E-3</v>
      </c>
      <c r="I106" s="24">
        <v>0.10379577</v>
      </c>
      <c r="J106" s="24">
        <v>4.1118620000000002E-2</v>
      </c>
      <c r="K106" s="24">
        <v>2.8291702000000002E-2</v>
      </c>
      <c r="L106" s="24">
        <v>2.8265118999999998E-2</v>
      </c>
      <c r="M106" s="24">
        <v>6.2288045999999994E-3</v>
      </c>
      <c r="N106" s="24">
        <v>9.6217394000000008E-3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45047</v>
      </c>
      <c r="B107" s="24">
        <v>-3.687203E-3</v>
      </c>
      <c r="C107" s="24">
        <v>5.6669709999999998E-3</v>
      </c>
      <c r="D107" s="24">
        <v>2.8086543000000002E-2</v>
      </c>
      <c r="E107" s="24">
        <v>3.4083008999999997E-2</v>
      </c>
      <c r="F107" s="24">
        <v>1.3631582E-3</v>
      </c>
      <c r="G107" s="24">
        <v>6.1120986999999995E-2</v>
      </c>
      <c r="H107" s="24">
        <v>4.8357129999999998E-2</v>
      </c>
      <c r="I107" s="24">
        <v>3.9261579999999999E-3</v>
      </c>
      <c r="J107" s="24">
        <v>1.4949083E-2</v>
      </c>
      <c r="K107" s="24">
        <v>4.7090053999999999E-2</v>
      </c>
      <c r="L107" s="24">
        <v>1.42169E-3</v>
      </c>
      <c r="M107" s="24">
        <v>4.5582414000000002E-2</v>
      </c>
      <c r="N107" s="24">
        <v>4.1735170000000002E-2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45078</v>
      </c>
      <c r="B108" s="24">
        <v>-1.941669E-2</v>
      </c>
      <c r="C108" s="24">
        <v>-3.0342400000000002E-2</v>
      </c>
      <c r="D108" s="24">
        <v>-4.0125190000000005E-2</v>
      </c>
      <c r="E108" s="24">
        <v>-3.3978939999999999E-2</v>
      </c>
      <c r="F108" s="24">
        <v>3.5051942000000003E-2</v>
      </c>
      <c r="G108" s="24">
        <v>-2.9320002000000001E-2</v>
      </c>
      <c r="H108" s="24">
        <v>-4.4648113000000003E-2</v>
      </c>
      <c r="I108" s="24">
        <v>9.2554090000000006E-2</v>
      </c>
      <c r="J108" s="24">
        <v>1.5186191E-2</v>
      </c>
      <c r="K108" s="24">
        <v>-5.6594252999999997E-2</v>
      </c>
      <c r="L108" s="24">
        <v>2.6029348000000002E-3</v>
      </c>
      <c r="M108" s="24">
        <v>-6.8083944000000007E-2</v>
      </c>
      <c r="N108" s="24">
        <v>-4.1640400000000001E-2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45107</v>
      </c>
      <c r="B109" s="24">
        <v>1.4151215999999999E-2</v>
      </c>
      <c r="C109" s="24">
        <v>2.7100205000000002E-2</v>
      </c>
      <c r="D109" s="24">
        <v>4.7865986999999999E-2</v>
      </c>
      <c r="E109" s="24">
        <v>3.2518387000000003E-2</v>
      </c>
      <c r="F109" s="24">
        <v>2.4773955E-2</v>
      </c>
      <c r="G109" s="24">
        <v>1.2154818000000001E-2</v>
      </c>
      <c r="H109" s="24">
        <v>2.0687460000000001E-2</v>
      </c>
      <c r="I109" s="24">
        <v>5.0900220000000003E-2</v>
      </c>
      <c r="J109" s="24">
        <v>5.4792522999999996E-2</v>
      </c>
      <c r="K109" s="24">
        <v>5.4938197000000001E-2</v>
      </c>
      <c r="L109" s="24">
        <v>3.2921671999999999E-2</v>
      </c>
      <c r="M109" s="24">
        <v>2.2812486E-2</v>
      </c>
      <c r="N109" s="24">
        <v>7.3437214000000001E-2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45139</v>
      </c>
      <c r="B110" s="24">
        <v>-8.1670283999999999E-4</v>
      </c>
      <c r="C110" s="24">
        <v>1.5521050000000002E-2</v>
      </c>
      <c r="D110" s="24">
        <v>1.8005013E-2</v>
      </c>
      <c r="E110" s="24">
        <v>1.1550546E-2</v>
      </c>
      <c r="F110" s="24">
        <v>1.243937E-2</v>
      </c>
      <c r="G110" s="24">
        <v>2.1856785E-2</v>
      </c>
      <c r="H110" s="24">
        <v>2.0401835E-2</v>
      </c>
      <c r="I110" s="24">
        <v>3.619182E-2</v>
      </c>
      <c r="J110" s="24">
        <v>2.9778004E-2</v>
      </c>
      <c r="K110" s="24">
        <v>3.3739805000000001E-3</v>
      </c>
      <c r="L110" s="24">
        <v>2.6571155000000003E-2</v>
      </c>
      <c r="M110" s="24">
        <v>-1.6939044000000001E-3</v>
      </c>
      <c r="N110" s="24">
        <v>3.9271235000000002E-2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45170</v>
      </c>
      <c r="B111" s="24">
        <v>-7.0290145999999998E-2</v>
      </c>
      <c r="C111" s="24">
        <v>-2.8384268000000001E-2</v>
      </c>
      <c r="D111" s="24">
        <v>-1.9371091999999999E-2</v>
      </c>
      <c r="E111" s="24">
        <v>-4.4636670000000003E-2</v>
      </c>
      <c r="F111" s="24">
        <v>-1.0052620999999999E-2</v>
      </c>
      <c r="G111" s="24">
        <v>-2.7318953999999999E-2</v>
      </c>
      <c r="H111" s="24">
        <v>-2.8779089999999997E-2</v>
      </c>
      <c r="I111" s="24">
        <v>-1.3584495E-2</v>
      </c>
      <c r="J111" s="24">
        <v>-1.1588693000000001E-2</v>
      </c>
      <c r="K111" s="24">
        <v>-3.1815826999999998E-2</v>
      </c>
      <c r="L111" s="24">
        <v>-7.4724255000000003E-2</v>
      </c>
      <c r="M111" s="24">
        <v>-6.25E-2</v>
      </c>
      <c r="N111" s="24">
        <v>-3.7484943999999999E-2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45198</v>
      </c>
      <c r="B112" s="24">
        <v>-2.6593387000000003E-2</v>
      </c>
      <c r="C112" s="24">
        <v>-3.3258438000000001E-2</v>
      </c>
      <c r="D112" s="24">
        <v>-4.2084217E-2</v>
      </c>
      <c r="E112" s="24">
        <v>-5.1068425000000001E-2</v>
      </c>
      <c r="F112" s="24">
        <v>-2.8207599999999999E-2</v>
      </c>
      <c r="G112" s="24">
        <v>-5.1382539999999997E-2</v>
      </c>
      <c r="H112" s="24">
        <v>-1.3100505E-2</v>
      </c>
      <c r="I112" s="24">
        <v>-4.9795684999999999E-2</v>
      </c>
      <c r="J112" s="24">
        <v>-4.9166736999999995E-2</v>
      </c>
      <c r="K112" s="24">
        <v>-4.9158454000000004E-2</v>
      </c>
      <c r="L112" s="24">
        <v>-7.51642E-2</v>
      </c>
      <c r="M112" s="24">
        <v>-5.4298639999999995E-3</v>
      </c>
      <c r="N112" s="24">
        <v>-4.4597983000000001E-2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45231</v>
      </c>
      <c r="B113" s="24">
        <v>-4.0867032999999997E-2</v>
      </c>
      <c r="C113" s="24">
        <v>-1.8131076999999999E-2</v>
      </c>
      <c r="D113" s="24">
        <v>-4.154211E-2</v>
      </c>
      <c r="E113" s="24">
        <v>-3.2061099999999995E-2</v>
      </c>
      <c r="F113" s="24">
        <v>-5.3076744000000002E-3</v>
      </c>
      <c r="G113" s="24">
        <v>-2.5935291999999999E-2</v>
      </c>
      <c r="H113" s="24">
        <v>-3.1605542E-2</v>
      </c>
      <c r="I113" s="24">
        <v>-3.6564469999999997E-3</v>
      </c>
      <c r="J113" s="24">
        <v>-1.1275410999999999E-2</v>
      </c>
      <c r="K113" s="24">
        <v>-2.500701E-2</v>
      </c>
      <c r="L113" s="24">
        <v>-8.6796879999999996E-3</v>
      </c>
      <c r="M113" s="24">
        <v>-4.913563E-2</v>
      </c>
      <c r="N113" s="24">
        <v>-8.2182884000000008E-3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45261</v>
      </c>
      <c r="B114" s="24">
        <v>0.11134648</v>
      </c>
      <c r="C114" s="24">
        <v>8.5700749999999992E-2</v>
      </c>
      <c r="D114" s="24">
        <v>0.10664177000000001</v>
      </c>
      <c r="E114" s="24">
        <v>0.13288641000000001</v>
      </c>
      <c r="F114" s="24">
        <v>5.4026959999999999E-2</v>
      </c>
      <c r="G114" s="24">
        <v>7.9877495999999992E-2</v>
      </c>
      <c r="H114" s="24">
        <v>7.3107122999999996E-2</v>
      </c>
      <c r="I114" s="24">
        <v>9.2391380000000009E-2</v>
      </c>
      <c r="J114" s="24">
        <v>8.6215860000000005E-2</v>
      </c>
      <c r="K114" s="24">
        <v>8.7896230000000006E-2</v>
      </c>
      <c r="L114" s="24">
        <v>0.12655877999999998</v>
      </c>
      <c r="M114" s="24">
        <v>0.17352474000000001</v>
      </c>
      <c r="N114" s="24">
        <v>9.8773719999999995E-2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45289</v>
      </c>
      <c r="B115" s="24">
        <v>4.8595309999999996E-2</v>
      </c>
      <c r="C115" s="24">
        <v>8.3361740000000004E-2</v>
      </c>
      <c r="D115" s="24">
        <v>4.7612550000000003E-2</v>
      </c>
      <c r="E115" s="24">
        <v>3.3468722999999999E-2</v>
      </c>
      <c r="F115" s="24">
        <v>2.9015183000000003E-2</v>
      </c>
      <c r="G115" s="24">
        <v>5.3240179999999998E-2</v>
      </c>
      <c r="H115" s="24">
        <v>2.8310894999999999E-2</v>
      </c>
      <c r="I115" s="24">
        <v>5.2849890000000004E-2</v>
      </c>
      <c r="J115" s="24">
        <v>3.9512873000000004E-2</v>
      </c>
      <c r="K115" s="24">
        <v>4.4640539999999999E-2</v>
      </c>
      <c r="L115" s="24">
        <v>5.903721E-2</v>
      </c>
      <c r="M115" s="24">
        <v>9.9339010000000005E-2</v>
      </c>
      <c r="N115" s="24">
        <v>3.6442280000000001E-2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45323</v>
      </c>
      <c r="B116" s="24">
        <v>-3.2271326000000003E-2</v>
      </c>
      <c r="C116" s="24">
        <v>-2.4650812000000001E-2</v>
      </c>
      <c r="D116" s="24">
        <v>-2.1810531999999997E-3</v>
      </c>
      <c r="E116" s="24">
        <v>-6.3994526999999997E-3</v>
      </c>
      <c r="F116" s="24">
        <v>4.334271E-2</v>
      </c>
      <c r="G116" s="24">
        <v>-8.4939003000000009E-3</v>
      </c>
      <c r="H116" s="24">
        <v>-8.1694720000000005E-3</v>
      </c>
      <c r="I116" s="24">
        <v>3.0181765999999999E-2</v>
      </c>
      <c r="J116" s="24">
        <v>2.9223084E-2</v>
      </c>
      <c r="K116" s="24">
        <v>-5.6151150000000004E-3</v>
      </c>
      <c r="L116" s="24">
        <v>3.2713412999999997E-2</v>
      </c>
      <c r="M116" s="24">
        <v>-4.0030419999999997E-2</v>
      </c>
      <c r="N116" s="24">
        <v>-5.8948993999999994E-4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45352</v>
      </c>
      <c r="B117" s="24">
        <v>-2.8979359999999999E-2</v>
      </c>
      <c r="C117" s="24">
        <v>1.8955349999999999E-2</v>
      </c>
      <c r="D117" s="24">
        <v>1.3934492999999999E-2</v>
      </c>
      <c r="E117" s="24">
        <v>4.3389797000000001E-2</v>
      </c>
      <c r="F117" s="24">
        <v>5.0956370000000001E-2</v>
      </c>
      <c r="G117" s="24">
        <v>-1.6088604999999999E-2</v>
      </c>
      <c r="H117" s="24">
        <v>4.2709111999999997E-3</v>
      </c>
      <c r="I117" s="24">
        <v>5.6248189999999997E-2</v>
      </c>
      <c r="J117" s="24">
        <v>4.8344135000000003E-2</v>
      </c>
      <c r="K117" s="24">
        <v>3.2854319E-2</v>
      </c>
      <c r="L117" s="24">
        <v>4.8600554000000004E-2</v>
      </c>
      <c r="M117" s="24">
        <v>5.5423617000000001E-2</v>
      </c>
      <c r="N117" s="24">
        <v>5.8979629999999998E-2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45383</v>
      </c>
      <c r="B118" s="24">
        <v>-1.0972142000000001E-2</v>
      </c>
      <c r="C118" s="24">
        <v>1.6122340999999998E-2</v>
      </c>
      <c r="D118" s="24">
        <v>2.9911040999999999E-2</v>
      </c>
      <c r="E118" s="24">
        <v>3.0864120000000002E-2</v>
      </c>
      <c r="F118" s="24">
        <v>-7.1096419999999998E-4</v>
      </c>
      <c r="G118" s="24">
        <v>7.2202679999999993E-3</v>
      </c>
      <c r="H118" s="24">
        <v>3.5844445000000003E-2</v>
      </c>
      <c r="I118" s="24">
        <v>-1.7225741999999999E-4</v>
      </c>
      <c r="J118" s="24">
        <v>2.1338582000000002E-2</v>
      </c>
      <c r="K118" s="24">
        <v>2.8329968000000001E-2</v>
      </c>
      <c r="L118" s="24">
        <v>3.1657338E-2</v>
      </c>
      <c r="M118" s="24">
        <v>-5.7515499999999994E-3</v>
      </c>
      <c r="N118" s="24">
        <v>4.8454522999999999E-2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45413</v>
      </c>
      <c r="B119" s="24">
        <v>-2.2409558E-2</v>
      </c>
      <c r="C119" s="24">
        <v>-4.8413334000000002E-2</v>
      </c>
      <c r="D119" s="24">
        <v>-3.3490359999999997E-2</v>
      </c>
      <c r="E119" s="24">
        <v>-4.2231319999999996E-2</v>
      </c>
      <c r="F119" s="24">
        <v>-4.5105276E-2</v>
      </c>
      <c r="G119" s="24">
        <v>-4.5962452999999993E-2</v>
      </c>
      <c r="H119" s="24">
        <v>1.4369607E-2</v>
      </c>
      <c r="I119" s="24">
        <v>-5.2657660000000002E-2</v>
      </c>
      <c r="J119" s="24">
        <v>-4.1768729999999997E-2</v>
      </c>
      <c r="K119" s="24">
        <v>-3.6007761999999999E-2</v>
      </c>
      <c r="L119" s="24">
        <v>-4.5326950000000005E-2</v>
      </c>
      <c r="M119" s="24">
        <v>-3.0935584999999998E-2</v>
      </c>
      <c r="N119" s="24">
        <v>-3.0013323000000001E-2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45443</v>
      </c>
      <c r="B120" s="24">
        <v>5.8783530000000001E-2</v>
      </c>
      <c r="C120" s="24">
        <v>5.3869130000000001E-2</v>
      </c>
      <c r="D120" s="24">
        <v>3.5733580000000001E-2</v>
      </c>
      <c r="E120" s="24">
        <v>5.4952382999999994E-2</v>
      </c>
      <c r="F120" s="24">
        <v>2.7715683000000001E-2</v>
      </c>
      <c r="G120" s="24">
        <v>8.6408850000000009E-2</v>
      </c>
      <c r="H120" s="24">
        <v>5.0014495999999999E-2</v>
      </c>
      <c r="I120" s="24">
        <v>6.9249390000000008E-2</v>
      </c>
      <c r="J120" s="24">
        <v>5.4002166000000004E-2</v>
      </c>
      <c r="K120" s="24">
        <v>4.5374869999999998E-2</v>
      </c>
      <c r="L120" s="24">
        <v>7.5420139999999997E-2</v>
      </c>
      <c r="M120" s="24">
        <v>8.8243009999999997E-2</v>
      </c>
      <c r="N120" s="24">
        <v>6.3253044999999994E-2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45474</v>
      </c>
      <c r="B121" s="24">
        <v>-2.5386155000000001E-2</v>
      </c>
      <c r="C121" s="24">
        <v>6.6648719999999996E-3</v>
      </c>
      <c r="D121" s="24">
        <v>-2.5622904000000002E-2</v>
      </c>
      <c r="E121" s="24">
        <v>-1.6883314E-2</v>
      </c>
      <c r="F121" s="24">
        <v>-9.7631809999999992E-3</v>
      </c>
      <c r="G121" s="24">
        <v>-6.2185525999999998E-4</v>
      </c>
      <c r="H121" s="24">
        <v>-2.2524953E-2</v>
      </c>
      <c r="I121" s="24">
        <v>7.0964336000000003E-2</v>
      </c>
      <c r="J121" s="24">
        <v>3.7415384999999995E-2</v>
      </c>
      <c r="K121" s="24">
        <v>-6.0688853000000001E-2</v>
      </c>
      <c r="L121" s="24">
        <v>-3.3378004999999999E-3</v>
      </c>
      <c r="M121" s="24">
        <v>-2.2175669999999998E-2</v>
      </c>
      <c r="N121" s="24">
        <v>-3.7781596000000001E-2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45505</v>
      </c>
      <c r="B122" s="24">
        <v>1.5735865000000002E-2</v>
      </c>
      <c r="C122" s="24">
        <v>3.6976336999999999E-3</v>
      </c>
      <c r="D122" s="24">
        <v>3.0327559E-2</v>
      </c>
      <c r="E122" s="24">
        <v>-1.3328970000000001E-2</v>
      </c>
      <c r="F122" s="24">
        <v>-3.5403370000000002E-3</v>
      </c>
      <c r="G122" s="24">
        <v>4.1147112999999999E-2</v>
      </c>
      <c r="H122" s="24">
        <v>2.4124026E-2</v>
      </c>
      <c r="I122" s="24">
        <v>-4.6190259999999997E-2</v>
      </c>
      <c r="J122" s="24">
        <v>-4.2725800000000006E-3</v>
      </c>
      <c r="K122" s="24">
        <v>-2.1943570000000003E-2</v>
      </c>
      <c r="L122" s="24">
        <v>-5.1337957000000004E-2</v>
      </c>
      <c r="M122" s="24">
        <v>-2.6517987E-2</v>
      </c>
      <c r="N122" s="50">
        <v>-1.1245191000000002E-2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0.13902819</v>
      </c>
      <c r="C126" s="24" cm="1">
        <f t="array" ref="C126">MAX(_xlfn._xlws.FILTER(C1:C122, ISNUMBER(C1:C122)))</f>
        <v>0.17197776999999997</v>
      </c>
      <c r="D126" s="24" cm="1">
        <f t="array" ref="D126">MAX(_xlfn._xlws.FILTER(D1:D122, ISNUMBER(D1:D122)))</f>
        <v>0.15035892000000001</v>
      </c>
      <c r="E126" s="24" cm="1">
        <f t="array" ref="E126">MAX(_xlfn._xlws.FILTER(E1:E122, ISNUMBER(E1:E122)))</f>
        <v>0.18607306999999998</v>
      </c>
      <c r="F126" s="24" cm="1">
        <f t="array" ref="F126">MAX(_xlfn._xlws.FILTER(F1:F122, ISNUMBER(F1:F122)))</f>
        <v>0.12826228000000001</v>
      </c>
      <c r="G126" s="24" cm="1">
        <f t="array" ref="G126">MAX(_xlfn._xlws.FILTER(G1:G122, ISNUMBER(G1:G122)))</f>
        <v>0.11424171</v>
      </c>
      <c r="H126" s="24" cm="1">
        <f t="array" ref="H126">MAX(_xlfn._xlws.FILTER(H1:H122, ISNUMBER(H1:H122)))</f>
        <v>0.19515205000000002</v>
      </c>
      <c r="I126" s="24" cm="1">
        <f t="array" ref="I126">MAX(_xlfn._xlws.FILTER(I1:I122, ISNUMBER(I1:I122)))</f>
        <v>0.16691349999999999</v>
      </c>
      <c r="J126" s="24" cm="1">
        <f t="array" ref="J126">MAX(_xlfn._xlws.FILTER(J1:J122, ISNUMBER(J1:J122)))</f>
        <v>0.14885234999999999</v>
      </c>
      <c r="K126" s="24" cm="1">
        <f t="array" ref="K126">MAX(_xlfn._xlws.FILTER(K1:K122, ISNUMBER(K1:K122)))</f>
        <v>0.25121856999999997</v>
      </c>
      <c r="L126" s="24" cm="1">
        <f t="array" ref="L126">MAX(_xlfn._xlws.FILTER(L1:L122, ISNUMBER(L1:L122)))</f>
        <v>0.19593561000000001</v>
      </c>
      <c r="M126" s="24" cm="1">
        <f t="array" ref="M126">MAX(_xlfn._xlws.FILTER(M1:M122, ISNUMBER(M1:M122)))</f>
        <v>0.17821193999999999</v>
      </c>
      <c r="N126" s="24" cm="1">
        <f t="array" ref="N126">MAX(_xlfn._xlws.FILTER(N1:N122, ISNUMBER(N1:N122)))</f>
        <v>0.27444099999999999</v>
      </c>
    </row>
    <row r="127" spans="1:26" x14ac:dyDescent="0.35">
      <c r="A127" t="s">
        <v>85</v>
      </c>
      <c r="B127" s="24" cm="1">
        <f t="array" ref="B127">MIN(_xlfn._xlws.FILTER(B2:B122, ISNUMBER(B2:B122)))</f>
        <v>-0.15906942000000002</v>
      </c>
      <c r="C127" s="24" cm="1">
        <f t="array" ref="C127">MIN(_xlfn._xlws.FILTER(C2:C122, ISNUMBER(C2:C122)))</f>
        <v>-0.25397617</v>
      </c>
      <c r="D127" s="24" cm="1">
        <f t="array" ref="D127">MIN(_xlfn._xlws.FILTER(D2:D122, ISNUMBER(D2:D122)))</f>
        <v>-0.24646609999999999</v>
      </c>
      <c r="E127" s="24" cm="1">
        <f t="array" ref="E127">MIN(_xlfn._xlws.FILTER(E2:E122, ISNUMBER(E2:E122)))</f>
        <v>-0.22273074999999998</v>
      </c>
      <c r="F127" s="24" cm="1">
        <f t="array" ref="F127">MIN(_xlfn._xlws.FILTER(F2:F122, ISNUMBER(F2:F122)))</f>
        <v>-0.11178244</v>
      </c>
      <c r="G127" s="24" cm="1">
        <f t="array" ref="G127">MIN(_xlfn._xlws.FILTER(G2:G122, ISNUMBER(G2:G122)))</f>
        <v>-8.9229160000000002E-2</v>
      </c>
      <c r="H127" s="24" cm="1">
        <f t="array" ref="H127">MIN(_xlfn._xlws.FILTER(H2:H122, ISNUMBER(H2:H122)))</f>
        <v>-0.22423208</v>
      </c>
      <c r="I127" s="24" cm="1">
        <f t="array" ref="I127">MIN(_xlfn._xlws.FILTER(I2:I122, ISNUMBER(I2:I122)))</f>
        <v>-0.13430982999999999</v>
      </c>
      <c r="J127" s="24" cm="1">
        <f t="array" ref="J127">MIN(_xlfn._xlws.FILTER(J2:J122, ISNUMBER(J2:J122)))</f>
        <v>-0.16403793</v>
      </c>
      <c r="K127" s="24" cm="1">
        <f t="array" ref="K127">MIN(_xlfn._xlws.FILTER(K2:K122, ISNUMBER(K2:K122)))</f>
        <v>-0.23297612999999998</v>
      </c>
      <c r="L127" s="24" cm="1">
        <f t="array" ref="L127">MIN(_xlfn._xlws.FILTER(L2:L122, ISNUMBER(L2:L122)))</f>
        <v>-0.18331140000000001</v>
      </c>
      <c r="M127" s="24" cm="1">
        <f t="array" ref="M127">MIN(_xlfn._xlws.FILTER(M2:M122, ISNUMBER(M2:M122)))</f>
        <v>-0.20441078000000001</v>
      </c>
      <c r="N127" s="24" cm="1">
        <f t="array" ref="N127">MIN(_xlfn._xlws.FILTER(N2:N122, ISNUMBER(N2:N122)))</f>
        <v>-0.27055794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17</v>
      </c>
      <c r="C129">
        <f>COUNTIF(C2:C122, "&lt;"&amp;Assumption!$E$50)</f>
        <v>15</v>
      </c>
      <c r="D129">
        <f>COUNTIF(D2:D122, "&lt;"&amp;Assumption!$E$50)</f>
        <v>14</v>
      </c>
      <c r="E129">
        <f>COUNTIF(E2:E122, "&lt;"&amp;Assumption!$E$50)</f>
        <v>19</v>
      </c>
      <c r="F129">
        <f>COUNTIF(F2:F122, "&lt;"&amp;Assumption!$E$50)</f>
        <v>11</v>
      </c>
      <c r="G129">
        <f>COUNTIF(G2:G122, "&lt;"&amp;Assumption!$E$50)</f>
        <v>15</v>
      </c>
      <c r="H129">
        <f>COUNTIF(H2:H122, "&lt;"&amp;Assumption!$E$50)</f>
        <v>13</v>
      </c>
      <c r="I129">
        <f>COUNTIF(I2:I122, "&lt;"&amp;Assumption!$E$50)</f>
        <v>17</v>
      </c>
      <c r="J129">
        <f>COUNTIF(J2:J122, "&lt;"&amp;Assumption!$E$50)</f>
        <v>12</v>
      </c>
      <c r="K129">
        <f>COUNTIF(K2:K122, "&lt;"&amp;Assumption!$E$50)</f>
        <v>18</v>
      </c>
      <c r="L129">
        <f>COUNTIF(L2:L122, "&lt;"&amp;Assumption!$E$50)</f>
        <v>20</v>
      </c>
      <c r="M129">
        <f>COUNTIF(M2:M122, "&lt;"&amp;Assumption!$E$50)</f>
        <v>21</v>
      </c>
      <c r="N129">
        <f>COUNTIF(N2:N122, "&lt;"&amp;Assumption!$E$50)</f>
        <v>19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0.14049586776859505</v>
      </c>
      <c r="C132" s="9">
        <f t="shared" si="2"/>
        <v>0.12396694214876033</v>
      </c>
      <c r="D132" s="9">
        <f t="shared" si="2"/>
        <v>0.11570247933884298</v>
      </c>
      <c r="E132" s="9">
        <f t="shared" si="2"/>
        <v>0.15702479338842976</v>
      </c>
      <c r="F132" s="9">
        <f t="shared" si="2"/>
        <v>9.0909090909090912E-2</v>
      </c>
      <c r="G132" s="9">
        <f t="shared" si="2"/>
        <v>0.12396694214876033</v>
      </c>
      <c r="H132" s="9">
        <f t="shared" si="2"/>
        <v>0.10743801652892562</v>
      </c>
      <c r="I132" s="9">
        <f t="shared" si="2"/>
        <v>0.14049586776859505</v>
      </c>
      <c r="J132" s="9">
        <f t="shared" si="2"/>
        <v>9.9173553719008267E-2</v>
      </c>
      <c r="K132" s="9">
        <f t="shared" ref="K132:N132" si="3">K129/K130</f>
        <v>0.1487603305785124</v>
      </c>
      <c r="L132" s="9">
        <f t="shared" si="3"/>
        <v>0.16528925619834711</v>
      </c>
      <c r="M132" s="9">
        <f t="shared" si="3"/>
        <v>0.17355371900826447</v>
      </c>
      <c r="N132" s="9">
        <f t="shared" si="3"/>
        <v>0.15702479338842976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0.59</v>
      </c>
      <c r="C134" s="9" cm="1">
        <f t="array" ref="C134">_xlfn.PERCENTRANK.EXC(_xlfn._xlws.FILTER(C2:C122, ISNUMBER(C2:C122)),C122)</f>
        <v>0.45</v>
      </c>
      <c r="D134" s="9" cm="1">
        <f t="array" ref="D134">_xlfn.PERCENTRANK.EXC(_xlfn._xlws.FILTER(D2:D122, ISNUMBER(D2:D122)),D122)</f>
        <v>0.754</v>
      </c>
      <c r="E134" s="9" cm="1">
        <f t="array" ref="E134">_xlfn.PERCENTRANK.EXC(_xlfn._xlws.FILTER(E2:E122, ISNUMBER(E2:E122)),E122)</f>
        <v>0.36799999999999999</v>
      </c>
      <c r="F134" s="9" cm="1">
        <f t="array" ref="F134">_xlfn.PERCENTRANK.EXC(_xlfn._xlws.FILTER(F2:F122, ISNUMBER(F2:F122)),F122)</f>
        <v>0.39300000000000002</v>
      </c>
      <c r="G134" s="9" cm="1">
        <f t="array" ref="G134">_xlfn.PERCENTRANK.EXC(_xlfn._xlws.FILTER(G2:G122, ISNUMBER(G2:G122)),G122)</f>
        <v>0.76200000000000001</v>
      </c>
      <c r="H134" s="9" cm="1">
        <f t="array" ref="H134">_xlfn.PERCENTRANK.EXC(_xlfn._xlws.FILTER(H2:H122, ISNUMBER(H2:H122)),H122)</f>
        <v>0.66300000000000003</v>
      </c>
      <c r="I134" s="9" cm="1">
        <f t="array" ref="I134">_xlfn.PERCENTRANK.EXC(_xlfn._xlws.FILTER(I2:I122, ISNUMBER(I2:I122)),I122)</f>
        <v>0.155</v>
      </c>
      <c r="J134" s="9" cm="1">
        <f t="array" ref="J134">_xlfn.PERCENTRANK.EXC(_xlfn._xlws.FILTER(J2:J122, ISNUMBER(J2:J122)),J122)</f>
        <v>0.29499999999999998</v>
      </c>
      <c r="K134" s="9" cm="1">
        <f t="array" ref="K134">_xlfn.PERCENTRANK.EXC(_xlfn._xlws.FILTER(K2:K122, ISNUMBER(K2:K122)),K122)</f>
        <v>0.28599999999999998</v>
      </c>
      <c r="L134" s="9" cm="1">
        <f t="array" ref="L134">_xlfn.PERCENTRANK.EXC(_xlfn._xlws.FILTER(L2:L122, ISNUMBER(L2:L122)),L122)</f>
        <v>0.16300000000000001</v>
      </c>
      <c r="M134" s="9" cm="1">
        <f t="array" ref="M134">_xlfn.PERCENTRANK.EXC(_xlfn._xlws.FILTER(M2:M122, ISNUMBER(M2:M122)),M122)</f>
        <v>0.29499999999999998</v>
      </c>
      <c r="N134" s="9" cm="1">
        <f t="array" ref="N134">_xlfn.PERCENTRANK.EXC(_xlfn._xlws.FILTER(N2:N122, ISNUMBER(N2:N122)),N122)</f>
        <v>0.377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0.158</v>
      </c>
      <c r="C136" s="9" cm="1">
        <f t="array" ref="C136">_xlfn.PERCENTRANK.EXC(_xlfn._xlws.FILTER(C4:C125, ISNUMBER(C4:C125)),C113)</f>
        <v>0.28299999999999997</v>
      </c>
      <c r="D136" s="9" cm="1">
        <f t="array" ref="D136">_xlfn.PERCENTRANK.EXC(_xlfn._xlws.FILTER(D4:D125, ISNUMBER(D4:D125)),D113)</f>
        <v>0.16600000000000001</v>
      </c>
      <c r="E136" s="9" cm="1">
        <f t="array" ref="E136">_xlfn.PERCENTRANK.EXC(_xlfn._xlws.FILTER(E4:E125, ISNUMBER(E4:E125)),E113)</f>
        <v>0.26600000000000001</v>
      </c>
      <c r="F136" s="9" cm="1">
        <f t="array" ref="F136">_xlfn.PERCENTRANK.EXC(_xlfn._xlws.FILTER(F4:F125, ISNUMBER(F4:F125)),F113)</f>
        <v>0.36599999999999999</v>
      </c>
      <c r="G136" s="9" cm="1">
        <f t="array" ref="G136">_xlfn.PERCENTRANK.EXC(_xlfn._xlws.FILTER(G4:G125, ISNUMBER(G4:G125)),G113)</f>
        <v>0.24099999999999999</v>
      </c>
      <c r="H136" s="9" cm="1">
        <f t="array" ref="H136">_xlfn.PERCENTRANK.EXC(_xlfn._xlws.FILTER(H4:H125, ISNUMBER(H4:H125)),H113)</f>
        <v>0.216</v>
      </c>
      <c r="I136" s="9" cm="1">
        <f t="array" ref="I136">_xlfn.PERCENTRANK.EXC(_xlfn._xlws.FILTER(I4:I125, ISNUMBER(I4:I125)),I113)</f>
        <v>0.34100000000000003</v>
      </c>
      <c r="J136" s="9" cm="1">
        <f t="array" ref="J136">_xlfn.PERCENTRANK.EXC(_xlfn._xlws.FILTER(J4:J125, ISNUMBER(J4:J125)),J113)</f>
        <v>0.26600000000000001</v>
      </c>
      <c r="K136" s="9" cm="1">
        <f t="array" ref="K136">_xlfn.PERCENTRANK.EXC(_xlfn._xlws.FILTER(K4:K125, ISNUMBER(K4:K125)),K113)</f>
        <v>0.25800000000000001</v>
      </c>
      <c r="L136" s="9" cm="1">
        <f t="array" ref="L136">_xlfn.PERCENTRANK.EXC(_xlfn._xlws.FILTER(L4:L125, ISNUMBER(L4:L125)),L113)</f>
        <v>0.33300000000000002</v>
      </c>
      <c r="M136" s="9" cm="1">
        <f t="array" ref="M136">_xlfn.PERCENTRANK.EXC(_xlfn._xlws.FILTER(M4:M125, ISNUMBER(M4:M125)),M113)</f>
        <v>0.183</v>
      </c>
      <c r="N136" s="9" cm="1">
        <f t="array" ref="N136">_xlfn.PERCENTRANK.EXC(_xlfn._xlws.FILTER(N4:N125, ISNUMBER(N4:N125)),N113)</f>
        <v>0.40799999999999997</v>
      </c>
    </row>
    <row r="138" spans="1:17" x14ac:dyDescent="0.35">
      <c r="A138" t="s">
        <v>829</v>
      </c>
      <c r="B138">
        <f t="shared" ref="B138:J138" si="4">STDEV(B40:B122)</f>
        <v>5.3252758172865226E-2</v>
      </c>
      <c r="C138">
        <f t="shared" si="4"/>
        <v>6.2482633819594444E-2</v>
      </c>
      <c r="D138">
        <f t="shared" si="4"/>
        <v>5.8312760784197795E-2</v>
      </c>
      <c r="E138">
        <f t="shared" si="4"/>
        <v>6.7934244910902025E-2</v>
      </c>
      <c r="F138">
        <f t="shared" si="4"/>
        <v>4.7215845693604298E-2</v>
      </c>
      <c r="G138">
        <f t="shared" si="4"/>
        <v>4.6585651329356229E-2</v>
      </c>
      <c r="H138">
        <f t="shared" si="4"/>
        <v>5.4261939294861866E-2</v>
      </c>
      <c r="I138">
        <f t="shared" si="4"/>
        <v>6.2367255112611937E-2</v>
      </c>
      <c r="J138">
        <f t="shared" si="4"/>
        <v>5.1813383001627474E-2</v>
      </c>
      <c r="K138">
        <f t="shared" ref="K138:N138" si="5">STDEV(K40:K122)</f>
        <v>6.4853425364032283E-2</v>
      </c>
      <c r="L138">
        <f t="shared" si="5"/>
        <v>6.6911826964239335E-2</v>
      </c>
      <c r="M138">
        <f t="shared" si="5"/>
        <v>7.22395408275818E-2</v>
      </c>
      <c r="N138">
        <f t="shared" si="5"/>
        <v>7.1579422113288008E-2</v>
      </c>
    </row>
    <row r="139" spans="1:17" x14ac:dyDescent="0.35">
      <c r="A139" t="s">
        <v>830</v>
      </c>
      <c r="B139" s="74">
        <f t="shared" ref="B139:J139" si="6">B138*SQRT(12)</f>
        <v>0.18447296559716267</v>
      </c>
      <c r="C139" s="74">
        <f t="shared" si="6"/>
        <v>0.216446192732518</v>
      </c>
      <c r="D139" s="74">
        <f t="shared" si="6"/>
        <v>0.20200132881568109</v>
      </c>
      <c r="E139" s="74">
        <f t="shared" si="6"/>
        <v>0.23533112751901947</v>
      </c>
      <c r="F139" s="74">
        <f t="shared" si="6"/>
        <v>0.16356048732730963</v>
      </c>
      <c r="G139" s="74">
        <f t="shared" si="6"/>
        <v>0.16137743001226718</v>
      </c>
      <c r="H139" s="74">
        <f t="shared" si="6"/>
        <v>0.18796887155183778</v>
      </c>
      <c r="I139" s="74">
        <f t="shared" si="6"/>
        <v>0.21604650916730739</v>
      </c>
      <c r="J139" s="74">
        <f t="shared" si="6"/>
        <v>0.17948682374168881</v>
      </c>
      <c r="K139" s="74">
        <f t="shared" ref="K139:N139" si="7">K138*SQRT(12)</f>
        <v>0.22465885555076004</v>
      </c>
      <c r="L139" s="74">
        <f t="shared" si="7"/>
        <v>0.23178936785863943</v>
      </c>
      <c r="M139" s="74">
        <f t="shared" si="7"/>
        <v>0.25024511005763589</v>
      </c>
      <c r="N139" s="74">
        <f t="shared" si="7"/>
        <v>0.24795839175326809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41852</v>
      </c>
      <c r="B2" s="7" cm="1">
        <f t="array" ref="B2:B122">_xll.FDS(B1,"P_PRICE_RETURNS_PR('52W',2,-10AY,0,AM)")</f>
        <v>20.219470000000001</v>
      </c>
      <c r="C2" s="7" cm="1">
        <f t="array" ref="C2:C122">_xll.FDS(C1,"P_PRICE_RETURNS_PR('52W',2,-10AY,0,AM)")</f>
        <v>18.218934999999998</v>
      </c>
      <c r="D2" s="7" cm="1">
        <f t="array" ref="D2:D122">_xll.FDS(D1,"P_PRICE_RETURNS_PR('52W',2,-10AY,0,AM)")</f>
        <v>17.422854999999998</v>
      </c>
      <c r="E2" s="7" cm="1">
        <f t="array" ref="E2:E122">_xll.FDS(E1,"P_PRICE_RETURNS_PR('52W',2,-10AY,0,AM)")</f>
        <v>9.5444200000000006</v>
      </c>
      <c r="F2" s="7" cm="1">
        <f t="array" ref="F2:F122">_xll.FDS(F1,"P_PRICE_RETURNS_PR('52W',2,-10AY,0,AM)")</f>
        <v>5.4751276999999998</v>
      </c>
      <c r="G2" s="7" cm="1">
        <f t="array" ref="G2:G122">_xll.FDS(G1,"P_PRICE_RETURNS_PR('52W',2,-10AY,0,AM)")</f>
        <v>11.044205</v>
      </c>
      <c r="H2" s="7" cm="1">
        <f t="array" ref="H2:H122">_xll.FDS(H1,"P_PRICE_RETURNS_PR('52W',2,-10AY,0,AM)")</f>
        <v>13.33127</v>
      </c>
      <c r="I2" s="7" cm="1">
        <f t="array" ref="I2:I122">_xll.FDS(I1,"P_PRICE_RETURNS_PR('52W',2,-10AY,0,AM)")</f>
        <v>25.588965999999999</v>
      </c>
      <c r="J2" s="7" cm="1">
        <f t="array" ref="J2:J122">_xll.FDS(J1,"P_PRICE_RETURNS_PR('52W',2,-10AY,0,AM)")</f>
        <v>15.014923</v>
      </c>
      <c r="K2" s="158" cm="1">
        <f t="array" ref="K2:K122">_xll.FDS(K1,"P_PRICE_RETURNS_PR('52W',2,-10AY,0,AM)")</f>
        <v>7.8836560000000002</v>
      </c>
      <c r="L2" s="158" cm="1">
        <f t="array" ref="L2:L122">_xll.FDS(L1,"P_PRICE_RETURNS_PR('52W',2,-10AY,0,AM)")</f>
        <v>5.7920813999999998</v>
      </c>
      <c r="M2" s="158" cm="1">
        <f t="array" ref="M2:M122">_xll.FDS(M1,"P_PRICE_RETURNS_PR('52W',2,-10AY,0,AM)")</f>
        <v>6.2291026</v>
      </c>
      <c r="N2" s="158" cm="1">
        <f t="array" ref="N2:N122">_xll.FDS(N1,"P_PRICE_RETURNS_PR('52W',2,-10AY,0,AM)")</f>
        <v>24.618625999999999</v>
      </c>
    </row>
    <row r="3" spans="1:14" x14ac:dyDescent="0.35">
      <c r="A3" s="2">
        <v>41880</v>
      </c>
      <c r="B3" s="40">
        <v>25.006830000000001</v>
      </c>
      <c r="C3" s="40">
        <v>20.751774000000001</v>
      </c>
      <c r="D3" s="40">
        <v>22.249817</v>
      </c>
      <c r="E3" s="40">
        <v>13.956749</v>
      </c>
      <c r="F3" s="40">
        <v>7.9221605999999998</v>
      </c>
      <c r="G3" s="40">
        <v>16.857576000000002</v>
      </c>
      <c r="H3" s="40">
        <v>15.797376999999999</v>
      </c>
      <c r="I3" s="40">
        <v>33.378599999999999</v>
      </c>
      <c r="J3" s="40">
        <v>24.660957</v>
      </c>
      <c r="K3" s="47">
        <v>11.927187</v>
      </c>
      <c r="L3" s="47">
        <v>10.342561999999999</v>
      </c>
      <c r="M3" s="47">
        <v>8.6934930000000001</v>
      </c>
      <c r="N3" s="47">
        <v>23.475147</v>
      </c>
    </row>
    <row r="4" spans="1:14" x14ac:dyDescent="0.35">
      <c r="A4" s="2">
        <v>41913</v>
      </c>
      <c r="B4" s="40">
        <v>3.1134366999999998</v>
      </c>
      <c r="C4" s="40">
        <v>-2.0057857000000001</v>
      </c>
      <c r="D4" s="40">
        <v>9.3788739999999997</v>
      </c>
      <c r="E4" s="40">
        <v>-0.77521205000000004</v>
      </c>
      <c r="F4" s="40">
        <v>-1.0494888</v>
      </c>
      <c r="G4" s="40">
        <v>4.7384620000000002</v>
      </c>
      <c r="H4" s="40">
        <v>3.6668181</v>
      </c>
      <c r="I4" s="40">
        <v>23.798645</v>
      </c>
      <c r="J4" s="40">
        <v>16.99878</v>
      </c>
      <c r="K4" s="47">
        <v>-1.1442482</v>
      </c>
      <c r="L4" s="47">
        <v>1.2026547999999999</v>
      </c>
      <c r="M4" s="47">
        <v>-3.0713737000000001</v>
      </c>
      <c r="N4" s="47">
        <v>9.1065880000000003</v>
      </c>
    </row>
    <row r="5" spans="1:14" x14ac:dyDescent="0.35">
      <c r="A5" s="2">
        <v>41943</v>
      </c>
      <c r="B5" s="40">
        <v>5.0650715999999996</v>
      </c>
      <c r="C5" s="40">
        <v>-0.71719885000000005</v>
      </c>
      <c r="D5" s="40">
        <v>4.0884495000000003</v>
      </c>
      <c r="E5" s="40">
        <v>-5.3193330000000003</v>
      </c>
      <c r="F5" s="40">
        <v>2.7491211999999998</v>
      </c>
      <c r="G5" s="40">
        <v>2.8222559999999999</v>
      </c>
      <c r="H5" s="40">
        <v>-0.83319544999999995</v>
      </c>
      <c r="I5" s="40">
        <v>24.283767999999998</v>
      </c>
      <c r="J5" s="40">
        <v>16.945076</v>
      </c>
      <c r="K5" s="47">
        <v>-6.0716390000000002</v>
      </c>
      <c r="L5" s="47">
        <v>-2.9666722000000001</v>
      </c>
      <c r="M5" s="47">
        <v>-0.30854344</v>
      </c>
      <c r="N5" s="47">
        <v>-2.9256641999999999</v>
      </c>
    </row>
    <row r="6" spans="1:14" x14ac:dyDescent="0.35">
      <c r="A6" s="2">
        <v>41974</v>
      </c>
      <c r="B6" s="40">
        <v>10.840977000000001</v>
      </c>
      <c r="C6" s="40">
        <v>-4.4161796999999998</v>
      </c>
      <c r="D6" s="40">
        <v>4.7733544999999999</v>
      </c>
      <c r="E6" s="40">
        <v>-3.8394332000000002</v>
      </c>
      <c r="F6" s="40">
        <v>-1.767379</v>
      </c>
      <c r="G6" s="40">
        <v>5.2771090000000003</v>
      </c>
      <c r="H6" s="40">
        <v>-1.4515340000000001</v>
      </c>
      <c r="I6" s="40">
        <v>24.057829000000002</v>
      </c>
      <c r="J6" s="40">
        <v>15.888059999999999</v>
      </c>
      <c r="K6" s="47">
        <v>-3.2887400000000002</v>
      </c>
      <c r="L6" s="47">
        <v>0.80422163000000002</v>
      </c>
      <c r="M6" s="47">
        <v>0.67806244000000004</v>
      </c>
      <c r="N6" s="47">
        <v>-1.9028187000000001</v>
      </c>
    </row>
    <row r="7" spans="1:14" x14ac:dyDescent="0.35">
      <c r="A7" s="2">
        <v>42004</v>
      </c>
      <c r="B7" s="40">
        <v>12.599717999999999</v>
      </c>
      <c r="C7" s="40">
        <v>-4.6569529999999997</v>
      </c>
      <c r="D7" s="40">
        <v>1.0822176999999999</v>
      </c>
      <c r="E7" s="40">
        <v>-11.955476000000001</v>
      </c>
      <c r="F7" s="40">
        <v>-6.2235300000000002</v>
      </c>
      <c r="G7" s="40">
        <v>-1.7329991</v>
      </c>
      <c r="H7" s="40">
        <v>-7.6141833999999999</v>
      </c>
      <c r="I7" s="40">
        <v>19.179333</v>
      </c>
      <c r="J7" s="40">
        <v>13.462114</v>
      </c>
      <c r="K7" s="47">
        <v>-10.757172000000001</v>
      </c>
      <c r="L7" s="47">
        <v>-5.7940125</v>
      </c>
      <c r="M7" s="47">
        <v>-8.4119379999999992</v>
      </c>
      <c r="N7" s="47">
        <v>-10.927879000000001</v>
      </c>
    </row>
    <row r="8" spans="1:14" x14ac:dyDescent="0.35">
      <c r="A8" s="2">
        <v>42034</v>
      </c>
      <c r="B8" s="40">
        <v>6.8862914999999996</v>
      </c>
      <c r="C8" s="40">
        <v>-1.3607144</v>
      </c>
      <c r="D8" s="40">
        <v>-3.384763</v>
      </c>
      <c r="E8" s="40">
        <v>-5.8379354000000001</v>
      </c>
      <c r="F8" s="40">
        <v>1.475811E-2</v>
      </c>
      <c r="G8" s="40">
        <v>0.52510500000000004</v>
      </c>
      <c r="H8" s="40">
        <v>-4.1665372999999999</v>
      </c>
      <c r="I8" s="40">
        <v>18.667316</v>
      </c>
      <c r="J8" s="40">
        <v>13.454378</v>
      </c>
      <c r="K8" s="47">
        <v>-5.9693040000000002</v>
      </c>
      <c r="L8" s="47">
        <v>-0.9115875</v>
      </c>
      <c r="M8" s="47">
        <v>-2.5402545999999999</v>
      </c>
      <c r="N8" s="47">
        <v>-10.893326999999999</v>
      </c>
    </row>
    <row r="9" spans="1:14" x14ac:dyDescent="0.35">
      <c r="A9" s="2">
        <v>42062</v>
      </c>
      <c r="B9" s="40">
        <v>8.312106</v>
      </c>
      <c r="C9" s="40">
        <v>-0.88799596000000003</v>
      </c>
      <c r="D9" s="40">
        <v>-1.3864278999999999</v>
      </c>
      <c r="E9" s="40">
        <v>-3.5980344</v>
      </c>
      <c r="F9" s="40">
        <v>8.2917690000000004</v>
      </c>
      <c r="G9" s="40">
        <v>0.13437271000000001</v>
      </c>
      <c r="H9" s="40">
        <v>-3.8355708000000002</v>
      </c>
      <c r="I9" s="40">
        <v>21.192778000000001</v>
      </c>
      <c r="J9" s="40">
        <v>15.581284999999999</v>
      </c>
      <c r="K9" s="47">
        <v>-5.8140219999999996</v>
      </c>
      <c r="L9" s="47">
        <v>2.1462916999999999</v>
      </c>
      <c r="M9" s="47">
        <v>-0.61775446000000001</v>
      </c>
      <c r="N9" s="47">
        <v>-7.9752026000000003</v>
      </c>
    </row>
    <row r="10" spans="1:14" x14ac:dyDescent="0.35">
      <c r="A10" s="2">
        <v>42095</v>
      </c>
      <c r="B10" s="40">
        <v>-1.4410316999999999</v>
      </c>
      <c r="C10" s="40">
        <v>-7.3352456000000004</v>
      </c>
      <c r="D10" s="40">
        <v>-6.1202050000000003</v>
      </c>
      <c r="E10" s="40">
        <v>-2.7637540999999999</v>
      </c>
      <c r="F10" s="40">
        <v>12.153506</v>
      </c>
      <c r="G10" s="40">
        <v>-0.39936304</v>
      </c>
      <c r="H10" s="40">
        <v>-6.1125517</v>
      </c>
      <c r="I10" s="40">
        <v>19.063245999999999</v>
      </c>
      <c r="J10" s="40">
        <v>11.402547999999999</v>
      </c>
      <c r="K10" s="47">
        <v>-8.2811409999999999</v>
      </c>
      <c r="L10" s="47">
        <v>-1.3454794999999999</v>
      </c>
      <c r="M10" s="47">
        <v>-6.5477667000000004</v>
      </c>
      <c r="N10" s="47">
        <v>-14.779461</v>
      </c>
    </row>
    <row r="11" spans="1:14" x14ac:dyDescent="0.35">
      <c r="A11" s="2">
        <v>42125</v>
      </c>
      <c r="B11" s="40">
        <v>-1.970154</v>
      </c>
      <c r="C11" s="40">
        <v>-6.2319813000000002</v>
      </c>
      <c r="D11" s="40">
        <v>-2.3891567999999999</v>
      </c>
      <c r="E11" s="40">
        <v>-3.5145341999999999</v>
      </c>
      <c r="F11" s="40">
        <v>17.524564999999999</v>
      </c>
      <c r="G11" s="40">
        <v>2.2106528000000001</v>
      </c>
      <c r="H11" s="40">
        <v>-4.7111691999999996</v>
      </c>
      <c r="I11" s="40">
        <v>25.796616</v>
      </c>
      <c r="J11" s="40">
        <v>14.075815</v>
      </c>
      <c r="K11" s="47">
        <v>-5.8624687</v>
      </c>
      <c r="L11" s="47">
        <v>4.7880289999999999</v>
      </c>
      <c r="M11" s="47">
        <v>-3.8370072999999998</v>
      </c>
      <c r="N11" s="47">
        <v>-12.173438000000001</v>
      </c>
    </row>
    <row r="12" spans="1:14" x14ac:dyDescent="0.35">
      <c r="A12" s="2">
        <v>42156</v>
      </c>
      <c r="B12" s="40">
        <v>-5.7720422999999998</v>
      </c>
      <c r="C12" s="40">
        <v>-11.729252000000001</v>
      </c>
      <c r="D12" s="40">
        <v>-7.8807235000000002</v>
      </c>
      <c r="E12" s="40">
        <v>-7.8860580000000002</v>
      </c>
      <c r="F12" s="40">
        <v>14.658058</v>
      </c>
      <c r="G12" s="40">
        <v>2.0950674999999999</v>
      </c>
      <c r="H12" s="40">
        <v>-5.8120609999999999</v>
      </c>
      <c r="I12" s="40">
        <v>22.271324</v>
      </c>
      <c r="J12" s="40">
        <v>11.947214000000001</v>
      </c>
      <c r="K12" s="47">
        <v>-8.4251819999999995</v>
      </c>
      <c r="L12" s="47">
        <v>3.9996982000000001</v>
      </c>
      <c r="M12" s="47">
        <v>-5.0933419999999998</v>
      </c>
      <c r="N12" s="47">
        <v>-10.484468</v>
      </c>
    </row>
    <row r="13" spans="1:14" x14ac:dyDescent="0.35">
      <c r="A13" s="2">
        <v>42186</v>
      </c>
      <c r="B13" s="40">
        <v>-13.286906</v>
      </c>
      <c r="C13" s="40">
        <v>-14.351278000000001</v>
      </c>
      <c r="D13" s="40">
        <v>-16.175276</v>
      </c>
      <c r="E13" s="40">
        <v>-9.0075970000000005</v>
      </c>
      <c r="F13" s="40">
        <v>6.4602374999999999</v>
      </c>
      <c r="G13" s="40">
        <v>-2.5563359999999999</v>
      </c>
      <c r="H13" s="40">
        <v>-9.9102549999999994</v>
      </c>
      <c r="I13" s="40">
        <v>14.891159</v>
      </c>
      <c r="J13" s="40">
        <v>7.3809505</v>
      </c>
      <c r="K13" s="47">
        <v>-9.2710080000000001</v>
      </c>
      <c r="L13" s="47">
        <v>2.4312258</v>
      </c>
      <c r="M13" s="47">
        <v>-5.6149483</v>
      </c>
      <c r="N13" s="47">
        <v>-12.244194999999999</v>
      </c>
    </row>
    <row r="14" spans="1:14" x14ac:dyDescent="0.35">
      <c r="A14" s="2">
        <v>42216</v>
      </c>
      <c r="B14" s="40">
        <v>-9.4453700000000005</v>
      </c>
      <c r="C14" s="40">
        <v>-16.798670000000001</v>
      </c>
      <c r="D14" s="40">
        <v>-18.836344</v>
      </c>
      <c r="E14" s="40">
        <v>-1.1263966999999999</v>
      </c>
      <c r="F14" s="40">
        <v>8.9309100000000008</v>
      </c>
      <c r="G14" s="40">
        <v>6.4464689999999996</v>
      </c>
      <c r="H14" s="40">
        <v>-5.5421950000000004</v>
      </c>
      <c r="I14" s="40">
        <v>19.081151999999999</v>
      </c>
      <c r="J14" s="40">
        <v>11.156249000000001</v>
      </c>
      <c r="K14" s="47">
        <v>0.89969635000000003</v>
      </c>
      <c r="L14" s="47">
        <v>11.588025</v>
      </c>
      <c r="M14" s="47">
        <v>-2.0496547000000001</v>
      </c>
      <c r="N14" s="47">
        <v>-2.9241025</v>
      </c>
    </row>
    <row r="15" spans="1:14" x14ac:dyDescent="0.35">
      <c r="A15" s="2">
        <v>42248</v>
      </c>
      <c r="B15" s="40">
        <v>-17.937045999999999</v>
      </c>
      <c r="C15" s="40">
        <v>-30.731922000000001</v>
      </c>
      <c r="D15" s="40">
        <v>-26.938766000000001</v>
      </c>
      <c r="E15" s="40">
        <v>-9.5919310000000007</v>
      </c>
      <c r="F15" s="40">
        <v>-0.87455510000000003</v>
      </c>
      <c r="G15" s="40">
        <v>-5.3752303000000001</v>
      </c>
      <c r="H15" s="40">
        <v>-16.994864</v>
      </c>
      <c r="I15" s="40">
        <v>2.3591757000000002</v>
      </c>
      <c r="J15" s="40">
        <v>-2.5788665000000002</v>
      </c>
      <c r="K15" s="47">
        <v>-9.1268060000000002</v>
      </c>
      <c r="L15" s="47">
        <v>-1.6124666000000001</v>
      </c>
      <c r="M15" s="47">
        <v>-9.1218649999999997</v>
      </c>
      <c r="N15" s="47">
        <v>-7.476324</v>
      </c>
    </row>
    <row r="16" spans="1:14" x14ac:dyDescent="0.35">
      <c r="A16" s="2">
        <v>42278</v>
      </c>
      <c r="B16" s="40">
        <v>-12.204039</v>
      </c>
      <c r="C16" s="40">
        <v>-20.311451000000002</v>
      </c>
      <c r="D16" s="40">
        <v>-22.833776</v>
      </c>
      <c r="E16" s="40">
        <v>-8.7876139999999996</v>
      </c>
      <c r="F16" s="40">
        <v>0.48485993999999999</v>
      </c>
      <c r="G16" s="40">
        <v>-2.7008057000000001</v>
      </c>
      <c r="H16" s="40">
        <v>-10.807287000000001</v>
      </c>
      <c r="I16" s="40">
        <v>6.2912939999999997</v>
      </c>
      <c r="J16" s="40">
        <v>0.85904599999999998</v>
      </c>
      <c r="K16" s="47">
        <v>-5.8924969999999997</v>
      </c>
      <c r="L16" s="47">
        <v>-0.90333222999999996</v>
      </c>
      <c r="M16" s="47">
        <v>-7.4751672999999998</v>
      </c>
      <c r="N16" s="47">
        <v>-5.5405139999999999</v>
      </c>
    </row>
    <row r="17" spans="1:14" x14ac:dyDescent="0.35">
      <c r="A17" s="2">
        <v>42307</v>
      </c>
      <c r="B17" s="40">
        <v>-3.9097548</v>
      </c>
      <c r="C17" s="40">
        <v>-20.916193</v>
      </c>
      <c r="D17" s="40">
        <v>-18.298362999999998</v>
      </c>
      <c r="E17" s="40">
        <v>2.7588724999999998</v>
      </c>
      <c r="F17" s="40">
        <v>8.3988080000000007</v>
      </c>
      <c r="G17" s="40">
        <v>0.89576244000000005</v>
      </c>
      <c r="H17" s="40">
        <v>-3.4619868</v>
      </c>
      <c r="I17" s="40">
        <v>14.533042999999999</v>
      </c>
      <c r="J17" s="40">
        <v>6.3995600000000001</v>
      </c>
      <c r="K17" s="47">
        <v>4.9971940000000004</v>
      </c>
      <c r="L17" s="47">
        <v>8.1884619999999995</v>
      </c>
      <c r="M17" s="47">
        <v>-3.794384</v>
      </c>
      <c r="N17" s="47">
        <v>4.2284369999999996</v>
      </c>
    </row>
    <row r="18" spans="1:14" x14ac:dyDescent="0.35">
      <c r="A18" s="2">
        <v>42339</v>
      </c>
      <c r="B18" s="40">
        <v>-3.9559722000000002</v>
      </c>
      <c r="C18" s="40">
        <v>-10.828882</v>
      </c>
      <c r="D18" s="40">
        <v>-19.215661999999998</v>
      </c>
      <c r="E18" s="40">
        <v>-3.7193893999999998</v>
      </c>
      <c r="F18" s="40">
        <v>8.7993380000000005</v>
      </c>
      <c r="G18" s="40">
        <v>-4.2382</v>
      </c>
      <c r="H18" s="40">
        <v>-5.3839563999999998</v>
      </c>
      <c r="I18" s="40">
        <v>11.063599999999999</v>
      </c>
      <c r="J18" s="40">
        <v>4.4639825999999996</v>
      </c>
      <c r="K18" s="47">
        <v>-1.5335620000000001</v>
      </c>
      <c r="L18" s="47">
        <v>0.95391272999999999</v>
      </c>
      <c r="M18" s="47">
        <v>-5.1984490000000001</v>
      </c>
      <c r="N18" s="47">
        <v>0.27846098000000002</v>
      </c>
    </row>
    <row r="19" spans="1:14" x14ac:dyDescent="0.35">
      <c r="A19" s="2">
        <v>42369</v>
      </c>
      <c r="B19" s="40">
        <v>-1.9886672000000001</v>
      </c>
      <c r="C19" s="40">
        <v>-9.9603710000000003</v>
      </c>
      <c r="D19" s="40">
        <v>-23.909348000000001</v>
      </c>
      <c r="E19" s="40">
        <v>-2.79271</v>
      </c>
      <c r="F19" s="40">
        <v>9.1621640000000006</v>
      </c>
      <c r="G19" s="40">
        <v>0.28828382000000002</v>
      </c>
      <c r="H19" s="40">
        <v>-7.0310116000000003</v>
      </c>
      <c r="I19" s="40">
        <v>9.4464539999999992</v>
      </c>
      <c r="J19" s="40">
        <v>1.2520194</v>
      </c>
      <c r="K19" s="47">
        <v>0.23943186</v>
      </c>
      <c r="L19" s="47">
        <v>1.5233635999999999</v>
      </c>
      <c r="M19" s="47">
        <v>-4.5358840000000002</v>
      </c>
      <c r="N19" s="47">
        <v>3.1199813000000001</v>
      </c>
    </row>
    <row r="20" spans="1:14" x14ac:dyDescent="0.35">
      <c r="A20" s="2">
        <v>42401</v>
      </c>
      <c r="B20" s="40">
        <v>-4.0211142999999998</v>
      </c>
      <c r="C20" s="40">
        <v>-15.129435000000001</v>
      </c>
      <c r="D20" s="40">
        <v>-19.610410000000002</v>
      </c>
      <c r="E20" s="40">
        <v>-11.829269</v>
      </c>
      <c r="F20" s="40">
        <v>0.70754289999999997</v>
      </c>
      <c r="G20" s="40">
        <v>-6.0929180000000001</v>
      </c>
      <c r="H20" s="40">
        <v>-11.457836</v>
      </c>
      <c r="I20" s="40">
        <v>4.3296932999999997</v>
      </c>
      <c r="J20" s="40">
        <v>-0.88708399999999998</v>
      </c>
      <c r="K20" s="47">
        <v>-4.7701359999999999</v>
      </c>
      <c r="L20" s="47">
        <v>-0.70345999999999997</v>
      </c>
      <c r="M20" s="47">
        <v>-13.189631</v>
      </c>
      <c r="N20" s="47">
        <v>-10.438127</v>
      </c>
    </row>
    <row r="21" spans="1:14" x14ac:dyDescent="0.35">
      <c r="A21" s="2">
        <v>42430</v>
      </c>
      <c r="B21" s="40">
        <v>-5.8676839999999997</v>
      </c>
      <c r="C21" s="40">
        <v>-20.681540999999999</v>
      </c>
      <c r="D21" s="40">
        <v>-19.404686000000002</v>
      </c>
      <c r="E21" s="40">
        <v>-16.967428000000002</v>
      </c>
      <c r="F21" s="40">
        <v>-8.5185530000000007</v>
      </c>
      <c r="G21" s="40">
        <v>-10.794269999999999</v>
      </c>
      <c r="H21" s="40">
        <v>-17.024194999999999</v>
      </c>
      <c r="I21" s="40">
        <v>-1.4101267</v>
      </c>
      <c r="J21" s="40">
        <v>-4.000032</v>
      </c>
      <c r="K21" s="47">
        <v>-10.340184000000001</v>
      </c>
      <c r="L21" s="47">
        <v>-6.3549756999999998</v>
      </c>
      <c r="M21" s="47">
        <v>-16.413461999999999</v>
      </c>
      <c r="N21" s="47">
        <v>-19.881111000000001</v>
      </c>
    </row>
    <row r="22" spans="1:14" x14ac:dyDescent="0.35">
      <c r="A22" s="2">
        <v>42461</v>
      </c>
      <c r="B22" s="40">
        <v>6.6857575999999996</v>
      </c>
      <c r="C22" s="40">
        <v>-11.727207999999999</v>
      </c>
      <c r="D22" s="40">
        <v>-11.667085</v>
      </c>
      <c r="E22" s="40">
        <v>-13.744555999999999</v>
      </c>
      <c r="F22" s="40">
        <v>-10.432518</v>
      </c>
      <c r="G22" s="40">
        <v>-9.8921240000000008</v>
      </c>
      <c r="H22" s="40">
        <v>-11.038107</v>
      </c>
      <c r="I22" s="40">
        <v>6.2000275</v>
      </c>
      <c r="J22" s="40">
        <v>2.7596354000000001</v>
      </c>
      <c r="K22" s="47">
        <v>-6.8390250000000004</v>
      </c>
      <c r="L22" s="47">
        <v>-1.9242287</v>
      </c>
      <c r="M22" s="47">
        <v>-8.6829660000000004</v>
      </c>
      <c r="N22" s="47">
        <v>-18.017745999999999</v>
      </c>
    </row>
    <row r="23" spans="1:14" x14ac:dyDescent="0.35">
      <c r="A23" s="2">
        <v>42489</v>
      </c>
      <c r="B23" s="40">
        <v>7.6375127000000003</v>
      </c>
      <c r="C23" s="40">
        <v>-11.872995</v>
      </c>
      <c r="D23" s="40">
        <v>-12.176168000000001</v>
      </c>
      <c r="E23" s="40">
        <v>-9.9385379999999994</v>
      </c>
      <c r="F23" s="40">
        <v>-12.41535</v>
      </c>
      <c r="G23" s="40">
        <v>-9.4188209999999994</v>
      </c>
      <c r="H23" s="40">
        <v>-12.776184000000001</v>
      </c>
      <c r="I23" s="40">
        <v>-2.2656261999999998</v>
      </c>
      <c r="J23" s="40">
        <v>9.7203255000000002E-2</v>
      </c>
      <c r="K23" s="47">
        <v>-6.7202687000000001</v>
      </c>
      <c r="L23" s="47">
        <v>-3.7667215000000001</v>
      </c>
      <c r="M23" s="47">
        <v>-8.6839790000000008</v>
      </c>
      <c r="N23" s="47">
        <v>-14.819402</v>
      </c>
    </row>
    <row r="24" spans="1:14" x14ac:dyDescent="0.35">
      <c r="A24" s="2">
        <v>42522</v>
      </c>
      <c r="B24" s="40">
        <v>16.272713</v>
      </c>
      <c r="C24" s="40">
        <v>-8.6003959999999999</v>
      </c>
      <c r="D24" s="40">
        <v>-9.4807860000000002</v>
      </c>
      <c r="E24" s="40">
        <v>-8.9919989999999999</v>
      </c>
      <c r="F24" s="40">
        <v>-9.0341450000000005</v>
      </c>
      <c r="G24" s="40">
        <v>-10.733848999999999</v>
      </c>
      <c r="H24" s="40">
        <v>-12.974017999999999</v>
      </c>
      <c r="I24" s="40">
        <v>1.0260940000000001</v>
      </c>
      <c r="J24" s="40">
        <v>1.5260696</v>
      </c>
      <c r="K24" s="47">
        <v>-6.1493039999999999</v>
      </c>
      <c r="L24" s="47">
        <v>-3.3708632000000001</v>
      </c>
      <c r="M24" s="47">
        <v>-9.8150014999999993</v>
      </c>
      <c r="N24" s="47">
        <v>-20.451820000000001</v>
      </c>
    </row>
    <row r="25" spans="1:14" x14ac:dyDescent="0.35">
      <c r="A25" s="2">
        <v>42552</v>
      </c>
      <c r="B25" s="40">
        <v>28.644062000000002</v>
      </c>
      <c r="C25" s="40">
        <v>-4.1840973000000004</v>
      </c>
      <c r="D25" s="40">
        <v>-4.4914006999999998</v>
      </c>
      <c r="E25" s="40">
        <v>-12.140440999999999</v>
      </c>
      <c r="F25" s="40">
        <v>-9.6485909999999997</v>
      </c>
      <c r="G25" s="40">
        <v>-7.0082664000000001</v>
      </c>
      <c r="H25" s="40">
        <v>-12.171942</v>
      </c>
      <c r="I25" s="40">
        <v>1.2783289</v>
      </c>
      <c r="J25" s="40">
        <v>3.3800840000000001</v>
      </c>
      <c r="K25" s="47">
        <v>-9.0838669999999997</v>
      </c>
      <c r="L25" s="47">
        <v>-9.1708719999999992</v>
      </c>
      <c r="M25" s="47">
        <v>-11.095184</v>
      </c>
      <c r="N25" s="47">
        <v>-26.031101</v>
      </c>
    </row>
    <row r="26" spans="1:14" x14ac:dyDescent="0.35">
      <c r="A26" s="2">
        <v>42583</v>
      </c>
      <c r="B26" s="40">
        <v>36.934565999999997</v>
      </c>
      <c r="C26" s="40">
        <v>2.9543995999999999</v>
      </c>
      <c r="D26" s="40">
        <v>-0.31605362999999997</v>
      </c>
      <c r="E26" s="40">
        <v>-7.6214019999999998</v>
      </c>
      <c r="F26" s="40">
        <v>-4.9899339999999999</v>
      </c>
      <c r="G26" s="40">
        <v>-9.4706650000000003</v>
      </c>
      <c r="H26" s="40">
        <v>-13.018006</v>
      </c>
      <c r="I26" s="40">
        <v>4.6423793</v>
      </c>
      <c r="J26" s="40">
        <v>5.3142189999999996</v>
      </c>
      <c r="K26" s="47">
        <v>-8.8895979999999994</v>
      </c>
      <c r="L26" s="47">
        <v>-8.0601690000000001</v>
      </c>
      <c r="M26" s="47">
        <v>-9.8806320000000003</v>
      </c>
      <c r="N26" s="47">
        <v>-27.094967</v>
      </c>
    </row>
    <row r="27" spans="1:14" x14ac:dyDescent="0.35">
      <c r="A27" s="2">
        <v>42614</v>
      </c>
      <c r="B27" s="40">
        <v>52.981969999999997</v>
      </c>
      <c r="C27" s="40">
        <v>19.134544000000002</v>
      </c>
      <c r="D27" s="40">
        <v>10.814297</v>
      </c>
      <c r="E27" s="40">
        <v>4.8213242999999997</v>
      </c>
      <c r="F27" s="40">
        <v>8.5473175000000001</v>
      </c>
      <c r="G27" s="40">
        <v>-4.6461820000000001E-2</v>
      </c>
      <c r="H27" s="40">
        <v>1.0129212999999999</v>
      </c>
      <c r="I27" s="40">
        <v>16.830576000000001</v>
      </c>
      <c r="J27" s="40">
        <v>15.839957999999999</v>
      </c>
      <c r="K27" s="47">
        <v>1.6018391000000001</v>
      </c>
      <c r="L27" s="47">
        <v>7.0790649999999999</v>
      </c>
      <c r="M27" s="47">
        <v>0.71972610000000004</v>
      </c>
      <c r="N27" s="47">
        <v>-18.659586000000001</v>
      </c>
    </row>
    <row r="28" spans="1:14" x14ac:dyDescent="0.35">
      <c r="A28" s="2">
        <v>42643</v>
      </c>
      <c r="B28" s="40">
        <v>51.206062000000003</v>
      </c>
      <c r="C28" s="40">
        <v>21.586275000000001</v>
      </c>
      <c r="D28" s="40">
        <v>14.111673</v>
      </c>
      <c r="E28" s="40">
        <v>8.7645769999999992</v>
      </c>
      <c r="F28" s="40">
        <v>11.386882999999999</v>
      </c>
      <c r="G28" s="40">
        <v>2.5278925999999999</v>
      </c>
      <c r="H28" s="40">
        <v>1.0065198</v>
      </c>
      <c r="I28" s="40">
        <v>17.987537</v>
      </c>
      <c r="J28" s="40">
        <v>15.318548</v>
      </c>
      <c r="K28" s="47">
        <v>3.3358574000000001</v>
      </c>
      <c r="L28" s="47">
        <v>9.3106159999999996</v>
      </c>
      <c r="M28" s="47">
        <v>4.1947007000000003</v>
      </c>
      <c r="N28" s="47">
        <v>-20.612938</v>
      </c>
    </row>
    <row r="29" spans="1:14" x14ac:dyDescent="0.35">
      <c r="A29" s="2">
        <v>42675</v>
      </c>
      <c r="B29" s="40">
        <v>21.34862</v>
      </c>
      <c r="C29" s="40">
        <v>11.302911999999999</v>
      </c>
      <c r="D29" s="40">
        <v>8.9452979999999993</v>
      </c>
      <c r="E29" s="40">
        <v>-2.8596759999999999</v>
      </c>
      <c r="F29" s="40">
        <v>3.6699057000000002</v>
      </c>
      <c r="G29" s="40">
        <v>-5.9657515999999999</v>
      </c>
      <c r="H29" s="40">
        <v>-10.562128</v>
      </c>
      <c r="I29" s="40">
        <v>3.6129593999999998</v>
      </c>
      <c r="J29" s="40">
        <v>3.6792994000000001</v>
      </c>
      <c r="K29" s="47">
        <v>-4.3941736000000002</v>
      </c>
      <c r="L29" s="47">
        <v>-0.5432129</v>
      </c>
      <c r="M29" s="47">
        <v>-5.335718</v>
      </c>
      <c r="N29" s="47">
        <v>-22.194689</v>
      </c>
    </row>
    <row r="30" spans="1:14" x14ac:dyDescent="0.35">
      <c r="A30" s="2">
        <v>42705</v>
      </c>
      <c r="B30" s="40">
        <v>19.04496</v>
      </c>
      <c r="C30" s="40">
        <v>9.7201229999999992</v>
      </c>
      <c r="D30" s="40">
        <v>13.028693000000001</v>
      </c>
      <c r="E30" s="40">
        <v>-7.2984340000000003</v>
      </c>
      <c r="F30" s="40">
        <v>-0.10828972000000001</v>
      </c>
      <c r="G30" s="40">
        <v>-6.88706</v>
      </c>
      <c r="H30" s="40">
        <v>-9.3411559999999998</v>
      </c>
      <c r="I30" s="40">
        <v>1.4044045999999999</v>
      </c>
      <c r="J30" s="40">
        <v>6.4770219999999998</v>
      </c>
      <c r="K30" s="47">
        <v>-4.4609069999999997</v>
      </c>
      <c r="L30" s="47">
        <v>-4.1062950000000003</v>
      </c>
      <c r="M30" s="47">
        <v>-6.179297</v>
      </c>
      <c r="N30" s="47">
        <v>-21.378094000000001</v>
      </c>
    </row>
    <row r="31" spans="1:14" x14ac:dyDescent="0.35">
      <c r="A31" s="2">
        <v>42734</v>
      </c>
      <c r="B31" s="40">
        <v>10.709274000000001</v>
      </c>
      <c r="C31" s="40">
        <v>9.94482</v>
      </c>
      <c r="D31" s="40">
        <v>22.904050000000002</v>
      </c>
      <c r="E31" s="40">
        <v>1.9262790999999999</v>
      </c>
      <c r="F31" s="40">
        <v>1.7673969</v>
      </c>
      <c r="G31" s="40">
        <v>-4.4724345000000003</v>
      </c>
      <c r="H31" s="40">
        <v>-2.2000492</v>
      </c>
      <c r="I31" s="40">
        <v>5.7681560000000003</v>
      </c>
      <c r="J31" s="40">
        <v>10.880922999999999</v>
      </c>
      <c r="K31" s="47">
        <v>3.4080743999999998</v>
      </c>
      <c r="L31" s="47">
        <v>2.3715614999999999</v>
      </c>
      <c r="M31" s="47">
        <v>0.92072487000000003</v>
      </c>
      <c r="N31" s="47">
        <v>-9.9944889999999997</v>
      </c>
    </row>
    <row r="32" spans="1:14" x14ac:dyDescent="0.35">
      <c r="A32" s="2">
        <v>42767</v>
      </c>
      <c r="B32" s="40">
        <v>27.392567</v>
      </c>
      <c r="C32" s="40">
        <v>25.815951999999999</v>
      </c>
      <c r="D32" s="40">
        <v>32.571506999999997</v>
      </c>
      <c r="E32" s="40">
        <v>16.332317</v>
      </c>
      <c r="F32" s="40">
        <v>13.395536</v>
      </c>
      <c r="G32" s="40">
        <v>8.4410305000000001</v>
      </c>
      <c r="H32" s="40">
        <v>6.7234993000000003</v>
      </c>
      <c r="I32" s="40">
        <v>21.474218</v>
      </c>
      <c r="J32" s="40">
        <v>20.06973</v>
      </c>
      <c r="K32" s="47">
        <v>10.818362</v>
      </c>
      <c r="L32" s="47">
        <v>8.7689760000000003</v>
      </c>
      <c r="M32" s="47">
        <v>17.366015999999998</v>
      </c>
      <c r="N32" s="47">
        <v>2.3745180000000001</v>
      </c>
    </row>
    <row r="33" spans="1:14" x14ac:dyDescent="0.35">
      <c r="A33" s="2">
        <v>42795</v>
      </c>
      <c r="B33" s="40">
        <v>21.937882999999999</v>
      </c>
      <c r="C33" s="40">
        <v>29.578377</v>
      </c>
      <c r="D33" s="40">
        <v>23.763752</v>
      </c>
      <c r="E33" s="40">
        <v>17.978656999999998</v>
      </c>
      <c r="F33" s="40">
        <v>18.400549999999999</v>
      </c>
      <c r="G33" s="40">
        <v>10.723471999999999</v>
      </c>
      <c r="H33" s="40">
        <v>9.1285340000000001</v>
      </c>
      <c r="I33" s="40">
        <v>25.634146000000001</v>
      </c>
      <c r="J33" s="40">
        <v>23.636638999999999</v>
      </c>
      <c r="K33" s="47">
        <v>11.614333999999999</v>
      </c>
      <c r="L33" s="47">
        <v>12.487125000000001</v>
      </c>
      <c r="M33" s="47">
        <v>14.110910000000001</v>
      </c>
      <c r="N33" s="47">
        <v>6.7752720000000002</v>
      </c>
    </row>
    <row r="34" spans="1:14" x14ac:dyDescent="0.35">
      <c r="A34" s="2">
        <v>42825</v>
      </c>
      <c r="B34" s="40">
        <v>7.5505852999999998</v>
      </c>
      <c r="C34" s="40">
        <v>21.861886999999999</v>
      </c>
      <c r="D34" s="40">
        <v>15.411925</v>
      </c>
      <c r="E34" s="40">
        <v>14.491785</v>
      </c>
      <c r="F34" s="40">
        <v>15.068984</v>
      </c>
      <c r="G34" s="40">
        <v>10.500622</v>
      </c>
      <c r="H34" s="40">
        <v>7.828665</v>
      </c>
      <c r="I34" s="40">
        <v>22.474062</v>
      </c>
      <c r="J34" s="40">
        <v>17.08033</v>
      </c>
      <c r="K34" s="47">
        <v>12.867022</v>
      </c>
      <c r="L34" s="47">
        <v>11.984146000000001</v>
      </c>
      <c r="M34" s="47">
        <v>11.461710999999999</v>
      </c>
      <c r="N34" s="47">
        <v>9.4985850000000003</v>
      </c>
    </row>
    <row r="35" spans="1:14" x14ac:dyDescent="0.35">
      <c r="A35" s="2">
        <v>42856</v>
      </c>
      <c r="B35" s="40">
        <v>7.2041389999999996</v>
      </c>
      <c r="C35" s="40">
        <v>18.497776000000002</v>
      </c>
      <c r="D35" s="40">
        <v>5.0877093999999996</v>
      </c>
      <c r="E35" s="40">
        <v>16.68451</v>
      </c>
      <c r="F35" s="40">
        <v>16.218353</v>
      </c>
      <c r="G35" s="40">
        <v>11.955094000000001</v>
      </c>
      <c r="H35" s="40">
        <v>5.5107713</v>
      </c>
      <c r="I35" s="40">
        <v>31.111657999999998</v>
      </c>
      <c r="J35" s="40">
        <v>18.074667000000002</v>
      </c>
      <c r="K35" s="47">
        <v>17.047606999999999</v>
      </c>
      <c r="L35" s="47">
        <v>17.426168000000001</v>
      </c>
      <c r="M35" s="47">
        <v>14.742516999999999</v>
      </c>
      <c r="N35" s="47">
        <v>8.4940069999999999</v>
      </c>
    </row>
    <row r="36" spans="1:14" x14ac:dyDescent="0.35">
      <c r="A36" s="2">
        <v>42887</v>
      </c>
      <c r="B36" s="40">
        <v>10.837709</v>
      </c>
      <c r="C36" s="40">
        <v>15.014469</v>
      </c>
      <c r="D36" s="40">
        <v>9.3097689999999993</v>
      </c>
      <c r="E36" s="40">
        <v>22.950303999999999</v>
      </c>
      <c r="F36" s="40">
        <v>16.367412999999999</v>
      </c>
      <c r="G36" s="40">
        <v>17.425274000000002</v>
      </c>
      <c r="H36" s="40">
        <v>12.927198000000001</v>
      </c>
      <c r="I36" s="40">
        <v>29.858599999999999</v>
      </c>
      <c r="J36" s="40">
        <v>18.134461999999999</v>
      </c>
      <c r="K36" s="47">
        <v>23.586416</v>
      </c>
      <c r="L36" s="47">
        <v>21.834612</v>
      </c>
      <c r="M36" s="47">
        <v>20.971321</v>
      </c>
      <c r="N36" s="47">
        <v>21.327019</v>
      </c>
    </row>
    <row r="37" spans="1:14" x14ac:dyDescent="0.35">
      <c r="A37" s="2">
        <v>42916</v>
      </c>
      <c r="B37" s="40">
        <v>13.302744000000001</v>
      </c>
      <c r="C37" s="40">
        <v>16.962109999999999</v>
      </c>
      <c r="D37" s="40">
        <v>11.180282</v>
      </c>
      <c r="E37" s="40">
        <v>28.358066999999998</v>
      </c>
      <c r="F37" s="40">
        <v>18.758500000000002</v>
      </c>
      <c r="G37" s="40">
        <v>18.264568000000001</v>
      </c>
      <c r="H37" s="40">
        <v>12.39264</v>
      </c>
      <c r="I37" s="40">
        <v>29.312193000000001</v>
      </c>
      <c r="J37" s="40">
        <v>17.782104</v>
      </c>
      <c r="K37" s="47">
        <v>28.388237</v>
      </c>
      <c r="L37" s="47">
        <v>28.129732000000001</v>
      </c>
      <c r="M37" s="47">
        <v>26.860296000000002</v>
      </c>
      <c r="N37" s="47">
        <v>31.645918000000002</v>
      </c>
    </row>
    <row r="38" spans="1:14" x14ac:dyDescent="0.35">
      <c r="A38" s="2">
        <v>42948</v>
      </c>
      <c r="B38" s="40">
        <v>8.3261730000000007</v>
      </c>
      <c r="C38" s="40">
        <v>15.698826</v>
      </c>
      <c r="D38" s="40">
        <v>13.677847</v>
      </c>
      <c r="E38" s="40">
        <v>23.736142999999998</v>
      </c>
      <c r="F38" s="40">
        <v>15.878105</v>
      </c>
      <c r="G38" s="40">
        <v>17.768324</v>
      </c>
      <c r="H38" s="40">
        <v>15.381765</v>
      </c>
      <c r="I38" s="40">
        <v>25.210225999999999</v>
      </c>
      <c r="J38" s="40">
        <v>16.325474</v>
      </c>
      <c r="K38" s="47">
        <v>27.381252</v>
      </c>
      <c r="L38" s="47">
        <v>32.426070000000003</v>
      </c>
      <c r="M38" s="47">
        <v>26.764143000000001</v>
      </c>
      <c r="N38" s="47">
        <v>40.378630000000001</v>
      </c>
    </row>
    <row r="39" spans="1:14" x14ac:dyDescent="0.35">
      <c r="A39" s="2">
        <v>42979</v>
      </c>
      <c r="B39" s="40">
        <v>3.5515903999999998</v>
      </c>
      <c r="C39" s="40">
        <v>17.78332</v>
      </c>
      <c r="D39" s="40">
        <v>12.299013</v>
      </c>
      <c r="E39" s="40">
        <v>19.625902</v>
      </c>
      <c r="F39" s="40">
        <v>12.134684</v>
      </c>
      <c r="G39" s="40">
        <v>15.711641</v>
      </c>
      <c r="H39" s="40">
        <v>11.007082</v>
      </c>
      <c r="I39" s="40">
        <v>26.356638</v>
      </c>
      <c r="J39" s="40">
        <v>16.328764</v>
      </c>
      <c r="K39" s="47">
        <v>26.241385999999999</v>
      </c>
      <c r="L39" s="47">
        <v>25.774944000000001</v>
      </c>
      <c r="M39" s="47">
        <v>23.978650999999999</v>
      </c>
      <c r="N39" s="47">
        <v>37.509872000000001</v>
      </c>
    </row>
    <row r="40" spans="1:14" x14ac:dyDescent="0.35">
      <c r="A40" s="2">
        <v>43007</v>
      </c>
      <c r="B40" s="40">
        <v>7.3923706999999999</v>
      </c>
      <c r="C40" s="40">
        <v>13.532351999999999</v>
      </c>
      <c r="D40" s="40">
        <v>15.073109000000001</v>
      </c>
      <c r="E40" s="40">
        <v>28.738545999999999</v>
      </c>
      <c r="F40" s="40">
        <v>12.911022000000001</v>
      </c>
      <c r="G40" s="40">
        <v>17.535447999999999</v>
      </c>
      <c r="H40" s="40">
        <v>14.755737</v>
      </c>
      <c r="I40" s="40">
        <v>24.666858999999999</v>
      </c>
      <c r="J40" s="40">
        <v>19.394566000000001</v>
      </c>
      <c r="K40" s="47">
        <v>32.551310000000001</v>
      </c>
      <c r="L40" s="47">
        <v>30.671036000000001</v>
      </c>
      <c r="M40" s="47">
        <v>27.700603000000001</v>
      </c>
      <c r="N40" s="47">
        <v>49.053669999999997</v>
      </c>
    </row>
    <row r="41" spans="1:14" x14ac:dyDescent="0.35">
      <c r="A41" s="2">
        <v>43040</v>
      </c>
      <c r="B41" s="40">
        <v>11.677372</v>
      </c>
      <c r="C41" s="40">
        <v>18.489384000000001</v>
      </c>
      <c r="D41" s="40">
        <v>15.915335000000001</v>
      </c>
      <c r="E41" s="40">
        <v>32.287726999999997</v>
      </c>
      <c r="F41" s="40">
        <v>19.348490000000002</v>
      </c>
      <c r="G41" s="40">
        <v>20.570065</v>
      </c>
      <c r="H41" s="40">
        <v>20.889102999999999</v>
      </c>
      <c r="I41" s="40">
        <v>32.309066999999999</v>
      </c>
      <c r="J41" s="40">
        <v>24.497890000000002</v>
      </c>
      <c r="K41" s="47">
        <v>33.639409999999998</v>
      </c>
      <c r="L41" s="47">
        <v>33.29786</v>
      </c>
      <c r="M41" s="47">
        <v>32.121229999999997</v>
      </c>
      <c r="N41" s="47">
        <v>43.191850000000002</v>
      </c>
    </row>
    <row r="42" spans="1:14" x14ac:dyDescent="0.35">
      <c r="A42" s="2">
        <v>43070</v>
      </c>
      <c r="B42" s="40">
        <v>14.648211</v>
      </c>
      <c r="C42" s="40">
        <v>16.054344</v>
      </c>
      <c r="D42" s="40">
        <v>14.546561000000001</v>
      </c>
      <c r="E42" s="40">
        <v>36.155773000000003</v>
      </c>
      <c r="F42" s="40">
        <v>22.757625999999998</v>
      </c>
      <c r="G42" s="40">
        <v>27.407741999999999</v>
      </c>
      <c r="H42" s="40">
        <v>20.292473000000001</v>
      </c>
      <c r="I42" s="40">
        <v>35.132945999999997</v>
      </c>
      <c r="J42" s="40">
        <v>22.882950000000001</v>
      </c>
      <c r="K42" s="47">
        <v>35.647357999999997</v>
      </c>
      <c r="L42" s="47">
        <v>38.057181999999997</v>
      </c>
      <c r="M42" s="47">
        <v>27.319849000000001</v>
      </c>
      <c r="N42" s="47">
        <v>44.274856999999997</v>
      </c>
    </row>
    <row r="43" spans="1:14" x14ac:dyDescent="0.35">
      <c r="A43" s="2">
        <v>43098</v>
      </c>
      <c r="B43" s="40">
        <v>22.99831</v>
      </c>
      <c r="C43" s="40">
        <v>19.050550000000001</v>
      </c>
      <c r="D43" s="40">
        <v>15.656078000000001</v>
      </c>
      <c r="E43" s="40">
        <v>28.124655000000001</v>
      </c>
      <c r="F43" s="40">
        <v>24.223019000000001</v>
      </c>
      <c r="G43" s="40">
        <v>23.987507000000001</v>
      </c>
      <c r="H43" s="40">
        <v>22.385905999999999</v>
      </c>
      <c r="I43" s="40">
        <v>31.301425999999999</v>
      </c>
      <c r="J43" s="40">
        <v>21.255516</v>
      </c>
      <c r="K43" s="47">
        <v>30.07884</v>
      </c>
      <c r="L43" s="47">
        <v>34.362614000000001</v>
      </c>
      <c r="M43" s="47">
        <v>22.180641000000001</v>
      </c>
      <c r="N43" s="47">
        <v>29.315483</v>
      </c>
    </row>
    <row r="44" spans="1:14" x14ac:dyDescent="0.35">
      <c r="A44" s="2">
        <v>43132</v>
      </c>
      <c r="B44" s="40">
        <v>19.749079999999999</v>
      </c>
      <c r="C44" s="40">
        <v>17.124008</v>
      </c>
      <c r="D44" s="40">
        <v>12.214601500000001</v>
      </c>
      <c r="E44" s="40">
        <v>28.496658</v>
      </c>
      <c r="F44" s="40">
        <v>26.050318000000001</v>
      </c>
      <c r="G44" s="40">
        <v>23.834969000000001</v>
      </c>
      <c r="H44" s="40">
        <v>22.504448</v>
      </c>
      <c r="I44" s="40">
        <v>35.12894</v>
      </c>
      <c r="J44" s="40">
        <v>26.105917000000002</v>
      </c>
      <c r="K44" s="47">
        <v>36.403739999999999</v>
      </c>
      <c r="L44" s="47">
        <v>38.581252999999997</v>
      </c>
      <c r="M44" s="47">
        <v>22.384906999999998</v>
      </c>
      <c r="N44" s="47">
        <v>47.424664</v>
      </c>
    </row>
    <row r="45" spans="1:14" x14ac:dyDescent="0.35">
      <c r="A45" s="2">
        <v>43160</v>
      </c>
      <c r="B45" s="40">
        <v>17.083693</v>
      </c>
      <c r="C45" s="40">
        <v>6.9320917</v>
      </c>
      <c r="D45" s="40">
        <v>4.8892856</v>
      </c>
      <c r="E45" s="40">
        <v>16.486395000000002</v>
      </c>
      <c r="F45" s="40">
        <v>15.92108</v>
      </c>
      <c r="G45" s="40">
        <v>11.963450999999999</v>
      </c>
      <c r="H45" s="40">
        <v>11.421037</v>
      </c>
      <c r="I45" s="40">
        <v>26.278507000000001</v>
      </c>
      <c r="J45" s="40">
        <v>13.809775999999999</v>
      </c>
      <c r="K45" s="47">
        <v>26.941276999999999</v>
      </c>
      <c r="L45" s="47">
        <v>24.433983000000001</v>
      </c>
      <c r="M45" s="47">
        <v>12.535667</v>
      </c>
      <c r="N45" s="47">
        <v>34.591842999999997</v>
      </c>
    </row>
    <row r="46" spans="1:14" x14ac:dyDescent="0.35">
      <c r="A46" s="2">
        <v>43188</v>
      </c>
      <c r="B46" s="40">
        <v>21.153248000000001</v>
      </c>
      <c r="C46" s="40">
        <v>1.3550639</v>
      </c>
      <c r="D46" s="40">
        <v>4.0798069999999997</v>
      </c>
      <c r="E46" s="40">
        <v>13.781881</v>
      </c>
      <c r="F46" s="40">
        <v>17.620241</v>
      </c>
      <c r="G46" s="40">
        <v>9.2248439999999992</v>
      </c>
      <c r="H46" s="40">
        <v>11.250126</v>
      </c>
      <c r="I46" s="40">
        <v>22.133815999999999</v>
      </c>
      <c r="J46" s="40">
        <v>13.848591000000001</v>
      </c>
      <c r="K46" s="47">
        <v>20.996893</v>
      </c>
      <c r="L46" s="47">
        <v>20.895588</v>
      </c>
      <c r="M46" s="47">
        <v>9.3364949999999993</v>
      </c>
      <c r="N46" s="47">
        <v>27.778578</v>
      </c>
    </row>
    <row r="47" spans="1:14" x14ac:dyDescent="0.35">
      <c r="A47" s="2">
        <v>43221</v>
      </c>
      <c r="B47" s="40">
        <v>15.082717000000001</v>
      </c>
      <c r="C47" s="40">
        <v>2.960658</v>
      </c>
      <c r="D47" s="40">
        <v>9.5547085000000003</v>
      </c>
      <c r="E47" s="40">
        <v>10.656298</v>
      </c>
      <c r="F47" s="40">
        <v>17.919529000000001</v>
      </c>
      <c r="G47" s="40">
        <v>3.8526297</v>
      </c>
      <c r="H47" s="40">
        <v>13.419556999999999</v>
      </c>
      <c r="I47" s="40">
        <v>19.675673</v>
      </c>
      <c r="J47" s="40">
        <v>13.132167000000001</v>
      </c>
      <c r="K47" s="47">
        <v>18.101714999999999</v>
      </c>
      <c r="L47" s="47">
        <v>15.167820000000001</v>
      </c>
      <c r="M47" s="47">
        <v>1.0035634</v>
      </c>
      <c r="N47" s="47">
        <v>28.776835999999999</v>
      </c>
    </row>
    <row r="48" spans="1:14" x14ac:dyDescent="0.35">
      <c r="A48" s="2">
        <v>43252</v>
      </c>
      <c r="B48" s="40">
        <v>13.438582</v>
      </c>
      <c r="C48" s="40">
        <v>10.915065</v>
      </c>
      <c r="D48" s="40">
        <v>11.223172999999999</v>
      </c>
      <c r="E48" s="40">
        <v>4.3703079999999996</v>
      </c>
      <c r="F48" s="40">
        <v>13.340366</v>
      </c>
      <c r="G48" s="40">
        <v>-1.8227815999999999</v>
      </c>
      <c r="H48" s="40">
        <v>8.4196679999999997</v>
      </c>
      <c r="I48" s="40">
        <v>22.843765000000001</v>
      </c>
      <c r="J48" s="40">
        <v>14.566039999999999</v>
      </c>
      <c r="K48" s="47">
        <v>10.472465</v>
      </c>
      <c r="L48" s="47">
        <v>8.5191610000000004</v>
      </c>
      <c r="M48" s="47">
        <v>-1.2812733999999999</v>
      </c>
      <c r="N48" s="47">
        <v>10.067724999999999</v>
      </c>
    </row>
    <row r="49" spans="1:14" x14ac:dyDescent="0.35">
      <c r="A49" s="2">
        <v>43280</v>
      </c>
      <c r="B49" s="40">
        <v>8.7419150000000005</v>
      </c>
      <c r="C49" s="40">
        <v>8.3479290000000006</v>
      </c>
      <c r="D49" s="40">
        <v>8.6390130000000003</v>
      </c>
      <c r="E49" s="40">
        <v>1.3211012</v>
      </c>
      <c r="F49" s="40">
        <v>9.8832609999999992</v>
      </c>
      <c r="G49" s="40">
        <v>-2.717781</v>
      </c>
      <c r="H49" s="40">
        <v>8.9164729999999999</v>
      </c>
      <c r="I49" s="40">
        <v>25.764441999999999</v>
      </c>
      <c r="J49" s="40">
        <v>14.497126</v>
      </c>
      <c r="K49" s="47">
        <v>8.5525400000000005</v>
      </c>
      <c r="L49" s="47">
        <v>8.1945305000000008</v>
      </c>
      <c r="M49" s="47">
        <v>-4.4122399999999997</v>
      </c>
      <c r="N49" s="47">
        <v>7.4223160000000004</v>
      </c>
    </row>
    <row r="50" spans="1:14" x14ac:dyDescent="0.35">
      <c r="A50" s="2">
        <v>43313</v>
      </c>
      <c r="B50" s="40">
        <v>4.0433406999999999</v>
      </c>
      <c r="C50" s="40">
        <v>4.2370796000000004</v>
      </c>
      <c r="D50" s="40">
        <v>6.7801119999999999</v>
      </c>
      <c r="E50" s="40">
        <v>2.8716683000000001</v>
      </c>
      <c r="F50" s="40">
        <v>8.5133790000000005</v>
      </c>
      <c r="G50" s="40">
        <v>2.3301243999999999</v>
      </c>
      <c r="H50" s="40">
        <v>5.2848220000000001</v>
      </c>
      <c r="I50" s="40">
        <v>24.375582000000001</v>
      </c>
      <c r="J50" s="40">
        <v>15.6790495</v>
      </c>
      <c r="K50" s="47">
        <v>9.2905999999999995</v>
      </c>
      <c r="L50" s="47">
        <v>4.9529075999999996</v>
      </c>
      <c r="M50" s="47">
        <v>-0.7783234</v>
      </c>
      <c r="N50" s="47">
        <v>1.1906147</v>
      </c>
    </row>
    <row r="51" spans="1:14" x14ac:dyDescent="0.35">
      <c r="A51" s="2">
        <v>43343</v>
      </c>
      <c r="B51" s="40">
        <v>9.1086749999999999</v>
      </c>
      <c r="C51" s="40">
        <v>3.7284255000000002</v>
      </c>
      <c r="D51" s="40">
        <v>5.491352</v>
      </c>
      <c r="E51" s="40">
        <v>0.90388060000000003</v>
      </c>
      <c r="F51" s="40">
        <v>7.9676629999999999</v>
      </c>
      <c r="G51" s="40">
        <v>3.8819669999999999</v>
      </c>
      <c r="H51" s="40">
        <v>3.4807682</v>
      </c>
      <c r="I51" s="40">
        <v>28.700887999999999</v>
      </c>
      <c r="J51" s="40">
        <v>19.489134</v>
      </c>
      <c r="K51" s="47">
        <v>6.9504260000000002</v>
      </c>
      <c r="L51" s="47">
        <v>3.5356879999999999</v>
      </c>
      <c r="M51" s="47">
        <v>-2.9696642999999998</v>
      </c>
      <c r="N51" s="47">
        <v>-7.5170279999999998</v>
      </c>
    </row>
    <row r="52" spans="1:14" x14ac:dyDescent="0.35">
      <c r="A52" s="2">
        <v>43374</v>
      </c>
      <c r="B52" s="40">
        <v>7.1116447000000003</v>
      </c>
      <c r="C52" s="40">
        <v>2.8370023</v>
      </c>
      <c r="D52" s="40">
        <v>2.7198194999999998</v>
      </c>
      <c r="E52" s="40">
        <v>-5.3369939999999998</v>
      </c>
      <c r="F52" s="40">
        <v>10.436904999999999</v>
      </c>
      <c r="G52" s="40">
        <v>1.6297459999999999</v>
      </c>
      <c r="H52" s="40">
        <v>2.0382285000000002</v>
      </c>
      <c r="I52" s="40">
        <v>28.980195999999999</v>
      </c>
      <c r="J52" s="40">
        <v>18.236101000000001</v>
      </c>
      <c r="K52" s="47">
        <v>3.9237380000000002</v>
      </c>
      <c r="L52" s="47">
        <v>-1.5102207999999999</v>
      </c>
      <c r="M52" s="47">
        <v>-3.6024332000000001</v>
      </c>
      <c r="N52" s="47">
        <v>-9.3870159999999991</v>
      </c>
    </row>
    <row r="53" spans="1:14" x14ac:dyDescent="0.35">
      <c r="A53" s="2">
        <v>43405</v>
      </c>
      <c r="B53" s="40">
        <v>6.9789289999999999</v>
      </c>
      <c r="C53" s="40">
        <v>-4.1437330000000001</v>
      </c>
      <c r="D53" s="40">
        <v>-5.335629</v>
      </c>
      <c r="E53" s="40">
        <v>-15.029275999999999</v>
      </c>
      <c r="F53" s="40">
        <v>-5.8868830000000001</v>
      </c>
      <c r="G53" s="40">
        <v>-0.29917359999999998</v>
      </c>
      <c r="H53" s="40">
        <v>-2.9562472999999998</v>
      </c>
      <c r="I53" s="40">
        <v>13.992882</v>
      </c>
      <c r="J53" s="40">
        <v>8.1566925000000001</v>
      </c>
      <c r="K53" s="47">
        <v>-6.1257720000000004</v>
      </c>
      <c r="L53" s="47">
        <v>-7.8024744999999998</v>
      </c>
      <c r="M53" s="47">
        <v>-11.119896000000001</v>
      </c>
      <c r="N53" s="47">
        <v>-15.192634</v>
      </c>
    </row>
    <row r="54" spans="1:14" x14ac:dyDescent="0.35">
      <c r="A54" s="2">
        <v>43434</v>
      </c>
      <c r="B54" s="40">
        <v>9.9316960000000005</v>
      </c>
      <c r="C54" s="40">
        <v>-4.5717772999999999</v>
      </c>
      <c r="D54" s="40">
        <v>-6.0283126999999999</v>
      </c>
      <c r="E54" s="40">
        <v>-17.095613</v>
      </c>
      <c r="F54" s="40">
        <v>-6.2809169999999996</v>
      </c>
      <c r="G54" s="40">
        <v>-2.6792883999999999</v>
      </c>
      <c r="H54" s="40">
        <v>-6.3803729999999996</v>
      </c>
      <c r="I54" s="40">
        <v>10.00483</v>
      </c>
      <c r="J54" s="40">
        <v>5.9098125000000001</v>
      </c>
      <c r="K54" s="47">
        <v>-8.3107950000000006</v>
      </c>
      <c r="L54" s="47">
        <v>-7.8468920000000004</v>
      </c>
      <c r="M54" s="47">
        <v>-10.080904</v>
      </c>
      <c r="N54" s="47">
        <v>-15.364474</v>
      </c>
    </row>
    <row r="55" spans="1:14" x14ac:dyDescent="0.35">
      <c r="A55" s="2">
        <v>43465</v>
      </c>
      <c r="B55" s="40">
        <v>0.3503561</v>
      </c>
      <c r="C55" s="40">
        <v>-12.024254000000001</v>
      </c>
      <c r="D55" s="40">
        <v>-17.157238</v>
      </c>
      <c r="E55" s="40">
        <v>-21.374732999999999</v>
      </c>
      <c r="F55" s="40">
        <v>-14.094436999999999</v>
      </c>
      <c r="G55" s="40">
        <v>-9.1894209999999994</v>
      </c>
      <c r="H55" s="40">
        <v>-14.279747</v>
      </c>
      <c r="I55" s="40">
        <v>-0.11628866</v>
      </c>
      <c r="J55" s="40">
        <v>-4.5570729999999999</v>
      </c>
      <c r="K55" s="47">
        <v>-12.881112</v>
      </c>
      <c r="L55" s="47">
        <v>-15.359479</v>
      </c>
      <c r="M55" s="47">
        <v>-12.76235</v>
      </c>
      <c r="N55" s="47">
        <v>-17.193031000000001</v>
      </c>
    </row>
    <row r="56" spans="1:14" x14ac:dyDescent="0.35">
      <c r="A56" s="2">
        <v>43497</v>
      </c>
      <c r="B56" s="40">
        <v>0.88423490000000005</v>
      </c>
      <c r="C56" s="40">
        <v>-8.8310300000000002</v>
      </c>
      <c r="D56" s="40">
        <v>-6.6378060000000003</v>
      </c>
      <c r="E56" s="40">
        <v>-20.872295000000001</v>
      </c>
      <c r="F56" s="40">
        <v>-13.192195</v>
      </c>
      <c r="G56" s="40">
        <v>-8.7140260000000005</v>
      </c>
      <c r="H56" s="40">
        <v>-11.036414000000001</v>
      </c>
      <c r="I56" s="40">
        <v>0.54873229999999995</v>
      </c>
      <c r="J56" s="40">
        <v>-2.2572220000000001</v>
      </c>
      <c r="K56" s="47">
        <v>-13.514101</v>
      </c>
      <c r="L56" s="47">
        <v>-13.873922</v>
      </c>
      <c r="M56" s="47">
        <v>-13.946253</v>
      </c>
      <c r="N56" s="47">
        <v>-20.900005</v>
      </c>
    </row>
    <row r="57" spans="1:14" x14ac:dyDescent="0.35">
      <c r="A57" s="2">
        <v>43525</v>
      </c>
      <c r="B57" s="40">
        <v>6.7422867000000002</v>
      </c>
      <c r="C57" s="40">
        <v>9.8812579999999997E-2</v>
      </c>
      <c r="D57" s="40">
        <v>2.8898953999999999</v>
      </c>
      <c r="E57" s="40">
        <v>-11.139929</v>
      </c>
      <c r="F57" s="40">
        <v>-6.6220283999999996</v>
      </c>
      <c r="G57" s="40">
        <v>4.061687</v>
      </c>
      <c r="H57" s="40">
        <v>-0.44788718</v>
      </c>
      <c r="I57" s="40">
        <v>6.9315433999999998</v>
      </c>
      <c r="J57" s="40">
        <v>6.7546606000000002</v>
      </c>
      <c r="K57" s="47">
        <v>-3.385961</v>
      </c>
      <c r="L57" s="47">
        <v>-3.3952773000000001</v>
      </c>
      <c r="M57" s="47">
        <v>-5.0964413000000004</v>
      </c>
      <c r="N57" s="47">
        <v>-9.9574379999999998</v>
      </c>
    </row>
    <row r="58" spans="1:14" x14ac:dyDescent="0.35">
      <c r="A58" s="2">
        <v>43556</v>
      </c>
      <c r="B58" s="40">
        <v>10.957432000000001</v>
      </c>
      <c r="C58" s="40">
        <v>4.6405076999999997</v>
      </c>
      <c r="D58" s="40">
        <v>4.1177630000000001</v>
      </c>
      <c r="E58" s="40">
        <v>-12.736755</v>
      </c>
      <c r="F58" s="40">
        <v>-7.2559889999999996</v>
      </c>
      <c r="G58" s="40">
        <v>6.1760663999999998</v>
      </c>
      <c r="H58" s="40">
        <v>0.70296526000000004</v>
      </c>
      <c r="I58" s="40">
        <v>14.673101000000001</v>
      </c>
      <c r="J58" s="40">
        <v>10.737954999999999</v>
      </c>
      <c r="K58" s="47">
        <v>-2.6347339999999999</v>
      </c>
      <c r="L58" s="47">
        <v>-3.3142507000000001</v>
      </c>
      <c r="M58" s="47">
        <v>-3.4415781000000001</v>
      </c>
      <c r="N58" s="47">
        <v>-9.1293930000000003</v>
      </c>
    </row>
    <row r="59" spans="1:14" x14ac:dyDescent="0.35">
      <c r="A59" s="2">
        <v>43586</v>
      </c>
      <c r="B59" s="40">
        <v>12.045467</v>
      </c>
      <c r="C59" s="40">
        <v>2.9942513000000002</v>
      </c>
      <c r="D59" s="40">
        <v>3.2831073000000002</v>
      </c>
      <c r="E59" s="40">
        <v>-9.3977339999999998</v>
      </c>
      <c r="F59" s="40">
        <v>-7.4199557</v>
      </c>
      <c r="G59" s="40">
        <v>9.0352540000000001</v>
      </c>
      <c r="H59" s="40">
        <v>-3.1853378000000001</v>
      </c>
      <c r="I59" s="40">
        <v>17.075848000000001</v>
      </c>
      <c r="J59" s="40">
        <v>12.273991000000001</v>
      </c>
      <c r="K59" s="47">
        <v>-3.3613563000000002</v>
      </c>
      <c r="L59" s="47">
        <v>0.67793130000000001</v>
      </c>
      <c r="M59" s="47">
        <v>2.4428964</v>
      </c>
      <c r="N59" s="47">
        <v>-12.582577000000001</v>
      </c>
    </row>
    <row r="60" spans="1:14" x14ac:dyDescent="0.35">
      <c r="A60" s="2">
        <v>43616</v>
      </c>
      <c r="B60" s="40">
        <v>8.3908439999999995</v>
      </c>
      <c r="C60" s="40">
        <v>2.2782206999999999</v>
      </c>
      <c r="D60" s="40">
        <v>-2.5461852999999999</v>
      </c>
      <c r="E60" s="40">
        <v>-12.863559</v>
      </c>
      <c r="F60" s="40">
        <v>-10.369987</v>
      </c>
      <c r="G60" s="40">
        <v>10.795748</v>
      </c>
      <c r="H60" s="40">
        <v>-7.9849424000000004</v>
      </c>
      <c r="I60" s="40">
        <v>3.1725525999999999</v>
      </c>
      <c r="J60" s="40">
        <v>3.5804510000000001</v>
      </c>
      <c r="K60" s="47">
        <v>-6.530583</v>
      </c>
      <c r="L60" s="47">
        <v>-3.4216403999999998</v>
      </c>
      <c r="M60" s="47">
        <v>-5.7144345999999997</v>
      </c>
      <c r="N60" s="47">
        <v>-10.836429000000001</v>
      </c>
    </row>
    <row r="61" spans="1:14" x14ac:dyDescent="0.35">
      <c r="A61" s="2">
        <v>43647</v>
      </c>
      <c r="B61" s="40">
        <v>13.318789000000001</v>
      </c>
      <c r="C61" s="40">
        <v>5.4654480000000003</v>
      </c>
      <c r="D61" s="40">
        <v>3.2459497000000002</v>
      </c>
      <c r="E61" s="40">
        <v>-3.6334515000000001</v>
      </c>
      <c r="F61" s="40">
        <v>-2.7872561999999999</v>
      </c>
      <c r="G61" s="40">
        <v>17.309963</v>
      </c>
      <c r="H61" s="40">
        <v>-2.1225274000000001</v>
      </c>
      <c r="I61" s="40">
        <v>11.227119</v>
      </c>
      <c r="J61" s="40">
        <v>11.154997</v>
      </c>
      <c r="K61" s="47">
        <v>3.4568430000000001</v>
      </c>
      <c r="L61" s="47">
        <v>4.8778176000000002</v>
      </c>
      <c r="M61" s="47">
        <v>5.2600860000000003</v>
      </c>
      <c r="N61" s="47">
        <v>-0.71176887</v>
      </c>
    </row>
    <row r="62" spans="1:14" x14ac:dyDescent="0.35">
      <c r="A62" s="2">
        <v>43678</v>
      </c>
      <c r="B62" s="40">
        <v>17.916822</v>
      </c>
      <c r="C62" s="40">
        <v>3.9295197000000002</v>
      </c>
      <c r="D62" s="40">
        <v>-0.46814084</v>
      </c>
      <c r="E62" s="40">
        <v>-11.350573000000001</v>
      </c>
      <c r="F62" s="40">
        <v>-6.1981796999999998</v>
      </c>
      <c r="G62" s="40">
        <v>9.9621060000000003</v>
      </c>
      <c r="H62" s="40">
        <v>-5.7721434</v>
      </c>
      <c r="I62" s="40">
        <v>8.2989809999999995</v>
      </c>
      <c r="J62" s="40">
        <v>7.065785</v>
      </c>
      <c r="K62" s="47">
        <v>-3.2796979999999998</v>
      </c>
      <c r="L62" s="47">
        <v>0.15777350000000001</v>
      </c>
      <c r="M62" s="47">
        <v>-6.7176340000000003</v>
      </c>
      <c r="N62" s="47">
        <v>-3.5432695999999999</v>
      </c>
    </row>
    <row r="63" spans="1:14" x14ac:dyDescent="0.35">
      <c r="A63" s="2">
        <v>43707</v>
      </c>
      <c r="B63" s="40">
        <v>8.1835985000000004</v>
      </c>
      <c r="C63" s="40">
        <v>1.1743425999999999</v>
      </c>
      <c r="D63" s="40">
        <v>-0.84872245999999996</v>
      </c>
      <c r="E63" s="40">
        <v>-12.065733</v>
      </c>
      <c r="F63" s="40">
        <v>-5.6255519999999999</v>
      </c>
      <c r="G63" s="40">
        <v>9.4134445000000007</v>
      </c>
      <c r="H63" s="40">
        <v>-6.363696</v>
      </c>
      <c r="I63" s="40">
        <v>1.4514327</v>
      </c>
      <c r="J63" s="40">
        <v>2.7445555000000001</v>
      </c>
      <c r="K63" s="47">
        <v>-3.6489785000000001</v>
      </c>
      <c r="L63" s="47">
        <v>0.55551530000000005</v>
      </c>
      <c r="M63" s="47">
        <v>-8.8967620000000007</v>
      </c>
      <c r="N63" s="47">
        <v>2.5537372</v>
      </c>
    </row>
    <row r="64" spans="1:14" x14ac:dyDescent="0.35">
      <c r="A64" s="2">
        <v>43739</v>
      </c>
      <c r="B64" s="40">
        <v>10.530996</v>
      </c>
      <c r="C64" s="40">
        <v>5.4053307000000004</v>
      </c>
      <c r="D64" s="40">
        <v>0.51944256</v>
      </c>
      <c r="E64" s="40">
        <v>-8.4267500000000002</v>
      </c>
      <c r="F64" s="40">
        <v>-5.2687939999999998</v>
      </c>
      <c r="G64" s="40">
        <v>9.4600559999999998</v>
      </c>
      <c r="H64" s="40">
        <v>-4.4456778000000003</v>
      </c>
      <c r="I64" s="40">
        <v>1.49647</v>
      </c>
      <c r="J64" s="40">
        <v>2.5282263999999999</v>
      </c>
      <c r="K64" s="47">
        <v>-2.2360861000000001</v>
      </c>
      <c r="L64" s="47">
        <v>6.0174940000000001</v>
      </c>
      <c r="M64" s="47">
        <v>-8.4138760000000001</v>
      </c>
      <c r="N64" s="47">
        <v>4.0397524999999996</v>
      </c>
    </row>
    <row r="65" spans="1:14" x14ac:dyDescent="0.35">
      <c r="A65" s="2">
        <v>43770</v>
      </c>
      <c r="B65" s="40">
        <v>16.605937999999998</v>
      </c>
      <c r="C65" s="40">
        <v>15.247439999999999</v>
      </c>
      <c r="D65" s="40">
        <v>11.176753</v>
      </c>
      <c r="E65" s="40">
        <v>7.1332573999999997</v>
      </c>
      <c r="F65" s="40">
        <v>10.147738</v>
      </c>
      <c r="G65" s="40">
        <v>18.315304000000001</v>
      </c>
      <c r="H65" s="40">
        <v>5.5838704000000003</v>
      </c>
      <c r="I65" s="40">
        <v>16.622340999999999</v>
      </c>
      <c r="J65" s="40">
        <v>14.169002000000001</v>
      </c>
      <c r="K65" s="47">
        <v>12.586821</v>
      </c>
      <c r="L65" s="47">
        <v>16.503869999999999</v>
      </c>
      <c r="M65" s="47">
        <v>10.750556</v>
      </c>
      <c r="N65" s="47">
        <v>19.902920000000002</v>
      </c>
    </row>
    <row r="66" spans="1:14" x14ac:dyDescent="0.35">
      <c r="A66" s="2">
        <v>43798</v>
      </c>
      <c r="B66" s="40">
        <v>20.654178999999999</v>
      </c>
      <c r="C66" s="40">
        <v>15.106928</v>
      </c>
      <c r="D66" s="40">
        <v>14.156378</v>
      </c>
      <c r="E66" s="40">
        <v>9.7975139999999996</v>
      </c>
      <c r="F66" s="40">
        <v>9.3049409999999995</v>
      </c>
      <c r="G66" s="40">
        <v>19.468520999999999</v>
      </c>
      <c r="H66" s="40">
        <v>8.943892</v>
      </c>
      <c r="I66" s="40">
        <v>23.072565000000001</v>
      </c>
      <c r="J66" s="40">
        <v>17.014766999999999</v>
      </c>
      <c r="K66" s="47">
        <v>15.377844</v>
      </c>
      <c r="L66" s="47">
        <v>17.682780000000001</v>
      </c>
      <c r="M66" s="47">
        <v>12.098169</v>
      </c>
      <c r="N66" s="47">
        <v>18.874609</v>
      </c>
    </row>
    <row r="67" spans="1:14" x14ac:dyDescent="0.35">
      <c r="A67" s="2">
        <v>43830</v>
      </c>
      <c r="B67" s="40">
        <v>30.100859</v>
      </c>
      <c r="C67" s="40">
        <v>22.412299999999998</v>
      </c>
      <c r="D67" s="40">
        <v>27.563403999999998</v>
      </c>
      <c r="E67" s="40">
        <v>19.154919</v>
      </c>
      <c r="F67" s="40">
        <v>19.328807999999999</v>
      </c>
      <c r="G67" s="40">
        <v>31.583559000000001</v>
      </c>
      <c r="H67" s="40">
        <v>21.251916999999999</v>
      </c>
      <c r="I67" s="40">
        <v>38.959766000000002</v>
      </c>
      <c r="J67" s="40">
        <v>31.221748000000002</v>
      </c>
      <c r="K67" s="47">
        <v>26.668369999999999</v>
      </c>
      <c r="L67" s="47">
        <v>32.455550000000002</v>
      </c>
      <c r="M67" s="47">
        <v>21.738409999999998</v>
      </c>
      <c r="N67" s="47">
        <v>26.968658000000001</v>
      </c>
    </row>
    <row r="68" spans="1:14" x14ac:dyDescent="0.35">
      <c r="A68" s="2">
        <v>43861</v>
      </c>
      <c r="B68" s="40">
        <v>19.802451999999999</v>
      </c>
      <c r="C68" s="40">
        <v>12.524784</v>
      </c>
      <c r="D68" s="40">
        <v>12.159813</v>
      </c>
      <c r="E68" s="40">
        <v>9.4136830000000007</v>
      </c>
      <c r="F68" s="40">
        <v>8.6337329999999994</v>
      </c>
      <c r="G68" s="40">
        <v>24.781502</v>
      </c>
      <c r="H68" s="40">
        <v>8.1732390000000006</v>
      </c>
      <c r="I68" s="40">
        <v>31.346619</v>
      </c>
      <c r="J68" s="40">
        <v>21.445179</v>
      </c>
      <c r="K68" s="47">
        <v>14.554572</v>
      </c>
      <c r="L68" s="47">
        <v>18.715454000000001</v>
      </c>
      <c r="M68" s="47">
        <v>12.169397</v>
      </c>
      <c r="N68" s="47">
        <v>14.592541000000001</v>
      </c>
    </row>
    <row r="69" spans="1:14" x14ac:dyDescent="0.35">
      <c r="A69" s="2">
        <v>43889</v>
      </c>
      <c r="B69" s="40">
        <v>10.86787</v>
      </c>
      <c r="C69" s="40">
        <v>-1.5908062000000001</v>
      </c>
      <c r="D69" s="40">
        <v>1.3009428999999999</v>
      </c>
      <c r="E69" s="40">
        <v>-1.3237475999999999</v>
      </c>
      <c r="F69" s="40">
        <v>-0.52337049999999996</v>
      </c>
      <c r="G69" s="40">
        <v>11.826515000000001</v>
      </c>
      <c r="H69" s="40">
        <v>-6.1158656999999996</v>
      </c>
      <c r="I69" s="40">
        <v>19.806743999999998</v>
      </c>
      <c r="J69" s="40">
        <v>8.3196049999999993</v>
      </c>
      <c r="K69" s="47">
        <v>1.2282014000000001</v>
      </c>
      <c r="L69" s="47">
        <v>5.6587459999999998</v>
      </c>
      <c r="M69" s="47">
        <v>5.2574395999999997</v>
      </c>
      <c r="N69" s="47">
        <v>4.5457840000000003</v>
      </c>
    </row>
    <row r="70" spans="1:14" x14ac:dyDescent="0.35">
      <c r="A70" s="2">
        <v>43922</v>
      </c>
      <c r="B70" s="40">
        <v>-11.883025999999999</v>
      </c>
      <c r="C70" s="40">
        <v>-28.203845999999999</v>
      </c>
      <c r="D70" s="40">
        <v>-24.075227999999999</v>
      </c>
      <c r="E70" s="40">
        <v>-23.301983</v>
      </c>
      <c r="F70" s="40">
        <v>-13.317442</v>
      </c>
      <c r="G70" s="40">
        <v>-1.0984004000000001</v>
      </c>
      <c r="H70" s="40">
        <v>-29.083770000000001</v>
      </c>
      <c r="I70" s="40">
        <v>1.0036588</v>
      </c>
      <c r="J70" s="40">
        <v>-12.099342999999999</v>
      </c>
      <c r="K70" s="47">
        <v>-23.553688000000001</v>
      </c>
      <c r="L70" s="47">
        <v>-15.505653000000001</v>
      </c>
      <c r="M70" s="47">
        <v>-18.184353000000002</v>
      </c>
      <c r="N70" s="47">
        <v>-26.213062000000001</v>
      </c>
    </row>
    <row r="71" spans="1:14" x14ac:dyDescent="0.35">
      <c r="A71" s="2">
        <v>43952</v>
      </c>
      <c r="B71" s="40">
        <v>-3.4128487000000001</v>
      </c>
      <c r="C71" s="40">
        <v>-22.309726999999999</v>
      </c>
      <c r="D71" s="40">
        <v>-14.37223</v>
      </c>
      <c r="E71" s="40">
        <v>-17.153846999999999</v>
      </c>
      <c r="F71" s="40">
        <v>-5.9912147999999998</v>
      </c>
      <c r="G71" s="40">
        <v>2.9318213000000002</v>
      </c>
      <c r="H71" s="40">
        <v>-23.119800000000001</v>
      </c>
      <c r="I71" s="40">
        <v>13.564264</v>
      </c>
      <c r="J71" s="40">
        <v>-1.084584</v>
      </c>
      <c r="K71" s="47">
        <v>-19.655449000000001</v>
      </c>
      <c r="L71" s="47">
        <v>-9.2314609999999995</v>
      </c>
      <c r="M71" s="47">
        <v>-12.664151</v>
      </c>
      <c r="N71" s="47">
        <v>-23.056608000000001</v>
      </c>
    </row>
    <row r="72" spans="1:14" x14ac:dyDescent="0.35">
      <c r="A72" s="2">
        <v>43983</v>
      </c>
      <c r="B72" s="40">
        <v>6.4344524999999999</v>
      </c>
      <c r="C72" s="40">
        <v>-9.5242679999999993</v>
      </c>
      <c r="D72" s="40">
        <v>-4.0301619999999998</v>
      </c>
      <c r="E72" s="40">
        <v>1.1377811</v>
      </c>
      <c r="F72" s="40">
        <v>8.9430809999999994</v>
      </c>
      <c r="G72" s="40">
        <v>10.114932</v>
      </c>
      <c r="H72" s="40">
        <v>-12.927389</v>
      </c>
      <c r="I72" s="40">
        <v>35.705112</v>
      </c>
      <c r="J72" s="40">
        <v>13.298321</v>
      </c>
      <c r="K72" s="47">
        <v>-6.2262829999999996</v>
      </c>
      <c r="L72" s="47">
        <v>7.9132199999999999</v>
      </c>
      <c r="M72" s="47">
        <v>10.403955</v>
      </c>
      <c r="N72" s="47">
        <v>-7.4087024000000001</v>
      </c>
    </row>
    <row r="73" spans="1:14" x14ac:dyDescent="0.35">
      <c r="A73" s="2">
        <v>44013</v>
      </c>
      <c r="B73" s="40">
        <v>8.8358640000000008</v>
      </c>
      <c r="C73" s="40">
        <v>-10.474181</v>
      </c>
      <c r="D73" s="40">
        <v>-7.5274466999999996</v>
      </c>
      <c r="E73" s="40">
        <v>-2.6582121999999999</v>
      </c>
      <c r="F73" s="40">
        <v>0.98546743000000003</v>
      </c>
      <c r="G73" s="40">
        <v>6.8362474000000004</v>
      </c>
      <c r="H73" s="40">
        <v>-17.505402</v>
      </c>
      <c r="I73" s="40">
        <v>33.417572</v>
      </c>
      <c r="J73" s="40">
        <v>7.1533084000000002</v>
      </c>
      <c r="K73" s="47">
        <v>-9.6893609999999999</v>
      </c>
      <c r="L73" s="47">
        <v>7.1241139999999996</v>
      </c>
      <c r="M73" s="47">
        <v>2.6169896000000001</v>
      </c>
      <c r="N73" s="47">
        <v>-10.5554285</v>
      </c>
    </row>
    <row r="74" spans="1:14" x14ac:dyDescent="0.35">
      <c r="A74" s="2">
        <v>44043</v>
      </c>
      <c r="B74" s="40">
        <v>11.098611999999999</v>
      </c>
      <c r="C74" s="40">
        <v>-8.0361069999999994</v>
      </c>
      <c r="D74" s="40">
        <v>-1.5388965999999999</v>
      </c>
      <c r="E74" s="40">
        <v>6.4303160000000004</v>
      </c>
      <c r="F74" s="40">
        <v>1.9612908</v>
      </c>
      <c r="G74" s="40">
        <v>10.812580000000001</v>
      </c>
      <c r="H74" s="40">
        <v>-15.07954</v>
      </c>
      <c r="I74" s="40">
        <v>40.203667000000003</v>
      </c>
      <c r="J74" s="40">
        <v>12.00403</v>
      </c>
      <c r="K74" s="47">
        <v>-5.3624510000000001</v>
      </c>
      <c r="L74" s="47">
        <v>11.269247</v>
      </c>
      <c r="M74" s="47">
        <v>17.741309999999999</v>
      </c>
      <c r="N74" s="47">
        <v>-6.9082379999999999</v>
      </c>
    </row>
    <row r="75" spans="1:14" x14ac:dyDescent="0.35">
      <c r="A75" s="2">
        <v>44075</v>
      </c>
      <c r="B75" s="40">
        <v>19.612290000000002</v>
      </c>
      <c r="C75" s="40">
        <v>-0.83345769999999997</v>
      </c>
      <c r="D75" s="40">
        <v>4.9327730000000001</v>
      </c>
      <c r="E75" s="40">
        <v>15.939463</v>
      </c>
      <c r="F75" s="40">
        <v>10.057342999999999</v>
      </c>
      <c r="G75" s="40">
        <v>13.424099</v>
      </c>
      <c r="H75" s="40">
        <v>-10.018521</v>
      </c>
      <c r="I75" s="40">
        <v>61.270556999999997</v>
      </c>
      <c r="J75" s="40">
        <v>23.009682000000002</v>
      </c>
      <c r="K75" s="47">
        <v>-8.9997049999999995E-2</v>
      </c>
      <c r="L75" s="47">
        <v>17.750477</v>
      </c>
      <c r="M75" s="47">
        <v>27.538703999999999</v>
      </c>
      <c r="N75" s="47">
        <v>-2.9388665999999999</v>
      </c>
    </row>
    <row r="76" spans="1:14" x14ac:dyDescent="0.35">
      <c r="A76" s="2">
        <v>44105</v>
      </c>
      <c r="B76" s="40">
        <v>15.082228000000001</v>
      </c>
      <c r="C76" s="40">
        <v>-6.3356579999999996</v>
      </c>
      <c r="D76" s="40">
        <v>-1.0892689</v>
      </c>
      <c r="E76" s="40">
        <v>11.166119999999999</v>
      </c>
      <c r="F76" s="40">
        <v>6.6753387000000002</v>
      </c>
      <c r="G76" s="40">
        <v>12.920856000000001</v>
      </c>
      <c r="H76" s="40">
        <v>-15.1188135</v>
      </c>
      <c r="I76" s="40">
        <v>51.845562000000001</v>
      </c>
      <c r="J76" s="40">
        <v>17.195903999999999</v>
      </c>
      <c r="K76" s="47">
        <v>-4.8226060000000004</v>
      </c>
      <c r="L76" s="47">
        <v>14.860714</v>
      </c>
      <c r="M76" s="47">
        <v>25.057316</v>
      </c>
      <c r="N76" s="47">
        <v>-8.6899809999999995</v>
      </c>
    </row>
    <row r="77" spans="1:14" x14ac:dyDescent="0.35">
      <c r="A77" s="2">
        <v>44134</v>
      </c>
      <c r="B77" s="40">
        <v>16.567791</v>
      </c>
      <c r="C77" s="40">
        <v>-9.9287150000000004</v>
      </c>
      <c r="D77" s="40">
        <v>-6.0238360000000002</v>
      </c>
      <c r="E77" s="40">
        <v>-7.2185040000000003</v>
      </c>
      <c r="F77" s="40">
        <v>1.2512684000000001</v>
      </c>
      <c r="G77" s="40">
        <v>2.5479913000000001</v>
      </c>
      <c r="H77" s="40">
        <v>-23.161511999999998</v>
      </c>
      <c r="I77" s="40">
        <v>37.770927</v>
      </c>
      <c r="J77" s="40">
        <v>9.475517</v>
      </c>
      <c r="K77" s="47">
        <v>-14.244759</v>
      </c>
      <c r="L77" s="47">
        <v>6.9336295000000003</v>
      </c>
      <c r="M77" s="47">
        <v>8.1682919999999992</v>
      </c>
      <c r="N77" s="47">
        <v>-19.328779999999998</v>
      </c>
    </row>
    <row r="78" spans="1:14" x14ac:dyDescent="0.35">
      <c r="A78" s="2">
        <v>44166</v>
      </c>
      <c r="B78" s="40">
        <v>23.383700999999999</v>
      </c>
      <c r="C78" s="40">
        <v>5.0529120000000001</v>
      </c>
      <c r="D78" s="40">
        <v>5.1874875999999999</v>
      </c>
      <c r="E78" s="40">
        <v>8.8288189999999993</v>
      </c>
      <c r="F78" s="40">
        <v>12.777089999999999</v>
      </c>
      <c r="G78" s="40">
        <v>12.938141999999999</v>
      </c>
      <c r="H78" s="40">
        <v>-8.75197</v>
      </c>
      <c r="I78" s="40">
        <v>49.063777999999999</v>
      </c>
      <c r="J78" s="40">
        <v>18.741035</v>
      </c>
      <c r="K78" s="47">
        <v>6.3157199999999998</v>
      </c>
      <c r="L78" s="47">
        <v>23.788488000000001</v>
      </c>
      <c r="M78" s="47">
        <v>27.445173</v>
      </c>
      <c r="N78" s="47">
        <v>2.3836613</v>
      </c>
    </row>
    <row r="79" spans="1:14" x14ac:dyDescent="0.35">
      <c r="A79" s="2">
        <v>44196</v>
      </c>
      <c r="B79" s="40">
        <v>20.040130000000001</v>
      </c>
      <c r="C79" s="40">
        <v>8.2654949999999996</v>
      </c>
      <c r="D79" s="40">
        <v>5.5211781999999996</v>
      </c>
      <c r="E79" s="40">
        <v>10.563791</v>
      </c>
      <c r="F79" s="40">
        <v>15.40935</v>
      </c>
      <c r="G79" s="40">
        <v>11.787022</v>
      </c>
      <c r="H79" s="40">
        <v>-11.804508999999999</v>
      </c>
      <c r="I79" s="40">
        <v>48.618769999999998</v>
      </c>
      <c r="J79" s="40">
        <v>18.373214999999998</v>
      </c>
      <c r="K79" s="47">
        <v>2.8523922000000002</v>
      </c>
      <c r="L79" s="47">
        <v>23.225773</v>
      </c>
      <c r="M79" s="47">
        <v>22.261215</v>
      </c>
      <c r="N79" s="47">
        <v>1.6735792</v>
      </c>
    </row>
    <row r="80" spans="1:14" x14ac:dyDescent="0.35">
      <c r="A80" s="2">
        <v>44228</v>
      </c>
      <c r="B80" s="40">
        <v>22.767734999999998</v>
      </c>
      <c r="C80" s="40">
        <v>11.079205</v>
      </c>
      <c r="D80" s="40">
        <v>6.6483020000000002</v>
      </c>
      <c r="E80" s="40">
        <v>13.935339000000001</v>
      </c>
      <c r="F80" s="40">
        <v>18.614827999999999</v>
      </c>
      <c r="G80" s="40">
        <v>10.938585</v>
      </c>
      <c r="H80" s="40">
        <v>-6.9157479999999998</v>
      </c>
      <c r="I80" s="40">
        <v>48.226714999999999</v>
      </c>
      <c r="J80" s="40">
        <v>19.165348000000002</v>
      </c>
      <c r="K80" s="47">
        <v>5.4360390000000001</v>
      </c>
      <c r="L80" s="47">
        <v>33.564067999999999</v>
      </c>
      <c r="M80" s="47">
        <v>30.396498000000001</v>
      </c>
      <c r="N80" s="47">
        <v>1.6683698</v>
      </c>
    </row>
    <row r="81" spans="1:14" x14ac:dyDescent="0.35">
      <c r="A81" s="2">
        <v>44256</v>
      </c>
      <c r="B81" s="40">
        <v>23.280203</v>
      </c>
      <c r="C81" s="40">
        <v>29.048645</v>
      </c>
      <c r="D81" s="40">
        <v>21.916747999999998</v>
      </c>
      <c r="E81" s="40">
        <v>26.704681000000001</v>
      </c>
      <c r="F81" s="40">
        <v>32.514964999999997</v>
      </c>
      <c r="G81" s="40">
        <v>17.489338</v>
      </c>
      <c r="H81" s="40">
        <v>8.1808569999999996</v>
      </c>
      <c r="I81" s="40">
        <v>58.356963999999998</v>
      </c>
      <c r="J81" s="40">
        <v>34.002147999999998</v>
      </c>
      <c r="K81" s="47">
        <v>20.207108000000002</v>
      </c>
      <c r="L81" s="47">
        <v>48.675345999999998</v>
      </c>
      <c r="M81" s="47">
        <v>43.247750000000003</v>
      </c>
      <c r="N81" s="47">
        <v>13.998758</v>
      </c>
    </row>
    <row r="82" spans="1:14" x14ac:dyDescent="0.35">
      <c r="A82" s="2">
        <v>44287</v>
      </c>
      <c r="B82" s="40">
        <v>42.820213000000003</v>
      </c>
      <c r="C82" s="40">
        <v>71.345519999999993</v>
      </c>
      <c r="D82" s="40">
        <v>70.401955000000001</v>
      </c>
      <c r="E82" s="40">
        <v>70.442819999999998</v>
      </c>
      <c r="F82" s="40">
        <v>48.740229999999997</v>
      </c>
      <c r="G82" s="40">
        <v>32.477615</v>
      </c>
      <c r="H82" s="40">
        <v>43.063879999999997</v>
      </c>
      <c r="I82" s="40">
        <v>79.143035999999995</v>
      </c>
      <c r="J82" s="40">
        <v>65.376130000000003</v>
      </c>
      <c r="K82" s="47">
        <v>61.322879999999998</v>
      </c>
      <c r="L82" s="47">
        <v>92.318129999999996</v>
      </c>
      <c r="M82" s="47">
        <v>89.209710000000001</v>
      </c>
      <c r="N82" s="47">
        <v>63.152813000000002</v>
      </c>
    </row>
    <row r="83" spans="1:14" x14ac:dyDescent="0.35">
      <c r="A83" s="2">
        <v>44316</v>
      </c>
      <c r="B83" s="40">
        <v>35.153103000000002</v>
      </c>
      <c r="C83" s="40">
        <v>55.437446999999999</v>
      </c>
      <c r="D83" s="40">
        <v>49.994205000000001</v>
      </c>
      <c r="E83" s="40">
        <v>50.21949</v>
      </c>
      <c r="F83" s="40">
        <v>31.813824</v>
      </c>
      <c r="G83" s="40">
        <v>27.622772000000001</v>
      </c>
      <c r="H83" s="40">
        <v>32.282997000000002</v>
      </c>
      <c r="I83" s="40">
        <v>55.360390000000002</v>
      </c>
      <c r="J83" s="40">
        <v>45.976520000000001</v>
      </c>
      <c r="K83" s="47">
        <v>52.801704000000001</v>
      </c>
      <c r="L83" s="47">
        <v>70.473656000000005</v>
      </c>
      <c r="M83" s="47">
        <v>70.971019999999996</v>
      </c>
      <c r="N83" s="47">
        <v>52.267220000000002</v>
      </c>
    </row>
    <row r="84" spans="1:14" x14ac:dyDescent="0.35">
      <c r="A84" s="2">
        <v>44348</v>
      </c>
      <c r="B84" s="40">
        <v>21.77825</v>
      </c>
      <c r="C84" s="40">
        <v>45.063366000000002</v>
      </c>
      <c r="D84" s="40">
        <v>52.030479999999997</v>
      </c>
      <c r="E84" s="40">
        <v>39.381239999999998</v>
      </c>
      <c r="F84" s="40">
        <v>22.605454999999999</v>
      </c>
      <c r="G84" s="40">
        <v>28.540265999999999</v>
      </c>
      <c r="H84" s="40">
        <v>32.193302000000003</v>
      </c>
      <c r="I84" s="40">
        <v>43.081760000000003</v>
      </c>
      <c r="J84" s="40">
        <v>39.565002</v>
      </c>
      <c r="K84" s="47">
        <v>49.855625000000003</v>
      </c>
      <c r="L84" s="47">
        <v>62.071323</v>
      </c>
      <c r="M84" s="47">
        <v>61.022423000000003</v>
      </c>
      <c r="N84" s="47">
        <v>49.705080000000002</v>
      </c>
    </row>
    <row r="85" spans="1:14" x14ac:dyDescent="0.35">
      <c r="A85" s="2">
        <v>44378</v>
      </c>
      <c r="B85" s="40">
        <v>10.618603</v>
      </c>
      <c r="C85" s="40">
        <v>36.041200000000003</v>
      </c>
      <c r="D85" s="40">
        <v>47.899209999999997</v>
      </c>
      <c r="E85" s="40">
        <v>31.833159999999999</v>
      </c>
      <c r="F85" s="40">
        <v>24.524329999999999</v>
      </c>
      <c r="G85" s="40">
        <v>26.252724000000001</v>
      </c>
      <c r="H85" s="40">
        <v>30.491554000000001</v>
      </c>
      <c r="I85" s="40">
        <v>42.353332999999999</v>
      </c>
      <c r="J85" s="40">
        <v>40.696525999999999</v>
      </c>
      <c r="K85" s="47">
        <v>40.880572999999998</v>
      </c>
      <c r="L85" s="47">
        <v>48.024653999999998</v>
      </c>
      <c r="M85" s="47">
        <v>52.869965000000001</v>
      </c>
      <c r="N85" s="47">
        <v>38.067318</v>
      </c>
    </row>
    <row r="86" spans="1:14" x14ac:dyDescent="0.35">
      <c r="A86" s="2">
        <v>44407</v>
      </c>
      <c r="B86" s="40">
        <v>4.8636556000000004</v>
      </c>
      <c r="C86" s="40">
        <v>29.807459999999999</v>
      </c>
      <c r="D86" s="40">
        <v>38.592753999999999</v>
      </c>
      <c r="E86" s="40">
        <v>23.347795000000001</v>
      </c>
      <c r="F86" s="40">
        <v>21.691776000000001</v>
      </c>
      <c r="G86" s="40">
        <v>23.595858</v>
      </c>
      <c r="H86" s="40">
        <v>27.412486999999999</v>
      </c>
      <c r="I86" s="40">
        <v>40.404235999999997</v>
      </c>
      <c r="J86" s="40">
        <v>37.391089999999998</v>
      </c>
      <c r="K86" s="47">
        <v>36.081634999999999</v>
      </c>
      <c r="L86" s="47">
        <v>46.16245</v>
      </c>
      <c r="M86" s="47">
        <v>43.661667000000001</v>
      </c>
      <c r="N86" s="47">
        <v>31.162034999999999</v>
      </c>
    </row>
    <row r="87" spans="1:14" x14ac:dyDescent="0.35">
      <c r="A87" s="2">
        <v>44440</v>
      </c>
      <c r="B87" s="40">
        <v>8.1785200000000007</v>
      </c>
      <c r="C87" s="40">
        <v>28.888570000000001</v>
      </c>
      <c r="D87" s="40">
        <v>32.472453999999999</v>
      </c>
      <c r="E87" s="40">
        <v>19.801902999999999</v>
      </c>
      <c r="F87" s="40">
        <v>20.822609</v>
      </c>
      <c r="G87" s="40">
        <v>24.216747000000002</v>
      </c>
      <c r="H87" s="40">
        <v>29.239773</v>
      </c>
      <c r="I87" s="40">
        <v>27.613485000000001</v>
      </c>
      <c r="J87" s="40">
        <v>30.057179999999999</v>
      </c>
      <c r="K87" s="47">
        <v>37.136744999999998</v>
      </c>
      <c r="L87" s="47">
        <v>50.878309999999999</v>
      </c>
      <c r="M87" s="47">
        <v>39.740062999999999</v>
      </c>
      <c r="N87" s="47">
        <v>31.992031000000001</v>
      </c>
    </row>
    <row r="88" spans="1:14" x14ac:dyDescent="0.35">
      <c r="A88" s="2">
        <v>44470</v>
      </c>
      <c r="B88" s="40">
        <v>9.7036840000000009</v>
      </c>
      <c r="C88" s="40">
        <v>28.280698999999998</v>
      </c>
      <c r="D88" s="40">
        <v>35.35266</v>
      </c>
      <c r="E88" s="40">
        <v>15.694893</v>
      </c>
      <c r="F88" s="40">
        <v>19.700968</v>
      </c>
      <c r="G88" s="40">
        <v>15.659666</v>
      </c>
      <c r="H88" s="40">
        <v>30.441130000000001</v>
      </c>
      <c r="I88" s="40">
        <v>28.293060000000001</v>
      </c>
      <c r="J88" s="40">
        <v>30.667090999999999</v>
      </c>
      <c r="K88" s="47">
        <v>35.936092000000002</v>
      </c>
      <c r="L88" s="47">
        <v>40.851868000000003</v>
      </c>
      <c r="M88" s="47">
        <v>30.707598000000001</v>
      </c>
      <c r="N88" s="47">
        <v>32.934401999999999</v>
      </c>
    </row>
    <row r="89" spans="1:14" x14ac:dyDescent="0.35">
      <c r="A89" s="2">
        <v>44501</v>
      </c>
      <c r="B89" s="40">
        <v>9.6006630000000008</v>
      </c>
      <c r="C89" s="40">
        <v>36.907887000000002</v>
      </c>
      <c r="D89" s="40">
        <v>52.561985</v>
      </c>
      <c r="E89" s="40">
        <v>33.937218000000001</v>
      </c>
      <c r="F89" s="40">
        <v>20.559215999999999</v>
      </c>
      <c r="G89" s="40">
        <v>32.181705000000001</v>
      </c>
      <c r="H89" s="40">
        <v>43.210709999999999</v>
      </c>
      <c r="I89" s="40">
        <v>44.592379999999999</v>
      </c>
      <c r="J89" s="40">
        <v>42.881836</v>
      </c>
      <c r="K89" s="47">
        <v>51.492820000000002</v>
      </c>
      <c r="L89" s="47">
        <v>55.620646999999998</v>
      </c>
      <c r="M89" s="47">
        <v>47.591827000000002</v>
      </c>
      <c r="N89" s="47">
        <v>52.165733000000003</v>
      </c>
    </row>
    <row r="90" spans="1:14" x14ac:dyDescent="0.35">
      <c r="A90" s="2">
        <v>44531</v>
      </c>
      <c r="B90" s="40">
        <v>-10.967565</v>
      </c>
      <c r="C90" s="40">
        <v>7.0204972999999997</v>
      </c>
      <c r="D90" s="40">
        <v>23.320315999999998</v>
      </c>
      <c r="E90" s="40">
        <v>4.9627065999999997</v>
      </c>
      <c r="F90" s="40">
        <v>1.5442967000000001</v>
      </c>
      <c r="G90" s="40">
        <v>15.427483000000001</v>
      </c>
      <c r="H90" s="40">
        <v>12.472009999999999</v>
      </c>
      <c r="I90" s="40">
        <v>28.251277999999999</v>
      </c>
      <c r="J90" s="40">
        <v>24.826801</v>
      </c>
      <c r="K90" s="47">
        <v>14.315950000000001</v>
      </c>
      <c r="L90" s="47">
        <v>23.36365</v>
      </c>
      <c r="M90" s="47">
        <v>15.657567999999999</v>
      </c>
      <c r="N90" s="47">
        <v>9.8840830000000004</v>
      </c>
    </row>
    <row r="91" spans="1:14" x14ac:dyDescent="0.35">
      <c r="A91" s="2">
        <v>44561</v>
      </c>
      <c r="B91" s="40">
        <v>-11.381138</v>
      </c>
      <c r="C91" s="40">
        <v>8.9503529999999998</v>
      </c>
      <c r="D91" s="40">
        <v>27.000809</v>
      </c>
      <c r="E91" s="40">
        <v>5.8400749999999997</v>
      </c>
      <c r="F91" s="40">
        <v>1.1650205</v>
      </c>
      <c r="G91" s="40">
        <v>20.193804</v>
      </c>
      <c r="H91" s="40">
        <v>18.223583000000001</v>
      </c>
      <c r="I91" s="40">
        <v>27.420341000000001</v>
      </c>
      <c r="J91" s="40">
        <v>28.745068</v>
      </c>
      <c r="K91" s="47">
        <v>21.472895000000001</v>
      </c>
      <c r="L91" s="47">
        <v>22.740162000000002</v>
      </c>
      <c r="M91" s="47">
        <v>22.863029999999998</v>
      </c>
      <c r="N91" s="47">
        <v>14.412093</v>
      </c>
    </row>
    <row r="92" spans="1:14" x14ac:dyDescent="0.35">
      <c r="A92" s="2">
        <v>44593</v>
      </c>
      <c r="B92" s="40">
        <v>-19.52262</v>
      </c>
      <c r="C92" s="40">
        <v>0.6523371</v>
      </c>
      <c r="D92" s="40">
        <v>27.413857</v>
      </c>
      <c r="E92" s="40">
        <v>4.2256830000000001</v>
      </c>
      <c r="F92" s="40">
        <v>-3.3419430000000001</v>
      </c>
      <c r="G92" s="40">
        <v>14.606534999999999</v>
      </c>
      <c r="H92" s="40">
        <v>21.050560000000001</v>
      </c>
      <c r="I92" s="40">
        <v>13.914358</v>
      </c>
      <c r="J92" s="40">
        <v>22.01202</v>
      </c>
      <c r="K92" s="47">
        <v>21.979438999999999</v>
      </c>
      <c r="L92" s="47">
        <v>9.3516460000000006</v>
      </c>
      <c r="M92" s="47">
        <v>9.4305629999999994</v>
      </c>
      <c r="N92" s="47">
        <v>17.459105999999998</v>
      </c>
    </row>
    <row r="93" spans="1:14" x14ac:dyDescent="0.35">
      <c r="A93" s="2">
        <v>44621</v>
      </c>
      <c r="B93" s="40">
        <v>-12.196719999999999</v>
      </c>
      <c r="C93" s="40">
        <v>-1.248604</v>
      </c>
      <c r="D93" s="40">
        <v>16.822899</v>
      </c>
      <c r="E93" s="40">
        <v>-11.447823</v>
      </c>
      <c r="F93" s="40">
        <v>-8.6287020000000005</v>
      </c>
      <c r="G93" s="40">
        <v>10.337329</v>
      </c>
      <c r="H93" s="40">
        <v>11.732578</v>
      </c>
      <c r="I93" s="40">
        <v>6.0406089999999999</v>
      </c>
      <c r="J93" s="40">
        <v>11.855518</v>
      </c>
      <c r="K93" s="47">
        <v>2.8564094999999998</v>
      </c>
      <c r="L93" s="47">
        <v>-7.0072055000000004</v>
      </c>
      <c r="M93" s="47">
        <v>-10.87659</v>
      </c>
      <c r="N93" s="47">
        <v>-2.2232473000000001</v>
      </c>
    </row>
    <row r="94" spans="1:14" x14ac:dyDescent="0.35">
      <c r="A94" s="2">
        <v>44652</v>
      </c>
      <c r="B94" s="40">
        <v>-9.1008479999999992</v>
      </c>
      <c r="C94" s="40">
        <v>11.612690000000001</v>
      </c>
      <c r="D94" s="40">
        <v>18.33539</v>
      </c>
      <c r="E94" s="40">
        <v>-13.5556755</v>
      </c>
      <c r="F94" s="40">
        <v>-8.5726200000000006</v>
      </c>
      <c r="G94" s="40">
        <v>12.176190999999999</v>
      </c>
      <c r="H94" s="40">
        <v>11.945544999999999</v>
      </c>
      <c r="I94" s="40">
        <v>12.023603</v>
      </c>
      <c r="J94" s="40">
        <v>14.555395000000001</v>
      </c>
      <c r="K94" s="47">
        <v>4.6483635999999997</v>
      </c>
      <c r="L94" s="47">
        <v>-8.8384739999999997</v>
      </c>
      <c r="M94" s="47">
        <v>-7.3060749999999999</v>
      </c>
      <c r="N94" s="47">
        <v>-3.3081054999999999</v>
      </c>
    </row>
    <row r="95" spans="1:14" x14ac:dyDescent="0.35">
      <c r="A95" s="2">
        <v>44680</v>
      </c>
      <c r="B95" s="40">
        <v>-21.676349999999999</v>
      </c>
      <c r="C95" s="40">
        <v>-1.8955945999999999</v>
      </c>
      <c r="D95" s="40">
        <v>4.8905015000000001</v>
      </c>
      <c r="E95" s="40">
        <v>-23.921309999999998</v>
      </c>
      <c r="F95" s="40">
        <v>-15.060425</v>
      </c>
      <c r="G95" s="40">
        <v>0.95244645999999999</v>
      </c>
      <c r="H95" s="40">
        <v>2.7083993</v>
      </c>
      <c r="I95" s="40">
        <v>-7.4832020000000004</v>
      </c>
      <c r="J95" s="40">
        <v>-0.61937569999999997</v>
      </c>
      <c r="K95" s="47">
        <v>-8.9852150000000002</v>
      </c>
      <c r="L95" s="47">
        <v>-20.709579999999999</v>
      </c>
      <c r="M95" s="47">
        <v>-20.257550999999999</v>
      </c>
      <c r="N95" s="47">
        <v>-12.383991</v>
      </c>
    </row>
    <row r="96" spans="1:14" x14ac:dyDescent="0.35">
      <c r="A96" s="2">
        <v>44713</v>
      </c>
      <c r="B96" s="40">
        <v>-20.936888</v>
      </c>
      <c r="C96" s="40">
        <v>-3.1271458000000001</v>
      </c>
      <c r="D96" s="40">
        <v>0.90218779999999998</v>
      </c>
      <c r="E96" s="40">
        <v>-23.250447999999999</v>
      </c>
      <c r="F96" s="40">
        <v>-13.684792</v>
      </c>
      <c r="G96" s="40">
        <v>-7.395238</v>
      </c>
      <c r="H96" s="40">
        <v>0.40653943999999997</v>
      </c>
      <c r="I96" s="40">
        <v>-7.6150235999999998</v>
      </c>
      <c r="J96" s="40">
        <v>-1.1088967000000001</v>
      </c>
      <c r="K96" s="47">
        <v>-10.574895</v>
      </c>
      <c r="L96" s="47">
        <v>-21.703403000000002</v>
      </c>
      <c r="M96" s="47">
        <v>-22.623919999999998</v>
      </c>
      <c r="N96" s="47">
        <v>-14.161605</v>
      </c>
    </row>
    <row r="97" spans="1:14" x14ac:dyDescent="0.35">
      <c r="A97" s="2">
        <v>44743</v>
      </c>
      <c r="B97" s="40">
        <v>-25.094341</v>
      </c>
      <c r="C97" s="40">
        <v>-12.843555</v>
      </c>
      <c r="D97" s="40">
        <v>-7.6863109999999999</v>
      </c>
      <c r="E97" s="40">
        <v>-30.947208</v>
      </c>
      <c r="F97" s="40">
        <v>-19.572883999999998</v>
      </c>
      <c r="G97" s="40">
        <v>-13.02101</v>
      </c>
      <c r="H97" s="40">
        <v>-4.9628734999999997</v>
      </c>
      <c r="I97" s="40">
        <v>-19.988828999999999</v>
      </c>
      <c r="J97" s="40">
        <v>-10.165781000000001</v>
      </c>
      <c r="K97" s="47">
        <v>-16.323460000000001</v>
      </c>
      <c r="L97" s="47">
        <v>-26.87679</v>
      </c>
      <c r="M97" s="47">
        <v>-30.431414</v>
      </c>
      <c r="N97" s="47">
        <v>-22.247553</v>
      </c>
    </row>
    <row r="98" spans="1:14" x14ac:dyDescent="0.35">
      <c r="A98" s="2">
        <v>44774</v>
      </c>
      <c r="B98" s="40">
        <v>-17.587101000000001</v>
      </c>
      <c r="C98" s="40">
        <v>-5.6286993000000001</v>
      </c>
      <c r="D98" s="40">
        <v>-4.42943</v>
      </c>
      <c r="E98" s="40">
        <v>-29.000520000000002</v>
      </c>
      <c r="F98" s="40">
        <v>-13.293324999999999</v>
      </c>
      <c r="G98" s="40">
        <v>-11.709975999999999</v>
      </c>
      <c r="H98" s="40">
        <v>-1.3919592000000001</v>
      </c>
      <c r="I98" s="40">
        <v>-13.042909</v>
      </c>
      <c r="J98" s="40">
        <v>-4.9909296000000003</v>
      </c>
      <c r="K98" s="47">
        <v>-12.111276999999999</v>
      </c>
      <c r="L98" s="47">
        <v>-22.880423</v>
      </c>
      <c r="M98" s="47">
        <v>-26.57957</v>
      </c>
      <c r="N98" s="47">
        <v>-20.72044</v>
      </c>
    </row>
    <row r="99" spans="1:14" x14ac:dyDescent="0.35">
      <c r="A99" s="2">
        <v>44805</v>
      </c>
      <c r="B99" s="40">
        <v>-25.11469</v>
      </c>
      <c r="C99" s="40">
        <v>-11.193441999999999</v>
      </c>
      <c r="D99" s="40">
        <v>-9.4100479999999997</v>
      </c>
      <c r="E99" s="40">
        <v>-36.07835</v>
      </c>
      <c r="F99" s="40">
        <v>-22.057342999999999</v>
      </c>
      <c r="G99" s="40">
        <v>-19.716840000000001</v>
      </c>
      <c r="H99" s="40">
        <v>-10.453117000000001</v>
      </c>
      <c r="I99" s="40">
        <v>-20.89405</v>
      </c>
      <c r="J99" s="40">
        <v>-11.007118</v>
      </c>
      <c r="K99" s="47">
        <v>-21.550888</v>
      </c>
      <c r="L99" s="47">
        <v>-36.20993</v>
      </c>
      <c r="M99" s="47">
        <v>-35.397410000000001</v>
      </c>
      <c r="N99" s="47">
        <v>-27.768664999999999</v>
      </c>
    </row>
    <row r="100" spans="1:14" x14ac:dyDescent="0.35">
      <c r="A100" s="2">
        <v>44834</v>
      </c>
      <c r="B100" s="40">
        <v>-31.495863</v>
      </c>
      <c r="C100" s="40">
        <v>-15.423012</v>
      </c>
      <c r="D100" s="40">
        <v>-13.525009000000001</v>
      </c>
      <c r="E100" s="40">
        <v>-37.647525999999999</v>
      </c>
      <c r="F100" s="40">
        <v>-28.85003</v>
      </c>
      <c r="G100" s="40">
        <v>-17.960315999999999</v>
      </c>
      <c r="H100" s="40">
        <v>-14.958173</v>
      </c>
      <c r="I100" s="40">
        <v>-24.874979</v>
      </c>
      <c r="J100" s="40">
        <v>-15.506047000000001</v>
      </c>
      <c r="K100" s="47">
        <v>-23.862099000000001</v>
      </c>
      <c r="L100" s="47">
        <v>-36.88223</v>
      </c>
      <c r="M100" s="47">
        <v>-35.51764</v>
      </c>
      <c r="N100" s="47">
        <v>-28.987461</v>
      </c>
    </row>
    <row r="101" spans="1:14" x14ac:dyDescent="0.35">
      <c r="A101" s="2">
        <v>44866</v>
      </c>
      <c r="B101" s="40">
        <v>-29.326730000000001</v>
      </c>
      <c r="C101" s="40">
        <v>-15.076655000000001</v>
      </c>
      <c r="D101" s="40">
        <v>-14.632678</v>
      </c>
      <c r="E101" s="40">
        <v>-33.131439999999998</v>
      </c>
      <c r="F101" s="40">
        <v>-25.769687999999999</v>
      </c>
      <c r="G101" s="40">
        <v>-21.115791000000002</v>
      </c>
      <c r="H101" s="40">
        <v>-12.435121000000001</v>
      </c>
      <c r="I101" s="40">
        <v>-28.550661000000002</v>
      </c>
      <c r="J101" s="40">
        <v>-15.1482525</v>
      </c>
      <c r="K101" s="47">
        <v>-20.146221000000001</v>
      </c>
      <c r="L101" s="47">
        <v>-35.933556000000003</v>
      </c>
      <c r="M101" s="47">
        <v>-34.799160000000001</v>
      </c>
      <c r="N101" s="47">
        <v>-25.339448999999998</v>
      </c>
    </row>
    <row r="102" spans="1:14" x14ac:dyDescent="0.35">
      <c r="A102" s="2">
        <v>44896</v>
      </c>
      <c r="B102" s="40">
        <v>-12.834883</v>
      </c>
      <c r="C102" s="40">
        <v>4.6986220000000003</v>
      </c>
      <c r="D102" s="40">
        <v>-1.9649445999999999</v>
      </c>
      <c r="E102" s="40">
        <v>-16.276062</v>
      </c>
      <c r="F102" s="40">
        <v>-12.878375999999999</v>
      </c>
      <c r="G102" s="40">
        <v>-9.3577329999999996</v>
      </c>
      <c r="H102" s="40">
        <v>4.672301</v>
      </c>
      <c r="I102" s="40">
        <v>-23.656326</v>
      </c>
      <c r="J102" s="40">
        <v>-8.2000489999999999</v>
      </c>
      <c r="K102" s="47">
        <v>-4.2354107000000001</v>
      </c>
      <c r="L102" s="47">
        <v>-17.838298999999999</v>
      </c>
      <c r="M102" s="47">
        <v>-18.423956</v>
      </c>
      <c r="N102" s="47">
        <v>-6.5178099999999999</v>
      </c>
    </row>
    <row r="103" spans="1:14" x14ac:dyDescent="0.35">
      <c r="A103" s="2">
        <v>44925</v>
      </c>
      <c r="B103" s="40">
        <v>-16.554832000000001</v>
      </c>
      <c r="C103" s="40">
        <v>-6.4979553000000001</v>
      </c>
      <c r="D103" s="40">
        <v>-12.537366</v>
      </c>
      <c r="E103" s="40">
        <v>-22.198813999999999</v>
      </c>
      <c r="F103" s="40">
        <v>-17.658394000000001</v>
      </c>
      <c r="G103" s="40">
        <v>-18.951529000000001</v>
      </c>
      <c r="H103" s="40">
        <v>-4.3751119999999997</v>
      </c>
      <c r="I103" s="40">
        <v>-32.999577000000002</v>
      </c>
      <c r="J103" s="40">
        <v>-18.377907</v>
      </c>
      <c r="K103" s="47">
        <v>-11.827093</v>
      </c>
      <c r="L103" s="47">
        <v>-24.333632000000001</v>
      </c>
      <c r="M103" s="47">
        <v>-27.927637000000001</v>
      </c>
      <c r="N103" s="47">
        <v>-13.940644000000001</v>
      </c>
    </row>
    <row r="104" spans="1:14" x14ac:dyDescent="0.35">
      <c r="A104" s="2">
        <v>44958</v>
      </c>
      <c r="B104" s="40">
        <v>0.78450439999999999</v>
      </c>
      <c r="C104" s="40">
        <v>14.150536000000001</v>
      </c>
      <c r="D104" s="40">
        <v>-5.3178014999999998</v>
      </c>
      <c r="E104" s="40">
        <v>-8.8855979999999999</v>
      </c>
      <c r="F104" s="40">
        <v>-7.0545254000000002</v>
      </c>
      <c r="G104" s="40">
        <v>-7.2416725</v>
      </c>
      <c r="H104" s="40">
        <v>-1.4645457</v>
      </c>
      <c r="I104" s="40">
        <v>-17.068650000000002</v>
      </c>
      <c r="J104" s="40">
        <v>-7.8301610000000004</v>
      </c>
      <c r="K104" s="47">
        <v>0.47037600000000002</v>
      </c>
      <c r="L104" s="47">
        <v>-5.9868693000000004</v>
      </c>
      <c r="M104" s="47">
        <v>-13.506544</v>
      </c>
      <c r="N104" s="47">
        <v>-2.4487138000000002</v>
      </c>
    </row>
    <row r="105" spans="1:14" x14ac:dyDescent="0.35">
      <c r="A105" s="2">
        <v>44986</v>
      </c>
      <c r="B105" s="40">
        <v>-8.1966819999999991</v>
      </c>
      <c r="C105" s="40">
        <v>1.8449187</v>
      </c>
      <c r="D105" s="40">
        <v>-7.1674290000000003</v>
      </c>
      <c r="E105" s="40">
        <v>1.1399387999999999</v>
      </c>
      <c r="F105" s="40">
        <v>-8.6599710000000005</v>
      </c>
      <c r="G105" s="40">
        <v>-6.6531539999999998</v>
      </c>
      <c r="H105" s="40">
        <v>1.7001866999999999</v>
      </c>
      <c r="I105" s="40">
        <v>-14.100187999999999</v>
      </c>
      <c r="J105" s="40">
        <v>-6.7021666</v>
      </c>
      <c r="K105" s="47">
        <v>11.609734</v>
      </c>
      <c r="L105" s="47">
        <v>1.3701677000000001</v>
      </c>
      <c r="M105" s="47">
        <v>0.52289960000000002</v>
      </c>
      <c r="N105" s="47">
        <v>8.6195470000000007</v>
      </c>
    </row>
    <row r="106" spans="1:14" x14ac:dyDescent="0.35">
      <c r="A106" s="2">
        <v>45016</v>
      </c>
      <c r="B106" s="40">
        <v>-7.7160653999999997</v>
      </c>
      <c r="C106" s="40">
        <v>-8.7321279999999994</v>
      </c>
      <c r="D106" s="40">
        <v>-13.114768</v>
      </c>
      <c r="E106" s="40">
        <v>3.3809423000000001</v>
      </c>
      <c r="F106" s="40">
        <v>-3.5937606999999998</v>
      </c>
      <c r="G106" s="40">
        <v>-5.8153686999999996</v>
      </c>
      <c r="H106" s="40">
        <v>-0.88037849999999995</v>
      </c>
      <c r="I106" s="40">
        <v>-10.799913999999999</v>
      </c>
      <c r="J106" s="40">
        <v>-7.8076067</v>
      </c>
      <c r="K106" s="47">
        <v>10.544371999999999</v>
      </c>
      <c r="L106" s="47">
        <v>1.6252040999999999</v>
      </c>
      <c r="M106" s="47">
        <v>-5.3338823</v>
      </c>
      <c r="N106" s="47">
        <v>7.8078269999999996</v>
      </c>
    </row>
    <row r="107" spans="1:14" x14ac:dyDescent="0.35">
      <c r="A107" s="2">
        <v>45047</v>
      </c>
      <c r="B107" s="40">
        <v>1.2282014000000001</v>
      </c>
      <c r="C107" s="40">
        <v>-1.3067663</v>
      </c>
      <c r="D107" s="40">
        <v>-3.0558705000000002</v>
      </c>
      <c r="E107" s="40">
        <v>16.686582999999999</v>
      </c>
      <c r="F107" s="40">
        <v>5.0456523999999998</v>
      </c>
      <c r="G107" s="40">
        <v>5.7568191999999998</v>
      </c>
      <c r="H107" s="40">
        <v>8.2237010000000001</v>
      </c>
      <c r="I107" s="40">
        <v>3.6410809</v>
      </c>
      <c r="J107" s="40">
        <v>2.5733470000000001</v>
      </c>
      <c r="K107" s="47">
        <v>24.110603000000001</v>
      </c>
      <c r="L107" s="47">
        <v>12.097609</v>
      </c>
      <c r="M107" s="47">
        <v>7.0849656999999997</v>
      </c>
      <c r="N107" s="47">
        <v>20.905268</v>
      </c>
    </row>
    <row r="108" spans="1:14" x14ac:dyDescent="0.35">
      <c r="A108" s="2">
        <v>45078</v>
      </c>
      <c r="B108" s="40">
        <v>2.4409055999999998</v>
      </c>
      <c r="C108" s="40">
        <v>-4.9970683999999999</v>
      </c>
      <c r="D108" s="40">
        <v>-8.671284</v>
      </c>
      <c r="E108" s="40">
        <v>8.5483670000000007</v>
      </c>
      <c r="F108" s="40">
        <v>6.8221927000000004</v>
      </c>
      <c r="G108" s="40">
        <v>6.7991137999999998</v>
      </c>
      <c r="H108" s="40">
        <v>2.0957707999999999</v>
      </c>
      <c r="I108" s="40">
        <v>15.9163</v>
      </c>
      <c r="J108" s="40">
        <v>4.7437310000000004</v>
      </c>
      <c r="K108" s="47">
        <v>14.2774105</v>
      </c>
      <c r="L108" s="47">
        <v>11.605274</v>
      </c>
      <c r="M108" s="47">
        <v>-0.48292279999999999</v>
      </c>
      <c r="N108" s="47">
        <v>12.229310999999999</v>
      </c>
    </row>
    <row r="109" spans="1:14" x14ac:dyDescent="0.35">
      <c r="A109" s="2">
        <v>45107</v>
      </c>
      <c r="B109" s="40">
        <v>11.783588</v>
      </c>
      <c r="C109" s="40">
        <v>10.292578000000001</v>
      </c>
      <c r="D109" s="40">
        <v>6.4713120000000002</v>
      </c>
      <c r="E109" s="40">
        <v>27.615653999999999</v>
      </c>
      <c r="F109" s="40">
        <v>18.257701999999998</v>
      </c>
      <c r="G109" s="40">
        <v>13.766885</v>
      </c>
      <c r="H109" s="40">
        <v>11.721849000000001</v>
      </c>
      <c r="I109" s="40">
        <v>32.745910000000002</v>
      </c>
      <c r="J109" s="40">
        <v>19.439352</v>
      </c>
      <c r="K109" s="47">
        <v>31.734324000000001</v>
      </c>
      <c r="L109" s="47">
        <v>25.603724</v>
      </c>
      <c r="M109" s="47">
        <v>16.986834999999999</v>
      </c>
      <c r="N109" s="47">
        <v>37.464260000000003</v>
      </c>
    </row>
    <row r="110" spans="1:14" x14ac:dyDescent="0.35">
      <c r="A110" s="2">
        <v>45139</v>
      </c>
      <c r="B110" s="40">
        <v>2.4325966999999999</v>
      </c>
      <c r="C110" s="40">
        <v>4.5637489999999996</v>
      </c>
      <c r="D110" s="40">
        <v>4.4198750000000002</v>
      </c>
      <c r="E110" s="40">
        <v>26.022648</v>
      </c>
      <c r="F110" s="40">
        <v>11.223316000000001</v>
      </c>
      <c r="G110" s="40">
        <v>11.065245000000001</v>
      </c>
      <c r="H110" s="40">
        <v>10.533177999999999</v>
      </c>
      <c r="I110" s="40">
        <v>22.28434</v>
      </c>
      <c r="J110" s="40">
        <v>12.959194</v>
      </c>
      <c r="K110" s="47">
        <v>24.542725000000001</v>
      </c>
      <c r="L110" s="47">
        <v>19.310580999999999</v>
      </c>
      <c r="M110" s="47">
        <v>6.1873794000000002</v>
      </c>
      <c r="N110" s="47">
        <v>39.615749999999998</v>
      </c>
    </row>
    <row r="111" spans="1:14" x14ac:dyDescent="0.35">
      <c r="A111" s="2">
        <v>45170</v>
      </c>
      <c r="B111" s="40">
        <v>-0.37047267</v>
      </c>
      <c r="C111" s="40">
        <v>6.2711595999999998</v>
      </c>
      <c r="D111" s="40">
        <v>7.3082805000000004</v>
      </c>
      <c r="E111" s="40">
        <v>31.744062</v>
      </c>
      <c r="F111" s="40">
        <v>18.256546</v>
      </c>
      <c r="G111" s="40">
        <v>17.080784000000001</v>
      </c>
      <c r="H111" s="40">
        <v>16.719936000000001</v>
      </c>
      <c r="I111" s="40">
        <v>27.016926000000002</v>
      </c>
      <c r="J111" s="40">
        <v>15.691757000000001</v>
      </c>
      <c r="K111" s="47">
        <v>31.388390000000001</v>
      </c>
      <c r="L111" s="47">
        <v>25.123346000000002</v>
      </c>
      <c r="M111" s="47">
        <v>13.631629999999999</v>
      </c>
      <c r="N111" s="47">
        <v>44.340862000000001</v>
      </c>
    </row>
    <row r="112" spans="1:14" x14ac:dyDescent="0.35">
      <c r="A112" s="2">
        <v>45198</v>
      </c>
      <c r="B112" s="40">
        <v>6.8717240000000004</v>
      </c>
      <c r="C112" s="40">
        <v>11.623466499999999</v>
      </c>
      <c r="D112" s="40">
        <v>10.333061000000001</v>
      </c>
      <c r="E112" s="40">
        <v>36.277664000000001</v>
      </c>
      <c r="F112" s="40">
        <v>23.529387</v>
      </c>
      <c r="G112" s="40">
        <v>18.447541999999999</v>
      </c>
      <c r="H112" s="40">
        <v>25.046766000000002</v>
      </c>
      <c r="I112" s="40">
        <v>32.677100000000003</v>
      </c>
      <c r="J112" s="40">
        <v>19.705069000000002</v>
      </c>
      <c r="K112" s="47">
        <v>36.307969999999997</v>
      </c>
      <c r="L112" s="47">
        <v>26.503312999999999</v>
      </c>
      <c r="M112" s="47">
        <v>23.174189999999999</v>
      </c>
      <c r="N112" s="47">
        <v>47.208331999999999</v>
      </c>
    </row>
    <row r="113" spans="1:14" x14ac:dyDescent="0.35">
      <c r="A113" s="2">
        <v>45231</v>
      </c>
      <c r="B113" s="40">
        <v>-1.7025410999999999</v>
      </c>
      <c r="C113" s="40">
        <v>4.3309093000000001</v>
      </c>
      <c r="D113" s="40">
        <v>-0.88368060000000004</v>
      </c>
      <c r="E113" s="40">
        <v>18.585598000000001</v>
      </c>
      <c r="F113" s="40">
        <v>20.165980000000001</v>
      </c>
      <c r="G113" s="40">
        <v>11.149478</v>
      </c>
      <c r="H113" s="40">
        <v>11.786186000000001</v>
      </c>
      <c r="I113" s="40">
        <v>30.63513</v>
      </c>
      <c r="J113" s="40">
        <v>11.666859000000001</v>
      </c>
      <c r="K113" s="47">
        <v>18.639541999999999</v>
      </c>
      <c r="L113" s="47">
        <v>16.314637999999999</v>
      </c>
      <c r="M113" s="47">
        <v>6.1232924000000004</v>
      </c>
      <c r="N113" s="47">
        <v>29.168737</v>
      </c>
    </row>
    <row r="114" spans="1:14" x14ac:dyDescent="0.35">
      <c r="A114" s="2">
        <v>45261</v>
      </c>
      <c r="B114" s="40">
        <v>-3.4580410000000001</v>
      </c>
      <c r="C114" s="40">
        <v>0.28856992999999997</v>
      </c>
      <c r="D114" s="40">
        <v>2.7166486000000001</v>
      </c>
      <c r="E114" s="40">
        <v>15.437115</v>
      </c>
      <c r="F114" s="40">
        <v>13.559495999999999</v>
      </c>
      <c r="G114" s="40">
        <v>7.7215195000000003</v>
      </c>
      <c r="H114" s="40">
        <v>6.9146633</v>
      </c>
      <c r="I114" s="40">
        <v>33.662964000000002</v>
      </c>
      <c r="J114" s="40">
        <v>14.487909999999999</v>
      </c>
      <c r="K114" s="47">
        <v>13.988113</v>
      </c>
      <c r="L114" s="47">
        <v>9.5671649999999993</v>
      </c>
      <c r="M114" s="47">
        <v>7.8098179999999999</v>
      </c>
      <c r="N114" s="47">
        <v>23.165834</v>
      </c>
    </row>
    <row r="115" spans="1:14" x14ac:dyDescent="0.35">
      <c r="A115" s="2">
        <v>45289</v>
      </c>
      <c r="B115" s="40">
        <v>1.6126632999999999</v>
      </c>
      <c r="C115" s="40">
        <v>13.248480000000001</v>
      </c>
      <c r="D115" s="40">
        <v>13.87651</v>
      </c>
      <c r="E115" s="40">
        <v>21.783829000000001</v>
      </c>
      <c r="F115" s="40">
        <v>19.378971</v>
      </c>
      <c r="G115" s="40">
        <v>15.962481500000001</v>
      </c>
      <c r="H115" s="40">
        <v>11.871648</v>
      </c>
      <c r="I115" s="40">
        <v>54.759644000000002</v>
      </c>
      <c r="J115" s="40">
        <v>25.857161999999999</v>
      </c>
      <c r="K115" s="47">
        <v>20.348692</v>
      </c>
      <c r="L115" s="47">
        <v>20.292355000000001</v>
      </c>
      <c r="M115" s="47">
        <v>23.231815000000001</v>
      </c>
      <c r="N115" s="47">
        <v>28.84742</v>
      </c>
    </row>
    <row r="116" spans="1:14" x14ac:dyDescent="0.35">
      <c r="A116" s="2">
        <v>45323</v>
      </c>
      <c r="B116" s="40">
        <v>-8.2204639999999998</v>
      </c>
      <c r="C116" s="40">
        <v>-1.7233372</v>
      </c>
      <c r="D116" s="40">
        <v>4.5898914</v>
      </c>
      <c r="E116" s="40">
        <v>6.2819839999999996</v>
      </c>
      <c r="F116" s="40">
        <v>16.090261000000002</v>
      </c>
      <c r="G116" s="40">
        <v>7.6191544999999996</v>
      </c>
      <c r="H116" s="40">
        <v>4.608536</v>
      </c>
      <c r="I116" s="40">
        <v>41.162680000000002</v>
      </c>
      <c r="J116" s="40">
        <v>20.907843</v>
      </c>
      <c r="K116" s="47">
        <v>7.3084116000000003</v>
      </c>
      <c r="L116" s="47">
        <v>8.7494370000000004</v>
      </c>
      <c r="M116" s="47">
        <v>8.4818840000000009</v>
      </c>
      <c r="N116" s="47">
        <v>14.8184185</v>
      </c>
    </row>
    <row r="117" spans="1:14" x14ac:dyDescent="0.35">
      <c r="A117" s="2">
        <v>45352</v>
      </c>
      <c r="B117" s="40">
        <v>-5.1403639999999999</v>
      </c>
      <c r="C117" s="40">
        <v>8.9434740000000001</v>
      </c>
      <c r="D117" s="40">
        <v>10.971807999999999</v>
      </c>
      <c r="E117" s="40">
        <v>15.048527999999999</v>
      </c>
      <c r="F117" s="40">
        <v>28.189934000000001</v>
      </c>
      <c r="G117" s="40">
        <v>10.989261000000001</v>
      </c>
      <c r="H117" s="40">
        <v>5.7022095000000004</v>
      </c>
      <c r="I117" s="40">
        <v>54.079757999999998</v>
      </c>
      <c r="J117" s="40">
        <v>31.909966000000001</v>
      </c>
      <c r="K117" s="47">
        <v>12.643003</v>
      </c>
      <c r="L117" s="47">
        <v>19.980967</v>
      </c>
      <c r="M117" s="47">
        <v>16.017925000000002</v>
      </c>
      <c r="N117" s="47">
        <v>23.607481</v>
      </c>
    </row>
    <row r="118" spans="1:14" x14ac:dyDescent="0.35">
      <c r="A118" s="2">
        <v>45383</v>
      </c>
      <c r="B118" s="40">
        <v>-6.9327889999999996</v>
      </c>
      <c r="C118" s="40">
        <v>11.423742000000001</v>
      </c>
      <c r="D118" s="40">
        <v>14.491725000000001</v>
      </c>
      <c r="E118" s="40">
        <v>14.557195</v>
      </c>
      <c r="F118" s="40">
        <v>22.292973</v>
      </c>
      <c r="G118" s="40">
        <v>7.0052624000000003</v>
      </c>
      <c r="H118" s="40">
        <v>10.237741</v>
      </c>
      <c r="I118" s="40">
        <v>39.566803</v>
      </c>
      <c r="J118" s="40">
        <v>29.403841</v>
      </c>
      <c r="K118" s="47">
        <v>12.6472</v>
      </c>
      <c r="L118" s="47">
        <v>20.37679</v>
      </c>
      <c r="M118" s="47">
        <v>14.636588</v>
      </c>
      <c r="N118" s="47">
        <v>28.361737999999999</v>
      </c>
    </row>
    <row r="119" spans="1:14" x14ac:dyDescent="0.35">
      <c r="A119" s="2">
        <v>45413</v>
      </c>
      <c r="B119" s="40">
        <v>-8.6816790000000008</v>
      </c>
      <c r="C119" s="40">
        <v>5.4318786000000001</v>
      </c>
      <c r="D119" s="40">
        <v>7.6342819999999998</v>
      </c>
      <c r="E119" s="40">
        <v>6.1029790000000004</v>
      </c>
      <c r="F119" s="40">
        <v>16.617954000000001</v>
      </c>
      <c r="G119" s="40">
        <v>-3.7932277000000001</v>
      </c>
      <c r="H119" s="40">
        <v>6.6638349999999997</v>
      </c>
      <c r="I119" s="40">
        <v>31.700468000000001</v>
      </c>
      <c r="J119" s="40">
        <v>22.172440000000002</v>
      </c>
      <c r="K119" s="47">
        <v>3.7074566</v>
      </c>
      <c r="L119" s="47">
        <v>14.757323</v>
      </c>
      <c r="M119" s="47">
        <v>6.2472342999999997</v>
      </c>
      <c r="N119" s="47">
        <v>19.520949999999999</v>
      </c>
    </row>
    <row r="120" spans="1:14" x14ac:dyDescent="0.35">
      <c r="A120" s="2">
        <v>45443</v>
      </c>
      <c r="B120" s="40">
        <v>0.87560415000000003</v>
      </c>
      <c r="C120" s="40">
        <v>17.20804</v>
      </c>
      <c r="D120" s="40">
        <v>17.781807000000001</v>
      </c>
      <c r="E120" s="40">
        <v>17.734300000000001</v>
      </c>
      <c r="F120" s="40">
        <v>18.69886</v>
      </c>
      <c r="G120" s="40">
        <v>8.6311099999999996</v>
      </c>
      <c r="H120" s="40">
        <v>18.739557000000001</v>
      </c>
      <c r="I120" s="40">
        <v>30.380201</v>
      </c>
      <c r="J120" s="40">
        <v>28.048897</v>
      </c>
      <c r="K120" s="47">
        <v>15.972780999999999</v>
      </c>
      <c r="L120" s="47">
        <v>24.561859999999999</v>
      </c>
      <c r="M120" s="47">
        <v>25.117730999999999</v>
      </c>
      <c r="N120" s="47">
        <v>35.730063999999999</v>
      </c>
    </row>
    <row r="121" spans="1:14" x14ac:dyDescent="0.35">
      <c r="A121" s="2">
        <v>45474</v>
      </c>
      <c r="B121" s="40">
        <v>-5.2431939999999999</v>
      </c>
      <c r="C121" s="40">
        <v>12.308418</v>
      </c>
      <c r="D121" s="40">
        <v>7.9954386</v>
      </c>
      <c r="E121" s="40">
        <v>10.326815</v>
      </c>
      <c r="F121" s="40">
        <v>11.888957</v>
      </c>
      <c r="G121" s="40">
        <v>6.3177466000000004</v>
      </c>
      <c r="H121" s="40">
        <v>12.269556</v>
      </c>
      <c r="I121" s="40">
        <v>31.352042999999998</v>
      </c>
      <c r="J121" s="40">
        <v>24.754059000000002</v>
      </c>
      <c r="K121" s="47">
        <v>2.3212790000000001</v>
      </c>
      <c r="L121" s="47">
        <v>18.770932999999999</v>
      </c>
      <c r="M121" s="47">
        <v>18.61279</v>
      </c>
      <c r="N121" s="47">
        <v>18.863700000000001</v>
      </c>
    </row>
    <row r="122" spans="1:14" x14ac:dyDescent="0.35">
      <c r="A122" s="2">
        <v>45505</v>
      </c>
      <c r="B122">
        <v>-3.6734461999999999</v>
      </c>
      <c r="C122">
        <v>11.000835</v>
      </c>
      <c r="D122">
        <v>9.3026750000000007</v>
      </c>
      <c r="E122">
        <v>7.6132774000000003</v>
      </c>
      <c r="F122">
        <v>10.122978</v>
      </c>
      <c r="G122">
        <v>8.3247780000000002</v>
      </c>
      <c r="H122">
        <v>12.6791</v>
      </c>
      <c r="I122">
        <v>20.908950000000001</v>
      </c>
      <c r="J122">
        <v>20.62894</v>
      </c>
      <c r="K122" s="47">
        <v>-0.26054381999999998</v>
      </c>
      <c r="L122" s="47">
        <v>9.7571010000000005</v>
      </c>
      <c r="M122" s="47">
        <v>15.663338</v>
      </c>
      <c r="N122" s="47">
        <v>13.086033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-31.495863</v>
      </c>
      <c r="C126" s="40" cm="1">
        <f t="array" ref="C126">MIN(_xlfn._xlws.FILTER(C2:C122, ISNUMBER(C2:C122)))</f>
        <v>-30.731922000000001</v>
      </c>
      <c r="D126" s="40" cm="1">
        <f t="array" ref="D126">MIN(_xlfn._xlws.FILTER(D2:D122, ISNUMBER(D2:D122)))</f>
        <v>-26.938766000000001</v>
      </c>
      <c r="E126" s="40" cm="1">
        <f t="array" ref="E126">MIN(_xlfn._xlws.FILTER(E2:E122, ISNUMBER(E2:E122)))</f>
        <v>-37.647525999999999</v>
      </c>
      <c r="F126" s="40" cm="1">
        <f t="array" ref="F126">MIN(_xlfn._xlws.FILTER(F2:F122, ISNUMBER(F2:F122)))</f>
        <v>-28.85003</v>
      </c>
      <c r="G126" s="40" cm="1">
        <f t="array" ref="G126">MIN(_xlfn._xlws.FILTER(G2:G122, ISNUMBER(G2:G122)))</f>
        <v>-21.115791000000002</v>
      </c>
      <c r="H126" s="40" cm="1">
        <f t="array" ref="H126">MIN(_xlfn._xlws.FILTER(H2:H122, ISNUMBER(H2:H122)))</f>
        <v>-29.083770000000001</v>
      </c>
      <c r="I126" s="40" cm="1">
        <f t="array" ref="I126">MIN(_xlfn._xlws.FILTER(I2:I122, ISNUMBER(I2:I122)))</f>
        <v>-32.999577000000002</v>
      </c>
      <c r="J126" s="40" cm="1">
        <f t="array" ref="J126">MIN(_xlfn._xlws.FILTER(J2:J122, ISNUMBER(J2:J122)))</f>
        <v>-18.377907</v>
      </c>
      <c r="K126" s="40" cm="1">
        <f t="array" ref="K126">MIN(_xlfn._xlws.FILTER(K2:K122, ISNUMBER(K2:K122)))</f>
        <v>-23.862099000000001</v>
      </c>
      <c r="L126" s="40" cm="1">
        <f t="array" ref="L126">MIN(_xlfn._xlws.FILTER(L2:L122, ISNUMBER(L2:L122)))</f>
        <v>-36.88223</v>
      </c>
      <c r="M126" s="40" cm="1">
        <f t="array" ref="M126">MIN(_xlfn._xlws.FILTER(M2:M122, ISNUMBER(M2:M122)))</f>
        <v>-35.51764</v>
      </c>
      <c r="N126" s="40" cm="1">
        <f t="array" ref="N126">MIN(_xlfn._xlws.FILTER(N2:N122, ISNUMBER(N2:N122)))</f>
        <v>-28.987461</v>
      </c>
    </row>
    <row r="127" spans="1:14" x14ac:dyDescent="0.35">
      <c r="A127" s="2" t="s">
        <v>393</v>
      </c>
      <c r="B127" s="42" cm="1">
        <f t="array" ref="B127">MAX(_xlfn._xlws.FILTER(B1:B122, ISNUMBER(B1:B122)))</f>
        <v>52.981969999999997</v>
      </c>
      <c r="C127" s="42" cm="1">
        <f t="array" ref="C127">MAX(_xlfn._xlws.FILTER(C1:C122, ISNUMBER(C1:C122)))</f>
        <v>71.345519999999993</v>
      </c>
      <c r="D127" s="42" cm="1">
        <f t="array" ref="D127">MAX(_xlfn._xlws.FILTER(D1:D122, ISNUMBER(D1:D122)))</f>
        <v>70.401955000000001</v>
      </c>
      <c r="E127" s="42" cm="1">
        <f t="array" ref="E127">MAX(_xlfn._xlws.FILTER(E1:E122, ISNUMBER(E1:E122)))</f>
        <v>70.442819999999998</v>
      </c>
      <c r="F127" s="42" cm="1">
        <f t="array" ref="F127">MAX(_xlfn._xlws.FILTER(F1:F122, ISNUMBER(F1:F122)))</f>
        <v>48.740229999999997</v>
      </c>
      <c r="G127" s="42" cm="1">
        <f t="array" ref="G127">MAX(_xlfn._xlws.FILTER(G1:G122, ISNUMBER(G1:G122)))</f>
        <v>32.477615</v>
      </c>
      <c r="H127" s="42" cm="1">
        <f t="array" ref="H127">MAX(_xlfn._xlws.FILTER(H1:H122, ISNUMBER(H1:H122)))</f>
        <v>43.210709999999999</v>
      </c>
      <c r="I127" s="42" cm="1">
        <f t="array" ref="I127">MAX(_xlfn._xlws.FILTER(I1:I122, ISNUMBER(I1:I122)))</f>
        <v>79.143035999999995</v>
      </c>
      <c r="J127" s="42" cm="1">
        <f t="array" ref="J127">MAX(_xlfn._xlws.FILTER(J1:J122, ISNUMBER(J1:J122)))</f>
        <v>65.376130000000003</v>
      </c>
      <c r="K127" s="42" cm="1">
        <f t="array" ref="K127">MAX(_xlfn._xlws.FILTER(K1:K122, ISNUMBER(K1:K122)))</f>
        <v>61.322879999999998</v>
      </c>
      <c r="L127" s="42" cm="1">
        <f t="array" ref="L127">MAX(_xlfn._xlws.FILTER(L1:L122, ISNUMBER(L1:L122)))</f>
        <v>92.318129999999996</v>
      </c>
      <c r="M127" s="42" cm="1">
        <f t="array" ref="M127">MAX(_xlfn._xlws.FILTER(M1:M122, ISNUMBER(M1:M122)))</f>
        <v>89.209710000000001</v>
      </c>
      <c r="N127" s="42" cm="1">
        <f t="array" ref="N127">MAX(_xlfn._xlws.FILTER(N1:N122, ISNUMBER(N1:N122)))</f>
        <v>63.152813000000002</v>
      </c>
    </row>
    <row r="128" spans="1:14" x14ac:dyDescent="0.35">
      <c r="A128" s="2" t="s">
        <v>394</v>
      </c>
      <c r="B128" s="40" cm="1">
        <f t="array" ref="B128">MEDIAN(_xlfn._xlws.FILTER(B1:B122, ISNUMBER(B1:B122)))</f>
        <v>7.3923706999999999</v>
      </c>
      <c r="C128" s="40" cm="1">
        <f t="array" ref="C128">MEDIAN(_xlfn._xlws.FILTER(C1:C122, ISNUMBER(C1:C122)))</f>
        <v>3.9295197000000002</v>
      </c>
      <c r="D128" s="40" cm="1">
        <f t="array" ref="D128">MEDIAN(_xlfn._xlws.FILTER(D1:D122, ISNUMBER(D1:D122)))</f>
        <v>4.7733544999999999</v>
      </c>
      <c r="E128" s="40" cm="1">
        <f t="array" ref="E128">MEDIAN(_xlfn._xlws.FILTER(E1:E122, ISNUMBER(E1:E122)))</f>
        <v>2.8716683000000001</v>
      </c>
      <c r="F128" s="40" cm="1">
        <f t="array" ref="F128">MEDIAN(_xlfn._xlws.FILTER(F1:F122, ISNUMBER(F1:F122)))</f>
        <v>8.3988080000000007</v>
      </c>
      <c r="G128" s="40" cm="1">
        <f t="array" ref="G128">MEDIAN(_xlfn._xlws.FILTER(G1:G122, ISNUMBER(G1:G122)))</f>
        <v>7.0052624000000003</v>
      </c>
      <c r="H128" s="40" cm="1">
        <f t="array" ref="H128">MEDIAN(_xlfn._xlws.FILTER(H1:H122, ISNUMBER(H1:H122)))</f>
        <v>1.7001866999999999</v>
      </c>
      <c r="I128" s="40" cm="1">
        <f t="array" ref="I128">MEDIAN(_xlfn._xlws.FILTER(I1:I122, ISNUMBER(I1:I122)))</f>
        <v>22.271324</v>
      </c>
      <c r="J128" s="40" cm="1">
        <f t="array" ref="J128">MEDIAN(_xlfn._xlws.FILTER(J1:J122, ISNUMBER(J1:J122)))</f>
        <v>14.075815</v>
      </c>
      <c r="K128" s="40" cm="1">
        <f t="array" ref="K128">MEDIAN(_xlfn._xlws.FILTER(K1:K122, ISNUMBER(K1:K122)))</f>
        <v>3.4080743999999998</v>
      </c>
      <c r="L128" s="40" cm="1">
        <f t="array" ref="L128">MEDIAN(_xlfn._xlws.FILTER(L1:L122, ISNUMBER(L1:L122)))</f>
        <v>7.9132199999999999</v>
      </c>
      <c r="M128" s="40" cm="1">
        <f t="array" ref="M128">MEDIAN(_xlfn._xlws.FILTER(M1:M122, ISNUMBER(M1:M122)))</f>
        <v>2.4428964</v>
      </c>
      <c r="N128" s="40" cm="1">
        <f t="array" ref="N128">MEDIAN(_xlfn._xlws.FILTER(N1:N122, ISNUMBER(N1:N122)))</f>
        <v>2.3745180000000001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17</v>
      </c>
      <c r="C130">
        <f>COUNTIF(C2:C122, "&lt;"&amp;Assumption!$F$50)</f>
        <v>19</v>
      </c>
      <c r="D130">
        <f>COUNTIF(D2:D122, "&lt;"&amp;Assumption!$F$50)</f>
        <v>18</v>
      </c>
      <c r="E130">
        <f>COUNTIF(E2:E122, "&lt;"&amp;Assumption!$F$50)</f>
        <v>27</v>
      </c>
      <c r="F130">
        <f>COUNTIF(F2:F122, "&lt;"&amp;Assumption!$F$50)</f>
        <v>15</v>
      </c>
      <c r="G130">
        <f>COUNTIF(G2:G122, "&lt;"&amp;Assumption!$F$50)</f>
        <v>8</v>
      </c>
      <c r="H130">
        <f>COUNTIF(H2:H122, "&lt;"&amp;Assumption!$F$50)</f>
        <v>24</v>
      </c>
      <c r="I130">
        <f>COUNTIF(I2:I122, "&lt;"&amp;Assumption!$F$50)</f>
        <v>10</v>
      </c>
      <c r="J130">
        <f>COUNTIF(J2:J122, "&lt;"&amp;Assumption!$F$50)</f>
        <v>6</v>
      </c>
      <c r="K130">
        <f>COUNTIF(K2:K122, "&lt;"&amp;Assumption!$F$50)</f>
        <v>14</v>
      </c>
      <c r="L130">
        <f>COUNTIF(L2:L122, "&lt;"&amp;Assumption!$F$50)</f>
        <v>12</v>
      </c>
      <c r="M130">
        <f>COUNTIF(M2:M122, "&lt;"&amp;Assumption!$F$50)</f>
        <v>20</v>
      </c>
      <c r="N130">
        <f>COUNTIF(N2:N122, "&lt;"&amp;Assumption!$F$50)</f>
        <v>35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0.14049586776859505</v>
      </c>
      <c r="C133" s="9">
        <f t="shared" si="2"/>
        <v>0.15702479338842976</v>
      </c>
      <c r="D133" s="9">
        <f t="shared" si="2"/>
        <v>0.1487603305785124</v>
      </c>
      <c r="E133" s="9">
        <f t="shared" si="2"/>
        <v>0.2231404958677686</v>
      </c>
      <c r="F133" s="9">
        <f t="shared" si="2"/>
        <v>0.12396694214876033</v>
      </c>
      <c r="G133" s="9">
        <f t="shared" si="2"/>
        <v>6.6115702479338845E-2</v>
      </c>
      <c r="H133" s="9">
        <f t="shared" si="2"/>
        <v>0.19834710743801653</v>
      </c>
      <c r="I133" s="9">
        <f t="shared" si="2"/>
        <v>8.2644628099173556E-2</v>
      </c>
      <c r="J133" s="9">
        <f t="shared" si="2"/>
        <v>4.9586776859504134E-2</v>
      </c>
      <c r="K133" s="9">
        <f t="shared" ref="K133:N133" si="3">K130/K131</f>
        <v>0.11570247933884298</v>
      </c>
      <c r="L133" s="9">
        <f t="shared" si="3"/>
        <v>9.9173553719008267E-2</v>
      </c>
      <c r="M133" s="9">
        <f t="shared" si="3"/>
        <v>0.16528925619834711</v>
      </c>
      <c r="N133" s="9">
        <f t="shared" si="3"/>
        <v>0.28925619834710742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0.34399999999999997</v>
      </c>
      <c r="C136" s="40" cm="1">
        <f t="array" ref="C136">_xlfn.PERCENTRANK.EXC(_xlfn._xlws.FILTER(C2:C122, ISNUMBER(C2:C122)),C120)</f>
        <v>0.81899999999999995</v>
      </c>
      <c r="D136" s="40" cm="1">
        <f t="array" ref="D136">_xlfn.PERCENTRANK.EXC(_xlfn._xlws.FILTER(D2:D122, ISNUMBER(D2:D122)),D120)</f>
        <v>0.84399999999999997</v>
      </c>
      <c r="E136" s="40" cm="1">
        <f t="array" ref="E136">_xlfn.PERCENTRANK.EXC(_xlfn._xlws.FILTER(E2:E122, ISNUMBER(E2:E122)),E120)</f>
        <v>0.78600000000000003</v>
      </c>
      <c r="F136" s="40" cm="1">
        <f t="array" ref="F136">_xlfn.PERCENTRANK.EXC(_xlfn._xlws.FILTER(F2:F122, ISNUMBER(F2:F122)),F120)</f>
        <v>0.82699999999999996</v>
      </c>
      <c r="G136" s="40" cm="1">
        <f t="array" ref="G136">_xlfn.PERCENTRANK.EXC(_xlfn._xlws.FILTER(G2:G122, ISNUMBER(G2:G122)),G120)</f>
        <v>0.54</v>
      </c>
      <c r="H136" s="40" cm="1">
        <f t="array" ref="H136">_xlfn.PERCENTRANK.EXC(_xlfn._xlws.FILTER(H2:H122, ISNUMBER(H2:H122)),H120)</f>
        <v>0.86799999999999999</v>
      </c>
      <c r="I136" s="40" cm="1">
        <f t="array" ref="I136">_xlfn.PERCENTRANK.EXC(_xlfn._xlws.FILTER(I2:I122, ISNUMBER(I2:I122)),I120)</f>
        <v>0.71299999999999997</v>
      </c>
      <c r="J136" s="40" cm="1">
        <f t="array" ref="J136">_xlfn.PERCENTRANK.EXC(_xlfn._xlws.FILTER(J2:J122, ISNUMBER(J2:J122)),J120)</f>
        <v>0.88500000000000001</v>
      </c>
      <c r="K136" s="40" cm="1">
        <f t="array" ref="K136">_xlfn.PERCENTRANK.EXC(_xlfn._xlws.FILTER(K2:K122, ISNUMBER(K2:K122)),K120)</f>
        <v>0.72899999999999998</v>
      </c>
      <c r="L136" s="40" cm="1">
        <f t="array" ref="L136">_xlfn.PERCENTRANK.EXC(_xlfn._xlws.FILTER(L2:L122, ISNUMBER(L2:L122)),L120)</f>
        <v>0.81100000000000005</v>
      </c>
      <c r="M136" s="40" cm="1">
        <f t="array" ref="M136">_xlfn.PERCENTRANK.EXC(_xlfn._xlws.FILTER(M2:M122, ISNUMBER(M2:M122)),M120)</f>
        <v>0.85199999999999998</v>
      </c>
      <c r="N136" s="40" cm="1">
        <f t="array" ref="N136">_xlfn.PERCENTRANK.EXC(_xlfn._xlws.FILTER(N2:N122, ISNUMBER(N2:N122)),N120)</f>
        <v>0.86799999999999999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0.221</v>
      </c>
      <c r="C137" s="40" cm="1">
        <f t="array" ref="C137">_xlfn.PERCENTRANK.EXC(_xlfn._xlws.FILTER(C2:C122, ISNUMBER(C2:C122)),C121)</f>
        <v>0.72099999999999997</v>
      </c>
      <c r="D137" s="40" cm="1">
        <f t="array" ref="D137">_xlfn.PERCENTRANK.EXC(_xlfn._xlws.FILTER(D2:D122, ISNUMBER(D2:D122)),D121)</f>
        <v>0.60599999999999998</v>
      </c>
      <c r="E137" s="40" cm="1">
        <f t="array" ref="E137">_xlfn.PERCENTRANK.EXC(_xlfn._xlws.FILTER(E2:E122, ISNUMBER(E2:E122)),E121)</f>
        <v>0.64700000000000002</v>
      </c>
      <c r="F137" s="40" cm="1">
        <f t="array" ref="F137">_xlfn.PERCENTRANK.EXC(_xlfn._xlws.FILTER(F2:F122, ISNUMBER(F2:F122)),F121)</f>
        <v>0.63100000000000001</v>
      </c>
      <c r="G137" s="40" cm="1">
        <f t="array" ref="G137">_xlfn.PERCENTRANK.EXC(_xlfn._xlws.FILTER(G2:G122, ISNUMBER(G2:G122)),G121)</f>
        <v>0.46700000000000003</v>
      </c>
      <c r="H137" s="40" cm="1">
        <f t="array" ref="H137">_xlfn.PERCENTRANK.EXC(_xlfn._xlws.FILTER(H2:H122, ISNUMBER(H2:H122)),H121)</f>
        <v>0.77</v>
      </c>
      <c r="I137" s="40" cm="1">
        <f t="array" ref="I137">_xlfn.PERCENTRANK.EXC(_xlfn._xlws.FILTER(I2:I122, ISNUMBER(I2:I122)),I121)</f>
        <v>0.754</v>
      </c>
      <c r="J137" s="40" cm="1">
        <f t="array" ref="J137">_xlfn.PERCENTRANK.EXC(_xlfn._xlws.FILTER(J2:J122, ISNUMBER(J2:J122)),J121)</f>
        <v>0.85199999999999998</v>
      </c>
      <c r="K137" s="40" cm="1">
        <f t="array" ref="K137">_xlfn.PERCENTRANK.EXC(_xlfn._xlws.FILTER(K2:K122, ISNUMBER(K2:K122)),K121)</f>
        <v>0.46700000000000003</v>
      </c>
      <c r="L137" s="40" cm="1">
        <f t="array" ref="L137">_xlfn.PERCENTRANK.EXC(_xlfn._xlws.FILTER(L2:L122, ISNUMBER(L2:L122)),L121)</f>
        <v>0.71299999999999997</v>
      </c>
      <c r="M137" s="40" cm="1">
        <f t="array" ref="M137">_xlfn.PERCENTRANK.EXC(_xlfn._xlws.FILTER(M2:M122, ISNUMBER(M2:M122)),M121)</f>
        <v>0.76200000000000001</v>
      </c>
      <c r="N137" s="40" cm="1">
        <f t="array" ref="N137">_xlfn.PERCENTRANK.EXC(_xlfn._xlws.FILTER(N2:N122, ISNUMBER(N2:N122)),N121)</f>
        <v>0.68799999999999994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0.26200000000000001</v>
      </c>
      <c r="C138" s="40" cm="1">
        <f t="array" ref="C138">_xlfn.PERCENTRANK.EXC(_xlfn._xlws.FILTER(C2:C122, ISNUMBER(C2:C122)),C122)</f>
        <v>0.67200000000000004</v>
      </c>
      <c r="D138" s="40" cm="1">
        <f t="array" ref="D138">_xlfn.PERCENTRANK.EXC(_xlfn._xlws.FILTER(D2:D122, ISNUMBER(D2:D122)),D122)</f>
        <v>0.63100000000000001</v>
      </c>
      <c r="E138" s="40" cm="1">
        <f t="array" ref="E138">_xlfn.PERCENTRANK.EXC(_xlfn._xlws.FILTER(E2:E122, ISNUMBER(E2:E122)),E122)</f>
        <v>0.59</v>
      </c>
      <c r="F138" s="40" cm="1">
        <f t="array" ref="F138">_xlfn.PERCENTRANK.EXC(_xlfn._xlws.FILTER(F2:F122, ISNUMBER(F2:F122)),F122)</f>
        <v>0.59</v>
      </c>
      <c r="G138" s="40" cm="1">
        <f t="array" ref="G138">_xlfn.PERCENTRANK.EXC(_xlfn._xlws.FILTER(G2:G122, ISNUMBER(G2:G122)),G122)</f>
        <v>0.52400000000000002</v>
      </c>
      <c r="H138" s="40" cm="1">
        <f t="array" ref="H138">_xlfn.PERCENTRANK.EXC(_xlfn._xlws.FILTER(H2:H122, ISNUMBER(H2:H122)),H122)</f>
        <v>0.79500000000000004</v>
      </c>
      <c r="I138" s="40" cm="1">
        <f t="array" ref="I138">_xlfn.PERCENTRANK.EXC(_xlfn._xlws.FILTER(I2:I122, ISNUMBER(I2:I122)),I122)</f>
        <v>0.46700000000000003</v>
      </c>
      <c r="J138" s="40" cm="1">
        <f t="array" ref="J138">_xlfn.PERCENTRANK.EXC(_xlfn._xlws.FILTER(J2:J122, ISNUMBER(J2:J122)),J122)</f>
        <v>0.76200000000000001</v>
      </c>
      <c r="K138" s="40" cm="1">
        <f t="array" ref="K138">_xlfn.PERCENTRANK.EXC(_xlfn._xlws.FILTER(K2:K122, ISNUMBER(K2:K122)),K122)</f>
        <v>0.40899999999999997</v>
      </c>
      <c r="L138" s="40" cm="1">
        <f t="array" ref="L138">_xlfn.PERCENTRANK.EXC(_xlfn._xlws.FILTER(L2:L122, ISNUMBER(L2:L122)),L122)</f>
        <v>0.57299999999999995</v>
      </c>
      <c r="M138" s="40" cm="1">
        <f t="array" ref="M138">_xlfn.PERCENTRANK.EXC(_xlfn._xlws.FILTER(M2:M122, ISNUMBER(M2:M122)),M122)</f>
        <v>0.72099999999999997</v>
      </c>
      <c r="N138" s="40" cm="1">
        <f t="array" ref="N138">_xlfn.PERCENTRANK.EXC(_xlfn._xlws.FILTER(N2:N122, ISNUMBER(N2:N122)),N122)</f>
        <v>0.63900000000000001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0.27566666666666667</v>
      </c>
      <c r="C140" s="40">
        <f t="shared" si="4"/>
        <v>0.7373333333333334</v>
      </c>
      <c r="D140" s="40">
        <f t="shared" si="4"/>
        <v>0.69366666666666665</v>
      </c>
      <c r="E140" s="40">
        <f t="shared" si="4"/>
        <v>0.67433333333333334</v>
      </c>
      <c r="F140" s="40">
        <f t="shared" si="4"/>
        <v>0.68266666666666664</v>
      </c>
      <c r="G140" s="40">
        <f t="shared" si="4"/>
        <v>0.51033333333333342</v>
      </c>
      <c r="H140" s="40">
        <f t="shared" si="4"/>
        <v>0.81099999999999994</v>
      </c>
      <c r="I140" s="40">
        <f t="shared" si="4"/>
        <v>0.64466666666666672</v>
      </c>
      <c r="J140" s="40">
        <f t="shared" si="4"/>
        <v>0.83300000000000007</v>
      </c>
      <c r="K140" s="40">
        <f t="shared" ref="K140:N140" si="5">AVERAGE(K136:K138)</f>
        <v>0.53500000000000003</v>
      </c>
      <c r="L140" s="40">
        <f t="shared" si="5"/>
        <v>0.69899999999999995</v>
      </c>
      <c r="M140" s="40">
        <f t="shared" si="5"/>
        <v>0.77833333333333332</v>
      </c>
      <c r="N140" s="40">
        <f t="shared" si="5"/>
        <v>0.7316666666666668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4.0763823276408404</v>
      </c>
      <c r="G17">
        <v>2.2808425238276202</v>
      </c>
      <c r="H17">
        <v>2.5348223379569501</v>
      </c>
      <c r="I17">
        <v>9.3523184782613296</v>
      </c>
      <c r="J17">
        <v>17.7294354415451</v>
      </c>
      <c r="K17">
        <v>2.1970597068808599</v>
      </c>
      <c r="L17">
        <v>1.9908579954138399</v>
      </c>
      <c r="M17">
        <v>2.0450009261645601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3.6778954431728499</v>
      </c>
      <c r="G18">
        <v>2.3686407868237098</v>
      </c>
      <c r="H18">
        <v>2.0350756238413701</v>
      </c>
      <c r="I18">
        <v>10.426078296822199</v>
      </c>
      <c r="J18">
        <v>16.661770328992599</v>
      </c>
      <c r="K18">
        <v>1.8510975044778899</v>
      </c>
      <c r="L18">
        <v>2.0089294605542301</v>
      </c>
      <c r="M18">
        <v>2.2131087379995402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4.6161385443947696</v>
      </c>
      <c r="G19">
        <v>2.66234515884581</v>
      </c>
      <c r="H19">
        <v>2.7142722434063198</v>
      </c>
      <c r="I19">
        <v>13.6402697448185</v>
      </c>
      <c r="J19">
        <v>22.2767073851685</v>
      </c>
      <c r="K19">
        <v>2.4608174875049298</v>
      </c>
      <c r="L19">
        <v>2.4360180794544801</v>
      </c>
      <c r="M19">
        <v>2.4898156523483901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4.4608954004815304</v>
      </c>
      <c r="G20">
        <v>2.5838872063229701</v>
      </c>
      <c r="H20">
        <v>3.12760121442787</v>
      </c>
      <c r="I20">
        <v>12.750313440204099</v>
      </c>
      <c r="J20">
        <v>22.968710461533099</v>
      </c>
      <c r="K20">
        <v>2.8026651908005</v>
      </c>
      <c r="L20">
        <v>2.4294142632387001</v>
      </c>
      <c r="M20">
        <v>2.56381617192707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2.6586314336980199</v>
      </c>
      <c r="F21">
        <v>4.5667318566591204</v>
      </c>
      <c r="G21">
        <v>2.8647085842717601</v>
      </c>
      <c r="H21">
        <v>3.0026988691271801</v>
      </c>
      <c r="I21">
        <v>16.324300082232199</v>
      </c>
      <c r="J21">
        <v>24.344986761993699</v>
      </c>
      <c r="K21">
        <v>2.92070467991761</v>
      </c>
      <c r="L21">
        <v>2.9556075049707502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2.8327007241510938E-2</v>
      </c>
      <c r="F25" s="48" cm="1">
        <f t="array" ref="F25">(F21/INDEX(F2:F21,MATCH(TRUE,INDEX(ISNUMBER(F2:F21),0),0)))^(1/F23)-1</f>
        <v>2.4111181364210088E-2</v>
      </c>
      <c r="G25" s="48" cm="1">
        <f t="array" ref="G25">(G21/INDEX(G2:G21,MATCH(TRUE,INDEX(ISNUMBER(G2:G21),0),0)))^(1/G23)-1</f>
        <v>4.6616158051884682E-2</v>
      </c>
      <c r="H25" s="48" cm="1">
        <f t="array" ref="H25">(H21/INDEX(H2:H21,MATCH(TRUE,INDEX(ISNUMBER(H2:H21),0),0)))^(1/H23)-1</f>
        <v>3.7109465036002653E-3</v>
      </c>
      <c r="I25" s="48" cm="1">
        <f t="array" ref="I25">(I21/INDEX(I2:I21,MATCH(TRUE,INDEX(ISNUMBER(I2:I21),0),0)))^(1/I23)-1</f>
        <v>0.12988959921025178</v>
      </c>
      <c r="J25" s="48" cm="1">
        <f t="array" ref="J25">(J21/INDEX(J2:J21,MATCH(TRUE,INDEX(ISNUMBER(J2:J21),0),0)))^(1/J23)-1</f>
        <v>5.9884631603759342E-2</v>
      </c>
      <c r="K25" s="48" cm="1">
        <f t="array" ref="K25">(K21/INDEX(K2:K21,MATCH(TRUE,INDEX(ISNUMBER(K2:K21),0),0)))^(1/K23)-1</f>
        <v>1.8533351259146347E-2</v>
      </c>
      <c r="L25" s="48" cm="1">
        <f t="array" ref="L25">(L21/INDEX(L2:L21,MATCH(TRUE,INDEX(ISNUMBER(L2:L21),0),0)))^(1/L23)-1</f>
        <v>3.4801405293916954E-2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1.6777116000000001</v>
      </c>
      <c r="E3" cm="1">
        <f t="array" ref="E3">_xll.FDSB(B3,"FG_PRICE_CHANGE(0,-1AY)")</f>
        <v>3.1960487</v>
      </c>
      <c r="F3" cm="1">
        <f t="array" ref="F3">_xll.FDSB(B3,"FG_PRICE_CHANGE(0,-1AM)")</f>
        <v>1.8454908999999999</v>
      </c>
      <c r="G3" cm="1">
        <f t="array" ref="G3">_xll.FDSB(B3,"FG_PRICE_CHANGE(0,-3AM)")</f>
        <v>-0.97307560000000004</v>
      </c>
      <c r="H3" cm="1">
        <f t="array" ref="H3">_xll.FDSB(B3,"FG_PRICE_CHANGE(0,-6AM)")</f>
        <v>2.6675582000000002</v>
      </c>
      <c r="I3" cm="1">
        <f t="array" ref="I3">_xll.FDS(B3,"STD(FG_PRICE_CHANGE(0,-1AY,AM))")</f>
        <v>2.86080758185537</v>
      </c>
      <c r="J3" cm="1">
        <f t="array" ref="J3">_xll.FDS(B3,"STD(FG_PRICE_CHANGE(0,-3AY,M))")*SQRT(12)</f>
        <v>12.054964411496529</v>
      </c>
      <c r="L3">
        <f>(1-(_xlfn.PERCENTRANK.EXC($F$3:$F$15,F3)))*100</f>
        <v>14.3</v>
      </c>
      <c r="M3">
        <f>(1-(_xlfn.PERCENTRANK.EXC($G$3:$G$15,G3)))*100</f>
        <v>42.900000000000006</v>
      </c>
      <c r="N3">
        <f>(1-(_xlfn.PERCENTRANK.EXC($H$3:$H$15,H3)))*100</f>
        <v>14.3</v>
      </c>
      <c r="O3">
        <f>SUMPRODUCT($L$1:$N$1,L3:N3)</f>
        <v>25.740000000000002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16.449999999999996</v>
      </c>
      <c r="U3" cm="1">
        <f t="array" ref="U3">_xlfn.PERCENTRANK.EXC(_xlfn._xlws.FILTER(S$3:S$15, ISNUMBER(S$3:S$15)),S3)*100</f>
        <v>7.1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1.5318627</v>
      </c>
      <c r="E4" cm="1">
        <f t="array" ref="E4">_xll.FDSB(B4,"FG_PRICE_CHANGE(0,-1AY)")</f>
        <v>1.4169693000000001</v>
      </c>
      <c r="F4" cm="1">
        <f t="array" ref="F4">_xll.FDSB(B4,"FG_PRICE_CHANGE(0,-1AM)")</f>
        <v>1.876533</v>
      </c>
      <c r="G4" cm="1">
        <f t="array" ref="G4">_xll.FDSB(B4,"FG_PRICE_CHANGE(0,-3AM)")</f>
        <v>-0.57444569999999995</v>
      </c>
      <c r="H4" cm="1">
        <f t="array" ref="H4">_xll.FDSB(B4,"FG_PRICE_CHANGE(0,-6AM)")</f>
        <v>0.27573110000000001</v>
      </c>
      <c r="I4" cm="1">
        <f t="array" ref="I4">_xll.FDS(B4,"STD(FG_PRICE_CHANGE(0,-1AY,AM))")</f>
        <v>2.2485757626997098</v>
      </c>
      <c r="J4" cm="1">
        <f t="array" ref="J4">_xll.FDS(B4,"STD(FG_PRICE_CHANGE(0,-3AY,M))")*SQRT(12)</f>
        <v>10.612816984926036</v>
      </c>
      <c r="L4">
        <f t="shared" ref="L4:L15" si="1">(1-(_xlfn.PERCENTRANK.EXC($F$3:$F$15,F4)))*100</f>
        <v>7.1999999999999957</v>
      </c>
      <c r="M4">
        <f t="shared" ref="M4:M15" si="2">(1-(_xlfn.PERCENTRANK.EXC($G$3:$G$15,G4)))*100</f>
        <v>35.799999999999997</v>
      </c>
      <c r="N4">
        <f t="shared" ref="N4:N15" si="3">(1-(_xlfn.PERCENTRANK.EXC($H$3:$H$15,H4)))*100</f>
        <v>64.3</v>
      </c>
      <c r="O4">
        <f t="shared" ref="O4:O11" si="4">SUMPRODUCT($L$1:$N$1,L4:N4)</f>
        <v>41.48</v>
      </c>
      <c r="P4">
        <f t="shared" ref="P4:P15" si="5">100- (_xlfn.PERCENTRANK.EXC($J$3:$J$15,J4)*100)</f>
        <v>21.5</v>
      </c>
      <c r="Q4">
        <f>VLOOKUP(A4,CAD!$A$3:$J$15, 10, FALSE)</f>
        <v>42.8</v>
      </c>
      <c r="S4">
        <f t="shared" si="0"/>
        <v>35.75</v>
      </c>
      <c r="U4" cm="1">
        <f t="array" ref="U4">_xlfn.PERCENTRANK.EXC(_xlfn._xlws.FILTER(S$3:S$15, ISNUMBER(S$3:S$15)),S4)*100</f>
        <v>21.4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1.3837999999999999</v>
      </c>
      <c r="E5" cm="1">
        <f t="array" ref="E5">_xll.FDSB(B5,"FG_PRICE_CHANGE(0,-1AY)")</f>
        <v>4.1821957000000003</v>
      </c>
      <c r="F5" cm="1">
        <f t="array" ref="F5">_xll.FDSB(B5,"FG_PRICE_CHANGE(0,-1AM)")</f>
        <v>0.77558755999999995</v>
      </c>
      <c r="G5" cm="1">
        <f t="array" ref="G5">_xll.FDSB(B5,"FG_PRICE_CHANGE(0,-3AM)")</f>
        <v>0.51938295000000001</v>
      </c>
      <c r="H5" cm="1">
        <f t="array" ref="H5">_xll.FDSB(B5,"FG_PRICE_CHANGE(0,-6AM)")</f>
        <v>3.1647324999999999</v>
      </c>
      <c r="I5" cm="1">
        <f t="array" ref="I5">_xll.FDS(B5,"STD(FG_PRICE_CHANGE(0,-1AY,AM))")</f>
        <v>1.63430157588994</v>
      </c>
      <c r="J5" cm="1">
        <f t="array" ref="J5">_xll.FDS(B5,"STD(FG_PRICE_CHANGE(0,-3AY,M))")*SQRT(12)</f>
        <v>6.1828245035966845</v>
      </c>
      <c r="L5">
        <f t="shared" si="1"/>
        <v>21.499999999999996</v>
      </c>
      <c r="M5">
        <f t="shared" si="2"/>
        <v>7.1999999999999957</v>
      </c>
      <c r="N5">
        <f t="shared" si="3"/>
        <v>7.1999999999999957</v>
      </c>
      <c r="O5">
        <f t="shared" si="4"/>
        <v>10.059999999999997</v>
      </c>
      <c r="P5">
        <f t="shared" si="5"/>
        <v>71.5</v>
      </c>
      <c r="Q5">
        <f>VLOOKUP(A5,CAD!$A$3:$J$15, 10, FALSE)</f>
        <v>35.699999999999996</v>
      </c>
      <c r="S5">
        <f t="shared" si="0"/>
        <v>33.619999999999997</v>
      </c>
      <c r="U5" cm="1">
        <f t="array" ref="U5">_xlfn.PERCENTRANK.EXC(_xlfn._xlws.FILTER(S$3:S$15, ISNUMBER(S$3:S$15)),S5)*100</f>
        <v>14.2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0.92656939999999999</v>
      </c>
      <c r="E6" cm="1">
        <f t="array" ref="E6">_xll.FDSB(B6,"FG_PRICE_CHANGE(0,-1AY)")</f>
        <v>1.7326832000000001</v>
      </c>
      <c r="F6" cm="1">
        <f t="array" ref="F6">_xll.FDSB(B6,"FG_PRICE_CHANGE(0,-1AM)")</f>
        <v>-0.58373810000000004</v>
      </c>
      <c r="G6" cm="1">
        <f t="array" ref="G6">_xll.FDSB(B6,"FG_PRICE_CHANGE(0,-3AM)")</f>
        <v>-1.0099530000000001</v>
      </c>
      <c r="H6" cm="1">
        <f t="array" ref="H6">_xll.FDSB(B6,"FG_PRICE_CHANGE(0,-6AM)")</f>
        <v>0.33819674999999999</v>
      </c>
      <c r="I6" cm="1">
        <f t="array" ref="I6">_xll.FDS(B6,"STD(FG_PRICE_CHANGE(0,-1AY,AM))")</f>
        <v>1.524715965645</v>
      </c>
      <c r="J6" cm="1">
        <f t="array" ref="J6">_xll.FDS(B6,"STD(FG_PRICE_CHANGE(0,-3AY,M))")*SQRT(12)</f>
        <v>7.4263797589644263</v>
      </c>
      <c r="L6">
        <f t="shared" si="1"/>
        <v>64.3</v>
      </c>
      <c r="M6">
        <f t="shared" si="2"/>
        <v>50</v>
      </c>
      <c r="N6">
        <f t="shared" si="3"/>
        <v>57.2</v>
      </c>
      <c r="O6">
        <f t="shared" si="4"/>
        <v>55.74</v>
      </c>
      <c r="P6">
        <f t="shared" si="5"/>
        <v>64.300000000000011</v>
      </c>
      <c r="Q6">
        <f>VLOOKUP(A6,CAD!$A$3:$J$15, 10, FALSE)</f>
        <v>78.5</v>
      </c>
      <c r="S6">
        <f t="shared" si="0"/>
        <v>62.860000000000007</v>
      </c>
      <c r="U6" cm="1">
        <f t="array" ref="U6">_xlfn.PERCENTRANK.EXC(_xlfn._xlws.FILTER(S$3:S$15, ISNUMBER(S$3:S$15)),S6)*100</f>
        <v>78.5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150.07</v>
      </c>
      <c r="E7" cm="1">
        <f t="array" ref="E7">_xll.FDSB(B7,"FG_PRICE_CHANGE(0,-1AY)")</f>
        <v>4.7426342999999997</v>
      </c>
      <c r="F7" cm="1">
        <f t="array" ref="F7">_xll.FDSB(B7,"FG_PRICE_CHANGE(0,-1AM)")</f>
        <v>-7.1751060000000004</v>
      </c>
      <c r="G7" cm="1">
        <f t="array" ref="G7">_xll.FDSB(B7,"FG_PRICE_CHANGE(0,-3AM)")</f>
        <v>-4.8111319999999997</v>
      </c>
      <c r="H7" cm="1">
        <f t="array" ref="H7">_xll.FDSB(B7,"FG_PRICE_CHANGE(0,-6AM)")</f>
        <v>2.6049614000000001</v>
      </c>
      <c r="I7" cm="1">
        <f t="array" ref="I7">_xll.FDS(B7,"STD(FG_PRICE_CHANGE(0,-1AY,AM))")</f>
        <v>3.31680610435094</v>
      </c>
      <c r="J7" cm="1">
        <f t="array" ref="J7">_xll.FDS(B7,"STD(FG_PRICE_CHANGE(0,-3AY,M))")*SQRT(12)</f>
        <v>11.369899696650135</v>
      </c>
      <c r="L7">
        <f t="shared" si="1"/>
        <v>92.9</v>
      </c>
      <c r="M7">
        <f t="shared" si="2"/>
        <v>78.600000000000009</v>
      </c>
      <c r="N7">
        <f t="shared" si="3"/>
        <v>21.499999999999996</v>
      </c>
      <c r="O7">
        <f t="shared" si="4"/>
        <v>58.620000000000012</v>
      </c>
      <c r="P7">
        <f t="shared" si="5"/>
        <v>14.299999999999997</v>
      </c>
      <c r="Q7">
        <f>VLOOKUP(A7,CAD!$A$3:$J$15, 10, FALSE)</f>
        <v>64.2</v>
      </c>
      <c r="S7">
        <f t="shared" si="0"/>
        <v>46.440000000000012</v>
      </c>
      <c r="U7" cm="1">
        <f t="array" ref="U7">_xlfn.PERCENTRANK.EXC(_xlfn._xlws.FILTER(S$3:S$15, ISNUMBER(S$3:S$15)),S7)*100</f>
        <v>35.699999999999996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0.87409999999999999</v>
      </c>
      <c r="E8" cm="1">
        <f t="array" ref="E8">_xll.FDSB(B8,"FG_PRICE_CHANGE(0,-1AY)")</f>
        <v>-0.1085639</v>
      </c>
      <c r="F8" cm="1">
        <f t="array" ref="F8">_xll.FDSB(B8,"FG_PRICE_CHANGE(0,-1AM)")</f>
        <v>-3.3128679000000001</v>
      </c>
      <c r="G8" cm="1">
        <f t="array" ref="G8">_xll.FDSB(B8,"FG_PRICE_CHANGE(0,-3AM)")</f>
        <v>-4.9219549999999996</v>
      </c>
      <c r="H8" cm="1">
        <f t="array" ref="H8">_xll.FDSB(B8,"FG_PRICE_CHANGE(0,-6AM)")</f>
        <v>1.4566779000000001</v>
      </c>
      <c r="I8" cm="1">
        <f t="array" ref="I8">_xll.FDS(B8,"STD(FG_PRICE_CHANGE(0,-1AY,AM))")</f>
        <v>2.6262319387966602</v>
      </c>
      <c r="J8" cm="1">
        <f t="array" ref="J8">_xll.FDS(B8,"STD(FG_PRICE_CHANGE(0,-3AY,M))")*SQRT(12)</f>
        <v>8.3740438995508715</v>
      </c>
      <c r="L8">
        <f t="shared" si="1"/>
        <v>85.8</v>
      </c>
      <c r="M8">
        <f t="shared" si="2"/>
        <v>92.9</v>
      </c>
      <c r="N8">
        <f t="shared" si="3"/>
        <v>42.900000000000006</v>
      </c>
      <c r="O8">
        <f t="shared" si="4"/>
        <v>71.480000000000018</v>
      </c>
      <c r="P8">
        <f t="shared" si="5"/>
        <v>42.900000000000006</v>
      </c>
      <c r="Q8">
        <f>VLOOKUP(A8,CAD!$A$3:$J$15, 10, FALSE)</f>
        <v>85.7</v>
      </c>
      <c r="S8">
        <f t="shared" si="0"/>
        <v>65.750000000000014</v>
      </c>
      <c r="U8" cm="1">
        <f t="array" ref="U8">_xlfn.PERCENTRANK.EXC(_xlfn._xlws.FILTER(S$3:S$15, ISNUMBER(S$3:S$15)),S8)*100</f>
        <v>85.7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0.78170806000000004</v>
      </c>
      <c r="E9" cm="1">
        <f t="array" ref="E9">_xll.FDSB(B9,"FG_PRICE_CHANGE(0,-1AY)")</f>
        <v>-0.24623275</v>
      </c>
      <c r="F9" cm="1">
        <f t="array" ref="F9">_xll.FDSB(B9,"FG_PRICE_CHANGE(0,-1AM)")</f>
        <v>-1.1569202000000001</v>
      </c>
      <c r="G9" cm="1">
        <f t="array" ref="G9">_xll.FDSB(B9,"FG_PRICE_CHANGE(0,-3AM)")</f>
        <v>-2.3412107999999998</v>
      </c>
      <c r="H9" cm="1">
        <f t="array" ref="H9">_xll.FDSB(B9,"FG_PRICE_CHANGE(0,-6AM)")</f>
        <v>-0.85206029999999999</v>
      </c>
      <c r="I9" cm="1">
        <f t="array" ref="I9">_xll.FDS(B9,"STD(FG_PRICE_CHANGE(0,-1AY,AM))")</f>
        <v>1.7529969974011299</v>
      </c>
      <c r="J9" cm="1">
        <f t="array" ref="J9">_xll.FDS(B9,"STD(FG_PRICE_CHANGE(0,-3AY,M))")*SQRT(12)</f>
        <v>8.155130445493457</v>
      </c>
      <c r="L9">
        <f t="shared" si="1"/>
        <v>71.500000000000014</v>
      </c>
      <c r="M9">
        <f t="shared" si="2"/>
        <v>64.3</v>
      </c>
      <c r="N9">
        <f t="shared" si="3"/>
        <v>92.9</v>
      </c>
      <c r="O9">
        <f>SUMPRODUCT($L$1:$N$1,L9:N9)</f>
        <v>77.180000000000007</v>
      </c>
      <c r="P9">
        <f t="shared" si="5"/>
        <v>50</v>
      </c>
      <c r="Q9">
        <f>VLOOKUP(A9,CAD!$A$3:$J$15, 10, FALSE)</f>
        <v>28.499999999999996</v>
      </c>
      <c r="S9">
        <f t="shared" si="0"/>
        <v>59.290000000000006</v>
      </c>
      <c r="U9" cm="1">
        <f t="array" ref="U9">_xlfn.PERCENTRANK.EXC(_xlfn._xlws.FILTER(S$3:S$15, ISNUMBER(S$3:S$15)),S9)*100</f>
        <v>71.399999999999991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50</v>
      </c>
      <c r="M10">
        <f t="shared" si="2"/>
        <v>28.6</v>
      </c>
      <c r="N10">
        <f t="shared" si="3"/>
        <v>85.8</v>
      </c>
      <c r="O10">
        <f t="shared" si="4"/>
        <v>55.760000000000005</v>
      </c>
      <c r="P10">
        <f t="shared" si="5"/>
        <v>92.9</v>
      </c>
      <c r="Q10">
        <f>VLOOKUP(A10,CAD!$A$3:$J$15, 10, FALSE)</f>
        <v>14.2</v>
      </c>
      <c r="S10">
        <f t="shared" si="0"/>
        <v>58.59</v>
      </c>
      <c r="U10" cm="1">
        <f t="array" ref="U10">_xlfn.PERCENTRANK.EXC(_xlfn._xlws.FILTER(S$3:S$15, ISNUMBER(S$3:S$15)),S10)*100</f>
        <v>50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50</v>
      </c>
      <c r="M11">
        <f t="shared" si="2"/>
        <v>28.6</v>
      </c>
      <c r="N11">
        <f t="shared" si="3"/>
        <v>85.8</v>
      </c>
      <c r="O11">
        <f t="shared" si="4"/>
        <v>55.760000000000005</v>
      </c>
      <c r="P11">
        <f t="shared" si="5"/>
        <v>92.9</v>
      </c>
      <c r="Q11">
        <f>VLOOKUP(A11,CAD!$A$3:$J$15, 10, FALSE)</f>
        <v>14.2</v>
      </c>
      <c r="S11">
        <f t="shared" si="0"/>
        <v>58.59</v>
      </c>
      <c r="U11" cm="1">
        <f t="array" ref="U11">_xlfn.PERCENTRANK.EXC(_xlfn._xlws.FILTER(S$3:S$15, ISNUMBER(S$3:S$15)),S11)*100</f>
        <v>50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0.87409999999999999</v>
      </c>
      <c r="E12" cm="1">
        <f t="array" ref="E12">_xll.FDSB(B12,"FG_PRICE_CHANGE(0,-1AY)")</f>
        <v>-0.1085639</v>
      </c>
      <c r="F12" cm="1">
        <f t="array" ref="F12">_xll.FDSB(B12,"FG_PRICE_CHANGE(0,-1AM)")</f>
        <v>-3.3128679000000001</v>
      </c>
      <c r="G12" cm="1">
        <f t="array" ref="G12">_xll.FDSB(B12,"FG_PRICE_CHANGE(0,-3AM)")</f>
        <v>-4.9219549999999996</v>
      </c>
      <c r="H12" cm="1">
        <f t="array" ref="H12">_xll.FDSB(B12,"FG_PRICE_CHANGE(0,-6AM)")</f>
        <v>1.4566779000000001</v>
      </c>
      <c r="I12" cm="1">
        <f t="array" ref="I12">_xll.FDS(B12,"STD(FG_PRICE_CHANGE(0,-1AY,AM))")</f>
        <v>2.6262319387966602</v>
      </c>
      <c r="J12" cm="1">
        <f t="array" ref="J12">_xll.FDS(B12,"STD(FG_PRICE_CHANGE(0,-3AY,M))")*SQRT(12)</f>
        <v>8.3740438995508715</v>
      </c>
      <c r="L12">
        <f t="shared" si="1"/>
        <v>85.8</v>
      </c>
      <c r="M12">
        <f t="shared" si="2"/>
        <v>92.9</v>
      </c>
      <c r="N12">
        <f t="shared" si="3"/>
        <v>42.900000000000006</v>
      </c>
      <c r="O12">
        <f t="shared" ref="O12:O15" si="6">SUMPRODUCT($L$1:$N$1,L12:N12)</f>
        <v>71.480000000000018</v>
      </c>
      <c r="P12">
        <f t="shared" si="5"/>
        <v>42.900000000000006</v>
      </c>
      <c r="Q12">
        <f>VLOOKUP(A12,CAD!$A$3:$J$15, 10, FALSE)</f>
        <v>50</v>
      </c>
      <c r="S12">
        <f t="shared" ref="S12:S15" si="7">SUMPRODUCT($O$1:$Q$1,O12:Q12)</f>
        <v>58.610000000000014</v>
      </c>
      <c r="U12" cm="1">
        <f t="array" ref="U12">_xlfn.PERCENTRANK.EXC(_xlfn._xlws.FILTER(S$3:S$15, ISNUMBER(S$3:S$15)),S12)*100</f>
        <v>64.2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1.4113426725649301E-4</v>
      </c>
      <c r="J13" s="183" cm="1">
        <f t="array" ref="J13">_xll.FDS(B13,"STD(FG_PRICE_CHANGE(0,-3AY,M))")*SQRT(12)</f>
        <v>0.2059757180491337</v>
      </c>
      <c r="L13" s="183">
        <f t="shared" si="1"/>
        <v>50</v>
      </c>
      <c r="M13" s="183">
        <f t="shared" si="2"/>
        <v>28.6</v>
      </c>
      <c r="N13" s="183">
        <f t="shared" si="3"/>
        <v>85.8</v>
      </c>
      <c r="O13" s="183">
        <f t="shared" si="6"/>
        <v>55.760000000000005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70.02000000000001</v>
      </c>
      <c r="U13" s="183" cm="1">
        <f t="array" ref="U13">_xlfn.PERCENTRANK.EXC(_xlfn._xlws.FILTER(S$3:S$15, ISNUMBER(S$3:S$15)),S13)*100</f>
        <v>92.800000000000011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10.687049999999999</v>
      </c>
      <c r="E14" cm="1">
        <f t="array" ref="E14">_xll.FDSB(B14,"FG_PRICE_CHANGE(0,-1AY)")</f>
        <v>0.86262225999999997</v>
      </c>
      <c r="F14" cm="1">
        <f t="array" ref="F14">_xll.FDSB(B14,"FG_PRICE_CHANGE(0,-1AM)")</f>
        <v>0.49698353000000001</v>
      </c>
      <c r="G14" cm="1">
        <f t="array" ref="G14">_xll.FDSB(B14,"FG_PRICE_CHANGE(0,-3AM)")</f>
        <v>-2.6556194</v>
      </c>
      <c r="H14" cm="1">
        <f t="array" ref="H14">_xll.FDSB(B14,"FG_PRICE_CHANGE(0,-6AM)")</f>
        <v>2.4021864000000002</v>
      </c>
      <c r="I14" cm="1">
        <f t="array" ref="I14">_xll.FDS(B14,"STD(FG_PRICE_CHANGE(0,-1AY,AM))")</f>
        <v>3.5534354795185701</v>
      </c>
      <c r="J14" cm="1">
        <f t="array" ref="J14">_xll.FDS(B14,"STD(FG_PRICE_CHANGE(0,-3AY,M))")*SQRT(12)</f>
        <v>10.287717165288415</v>
      </c>
      <c r="L14">
        <f t="shared" si="1"/>
        <v>28.6</v>
      </c>
      <c r="M14">
        <f t="shared" si="2"/>
        <v>71.500000000000014</v>
      </c>
      <c r="N14">
        <f t="shared" si="3"/>
        <v>28.6</v>
      </c>
      <c r="O14">
        <f t="shared" si="6"/>
        <v>45.760000000000005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45.74</v>
      </c>
      <c r="U14" cm="1">
        <f t="array" ref="U14">_xlfn.PERCENTRANK.EXC(_xlfn._xlws.FILTER(S$3:S$15, ISNUMBER(S$3:S$15)),S14)*100</f>
        <v>28.499999999999996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1794.0885000000001</v>
      </c>
      <c r="E15" cm="1">
        <f t="array" ref="E15">_xll.FDSB(B15,"FG_PRICE_CHANGE(0,-1AY)")</f>
        <v>1.7326832000000001</v>
      </c>
      <c r="F15" cm="1">
        <f t="array" ref="F15">_xll.FDSB(B15,"FG_PRICE_CHANGE(0,-1AM)")</f>
        <v>-0.58373810000000004</v>
      </c>
      <c r="G15" cm="1">
        <f t="array" ref="G15">_xll.FDSB(B15,"FG_PRICE_CHANGE(0,-3AM)")</f>
        <v>-1.0099590000000001</v>
      </c>
      <c r="H15" cm="1">
        <f t="array" ref="H15">_xll.FDSB(B15,"FG_PRICE_CHANGE(0,-6AM)")</f>
        <v>0.33819674999999999</v>
      </c>
      <c r="I15" cm="1">
        <f t="array" ref="I15">_xll.FDS(B15,"STD(FG_PRICE_CHANGE(0,-1AY,AM))")</f>
        <v>1.52471443024076</v>
      </c>
      <c r="J15" cm="1">
        <f t="array" ref="J15">_xll.FDS(B15,"STD(FG_PRICE_CHANGE(0,-3AY,M))")*SQRT(12)</f>
        <v>7.4263798056094554</v>
      </c>
      <c r="L15">
        <f t="shared" si="1"/>
        <v>64.3</v>
      </c>
      <c r="M15">
        <f t="shared" si="2"/>
        <v>57.2</v>
      </c>
      <c r="N15">
        <f t="shared" si="3"/>
        <v>57.2</v>
      </c>
      <c r="O15">
        <f t="shared" si="6"/>
        <v>58.620000000000005</v>
      </c>
      <c r="P15">
        <f t="shared" si="5"/>
        <v>57.2</v>
      </c>
      <c r="Q15">
        <f>VLOOKUP(A15,CAD!$A$3:$J$15, 10, FALSE)</f>
        <v>57.099999999999994</v>
      </c>
      <c r="S15">
        <f t="shared" si="7"/>
        <v>57.89</v>
      </c>
      <c r="U15" cm="1">
        <f t="array" ref="U15">_xlfn.PERCENTRANK.EXC(_xlfn._xlws.FILTER(S$3:S$15, ISNUMBER(S$3:S$15)),S15)*100</f>
        <v>42.8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-5.4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0.27577682550316901</v>
      </c>
      <c r="H4" cm="1">
        <f t="array" ref="H4">IFERROR(_xll.FDS($F4,"EE_ACTUAL_ANNUAL(MED,+1)"),0)</f>
        <v>-0.5</v>
      </c>
      <c r="J4" cm="1">
        <f t="array" ref="J4">_xlfn.PERCENTRANK.EXC(_xlfn._xlws.FILTER(H$3:H$15, ISNUMBER(H$3:H$15)),H4)*100</f>
        <v>42.8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-0.65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6.0579547757262198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3.61295912215857</v>
      </c>
      <c r="H7" cm="1">
        <f t="array" ref="H7">IFERROR(_xll.FDS($F7,"EE_ACTUAL_ANNUAL(MED,+1)"),0)</f>
        <v>3.8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6.9808755786158398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-2.7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-3.3110866828871801</v>
      </c>
      <c r="H10" cm="1">
        <f t="array" ref="H10">IFERROR(_xll.FDS($F10,"EE_ACTUAL_ANNUAL(MED,+1)"),0)</f>
        <v>-3.2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-3.3110866828871801</v>
      </c>
      <c r="H11" cm="1">
        <f t="array" ref="H11">IFERROR(_xll.FDS($F11,"EE_ACTUAL_ANNUAL(MED,+1)"),0)</f>
        <v>-3.2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-1.0214417861326599</v>
      </c>
      <c r="H12" cm="1">
        <f t="array" ref="H12">IFERROR(_xll.FDS($F12,"EE_ACTUAL_ANNUAL(MED,+1)"),0)</f>
        <v>-0.45</v>
      </c>
      <c r="J12" cm="1">
        <f t="array" ref="J12">_xlfn.PERCENTRANK.EXC(_xlfn._xlws.FILTER(H$3:H$15, ISNUMBER(H$3:H$15)),H12)*100</f>
        <v>50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10.163156516841701</v>
      </c>
      <c r="H13" cm="1">
        <f t="array" ref="H13">IFERROR(_xll.FDS($F13,"EE_ACTUAL_ANNUAL(MED,+1)"),0)</f>
        <v>9.5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6.4686639012956002</v>
      </c>
      <c r="H14" cm="1">
        <f t="array" ref="H14">IFERROR(_xll.FDS($F14,"EE_ACTUAL_ANNUAL(MED,+1)"),0)</f>
        <v>6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0.46418496504898199</v>
      </c>
      <c r="H15" cm="1">
        <f t="array" ref="H15">IFERROR(_xll.FDS($F15,"EE_ACTUAL_ANNUAL(MED,+1)"),0)</f>
        <v>0.95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8.35596279152373</v>
      </c>
      <c r="G17">
        <v>14.538819869127099</v>
      </c>
      <c r="H17">
        <v>12.8709323534995</v>
      </c>
      <c r="I17">
        <v>25.011729179905998</v>
      </c>
      <c r="J17">
        <v>18.2929292712369</v>
      </c>
      <c r="K17">
        <v>10.914009645236099</v>
      </c>
      <c r="L17">
        <v>13.0917636337237</v>
      </c>
      <c r="M17">
        <v>13.411796749592799</v>
      </c>
      <c r="N17">
        <v>10.235305358457801</v>
      </c>
    </row>
    <row r="18" spans="1:17" ht="25.5" customHeight="1" x14ac:dyDescent="0.35">
      <c r="A18" s="2">
        <v>44196</v>
      </c>
      <c r="B18">
        <v>7.5322638919868998</v>
      </c>
      <c r="C18">
        <v>11.050859206460901</v>
      </c>
      <c r="D18">
        <v>11.192208682288101</v>
      </c>
      <c r="E18">
        <v>9.7147154363071397</v>
      </c>
      <c r="F18">
        <v>7.4385992980085502</v>
      </c>
      <c r="G18">
        <v>14.667779515581</v>
      </c>
      <c r="H18">
        <v>11.2074687408189</v>
      </c>
      <c r="I18">
        <v>24.5344428387709</v>
      </c>
      <c r="J18">
        <v>17.2298191407891</v>
      </c>
      <c r="K18">
        <v>8.9422344840844392</v>
      </c>
      <c r="L18">
        <v>9.7785656650372808</v>
      </c>
      <c r="M18">
        <v>11.908567848488101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9.2207656739007806</v>
      </c>
      <c r="G19">
        <v>16.3837417700753</v>
      </c>
      <c r="H19">
        <v>13.922769951646799</v>
      </c>
      <c r="I19">
        <v>26.6372021629589</v>
      </c>
      <c r="J19">
        <v>20.686290275763401</v>
      </c>
      <c r="K19">
        <v>12.2539555485597</v>
      </c>
      <c r="L19">
        <v>10.899145951859399</v>
      </c>
      <c r="M19">
        <v>15.360277960938401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14.0029403106189</v>
      </c>
      <c r="E20">
        <v>11.818711551142201</v>
      </c>
      <c r="F20">
        <v>9.2254455713673291</v>
      </c>
      <c r="G20">
        <v>16.690651733527702</v>
      </c>
      <c r="H20">
        <v>15.8587443966116</v>
      </c>
      <c r="I20">
        <v>24.048321552738301</v>
      </c>
      <c r="J20">
        <v>20.598310588067601</v>
      </c>
      <c r="K20">
        <v>13.1476341706421</v>
      </c>
      <c r="L20">
        <v>12.015889153241799</v>
      </c>
      <c r="M20">
        <v>14.6915673510105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11.9489916743573</v>
      </c>
      <c r="F21">
        <v>9.2997687113841998</v>
      </c>
      <c r="G21">
        <v>19.302463641340701</v>
      </c>
      <c r="H21">
        <v>14.7202112757034</v>
      </c>
      <c r="I21">
        <v>25.319915472376</v>
      </c>
      <c r="J21">
        <v>20.3505037528153</v>
      </c>
      <c r="K21">
        <v>13.221250861669199</v>
      </c>
      <c r="L21">
        <v>12.745985665341101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9.7147154363071397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8.9422344840844392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11.988728308067351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14.442959457883401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11.9489916743573</v>
      </c>
      <c r="F25" s="8">
        <f t="shared" si="2"/>
        <v>9.2997687113841998</v>
      </c>
      <c r="G25" s="8">
        <f t="shared" si="2"/>
        <v>19.302463641340701</v>
      </c>
      <c r="H25" s="8">
        <f t="shared" si="2"/>
        <v>14.7202112757034</v>
      </c>
      <c r="I25" s="8">
        <f t="shared" si="2"/>
        <v>25.319915472376</v>
      </c>
      <c r="J25" s="8">
        <f t="shared" si="2"/>
        <v>20.3505037528153</v>
      </c>
      <c r="K25" s="8">
        <f t="shared" si="2"/>
        <v>13.221250861669199</v>
      </c>
      <c r="L25" s="8">
        <f t="shared" si="2"/>
        <v>12.745985665341101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45475</v>
      </c>
      <c r="M1" s="116"/>
    </row>
    <row r="2" spans="1:20" ht="15" thickBot="1" x14ac:dyDescent="0.4">
      <c r="K2" s="12" t="s">
        <v>772</v>
      </c>
      <c r="L2" s="187">
        <f ca="1">EDATE(TODAY(), -4)</f>
        <v>45384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07/2024</v>
      </c>
      <c r="O3" t="str" cm="1">
        <f t="array" aca="1" ref="O3" ca="1">_xll.FDSRC("-","DUMMY","ECON_DATE("&amp;$L$2&amp;",,, 'MM/YYYY')")</f>
        <v>04/2024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48.788089999999997</v>
      </c>
      <c r="N4" cm="1">
        <f t="array" aca="1" ref="N4" ca="1">_xll.FDSRC("-","DUMMY","ECON_EXPR_DATA('FDS_ECON["&amp;H4&amp;"]',"&amp;$N$3&amp;",,Q)")</f>
        <v>45.388824</v>
      </c>
      <c r="O4" cm="1">
        <f t="array" aca="1" ref="O4" ca="1">_xll.FDSRC("-","DUMMY","ECON_EXPR_DATA('FDS_ECON["&amp;H4&amp;"]',"&amp;$O$3&amp;",,Q)")</f>
        <v>47.7971</v>
      </c>
      <c r="P4">
        <f t="shared" ref="P4:P12" ca="1" si="0">IFERROR(N4-O4,$M$20)</f>
        <v>-2.4082760000000007</v>
      </c>
      <c r="Q4" cm="1">
        <f t="array" ref="Q4">_xlfn.PERCENTRANK.EXC(_xlfn._xlws.FILTER(M$4:M$16, ISNUMBER(M$4:M$16)),M4)*100</f>
        <v>42.8</v>
      </c>
      <c r="R4" cm="1">
        <f t="array" aca="1" ref="R4" ca="1">_xlfn.PERCENTRANK.EXC(_xlfn._xlws.FILTER(P$4:P$16, ISNUMBER(P$4:P$16)),P4)*100</f>
        <v>14.2</v>
      </c>
      <c r="S4">
        <f ca="1">Q4*Assumption!$E$27 + R4*Assumption!$F$27</f>
        <v>31.359999999999996</v>
      </c>
      <c r="T4" cm="1">
        <f t="array" aca="1" ref="T4" ca="1">_xlfn.PERCENTRANK.EXC(_xlfn._xlws.FILTER(S$4:S$16, ISNUMBER(S$4:S$16)),S4)*100</f>
        <v>28.499999999999996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47.461593999999998</v>
      </c>
      <c r="N5" cm="1">
        <f t="array" aca="1" ref="N5" ca="1">_xll.FDSRC("-","DUMMY","ECON_EXPR_DATA('FDS_ECON["&amp;H5&amp;"]',"&amp;$N$3&amp;",,Q)")</f>
        <v>48.811332999999998</v>
      </c>
      <c r="O5" cm="1">
        <f t="array" aca="1" ref="O5" ca="1">_xll.FDSRC("-","DUMMY","ECON_EXPR_DATA('FDS_ECON["&amp;H5&amp;"]',"&amp;$O$3&amp;",,Q)")</f>
        <v>48.395470000000003</v>
      </c>
      <c r="P5">
        <f t="shared" ca="1" si="0"/>
        <v>0.41586299999999454</v>
      </c>
      <c r="Q5" cm="1">
        <f t="array" ref="Q5">_xlfn.PERCENTRANK.EXC(_xlfn._xlws.FILTER(M$4:M$16, ISNUMBER(M$4:M$16)),M5)*100</f>
        <v>28.499999999999996</v>
      </c>
      <c r="R5" cm="1">
        <f t="array" aca="1" ref="R5" ca="1">_xlfn.PERCENTRANK.EXC(_xlfn._xlws.FILTER(P$4:P$16, ISNUMBER(P$4:P$16)),P5)*100</f>
        <v>57.099999999999994</v>
      </c>
      <c r="S5">
        <f ca="1">Q5*Assumption!$E$27 + R5*Assumption!$F$27</f>
        <v>39.94</v>
      </c>
      <c r="T5" cm="1">
        <f t="array" aca="1" ref="T5" ca="1">_xlfn.PERCENTRANK.EXC(_xlfn._xlws.FILTER(S$4:S$16, ISNUMBER(S$4:S$16)),S5)*100</f>
        <v>42.8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47.763652999999998</v>
      </c>
      <c r="N6" cm="1">
        <f t="array" aca="1" ref="N6" ca="1">_xll.FDSRC("-","DUMMY","ECON_EXPR_DATA('FDS_ECON["&amp;H6&amp;"]',"&amp;$N$3&amp;",,Q)")</f>
        <v>49.331885999999997</v>
      </c>
      <c r="O6" cm="1">
        <f t="array" aca="1" ref="O6" ca="1">_xll.FDSRC("-","DUMMY","ECON_EXPR_DATA('FDS_ECON["&amp;H6&amp;"]',"&amp;$O$3&amp;",,Q)")</f>
        <v>49.300910000000002</v>
      </c>
      <c r="P6">
        <f t="shared" ca="1" si="0"/>
        <v>3.0975999999995452E-2</v>
      </c>
      <c r="Q6" cm="1">
        <f t="array" ref="Q6">_xlfn.PERCENTRANK.EXC(_xlfn._xlws.FILTER(M$4:M$16, ISNUMBER(M$4:M$16)),M6)*100</f>
        <v>35.699999999999996</v>
      </c>
      <c r="R6" cm="1">
        <f t="array" aca="1" ref="R6" ca="1">_xlfn.PERCENTRANK.EXC(_xlfn._xlws.FILTER(P$4:P$16, ISNUMBER(P$4:P$16)),P6)*100</f>
        <v>42.8</v>
      </c>
      <c r="S6">
        <f ca="1">Q6*Assumption!$E$27 + R6*Assumption!$F$27</f>
        <v>38.54</v>
      </c>
      <c r="T6" cm="1">
        <f t="array" aca="1" ref="T6" ca="1">_xlfn.PERCENTRANK.EXC(_xlfn._xlws.FILTER(S$4:S$16, ISNUMBER(S$4:S$16)),S6)*100</f>
        <v>35.699999999999996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43.196869999999997</v>
      </c>
      <c r="N7" cm="1">
        <f t="array" aca="1" ref="N7" ca="1">_xll.FDSRC("-","DUMMY","ECON_EXPR_DATA('FDS_ECON["&amp;H7&amp;"]',"&amp;$N$3&amp;",,Q)")</f>
        <v>43.781999999999996</v>
      </c>
      <c r="O7" cm="1">
        <f t="array" aca="1" ref="O7" ca="1">_xll.FDSRC("-","DUMMY","ECON_EXPR_DATA('FDS_ECON["&amp;H7&amp;"]',"&amp;$O$3&amp;",,Q)")</f>
        <v>43.319096000000002</v>
      </c>
      <c r="P7">
        <f t="shared" ca="1" si="0"/>
        <v>0.46290399999999465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64.2</v>
      </c>
      <c r="S7">
        <f ca="1">Q7*Assumption!$E$27 + R7*Assumption!$F$27</f>
        <v>29.940000000000005</v>
      </c>
      <c r="T7" cm="1">
        <f t="array" aca="1" ref="T7" ca="1">_xlfn.PERCENTRANK.EXC(_xlfn._xlws.FILTER(S$4:S$16, ISNUMBER(S$4:S$16)),S7)*100</f>
        <v>21.4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49.104827999999998</v>
      </c>
      <c r="N8" cm="1">
        <f t="array" aca="1" ref="N8" ca="1">_xll.FDSRC("-","DUMMY","ECON_EXPR_DATA('FDS_ECON["&amp;H8&amp;"]',"&amp;$N$3&amp;",,Q)")</f>
        <v>49.991356000000003</v>
      </c>
      <c r="O8" cm="1">
        <f t="array" aca="1" ref="O8" ca="1">_xll.FDSRC("-","DUMMY","ECON_EXPR_DATA('FDS_ECON["&amp;H8&amp;"]',"&amp;$O$3&amp;",,Q)")</f>
        <v>47.808857000000003</v>
      </c>
      <c r="P8">
        <f t="shared" ca="1" si="0"/>
        <v>2.182499</v>
      </c>
      <c r="Q8" cm="1">
        <f t="array" ref="Q8">_xlfn.PERCENTRANK.EXC(_xlfn._xlws.FILTER(M$4:M$16, ISNUMBER(M$4:M$16)),M8)*100</f>
        <v>64.2</v>
      </c>
      <c r="R8" cm="1">
        <f t="array" aca="1" ref="R8" ca="1">_xlfn.PERCENTRANK.EXC(_xlfn._xlws.FILTER(P$4:P$16, ISNUMBER(P$4:P$16)),P8)*100</f>
        <v>92.800000000000011</v>
      </c>
      <c r="S8">
        <f ca="1">Q8*Assumption!$E$27 + R8*Assumption!$F$27</f>
        <v>75.640000000000015</v>
      </c>
      <c r="T8" cm="1">
        <f t="array" aca="1" ref="T8" ca="1">_xlfn.PERCENTRANK.EXC(_xlfn._xlws.FILTER(S$4:S$16, ISNUMBER(S$4:S$16)),S8)*100</f>
        <v>78.5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48.788089999999997</v>
      </c>
      <c r="N9" cm="1">
        <f t="array" aca="1" ref="N9" ca="1">_xll.FDSRC("-","DUMMY","ECON_EXPR_DATA('FDS_ECON["&amp;H9&amp;"]',"&amp;$N$3&amp;",,Q)")</f>
        <v>43.896877000000003</v>
      </c>
      <c r="O9" cm="1">
        <f t="array" aca="1" ref="O9" ca="1">_xll.FDSRC("-","DUMMY","ECON_EXPR_DATA('FDS_ECON["&amp;H9&amp;"]',"&amp;$O$3&amp;",,Q)")</f>
        <v>44.08605</v>
      </c>
      <c r="P9">
        <f t="shared" ca="1" si="0"/>
        <v>-0.1891729999999967</v>
      </c>
      <c r="Q9" cm="1">
        <f t="array" ref="Q9">_xlfn.PERCENTRANK.EXC(_xlfn._xlws.FILTER(M$4:M$16, ISNUMBER(M$4:M$16)),M9)*100</f>
        <v>42.8</v>
      </c>
      <c r="R9" cm="1">
        <f t="array" aca="1" ref="R9" ca="1">_xlfn.PERCENTRANK.EXC(_xlfn._xlws.FILTER(P$4:P$16, ISNUMBER(P$4:P$16)),P9)*100</f>
        <v>35.699999999999996</v>
      </c>
      <c r="S9">
        <f ca="1">Q9*Assumption!$E$27 + R9*Assumption!$F$27</f>
        <v>39.959999999999994</v>
      </c>
      <c r="T9" cm="1">
        <f t="array" aca="1" ref="T9" ca="1">_xlfn.PERCENTRANK.EXC(_xlfn._xlws.FILTER(S$4:S$16, ISNUMBER(S$4:S$16)),S9)*100</f>
        <v>50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52.111539999999998</v>
      </c>
      <c r="N10" cm="1">
        <f t="array" aca="1" ref="N10" ca="1">_xll.FDSRC("-","DUMMY","ECON_EXPR_DATA('FDS_ECON["&amp;H10&amp;"]',"&amp;$N$3&amp;",,Q)")</f>
        <v>50.395269999999996</v>
      </c>
      <c r="O10" cm="1">
        <f t="array" aca="1" ref="O10" ca="1">_xll.FDSRC("-","DUMMY","ECON_EXPR_DATA('FDS_ECON["&amp;H10&amp;"]',"&amp;$O$3&amp;",,Q)")</f>
        <v>48.247959999999999</v>
      </c>
      <c r="P10">
        <f t="shared" ca="1" si="0"/>
        <v>2.1473099999999974</v>
      </c>
      <c r="Q10" cm="1">
        <f t="array" ref="Q10">_xlfn.PERCENTRANK.EXC(_xlfn._xlws.FILTER(M$4:M$16, ISNUMBER(M$4:M$16)),M10)*100</f>
        <v>92.800000000000011</v>
      </c>
      <c r="R10" cm="1">
        <f t="array" aca="1" ref="R10" ca="1">_xlfn.PERCENTRANK.EXC(_xlfn._xlws.FILTER(P$4:P$16, ISNUMBER(P$4:P$16)),P10)*100</f>
        <v>78.5</v>
      </c>
      <c r="S10">
        <f ca="1">Q10*Assumption!$E$27 + R10*Assumption!$F$27</f>
        <v>87.080000000000013</v>
      </c>
      <c r="T10" cm="1">
        <f t="array" aca="1" ref="T10" ca="1">_xlfn.PERCENTRANK.EXC(_xlfn._xlws.FILTER(S$4:S$16, ISNUMBER(S$4:S$16)),S10)*100</f>
        <v>92.800000000000011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49.629134999999998</v>
      </c>
      <c r="N11" cm="1">
        <f t="array" aca="1" ref="N11" ca="1">_xll.FDSRC("-","DUMMY","ECON_EXPR_DATA('FDS_ECON["&amp;H11&amp;"]',"&amp;$N$3&amp;",,Q)")</f>
        <v>50.939391999999998</v>
      </c>
      <c r="O11" cm="1">
        <f t="array" aca="1" ref="O11" ca="1">_xll.FDSRC("-","DUMMY","ECON_EXPR_DATA('FDS_ECON["&amp;H11&amp;"]',"&amp;$O$3&amp;",,Q)")</f>
        <v>51.582687</v>
      </c>
      <c r="P11">
        <f t="shared" ca="1" si="0"/>
        <v>-0.64329500000000195</v>
      </c>
      <c r="Q11" cm="1">
        <f t="array" ref="Q11">_xlfn.PERCENTRANK.EXC(_xlfn._xlws.FILTER(M$4:M$16, ISNUMBER(M$4:M$16)),M11)*100</f>
        <v>78.5</v>
      </c>
      <c r="R11" cm="1">
        <f t="array" aca="1" ref="R11" ca="1">_xlfn.PERCENTRANK.EXC(_xlfn._xlws.FILTER(P$4:P$16, ISNUMBER(P$4:P$16)),P11)*100</f>
        <v>21.4</v>
      </c>
      <c r="S11">
        <f ca="1">Q11*Assumption!$E$27 + R11*Assumption!$F$27</f>
        <v>55.660000000000004</v>
      </c>
      <c r="T11" cm="1">
        <f t="array" aca="1" ref="T11" ca="1">_xlfn.PERCENTRANK.EXC(_xlfn._xlws.FILTER(S$4:S$16, ISNUMBER(S$4:S$16)),S11)*100</f>
        <v>64.2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49.629134999999998</v>
      </c>
      <c r="N12" cm="1">
        <f t="array" aca="1" ref="N12" ca="1">_xll.FDSRC("-","DUMMY","ECON_EXPR_DATA('FDS_ECON["&amp;H12&amp;"]',"&amp;$N$3&amp;",,Q)")</f>
        <v>50.939391999999998</v>
      </c>
      <c r="O12" cm="1">
        <f t="array" aca="1" ref="O12" ca="1">_xll.FDSRC("-","DUMMY","ECON_EXPR_DATA('FDS_ECON["&amp;H12&amp;"]',"&amp;$O$3&amp;",,Q)")</f>
        <v>51.582687</v>
      </c>
      <c r="P12">
        <f t="shared" ca="1" si="0"/>
        <v>-0.64329500000000195</v>
      </c>
      <c r="Q12" cm="1">
        <f t="array" ref="Q12">_xlfn.PERCENTRANK.EXC(_xlfn._xlws.FILTER(M$4:M$16, ISNUMBER(M$4:M$16)),M12)*100</f>
        <v>78.5</v>
      </c>
      <c r="R12" cm="1">
        <f t="array" aca="1" ref="R12" ca="1">_xlfn.PERCENTRANK.EXC(_xlfn._xlws.FILTER(P$4:P$16, ISNUMBER(P$4:P$16)),P12)*100</f>
        <v>21.4</v>
      </c>
      <c r="S12">
        <f ca="1">Q12*Assumption!$E$27 + R12*Assumption!$F$27</f>
        <v>55.660000000000004</v>
      </c>
      <c r="T12" cm="1">
        <f t="array" aca="1" ref="T12" ca="1">_xlfn.PERCENTRANK.EXC(_xlfn._xlws.FILTER(S$4:S$16, ISNUMBER(S$4:S$16)),S12)*100</f>
        <v>64.2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44.005420000000001</v>
      </c>
      <c r="N13" cm="1">
        <f t="array" aca="1" ref="N13" ca="1">_xll.FDSRC("-","DUMMY","ECON_EXPR_DATA('FDS_ECON["&amp;H13&amp;"]',"&amp;$N$3&amp;",,Q)")</f>
        <v>45.684513000000003</v>
      </c>
      <c r="O13" cm="1">
        <f t="array" aca="1" ref="O13" ca="1">_xll.FDSRC("-","DUMMY","ECON_EXPR_DATA('FDS_ECON["&amp;H13&amp;"]',"&amp;$O$3&amp;",,Q)")</f>
        <v>45.498753000000001</v>
      </c>
      <c r="P13">
        <f t="shared" ref="P13:P16" ca="1" si="1">IFERROR(N13-O13,$M$20)</f>
        <v>0.18576000000000192</v>
      </c>
      <c r="Q13" cm="1">
        <f t="array" ref="Q13">_xlfn.PERCENTRANK.EXC(_xlfn._xlws.FILTER(M$4:M$16, ISNUMBER(M$4:M$16)),M13)*100</f>
        <v>14.2</v>
      </c>
      <c r="R13" cm="1">
        <f t="array" aca="1" ref="R13" ca="1">_xlfn.PERCENTRANK.EXC(_xlfn._xlws.FILTER(P$4:P$16, ISNUMBER(P$4:P$16)),P13)*100</f>
        <v>50</v>
      </c>
      <c r="S13">
        <f ca="1">Q13*Assumption!$E$27 + R13*Assumption!$F$27</f>
        <v>28.52</v>
      </c>
      <c r="T13" cm="1">
        <f t="array" aca="1" ref="T13" ca="1">_xlfn.PERCENTRANK.EXC(_xlfn._xlws.FILTER(S$4:S$16, ISNUMBER(S$4:S$16)),S13)*100</f>
        <v>14.2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49.181964999999998</v>
      </c>
      <c r="N14" cm="1">
        <f t="array" aca="1" ref="N14" ca="1">_xll.FDSRC("-","DUMMY","ECON_EXPR_DATA('FDS_ECON["&amp;H14&amp;"]',"&amp;$N$3&amp;",,Q)")</f>
        <v>51.493879999999997</v>
      </c>
      <c r="O14" cm="1">
        <f t="array" aca="1" ref="O14" ca="1">_xll.FDSRC("-","DUMMY","ECON_EXPR_DATA('FDS_ECON["&amp;H14&amp;"]',"&amp;$O$3&amp;",,Q)")</f>
        <v>49.325873999999999</v>
      </c>
      <c r="P14">
        <f t="shared" ca="1" si="1"/>
        <v>2.1680059999999983</v>
      </c>
      <c r="Q14" cm="1">
        <f t="array" ref="Q14">_xlfn.PERCENTRANK.EXC(_xlfn._xlws.FILTER(M$4:M$16, ISNUMBER(M$4:M$16)),M14)*100</f>
        <v>71.399999999999991</v>
      </c>
      <c r="R14" cm="1">
        <f t="array" aca="1" ref="R14" ca="1">_xlfn.PERCENTRANK.EXC(_xlfn._xlws.FILTER(P$4:P$16, ISNUMBER(P$4:P$16)),P14)*100</f>
        <v>85.7</v>
      </c>
      <c r="S14">
        <f ca="1">Q14*Assumption!$E$27 + R14*Assumption!$F$27</f>
        <v>77.12</v>
      </c>
      <c r="T14" cm="1">
        <f t="array" aca="1" ref="T14" ca="1">_xlfn.PERCENTRANK.EXC(_xlfn._xlws.FILTER(S$4:S$16, ISNUMBER(S$4:S$16)),S14)*100</f>
        <v>85.7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48.788089999999997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0.48830799999999641</v>
      </c>
      <c r="Q15" cm="1">
        <f t="array" ref="Q15">_xlfn.PERCENTRANK.EXC(_xlfn._xlws.FILTER(M$4:M$16, ISNUMBER(M$4:M$16)),M15)*100</f>
        <v>42.8</v>
      </c>
      <c r="R15" cm="1">
        <f t="array" aca="1" ref="R15" ca="1">_xlfn.PERCENTRANK.EXC(_xlfn._xlws.FILTER(P$4:P$16, ISNUMBER(P$4:P$16)),P15)*100</f>
        <v>71.399999999999991</v>
      </c>
      <c r="S15">
        <f ca="1">Q15*Assumption!$E$27 + R15*Assumption!$F$27</f>
        <v>54.239999999999995</v>
      </c>
      <c r="T15" cm="1">
        <f t="array" aca="1" ref="T15" ca="1">_xlfn.PERCENTRANK.EXC(_xlfn._xlws.FILTER(S$4:S$16, ISNUMBER(S$4:S$16)),S15)*100</f>
        <v>57.099999999999994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47.399715</v>
      </c>
      <c r="N16" cm="1">
        <f t="array" aca="1" ref="N16" ca="1">_xll.FDSRC("-","DUMMY","ECON_EXPR_DATA('FDS_ECON["&amp;H16&amp;"]',"&amp;$N$3&amp;",,Q)")</f>
        <v>46.215786000000001</v>
      </c>
      <c r="O16" cm="1">
        <f t="array" aca="1" ref="O16" ca="1">_xll.FDSRC("-","DUMMY","ECON_EXPR_DATA('FDS_ECON["&amp;H16&amp;"]',"&amp;$O$3&amp;",,Q)")</f>
        <v>49.208153000000003</v>
      </c>
      <c r="P16">
        <f t="shared" ca="1" si="1"/>
        <v>-2.9923670000000016</v>
      </c>
      <c r="Q16" cm="1">
        <f t="array" ref="Q16">_xlfn.PERCENTRANK.EXC(_xlfn._xlws.FILTER(M$4:M$16, ISNUMBER(M$4:M$16)),M16)*100</f>
        <v>21.4</v>
      </c>
      <c r="R16" cm="1">
        <f t="array" aca="1" ref="R16" ca="1">_xlfn.PERCENTRANK.EXC(_xlfn._xlws.FILTER(P$4:P$16, ISNUMBER(P$4:P$16)),P16)*100</f>
        <v>7.1</v>
      </c>
      <c r="S16">
        <f ca="1">Q16*Assumption!$E$27 + R16*Assumption!$F$27</f>
        <v>15.679999999999998</v>
      </c>
      <c r="T16" cm="1">
        <f t="array" aca="1" ref="T16" ca="1">_xlfn.PERCENTRANK.EXC(_xlfn._xlws.FILTER(S$4:S$16, ISNUMBER(S$4:S$16)),S16)*100</f>
        <v>7.1</v>
      </c>
    </row>
    <row r="18" spans="8:13" x14ac:dyDescent="0.35">
      <c r="K18" t="str" cm="1">
        <f t="array" aca="1" ref="K18" ca="1">_xll.FDSRC("-","DUMMY","ECON_DATE("&amp;$L$1&amp;",,, 'MM/YYYY')")</f>
        <v>07/2024</v>
      </c>
      <c r="L18" t="str" cm="1">
        <f t="array" aca="1" ref="L18" ca="1">_xll.FDSRC("-","DUMMY","ECON_DATE("&amp;$L$2&amp;",,, 'MM/YYYY')")</f>
        <v>04/2024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48.788089999999997</v>
      </c>
      <c r="K19" cm="1">
        <f t="array" aca="1" ref="K19" ca="1">_xll.FDSRC("-","DUMMY","ECON_EXPR_DATA('FDS_ECON["&amp;H19&amp;"]',"&amp;$K$18&amp;",,Q)")</f>
        <v>49.418633</v>
      </c>
      <c r="L19" cm="1">
        <f t="array" aca="1" ref="L19" ca="1">_xll.FDSRC("-","DUMMY","ECON_EXPR_DATA('FDS_ECON["&amp;H19&amp;"]',"&amp;$L$18&amp;",,Q)")</f>
        <v>49.135390000000001</v>
      </c>
      <c r="M19">
        <f ca="1">K19-L19</f>
        <v>0.2832429999999988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50.669899999999998</v>
      </c>
      <c r="K20" cm="1">
        <f t="array" aca="1" ref="K20" ca="1">_xll.FDSRC("-","DUMMY","ECON_EXPR_DATA('FDS_ECON["&amp;H20&amp;"]',"&amp;$K$18&amp;",,Q)")</f>
        <v>52.007823999999999</v>
      </c>
      <c r="L20" cm="1">
        <f t="array" aca="1" ref="L20" ca="1">_xll.FDSRC("-","DUMMY","ECON_EXPR_DATA('FDS_ECON["&amp;H20&amp;"]',"&amp;$L$18&amp;",,Q)")</f>
        <v>51.519516000000003</v>
      </c>
      <c r="M20">
        <f ca="1">K20-L20</f>
        <v>0.48830799999999641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84.785499999999999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95215.4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1446.2560000000001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1726282.3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2465.64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2767319.8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937.81500000000005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2207710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15522.99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6543836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1227.45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2286576.5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3006.1379999999999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3293544.3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277979.38500000001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56622704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554783.59712100006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56622704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628.99199999999996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3071635.5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251.26499999999999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1086852.8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300.49200000000002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1009498.56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443.41500000000002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844337.1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339252.22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2580486"><![CDATA[{"FC0000ZA^FG_MCAP_IDX(0,,,USD)":339252.22,"EWI^FREF_MARKET_VALUE_COMPANY(0,,,USD,,0,,\"LEGACY\")":443.415,"FC0000IT^FMA_MCAP(0,,,USD,\"PORTAGG\")":844337.1,"EWD^FREF_MARKET_VALUE_COMPANY(0,,,USD,,0,,\"LEGACY\")":300.492,"FC0000SE^FMA_MCAP(0,,,USD,\"PORTAGG\")":1009498.56,"EWN^FREF_MARKET_VALUE_COMPANY(0,,,USD,,0,,\"LEGACY\")":251.265,"FC0000NL^FMA_MCAP(0,,,USD,\"PORTAGG\")":1086852.8,"EWQ^FREF_MARKET_VALUE_COMPANY(0,,,USD,,0,,\"LEGACY\")":628.992,"FC0000FR^FMA_MCAP(0,,,USD,\"PORTAGG\")":3071635.5,"SPY^FREF_MARKET_VALUE_COMPANY(0,,,USD,,0,,\"LEGACY\")":554783.597121,"FC0000US^FMA_MCAP(0,,,USD,\"PORTAGG\")":56622704.0,"QQQ^FREF_MARKET_VALUE_COMPANY(0,,,USD,,0,,\"LEGACY\")":277979.385,"EWU^FREF_MARKET_VALUE_COMPANY(0,,,USD,,0,,\"LEGACY\")":3006.138,"FC0000GB^FMA_MCAP(0,,,USD,\"PORTAGG\")":3293544.3,"EWL^FREF_MARKET_VALUE_COMPANY(0,,,USD,,0,,\"LEGACY\")":1227.45,"FC0000CH^FMA_MCAP(0,,,USD,\"PORTAGG\")":2286576.5,"EWJ^FREF_MARKET_VALUE_COMPANY(0,,,USD,,0,,\"LEGACY\")":15522.99,"FC0000JP^FMA_MCAP(0,,,USD,\"PORTAGG\")":6543836.0,"EWG^FREF_MARKET_VALUE_COMPANY(0,,,USD,,0,,\"LEGACY\")":937.815,"FC0000DE^FMA_MCAP(0,,,USD,\"PORTAGG\")":2207710.0,"EWC^FREF_MARKET_VALUE_COMPANY(0,,,USD,,0,,\"LEGACY\")":2465.64,"FC0000CA^FMA_MCAP(0,,,USD,\"PORTAGG\")":2767319.8,"EWA^FREF_MARKET_VALUE_COMPANY(0,,,USD,,0,,\"LEGACY\")":1446.256,"FC0000AU^FMA_MCAP(0,,,USD,\"PORTAGG\")":1726282.3,"ENZL^FREF_MARKET_VALUE_COMPANY(0,,,USD,,0,,\"LEGACY\")":84.7855,"FC0000NZ^FMA_MCAP(0,,,USD,\"PORTAGG\")":95215.4,"NQG00809^FG_COMPANY_NAME":"Nasdaq South Africa","CC_ZA^FG_COMPANY_NAME":"South Africa","NQG00809^FMA_MCAP(0,,,USD,\"PORTAGG\")":null,"DUMMY^ECON_EXPR_DATA('FDS_ECON[NTCPMIMFGSA@IT]',,,M)":47.399715,"DUMMY^ECON_EXPR_DATA('FDS_ECON[NTCPMIMFGSA@FR]',,,M)":44.00542,"DUMMY^ECON_EXPR_DATA('FDS_ECON[NTCPMIMFGMESA@US]',,,M)":49.629135,"DUMMY^ECON_EXPR_DATA('FDS_ECON[NTCPMIMFGSA@CH]',,,M)":null,"DUMMY^ECON_EXPR_DATA('FDS_ECON[NTCPMIMFGSA@CA]',,,M)":47.763653,"DUMMY^ECON_EXPR_DATA('FDS_ECON[NTCPMIMFGSA@AU]',,,M)":47.461594,"DUMMY^ECON_EXPR_DATA('FDS_ECON[NTCPMIMFGSA@NL]',,,M)":49.181965,"DUMMY^ECON_EXPR_DATA('FDS_ECON[NTCPMIMFGSA@JP]',,,M)":49.104828,"DUMMY^ECON_EXPR_DATA('FDS_ECON[]',,,M)":null,"DUMMY^ECON_EXPR_DATA('FDS_ECON[NTCPMIMFGSA@GB]',,,M)":52.11154,"DUMMY^ECON_EXPR_DATA('FDS_ECON[NTCPMIMFGSA@DE]',,,M)":43.19687,"DUMMY^ECON_EXPR_DATA('FDS_ECON[NTCPMIMFGSA@NZ]',,,M)":null,"CAGDPY@FR^EE_ACTUAL_ANNUAL(MED,+1)":-0.45,"CAGDPY@AU^EE_ACTUAL_ANNUAL(MED,+1)":-0.5,"USDITL^FG_PRICE_CHANGE(0,-3AM)":-1.009959,"USDANG^FG_PRICE_CHANGE(0,-3AM)":0.0,"USDUSD^FG_PRICE_CHANGE(0,-3AM)":0.0,"USDGBP^FG_PRICE_CHANGE(0,-3AM)":-2.3412108,"USDJPY^FG_PRICE_CHANGE(0,-3AM)":-4.811132,"USDCAD^FG_PRICE_CHANGE(0,-3AM)":0.51938295,"USDNZD^FG_PRICE_CHANGE(0,-3AM)":-0.9730756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852,41880,41913,41943,41974,42004,42034,42062,42095,42125,42156,42186,42216,42248,42278,42307,42339,42369,42401,42430,42461,42489,42522,42552,42583,42614,42643,42675,42705,42734,42767,42795,42825,42856,42887,42916,42948,42979,43007,43040,43070,43098,43132,43160,43188,43221,43252,43280,43313,43343,43374,43405,43434,43465,43497,43525,43556,43586,43616,43647,43678,43707,43739,43770,43798,43830,43861,43889,43922,43952,43983,44013,44043,44075,44105,44134,44166,44196,44228,44256,44287,44316,44348,44378,44407,44440,44470,44501,44531,44561,44593,44621,44652,44680,44713,44743,44774,44805,44834,44866,44896,44925,44958,44986,45016,45047,45078,45107,45139,45170,45198,45231,45261,45289,45323,45352,45383,45413,45443,45474,45505],"EWD^FMA_DIV_YLD(NTMA,-10AY,0,AM,\"PORTAGG\",\"MEANR\")":[4.2837949674725,4.21684436152782,4.26923328936899,4.17581124548666,4.10712349020382,4.09244209913544,3.84971001423877,3.59445421457265,3.67235034087362,3.79829888810221,3.78602998110605,3.98722223312556,3.95540930877743,4.39047990078425,4.60541267253986,4.20417517764823,4.10049929425773,4.31327587806828,4.49489461978705,4.3113429070189,4.40734178071996,4.36143114167431,4.4162277409439,4.45984828805178,4.32505929855876,4.23048914409821,4.18832765952657,4.17301119083253,4.00476823429794,3.90395724923268,3.69847758440895,3.6146838718491,3.63049849076176,3.54095637161628,3.37298016006886,3.60866009285285,3.69485241990258,3.74100517530846,3.55487277913198,3.51814806956643,3.71480855788289,3.77433533207484,3.76763183180495,3.89598135697243,4.03733643537522,4.04330612867686,4.08219953725919,4.13224540751474,4.08566944168399,4.01946392634289,4.01397515484689,4.36465666590436,4.46122081358196,4.73856562537439,4.31460243160613,4.14542734539885,4.15728926185468,4.01500923612463,4.44006874496555,4.12021202125902,4.03415706170239,4.21810088531349,3.93779699610044,3.72747315673289,3.71438287249447,3.62646329948458,3.62911496742294,3.83184335373668,4.16416577527919,3.29514658547268,3.04108606001076,3.05097417455685,3.07720203938084,3.01649547229115,3.01368654958753,3.33006982371879,3.00785418618903,3.10729782337201,3.00493826720284,2.9095969896279,2.75477930334971,2.83925900079951,2.67915105898704,2.71364884397388,2.73377226526125,2.73400099071257,2.90119716333823,3.02662417746807,2.95407816126829,2.83243607321917,2.83999374359421,3.22889255595884,3.09699512884962,3.27519893641676,3.28021779740852,3.63852903670848,3.47062433675318,3.81759278897611,3.79156443937652,3.73988668002865,3.56129664493713,3.76345877162313,3.56511917479496,3.56299807151668,3.63055477297283,3.63684954127634,3.78013258581534,3.71222591361017,3.80119242174369,3.95389923996707,4.00795290468536,3.98468419500372,3.14355201516501,2.92065549436807,3.32718541847292,3.28045791199652,3.23181103308743,3.28501893125181,3.20152735266218,3.21303307649593,3.22436381294799],"EWQ^FMA_PE(NTMA,-10AY,0,AM,\"PORTAGG\",\"MEANR\")":[13.2550003021884,13.6611265422643,13.4740220575702,13.2064043588754,13.9108430065891,13.7780667903218,15.2955982571255,16.3806904032679,16.5495469267437,16.3096469232353,16.1233580077704,15.4788532996993,15.7846630693225,14.0094798811561,13.7644435892861,15.1709503017873,15.3099906780282,14.5525026687196,14.1966976262086,14.3854905696001,14.184321111574,14.4793950055038,14.469431357827,13.6982287872212,14.0409083898382,13.9661110911611,13.8718181444197,13.8163107415195,13.8338228772437,14.5703388121852,14.2642425668268,14.4567036245952,14.9122561126064,15.2007218905598,15.1938364563026,14.5439537287869,14.5824937189424,14.5510852693452,15.1352822443408,15.4318316635539,14.8890691457655,14.8031492764166,15.1334666099803,14.4766125337113,14.1993168392958,14.8053386216356,14.4415011211086,13.9729637950702,14.1608735939384,13.7846595155505,13.8760921133225,12.7834896410633,12.5043562104057,11.8840659032109,12.9237369222963,13.5461494041884,13.7377205680083,14.1395870613758,13.1707166827115,13.9557388918218,14.0608283160389,13.7897920151803,13.9993680762349,14.5228116972747,14.7433178453827,14.8880796901228,14.5204036744806,13.4531981354815,12.3572244485167,16.54403128126,17.9875170696514,18.8066290731286,19.2534713941739,19.1899329790306,18.077124381791,16.5600245152721,19.0958292507371,17.9677191069312,17.422321169952,17.9848436205278,18.3013203868011,17.945334529854,17.9167332857361,17.4782056849577,16.7021484642865,16.5047160078581,15.5264043209252,15.7961039836922,15.5100234886721,15.799627643016,15.1121848624005,13.3636406155808,13.5781266823896,12.8610043081871,12.2809443590308,11.1854920622389,11.6973524295269,10.89842123621,10.2198600502701,11.2798536113945,12.1882631397033,11.8173445843088,13.1651827973037,13.1539033454137,13.2882328428333,13.7125880051327,12.9124027850887,13.2879666796134,13.2080553079917,12.9499650015817,12.4800075279259,12.1797733546572,13.0055804538944,13.4147515249339,13.6454320074965,14.3276725915482,14.670875740167,14.3762525591624,14.2764037688898,13.5283860807075,13.5012279936373],"QQQ^FMA_PE(LTMA,-10AY,0,AM,\"PORTAGG\",\"MEANR\")":[18.9045897607361,19.4608535100563,19.0972589659605,19.7109218244523,20.3264035807506,20.1096275394862,19.4513791235403,20.7927523096553,20.4585877421876,20.3971550159239,20.2751041548604,19.9470151474793,20.4269856102997,19.0649857939592,19.0161038064491,20.2749133493708,20.6147852403525,20.3489696602954,18.8483493977997,18.2619688656383,18.444790260331,18.3157234271995,18.6336832435267,18.6440457276687,19.4244182440056,19.5647881505591,19.971558870215,19.6405927877489,19.603984554529,20.2941205773802,21.2460181733969,21.7444324847298,21.6628465067159,21.7517573073049,22.0101130857121,21.6377295866646,22.1244818960982,22.3062549192523,22.3042785946712,22.8912840070656,23.0806527278178,23.5271162523326,24.8521242356111,24.0564794339268,23.6415291626979,23.2195380192647,23.2953884689179,22.9760281305682,22.938790781014,23.4622072819795,23.2961327129892,21.391572162301,20.7527256929268,18.6396623122827,20.3044071419649,20.9219133925075,21.0994135958811,21.4115574712153,20.7919206066475,21.7566859875649,21.9190876422114,21.8368739308208,21.9701948213063,23.1364508923354,24.162228206776,25.4709465468865,25.5797299806911,23.8036531420065,23.2990287511416,24.9386389392027,26.5801860552755,27.8659865407826,28.7176938433232,31.9029810866722,31.2312423112243,29.7425470628742,33.6428122327131,35.2372737765586,34.9231731015993,33.034680053156,32.6716433165575,32.1483462592022,31.4202497156856,31.8528767342327,31.4117273424579,31.7811020866282,30.3830951148143,31.5193139395084,31.1619272860563,31.9012291478925,28.8560041323207,26.6339356439319,26.8365690473038,25.8249989751868,25.2600990885062,24.1734814362425,25.6341209798005,24.7356766317634,22.6957009951689,23.0710743335979,24.1171529274349,22.730734026583,25.6302752699739,25.2048214723178,25.6827595112123,25.6620141469344,26.4885100180419,27.2777331947725,27.1120555580652,26.7888554555436,25.949909251699,25.6813402096346,27.7276252747721,29.1637516378953,29.6055601390737,30.3744409942953,30.0490729703592,29.293357230156,29.5498110158936,30.2160284639567,29.7101169948215],"DDR3512M-FDS^FG_PRICE(0)":0.9074227,"PASP-FDS^FG_PRICE(0)":935.0,"PLATI-FDS^FG_PRICE(0)":978.0,"W-FDS^FG_PRICE(0)":5.32,"COPP-FDS^FG_PRICE(0)":4.0665,"FC0000US^FG_PRICE(0)":408.25015,"FC0000GR^FG_PRICE(0)":9.8583145,"EWI^FG_PRICE(0)":36.05,"SPY^FG_PRICE(0)":543.01,"EWJ^FG_PRICE(0)":67.55,"ENZL^FG_PRICE(0)":45.83,"EWA^FG_COMPANY_NAME":"iShares MSCI Australia ETF","FXI^P_PRICE(0)/P_PRICE_LOW_PR(0,,,,,,\"PRICE\",\"INTRA\",\"52W\")-1":0.21380627,"SPY^FMA_PCT_ABOVE_MAVG(200,0,,,,\"PORTAGG\")":75.0499001996008,"URTH^PERCENT_CHANGE(FMA_EPS(+1,0,,,,\"PORTAGG\",\"MEAN\"),FMA_EPS(+1,-3AM,,,,\"PORTAGG\",\"MEAN\"))":0.0599564227040829,"VGK^FG_TOTAL_RETURNC(0,-3AM)":3.862369,"EWD^P_PRICE(0)/P_PRICE_HIGH_PR(0,,,,,,\"PRICE\",\"INTRA\",\"52W\")":0.9209847,"EWQ^FG_TOTAL_RETURNC(0,-12AM)":-0.26054382,"SPY^PERCENT_CHANGE(FMA_EPS(+1,0,,,,\"PORTAGG\",\"MEAN\"),FMA_EPS(+1,-1AM,,,,\"PORTAGG\",\"MEAN\"))":-0.0338223531782067,"DUMMY^ECON_EXPR_DATA('FDS_ECON[NTCPMIMFGSA@EME]',,,M)":50.6699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495928,11.9085678484881,15.3602779609384,14.6915673510105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CC_IT^IMF_IFS_RCPI_Q(0)":null,"VWO^FMA_DIV_YLD(NTMA,NOW,NOW,M,\"PORTAGG\",\"MEANR\")":2.97331853722452,"EWQ^FMA_EVAL_EBIT(LTMA,NOW,NOW,M,\"PORTAGG\",\"MEANR\")":13.0737003727421,"QQQ^FG_FCF_YIELD_NTM(0)":3.58749447349296,"EWL^FMA_PE(NTMA,0,,,\"PORTAGG\",\"MEANR\")":17.3232210028434,"ENZL^FMA_EVAL_EBITDA(NTMA,0,,,\"PORTAGG\",\"MEANR\")":12.1728897632796,"EWG^FG_COMPANY_NAME":"iShares MSCI Germany ETF","EWN^FG_COMPANY_NAME":"iShares MSCI Netherlands ETF","VGK^FG_TOTAL_RETURNC(0,-6AM)":6.420195,"QQQ^FG_TOTAL_RETURNC(0,-6AM)":9.273267,"VWO^FG_TOTAL_RETURNC(0,-6AM)":9.670162,"FXI^FG_TOTAL_RETURNC(0,-6AM)":16.199064,"EWJ^P_PRICE(0)/P_PRICE_LOW_PR(0,,,,,,\"PRICE\",\"INTRA\",\"52W\")-1":0.18094409,"VGK^PERCENT_CHANGE(FMA_EPS(+1,0,,,,\"PORTAGG\",\"MEAN\"),FMA_EPS(+1,-3AM,,,,\"PORTAGG\",\"MEAN\"))":1.27956338868288,"EWJ^FMA_COS_UP(\"EPS\",\"1M\",+1,0,,,\"PORTAGG\",\"MEANR\")":96.0,"EWN^SIZE(FG_CONSTITUENTS)":53,"EWL^FMA_COS_DOWN(\"EPS\",\"1M\",+1,0,,,\"PORTAGG\",\"MEANR\")":19.0,"ENZL^FMA_COS_UP(\"EPS\",\"1M\",+1,0,,,\"PORTAGG\",\"MEANR\")":3.0,"TRYJP10Y-FDS^FG_YIELD_NAME":"Japan Benchmark Bond - 10 Year","CAGDPY@FR^EE_ACTUAL_ANNUAL(MED,0)":-1.02144178613266,"CAGDPY@AU^EE_ACTUAL_ANNUAL(MED,0)":0.275776825503169,"USDITL^FG_PRICE_CHANGE(0,-1AM)":-0.5837381,"USDANG^FG_PRICE_CHANGE(0,-1AM)":0.0,"USDUSD^FG_PRICE_CHANGE(0,-1AM)":0.0,"USDGBP^FG_PRICE_CHANGE(0,-1AM)":-1.1569202,"USDJPY^FG_PRICE_CHANGE(0,-1AM)":-7.175106,"USDCAD^FG_PRICE_CHANGE(0,-1AM)":0.77558756,"USDNZD^FG_PRICE_CHANGE(0,-1AM)":1.8454909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-7.8320146,-1.6625583,-3.0682564,-3.7467718,-1.1073828,-7.0612907,0.8088231,8.533918,0.73924065,3.402269,0.0,-0.92998743,2.5844932,-6.847543,-1.0402203,3.7841678,-2.633357,-4.4277487,-12.445414,-2.9093862,3.082192,5.564785,-4.956728,-7.878476,1.1090517,3.930533,-3.07827,1.3611555,-1.6114593,11.161923,-1.9826472,1.2642264,7.116103,3.2245517,6.285286,0.23365021,7.5179815,1.8066287,3.0561924,-0.73342323,-0.86732507,-0.81677437,12.253607,-7.550478,1.7727137,3.9502263,-9.156185,-2.1754026,1.280725,-7.3820887,1.4391065,-7.093483,-0.5873203,-3.4290433,7.228422,5.238831,2.7086377,0.0,-7.5552344,9.184467,-1.6076028,-0.07426739,1.4121175,7.0721865,-1.129365,2.8223991,-2.440673,-5.3509417,-27.055794,4.2778015,11.245179,5.4738164,2.7847052,3.8010478,-4.5968056,-6.8599463,27.4441,2.1092534,-2.445656,6.1281323,4.3963313,-0.6599605,7.149625,-2.7254999,-0.1843214,2.185285,-3.9156675,6.614411,-7.9682407,6.3168883,0.15238523,-11.65551,3.2380223,-8.475137,3.2446146,-11.888731,1.776123,-6.899345,-6.2772455,12.976753,15.232599,-2.3040473,13.734221,-1.631856,0.96217394,4.173517,-4.16404,7.3437214,3.9271235,-3.7484944,-4.4597983,-0.82182884,9.877372,3.644228,-0.058948994,5.897963,4.8454523,-3.0013323,6.3253045,-3.7781596,-1.1245191],"EWN^FMA_DIV_YLD(NTMA,-10AY,0,AM,\"PORTAGG\",\"MEANR\")":[2.99646276175281,2.9875368558412,3.02727389347525,3.10167786383842,3.00350671522889,3.07635052922722,2.90003273270605,2.71372282178949,2.67536841821691,2.7461343999879,2.83231376674112,2.90953951022614,2.8900662201743,3.46125880002886,3.61662705888789,3.25748940178752,3.12926368110632,3.15784476268672,3.22640793920231,3.27008045651828,3.33589768325509,3.3707402030184,3.15055568485444,3.32961459433652,3.21684998474071,3.14829843784298,3.11899711258538,3.16024032194357,3.14430383207192,2.9618206119659,2.98465629743622,2.82630196579232,2.75918279903228,2.74024482623613,2.70250922477626,2.81837747248312,2.76002243303874,2.86919605885253,2.78837444839308,2.73323278089816,2.87240875502282,2.85753484013009,2.81643035857471,2.96150824524108,2.98611007049026,2.93326127438737,2.88192081467549,2.95013587037403,2.84744218671044,2.9031838112027,3.00631067177376,3.21519540186523,3.22587547233236,3.46137940498857,3.26422453828259,3.10551316904025,3.02346848122615,2.94679912733084,3.17470130173706,2.9750492275163,2.88505346438191,2.96896497406514,2.77584318482173,2.72748033360936,2.65154040471967,2.60018118577366,2.68424222919515,2.87032197535569,3.290805228903,2.70522584837752,2.47342161302946,2.37460885644278,2.42043405901877,2.29112185949224,2.33341503616353,2.41361595395544,2.06575704985209,1.96818147987341,1.98254365455708,2.04488038136392,1.91768257939403,1.96312560242582,2.00160238676687,2.01355838232064,1.94889365224805,1.83235129174898,1.97422166671737,1.9050742867253,1.94104004253809,1.93656613675911,2.16274848453768,2.33701064910707,2.23773474627326,2.38687997099843,2.55096615863927,3.48420352083584,3.04694851204894,3.87745060204745,3.07908632764243,2.92617231497063,2.63413029149984,2.81744297013829,2.53736821644177,2.68075452209928,2.63452481607788,2.68855290331912,2.71568871823129,2.69580855444124,2.656119343971,2.88342966685643,3.03618246704263,3.07351732871084,2.80176725768945,2.68322512018671,2.58202596580532,2.58267407287806,2.5160916776691,2.59945100664747,2.51508626008829,2.50750911361281,2.59603241445544],"SPY^FMA_PE(NTMA,-10AY,0,AM,\"PORTAGG\",\"MEANR\")":[14.8567439167192,15.3577342548639,14.8204719533268,15.4981269408046,15.7655384438058,15.9714623301085,16.0390602016943,16.9007316344402,16.4128301285687,16.7045817863234,16.5643068033529,16.2216881942834,16.4284707165386,14.8956655091951,14.9865071908557,16.2707714578122,16.4279054651883,15.991430392029,15.5099438140132,15.5167363536305,16.5004635460184,16.5226770167304,16.6059000589168,16.5274762929012,16.9341536604021,16.7704748392619,16.6490222435307,16.1373931855738,16.6803383684596,16.8042774932923,17.0594342961112,17.8945610797958,17.5096202630589,17.4558133434224,17.6117382808921,17.4139594236772,17.6706973306684,17.5139583604644,17.7326589226952,17.9559535506214,18.1962903724008,18.1253195758661,17.8798395494924,16.6426327224729,16.3326334585674,16.1077056887203,16.3485048016767,16.1229719405181,16.4315150472589,16.8103827441345,16.8310041094407,15.6519022888552,15.7392730597703,14.3997586310989,15.782974885227,16.3320836374113,16.6061531613259,16.7836188766194,15.6848930281418,16.8637481285954,16.7829187366842,16.5612797304876,16.5923338809815,17.3374648120434,17.7141977946727,18.1539903546951,18.0535864848798,16.5763463062246,14.9749867362055,19.8915743658308,21.7058426921742,21.7672119586389,21.9340536152809,23.0258632853506,21.6211599332762,20.2298039959559,22.0028144576715,22.4393922504995,21.614464425914,21.8621062163505,22.0538828612461,21.6513602573048,21.2179294849346,21.4387541689414,20.9654683088453,21.2246618902198,20.3383473593253,21.1784587641844,20.4364391428262,21.3209246675395,20.0517378469318,18.7882426590091,19.4955293713394,17.5400420992857,17.2220307474195,15.98413450488,17.3710243677729,16.6933746782159,15.1562945006325,16.6261820519467,17.6110139959989,16.650131244223,18.1681849148735,17.4059208626294,18.0597010828104,18.1481047653307,18.2090219769318,19.1396512697757,19.4931245951586,18.8907124949682,17.8412646830105,17.5326213139255,18.8291600857706,19.5251873471914,20.0151763635317,20.6326324984862,20.8959236749828,19.7483519516529,20.4719610069707,21.0425591039322,20.6871366245101],"EWU^FMA_PE(LTMA,-10AY,0,AM,\"PORTAGG\",\"MEANR\")":[14.2264618859393,14.2925925149719,13.8028118460047,13.7939795690512,13.9157042138849,13.7928204998699,14.1767710880989,15.1831166741616,15.2458413384497,15.568486125708,15.7075770815072,15.4978750791711,15.7515100816941,14.8360590107934,14.9659598980754,15.8152124711938,16.0620706102686,15.6728845885555,15.2733273444423,15.5387681290171,15.7247270423721,15.9506779249857,15.9554399834539,16.3512579053777,16.6607308268316,16.8843871660056,17.073490822109,16.6186024960595,16.4154808997894,17.2050718769924,16.9625041346627,17.3889426414863,17.1205694382888,16.8386371196582,16.8053583426967,16.4216199612828,16.4326977797334,16.103619870065,15.8458154642555,15.6126592059331,15.0729034916162,15.5492985215324,15.2762812116739,13.8875130164915,13.8898657312745,14.0284776242945,13.9999159097642,13.848330194823,13.8888311761969,13.5125453110635,13.598814344213,12.900146232547,12.5509714836934,11.9434339120145,12.6629991530125,12.9360870157105,12.9795117265313,13.0056531140849,12.8170105442727,13.1013609730655,13.1473928750942,12.7891325764254,13.0825197439613,13.3077223693837,13.537079612263,14.1321151829608,13.7734172994256,12.3306364448541,12.3461841407809,13.5271376753918,14.67589058333,15.1546604158654,15.4176210862083,16.4846946581893,16.7301990840702,15.7180574115523,18.7515387852737,19.7320534162666,19.1110485362195,18.8017358689389,18.215396206829,17.6665425674924,17.1356644810908,16.3750259163439,15.4564049182565,14.7750064711614,13.8615424085904,13.5993137593347,12.6463410421703,12.3879421269286,12.7319573263833,12.5175941570984,12.3043941310113,12.0619436134442,11.7065159070191,11.1000349882365,11.0072822380247,10.1572414670139,9.48625581130796,9.56573837534614,10.0168415489886,9.56383301800295,10.126079752468,10.2578744091861,10.2535018046448,10.4394301465565,10.2393423683517,10.3685613895827,10.6543760009728,10.5156486733515,10.6042420070963,10.3256816265076,10.930682188119,11.3205885332922,11.2862853586913,11.4498759420562,11.5336876691685,11.6014465604216,11.7172413012918,11.6348678856071,11.8837152994427],"WL-FDS^MAX(FG_PRICE(0,-5AY))":763.4,"NI-FDS^MAX(FG_PRICE(0,-5AY))":48241.0,"CPALM-FDS^MAX(FG_PRICE(0,-5AY))":8163.0,"BRENT-FDS^MAX(FG_PRICE(0,-5AY))":140.85,"TIOS-FDS^MAX(FG_PRICE(0,-5AY))":219.77,"FC0000GB^FG_PRICE(0)":130.23045,"FC0000CA^FG_PRICE(0)":294.70615,"EWD^FG_PRICE_MAVG(0,,,,200)":38.509524999999996,"QQQ^FG_PRICE_MAVG(0,,,,200)":429.16306,"EWG^FG_PRICE_MAVG(0,,,,200)":29.86305,"EWI^FG_COMPANY_NAME":"iShares MSCI Italy ETF","ENZL^FG_COMPANY_NAME":"iShares MSCI New Zealand ETF","FXI^P_PRICE(0)/P_PRICE_HIGH_PR(0,,,,,,\"PRICE\",\"INTRA\",\"52W\")":0.85367495,"EWJ^FG_TOTAL_RETURNC(0,-12AM)":10.122978,"URTH^PERCENT_CHANGE(FMA_EPS(+1,0,,,,\"PORTAGG\",\"MEAN\"),FMA_EPS(+1,-1AM,,,,\"PORTAGG\",\"MEAN\"))":0.180768803535861,"VGK^FG_TOTAL_RETURNC(0,-1AM)":-0.19353628,"EWD^FG_TOTAL_RETURNC(0,-6AM)":5.338967,"EWQ^P_PRICE(0)/P_PRICE_LOW_PR(0,,,,,,\"PRICE\",\"INTRA\",\"52W\")-1":0.11229944,"EWU^PERCENT_CHANGE(FMA_EPS(+1,0,,,,\"PORTAGG\",\"MEAN\"),FMA_EPS(+1,-3AM,,,,\"PORTAGG\",\"MEAN\"))":1.07546919091885,"EWJ^FG_TOTAL_RETURNC(0,-3AM)":1.4079094,"EWC^P_PRICE(0)/P_PRICE_HIGH_PR(0,,,,,,\"PRICE\",\"INTRA\",\"52W\")":0.9722755,"ENZL^FG_TOTAL_RETURNC(0,-12AM)":-3.6734462,"EWJ^FMA_COS_DOWN(\"EPS\",\"1M\",+1,0,,,\"PORTAGG\",\"MEANR\")":56.0,"EWD^FMA_COS_UP(\"EPS\",\"1M\",+1,0,,,\"PORTAGG\",\"MEANR\")":11.0,"EWL^SIZE(FG_CONSTITUENTS)":46,"ENZL^FMA_COS_DOWN(\"EPS\",\"1M\",+1,0,,,\"PORTAGG\",\"MEANR\")":5.0,"EWD^FMA_RBICS_REV_CURRENT(30, LOC, \"PORTAGG\")":26.6826894897005,"SPY^FG_ROE(0)":18.7012630612106,"TRYCH10Y-FDS^FG_YIELD_NAME":"Treasury - Switzerland Benchmark Bond 10Y","EWC^FG_COMPANY_NAME":"iShares MSCI Canada ETF","REFFFUND-FDS^FG_YIELD(NOW,,,0)":5.5,"REFEUREFI-FDS^PROPER_NAME(0,,,\"SECURITY\",\"NAME\")":"Eurozone Main Refinancing Operations Minimum Bid Rate","TRYFR10Y-FDS^PCTCHG(FG_YIELD(0,,,,\"YTM\"),FG_YIELD(-3AM,,,,\"YTM\"))":-2.784148,"TRYAU10Y-FDS^PCTCHG(FG_YIELD(0,,,,\"YTM\"),FG_YIELD(-3AM,,,,\"YTM\"))":-9.417244,"TRYUS10Y-FDS^FG_YIELD(0,,,,\"YTM\")":3.9865,"EWI^FMA_PE(LTM,0,,,\"PORTAGG\",\"MEANR\")":10.0849978283748,"EWG^JULIAN(FMA_DIV_YLD(NTMA,NOW,NOW,M,\"PORTAGG\",\"MEANR\").DATES)":45502,"EWL^FG_COMPANY_NAME":"iShares MSCI Switzerland ETF","EWD^FG_TOTAL_RETURNC(0,-3AM)":3.5892487,"EWQ^P_PRICE(0)/P_PRICE_HIGH_PR(0,,,,,,\"PRICE\",\"INTRA\",\"52W\")":0.8788732,"EWU^PERCENT_CHANGE(FMA_EPS(+1,0,,,,\"PORTAGG\",\"MEAN\"),FMA_EPS(+1,-1AM,,,,\"PORTAGG\",\"MEAN\"))":-0.192031248628052,"EWC^FG_TOTAL_RETURNC(0,-6AM)":4.946089,"QQQ^FG_ROE(0)":22.664977920898,"DUMMY^ECON_EXPR_DATA('FDS_ECON[PMIDMMANHE]',,,M)":48.78809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459856653411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QQQ^FG_TOTAL_RETURNC(0,-12AM)":20.90895,"CAGDPY@US^EE_ACTUAL_ANNUAL(MED,+1)":-3.2,"CAGDPY@NZ^EE_ACTUAL_ANNUAL(MED,+1)":-5.4,"USDITL^FG_PRICE_CHANGE(0,-1AY)":1.7326832,"USDANG^FG_PRICE_CHANGE(0,-1AY)":0.0,"USDUSD^FG_PRICE_CHANGE(0,-1AY)":0.0,"USDGBP^FG_PRICE_CHANGE(0,-1AY)":-0.24623275,"USDJPY^FG_PRICE_CHANGE(0,-1AY)":4.7426343,"USDCAD^FG_PRICE_CHANGE(0,-1AY)":4.1821957,"USDNZD^FG_PRICE_CHANGE(0,-1AY)":3.1960487,"EWA^JULIAN(FMA_EPS(NTMA,-20AY,0,CY,,\"PORTAGG\",\"MEANR\").DATES)":[38352,38716,39080,39447,39813,40178,40543,40907,41274,41639,42004,42369,42734,43098,43465,43830,44196,44561,44925,45289],"EWD^FG_TOTAL_RETURNC(-10AY,0,AM)":[-4.448205,0.30937195,-4.361862,1.1056423,1.6099691,-4.626137,2.4313211,7.028365,-3.6290407,2.151823,-0.87770224,-1.7674804,-0.34214854,-7.397008,-2.6289225,4.361367,0.86236,-3.9595604,-6.8540096,3.0537128,5.2838206,2.5093198,-2.4478972,-3.1618953,1.019299,3.4954906,1.2186646,-5.641556,-0.03646016,4.7953963,6.787336,0.19556284,2.7000666,5.6699395,2.8477192,1.1086464,1.3856173,1.2212873,3.0738235,-1.254183,-3.6692023,0.32035112,7.2271347,-7.8679442,-0.029867887,-2.568698,0.5211592,-2.6176214,5.8013678,-1.2701273,2.6670814,-8.954769,-2.1148086,-3.0971527,5.771959,1.6069651,1.7133474,3.3689618,-8.555311,9.9920635,-6.2379417,-2.8806567,2.471757,10.096491,-0.71988106,5.020213,-2.7051747,-5.092156,-20.441078,10.343397,15.598047,2.234161,7.765758,5.020678,0.478065,-5.4575977,17.821194,0.74840784,3.7688494,4.2615056,5.0859213,2.5856256,5.8164597,-2.9418886,3.906417,-0.43379068,-6.0166,6.7549706,-7.6716304,7.0250154,-7.57609,-15.086407,9.295929,-9.637648,0.2784729,-12.735361,9.65947,-12.391764,-7.1233807,9.027517,15.516663,-5.259812,10.702133,-1.3132215,0.62288046,4.5582414,-6.8083944,2.2812486,-0.16939044,-6.25,-0.5429864,-4.913563,17.352474,9.933901,-4.003042,5.5423617,-0.575155,-3.0935585,8.824301,-2.217567,-2.6517987],"EWQ^FMA_DIV_YLD(NTMA,-10AY,0,AM,\"PORTAGG\",\"MEANR\")":[3.63523168362998,3.53449264250309,3.59956469459541,3.69761747281395,3.56231702954762,3.63053966972835,3.36958589368047,3.12865411889008,3.18130457279148,3.25032792451333,3.28944369823146,3.39383609967554,3.291572031812,3.69581072967617,3.78580525103254,3.43210607938344,3.41135140371282,3.60193863288813,3.78974920441283,3.77503950248011,3.81704597364603,3.72354967436848,3.70558791350471,3.87498928857858,3.75312403934577,3.7370910993735,3.72463199024037,3.75936091869175,3.66869345119767,3.46627926955841,3.50793219999897,3.45172051332991,3.34878974588245,3.26391449413278,3.24194184728127,3.38892587160361,3.38722576055464,3.40480123197067,3.2946530053581,3.23348701811807,3.3108365060302,3.32111484492617,3.23521421594647,3.40167439768003,3.4649735497601,3.3047949665637,3.36118442045111,3.46150214120478,3.38210101692114,3.45504612316079,3.42863519127596,3.71488564558537,3.79446278583538,4.00551852013093,3.77589250735133,3.62006056995402,3.56778772475286,3.46790870163774,3.72724093589846,3.51334717542837,3.53764762208657,3.60141429728804,3.53726656004022,3.43179236170454,3.37893159187036,3.35245755302702,3.43300161000188,3.72782087677705,4.45798093418262,3.51706365060442,3.26486048992528,3.16284673982048,3.23491885791945,3.1562839375738,3.27644925960805,3.44528026962697,2.8768523124709,2.93955434765,2.99692023449406,2.835773791553,2.74011410639921,2.70594867689808,2.66765332621768,2.69259507872989,2.71441558670152,2.72262948699713,2.86615409945368,2.7676340746454,2.82602028055792,2.73879537311215,2.82123260589858,3.21057133956496,3.08141317557276,3.14918620624511,3.24024852927586,3.53733003338895,3.2846595275355,3.5659678320566,3.77229922690018,3.47585602410403,3.25648498031479,3.38079487006369,3.11453891233102,3.17635405298438,3.17295242591794,3.12380432529195,3.31376965649083,3.22608406634564,3.26836323230755,3.324891016362,3.42144304778843,3.52404247826276,3.32217924780817,3.2303869117415,3.20187043169488,3.12867746284953,3.05856743642256,3.14776689904746,3.15870431366445,3.35808229567314,3.40237667824497],"QQQ^FMA_PE(NTMA,-10AY,0,AM,\"PORTAGG\",\"MEANR\")":[17.1603828219968,17.8774265439494,17.1464554763372,17.6885889608936,18.0776934583114,17.4439790635812,16.9367245315482,18.0987091619455,17.5778146968114,18.0048963080168,18.0555112858223,17.6094933846645,18.6258597243979,16.7439962422187,16.8555040495204,18.5452036629595,18.8596075080091,18.4588215357575,17.3232415487766,17.394330783978,18.0861929547362,17.4707196772289,18.0080406399037,17.7093238287946,18.7303784433146,18.546315496867,18.6686139794025,18.0106783605501,17.7427105734158,18.0470918716454,19.2458238412994,20.2435848547949,20.1485369307087,20.502391395887,21.0050662324112,20.0519431453177,20.7229932923976,20.6993067237689,20.37612210329,20.8138885018826,20.8107825461829,20.7947525332183,21.4604012427883,20.456624508815,19.7763057603438,19.5426346445751,20.3931962500705,20.087014612319,20.2522237888796,21.1439522256258,20.9111641716748,19.0992278507177,18.8114498633601,17.1033334043296,18.9850887961166,19.8238920117317,20.5738801831428,21.188766920123,19.3503560143766,21.055155716996,20.9350012245476,20.4554378626428,20.2571222963429,21.323085557257,22.0033636055341,22.7334003321416,22.7772009086728,21.3634002771717,19.8377999911245,24.7721688583428,27.4477017920371,28.6714407691721,28.9096785508734,31.9928277239819,29.6358793284036,27.3491681967899,30.0480937937805,30.0918515157924,29.5815576105847,28.6169789140977,28.4157877906011,27.796917644553,26.850185262284,28.3039672623146,27.9887797751266,28.7218371086521,27.0611441449207,28.987788541812,28.5518089888795,29.1673117499109,26.3431924186512,24.4028872506335,25.6253252591873,22.4601553381739,21.6630769907745,20.0874049768134,22.9837956102258,21.8156591198754,19.5241373583725,20.8891945962373,22.3459822439925,20.8845995037699,23.940790602289,22.8964035798432,25.0734268721733,24.5353028707121,25.9696969907053,26.792181260846,25.7701098812999,24.6496717443145,23.1717903425155,22.7033187937905,24.3017034453727,25.0896941037527,25.7114262685484,26.5752858984212,26.2056392525408,24.5657239837652,25.7369655806234,27.0967871335857,26.0955667512413],"EWL^FMA_PE(LTMA,-10AY,0,AM,\"PORTAGG\",\"MEANR\")":[17.1250287795835,17.3539928572813,17.2181329030862,17.3080166035208,17.644364630221,17.2391332882042,16.6929993068285,17.9927049686476,18.0140462465655,18.0823487485388,18.0836246497676,17.7662191113555,18.2155542852859,17.1892635967977,16.9694991170573,17.7635359195173,17.6447834958508,17.3781775117904,16.8595264226991,16.6119059132696,16.5964163990059,16.824160045369,17.119821855445,17.2037167975357,17.6287750227913,17.7777380167484,18.0270248722881,17.5576779117633,17.3031625968648,18.2312249975706,18.5344603349454,19.6772953311194,19.4836656134011,19.4745274237685,19.5858931606285,19.3423476611755,19.3281649539058,19.1444664384264,19.4599988337422,20.2771800411741,20.3191407844838,20.7340196335678,21.7424950046533,21.1638377276074,20.7201011040339,20.2825900514586,19.6961564251071,19.276078670819,19.2706007186319,18.7977019411547,18.5845941073448,18.0189796441268,17.7037866596995,16.1867705047708,17.6000232415279,18.3575359207335,18.2868931824995,18.3010155901809,18.0480416723578,18.3890071317496,18.3229944098853,18.2372817421703,18.2942374150523,18.7578110169301,19.0487546820496,19.6199312565469,19.6783186172664,18.0103108276406,17.7643618556262,18.6034651660968,19.0807798907585,19.626464011875,19.9094463440796,20.5251776738077,20.7841307625379,19.6743356945416,21.0543562816613,22.0192335076548,21.3190496994046,20.490280030146,20.4554903396325,20.1108644172687,20.6521105536254,20.8642772030353,20.9458493427101,21.2227495406634,20.0012053258354,20.8055572894931,20.5461559505027,21.6670376324775,20.3421936699757,18.4754455629167,18.5890147428654,18.5252337933173,18.1221448223734,17.572476820139,18.3148042146363,17.633345706083,16.9641631423621,17.8044357435837,20.0265281967444,20.0573075428435,20.5874712292508,20.6675717339961,20.4309085273748,20.2595994133484,19.5967749908966,19.2961850249866,19.208137868406,18.8886452923249,18.4173647036501,17.614582070256,18.0198034959578,18.4261307484942,18.6024485068341,19.1976932216384,19.1427660083626,18.7193134194805,18.902318117854,18.7703122655935,18.8426718171942],"WL-FDS^FG_PRICE(0)/MAX(FG_PRICE(0,-1AY))":0.685747969609641,"NI-FDS^FG_PRICE(0)/MAX(FG_PRICE(0,-1AY))":0.709908297919928,"CPALM-FDS^FG_PRICE(0)/MAX(FG_PRICE(0,-1AY))":0.870932518017034,"BRENT-FDS^FG_PRICE(0)/MAX(FG_PRICE(0,-1AY))":0.870614479821537,"TIOS-FDS^FG_PRICE(0)/MAX(FG_PRICE(0,-1AY))":0.713304661487236,"EWD^FG_PRICE_MAVG(0,,,,60)":40.805,"QQQ^FG_PRICE_MAVG(0,,,,60)":469.36282,"EWG^FG_PRICE_MAVG(0,,,,60)":31.393833,"EWD^FG_COMPANY_NAME":"iShares MSCI Sweden ETF","URTH^FMA_PCT_ABOVE_MAVG(200,0,,,,\"PORTAGG\")":67.2510518934081,"EWJ^FG_TOTAL_RETURNC(0,-1AM)":-0.3540337,"ENZL^P_PRICE(0)/P_PRICE_LOW_PR(0,,,,,,\"PRICE\",\"INTRA\",\"52W\")-1":0.116984844,"EWN^FMA_RBICS_REV_CURRENT(30, LOC, \"PORTAGG\")":23.8715121294945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452361,8.94223448408444,12.2539555485597,13.1476341706421,13.2212508616692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REFCATARG-FDS^FG_YIELD(NOW,,,0)":4.5,"CAGDPY@US^EE_ACTUAL_ANNUAL(MED,0)":-3.31108668288718,"CAGDPY@NZ^EE_ACTUAL_ANNUAL(MED,0)":-6.9,"USDITL^FG_PRICE(0)":1794.0885,"USDANG^FG_PRICE(0)":1.79,"USDUSD^FG_PRICE(0)":1.0,"USDGBP^FG_PRICE(0)":0.78170806,"USDJPY^FG_PRICE(0)":150.07,"USDCAD^FG_PRICE(0)":1.3838,"USDNZD^FG_PRICE(0)":1.6777116,"EWI^P_PRICE_RETURNS_PR('52W',2,-10AY,0,AM)":[24.618626,23.475147,9.106588,-2.9256642,-1.9028187,-10.927879,-10.893327,-7.9752026,-14.779461,-12.173438,-10.484468,-12.244195,-2.9241025,-7.476324,-5.540514,4.228437,0.27846098,3.1199813,-10.438127,-19.881111,-18.017746,-14.819402,-20.45182,-26.031101,-27.094967,-18.659586,-20.612938,-22.194689,-21.378094,-9.994489,2.374518,6.775272,9.498585,8.494007,21.327019,31.645918,40.37863,37.509872,49.05367,43.19185,44.274857,29.315483,47.424664,34.591843,27.778578,28.776836,10.067725,7.422316,1.1906147,-7.517028,-9.387016,-15.192634,-15.364474,-17.193031,-20.900005,-9.957438,-9.129393,-12.582577,-10.836429,-0.71176887,-3.5432696,2.5537372,4.0397525,19.90292,18.874609,26.968658,14.592541,4.545784,-26.213062,-23.056608,-7.4087024,-10.5554285,-6.908238,-2.9388666,-8.689981,-19.32878,2.3836613,1.6735792,1.6683698,13.998758,63.152813,52.26722,49.70508,38.067318,31.162035,31.992031,32.934402,52.165733,9.884083,14.412093,17.459106,-2.2232473,-3.3081055,-12.383991,-14.161605,-22.247553,-20.72044,-27.768665,-28.987461,-25.339449,-6.51781,-13.940644,-2.4487138,8.619547,7.807827,20.905268,12.229311,37.46426,39.61575,44.340862,47.208332,29.168737,23.165834,28.84742,14.8184185,23.607481,28.361738,19.52095,35.730064,18.8637,13.086033],"EWN^FG_TOTAL_RETURNC(-10AY,0,AM)":[-6.7210555,2.4573088,-3.089434,-0.33515692,4.9238086,-3.7835062,0.35556555,6.66945,-0.66432357,3.7765503,0.0,-0.39457083,2.0408154,-10.037738,-2.390939,7.4344635,-0.83999634,-3.24077,-1.84564,0.5982995,4.0356755,0.9391546,1.2945056,-6.3732266,3.2886147,4.77587,0.19991398,-2.7932942,-4.392445,5.028701,2.5672913,4.037142,4.0356994,5.3711295,5.0973415,-1.3651788,6.5675735,-0.4865408,2.31421,0.89200735,-0.97884536,1.75246,6.2716722,-6.583631,1.4920592,-0.031280518,-0.9699583,-2.0341575,3.7692547,-1.9583046,-2.5451064,-5.5537224,-0.4900217,-7.046586,8.136892,4.781997,1.5771866,4.0964603,-5.902892,7.402575,-0.90090036,-0.6493449,1.7973781,3.7881255,0.8351326,4.291749,-3.4554124,-6.8828344,-18.33114,11.826218,11.870503,6.6172004,3.0339837,5.035329,-0.7008672,-4.1219654,17.638409,3.8176656,4.644406,3.6523342,5.642283,1.4777303,3.8901567,-2.623278,3.4154415,6.665337,-7.2996798,5.9311748,-6.745654,3.292954,-6.770211,-11.8539095,3.561914,-10.084236,0.70257187,-9.057373,9.067345,-11.770916,-8.555192,7.8508377,19.593561,-4.96763,15.950584,-4.955995,2.8265119,0.142169,0.26029348,3.2921672,2.6571155,-7.4724255,-7.51642,-0.8679688,12.655878,5.903721,3.2713413,4.8600554,3.1657338,-4.532695,7.542014,-0.33378005,-5.1337957],"SPY^FMA_DIV_YLD(NTMA,-10AY,0,AM,\"PORTAGG\",\"MEANR\")":[2.15628005760197,2.08613123405872,2.16188582645566,2.10653241131414,2.08959495379335,2.10026093509841,2.19446282471469,2.09873762013911,2.1878526045973,2.14931031730696,2.15677717920106,2.19209717598785,2.18739124047345,2.42188987216059,2.41581242543373,2.24984846935225,2.25204416422421,2.31468341119618,2.45182025901469,2.47519773454617,2.29179874134034,2.29270141173246,2.27059680255112,2.27675912156177,2.21623470861266,2.22219995666243,2.22038243921728,2.28659737476288,2.22670033700093,2.18859151652776,2.16884398874564,2.07713428888103,2.11464581814407,2.10637308740207,2.08362745686599,2.10344270989808,2.08084702665008,2.09267262525336,2.06074268842083,2.03088273304402,1.97452527147198,1.9630925267995,1.88572759286791,2.01508823212481,2.05715340307065,2.06939332844909,2.02241372702905,2.05172486254481,2.00596167401643,1.95551789133049,1.94999611173807,2.08719079991437,2.08669050371727,2.31975633088368,2.16110422856803,2.09436131892643,2.06392066103928,2.03987285938323,2.17784237831635,2.03273637635693,2.05099327078774,2.08063231098013,2.07766899648502,2.01070300210127,1.9756997976927,1.93350465864541,1.95202992819936,2.14572950135165,2.54535132210334,2.15226425163336,1.97623101139763,1.92263085417017,1.81788451575305,1.69114757371265,1.76432318431514,1.83288236033121,1.63921613435376,1.57770774699103,1.58089351500024,1.5434985970656,1.50646577110353,1.46012557359886,1.46175438164717,1.43586397027977,1.42856785043602,1.40038350849804,1.45917065808585,1.39309933965978,1.42751868100385,1.35459202425572,1.44083421740155,1.53502057492166,1.45055024921827,1.59898244956486,1.61880500376248,1.75495806594426,1.63772867776388,1.72155252244327,1.91168557113335,1.79177717561801,1.69958871965088,1.80889407766127,1.698409950977,1.77715530397651,1.71388883366173,1.69355549075922,1.67982567010948,1.5965043520533,1.56069252960824,1.59260645217257,1.68913045967076,1.71527502058237,1.58707803971037,1.54364922666662,1.5087684941391,1.46158072238345,1.42979286354142,1.5191698952897,1.4540869303298,1.40464604650952,1.42373350476822],"EWU^FMA_PE(NTMA,-10AY,0,AM,\"PORTAGG\",\"MEANR\")":[13.4185458223909,13.5557307291156,12.9366238199687,13.1604728966266,13.5465448432575,13.8378427236722,14.9714517027184,15.7673388929755,15.4346819424511,16.0124486951167,15.8809365720218,15.0993559238907,15.4029204684913,13.9357591793298,14.3057843481967,15.3196187474176,15.4646554821626,15.2053139260079,15.5544016993567,15.7446437733692,16.0054167293524,16.2175590994556,15.7157428696411,16.1076551566143,16.0860659278294,15.9147907814023,15.7154072811657,14.7788703294178,14.2134073959396,14.4510565442094,14.1986572317341,14.530666166557,14.4190694742358,14.2962691851796,14.8391146251839,14.3989278646626,14.823684521413,14.6286836464253,14.5413076611886,14.514127930963,14.1193684645936,14.7771218833858,14.2803461483686,12.9873772597431,13.2236066575751,13.7294290262159,13.6334728503001,13.2933875981989,13.1972080444052,12.6358290761544,12.7416314651251,11.9027382592367,11.7049560237895,11.3877881290485,12.2478018688638,12.4162939089334,12.6593475321357,12.6587112655824,12.1321932869227,12.6754220040096,12.613662067451,11.9957798242495,12.3336538794428,12.7211427763892,12.9936396162924,13.4526193372134,13.0749874882299,11.8680728997362,11.7718795172782,14.5850549870154,16.0330718619773,15.7930754997527,15.1112646118482,15.1021257403282,14.3282018412519,12.9862569710296,14.7948720782277,14.392585541717,13.6984699759202,13.9823320750883,13.4316470207459,13.2401887420946,13.2552967438874,12.7192387825337,12.2623839478159,12.2479967270205,11.7835488134989,12.2566536247153,11.8483322556347,12.2095342795867,12.2764325740005,11.7699066859395,11.2507721742755,10.8203395738645,10.4191859149008,9.53875293792585,9.88192130748553,9.02962266253283,8.55513443508772,9.10053676286734,9.95747232319886,9.80305770107797,10.5111889107365,10.5229186102496,10.3398505830046,10.8050503322313,10.1571941357446,10.3759839924505,10.7195052256727,10.371903681575,10.4275401746652,9.99279940020143,10.5927338017729,11.0068145436794,11.0777228445185,11.2370945393809,11.5046760662612,11.5660523313369,11.670354049823,11.3551987536315,11.613644881033],"EWJ^FMA_PE(LTMA,-10AY,0,AM,\"PORTAGG\",\"MEANR\")":[15.2311492823174,15.0149201880092,15.3981961494307,15.3501722772435,15.974149249519,15.9743435221029,15.523350036289,16.9321203067015,16.7870225499878,16.8850210625588,17.1850965310518,16.7798308439634,16.8590830233591,15.5032993288164,15.0392928854986,15.8897336621607,16.3160938248067,15.7241220272528,14.9431742132256,13.8102014316074,13.711784284269,13.7931562937423,14.1254513403552,13.7030448296098,14.0782900450684,14.3411769875132,14.1918651950187,14.8115352787112,15.9197693067995,16.336549755413,16.3285256807402,15.9723479031817,15.7187584660595,15.6080523557322,15.6665150527061,15.5614075878747,15.4495129483756,14.9719992262634,15.0466824256912,15.5903459061511,16.1118501248426,16.3566554731427,16.5422874705167,14.4548739714149,14.2542395217387,14.2824823669052,14.0897163036692,13.9104417820475,13.951211163574,13.6506504736833,13.9742354809156,12.7436131906918,12.8279675403355,11.4780634857225,12.1613713410437,12.7022799934721,12.732113933714,12.788975623281,12.6047285191562,12.9951497118566,13.0109939882788,12.7294125330792,13.5120478063749,14.0736389825423,14.7328737245686,15.3183647795665,15.0413301551696,13.9774594975131,13.6310757116992,14.2436383360163,15.7290322230846,16.8395360549316,17.3845614441937,18.9190509304647,20.027357404575,20.1516997010792,22.3804279907158,23.6107676349128,23.1776402017806,21.697187504157,21.3136889832803,20.7215400815822,20.232051788595,19.7350683389943,19.0042165958948,18.5043045706359,17.8577532745468,17.7176004167011,16.4387693192331,16.101975479017,15.08424329845,14.729920481455,14.6117554290759,14.3571385524263,14.2838865392381,13.7562359710535,14.0018283152212,13.6998161769595,12.9355938005564,13.3190974350548,13.5614101338297,12.7449453890242,13.4052124653175,13.6592637769801,13.6528381823089,13.8072788023346,14.0571005014432,14.5900146557746,14.817575775893,14.8648501478998,14.7745346736102,14.7679766603677,15.2565269431833,15.2915763078604,16.3908947478714,17.087380319155,16.9487361037751,16.8021704636944,16.8056780253646,16.8188052427796,16.4232911607645],"WL-FDS^FG_PRICE_CHANGE(0,-1AY)":-25.1822209518365,"NI-FDS^FG_PRICE_CHANGE(0,-1AY)":-29.0091702080072,"CPALM-FDS^FG_PRICE_CHANGE(0,-1AY)":5.67037625861155,"BRENT-FDS^FG_PRICE_CHANGE(0,-1AY)":0.32717924748773,"TIOS-FDS^FG_PRICE_CHANGE(0,-1AY)":-5.06831610044313,"EWD^FG_PRICE_MAVG(0,,,,30)":40.323,"QQQ^FG_PRICE_MAVG(0,,,,30)":480.857,"EWG^FG_PRICE_MAVG(0,,,,30)":30.980667,"FXI^FG_TOTAL_RETURNC(0,-3AM)":-1.0860085,"EWJ^P_PRICE(0)/P_PRICE_HIGH_PR(0,,,,,,\"PRICE\",\"INTRA\",\"52W\")":0.93734825,"VWO^FG_TOTAL_RETURNC(0,-12AM)":6.1355233,"VGK^PERCENT_CHANGE(FMA_EPS(+1,0,,,,\"PORTAGG\",\"MEAN\"),FMA_EPS(+1,-1AM,,,,\"PORTAGG\",\"MEAN\"))":0.0,"EWD^FG_TOTAL_RETURNC(0,-1AM)":-2.6517987,"EWQ^FG_TOTAL_RETURNC(0,-6AM)":-1.6689837,"QQQ^P_PRICE(0)/P_PRICE_LOW_PR(0,,,,,,\"PRICE\",\"INTRA\",\"52W\")-1":0.34266102,"EWU^FMA_PCT_ABOVE_MAVG(200,0,,,,\"PORTAGG\")":68.75,"EWJ^PERCENT_CHANGE(FMA_EPS(+1,0,,,,\"PORTAGG\",\"MEAN\"),FMA_EPS(+1,-3AM,,,,\"PORTAGG\",\"MEAN\"))":2.74673692125041,"EWC^FG_TOTAL_RETURNC(0,-3AM)":3.9801598,"ENZL^P_PRICE(0)/P_PRICE_HIGH_PR(0,,,,,,\"PRICE\",\"INTRA\",\"52W\")":0.93530804,"URTH^SIZE(FG_CONSTITUENTS)":1429,"EWN^FMA_COS_DOWN(\"EPS\",\"1M\",+1,0,,,\"PORTAGG\",\"MEANR\")":26.0,"EWL^FMA_COS_UP(\"EPS\",\"1M\",+1,0,,,\"PORTAGG\",\"MEANR\")":21.0,"EWQ^FMA_RBICS_REV_CURRENT(30, LOC, \"PORTAGG\")":11.1513304275672,"EWU^FG_ROE(0)":14.3450936341394,"TRYDE10Y-FDS^FG_YIELD_NAME":"Germany Benchmark Bond - 10 Year","REFFFUND-FDS^(SUBARRAY(NOT_NA(NO_REPEAT_F(FG_YIELD(NOW,-10AY,D))),0,1)-SUBARRAY(NOT_NA(NO_REPEAT_F(FG_YIELD(NOW,-10AY,D))),1,1))*100":25.0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712369,17.2298191407891,20.6862902757634,20.5983105880676,20.3505037528153],"TRYAE10Y-FDS^FG_YIELD(-10AY,0,Y,,\"YTM\")":[null,null,null,3.371059,3.6940188,2.542721,1.7060698,2.0444937,4.2739367,null],"TRYJP10Y-FDS^FG_YIELD(-10AY,0,Y,,\"YTM\")":[0.3138,0.2604,0.0315,0.0465,-0.0051,-0.0208,0.0201,0.0672,0.4224,0.6127],"TRYZA10Y-FDS^FG_YIELD(-10AY,0,Y,,\"YTM\")":[7.9537,9.7513,8.9047,8.58389,9.37766,9.011772,9.174469,9.791837,10.764477,11.358896]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USDCAD^FG_COMPANY_NAME":"Canadian Dollar per U.S. Dollar","USDNZD^FG_COMPANY_NAME":"New Zealand Dollar per U.S. Dollar","EWD^P_PRICE_RETURNS_PR('52W',2,-10AY,0,AM)":[6.2291026,8.693493,-3.0713737,-0.30854344,0.67806244,-8.411938,-2.5402546,-0.61775446,-6.5477667,-3.8370073,-5.093342,-5.6149483,-2.0496547,-9.121865,-7.4751673,-3.794384,-5.198449,-4.535884,-13.189631,-16.413462,-8.682966,-8.683979,-9.8150015,-11.095184,-9.880632,0.7197261,4.1947007,-5.335718,-6.179297,0.92072487,17.366016,14.11091,11.461711,14.742517,20.971321,26.860296,26.764143,23.978651,27.700603,32.12123,27.319849,22.180641,22.384907,12.535667,9.336495,1.0035634,-1.2812734,-4.41224,-0.7783234,-2.9696643,-3.6024332,-11.119896,-10.080904,-12.76235,-13.946253,-5.0964413,-3.4415781,2.4428964,-5.7144346,5.260086,-6.717634,-8.896762,-8.413876,10.750556,12.098169,21.73841,12.169397,5.2574396,-18.184353,-12.664151,10.403955,2.6169896,17.74131,27.538704,25.057316,8.168292,27.445173,22.261215,30.396498,43.24775,89.20971,70.97102,61.022423,52.869965,43.661667,39.740063,30.707598,47.591827,15.657568,22.86303,9.430563,-10.87659,-7.306075,-20.257551,-22.62392,-30.431414,-26.57957,-35.39741,-35.51764,-34.79916,-18.423956,-27.927637,-13.506544,0.5228996,-5.3338823,7.0849657,-0.4829228,16.986835,6.1873794,13.63163,23.17419,6.1232924,7.809818,23.231815,8.481884,16.017925,14.636588,6.2472343,25.117731,18.61279,15.663338],"EWQ^FG_TOTAL_RETURNC(-10AY,0,AM)":[-7.540083,1.7343163,-4.8603535,-2.5924504,3.091979,-5.584794,1.2170434,6.212425,-0.9056568,4.7600865,-2.3991287,-1.8304586,3.3179045,-8.812547,-1.4742017,7.1903586,-1.9775093,-3.8847327,-3.8413823,0.0,2.9639125,3.254068,-0.24242401,-4.9000683,3.5386682,1.6877651,0.24895668,-0.8692026,-2.0459354,5.535674,1.5808702,0.71827173,5.031693,6.1486244,5.330491,-1.2913764,2.8164148,0.7778168,3.69128,1.4563084,-0.5741656,0.46486855,7.3030114,-6.2686563,0.0,3.7261128,-1.4737487,-2.9056787,3.4075975,-1.7110229,1.0960698,-8.354592,-2.2964478,-5.121219,6.5233827,4.707968,0.7775545,2.9520273,-5.5066824,8.380974,-3.3257246,-0.53963065,0.9833932,5.540633,0.73177814,3.5365105,-4.0048895,-7.8662395,-23.297613,8.201885,10.28738,4.378438,1.78442,4.5080423,-3.8000643,-5.0889673,25.121857,0.16372204,-1.5935004,5.0412536,2.937746,4.4927955,6.0843706,-1.872915,0.70922375,2.8168917,-4.6423078,5.772805,-5.583495,6.4346433,-1.1831343,-11.426342,4.7311187,-7.547694,2.4582624,-8.180868,5.7788134,-8.226061,-8.313375,11.977613,13.228917,-2.1793365,12.801933,-1.6059995,2.8291702,4.7090054,-5.6594253,5.4938197,0.33739805,-3.1815827,-4.9158454,-2.500701,8.789623,4.464054,-0.5615115,3.2854319,2.8329968,-3.6007762,4.537487,-6.0688853,-2.194357],"EWL^FMA_PE(NTMA,-10AY,0,AM,\"PORTAGG\",\"MEANR\")":[15.8727206864061,16.1158865051966,15.8517201177357,15.9486062855683,16.1529459329897,15.6774388962394,16.3297532069083,17.6281338147808,17.6465965809274,17.7436319002889,17.650907957565,16.9464361127339,17.7286593613652,16.2460944856555,15.946539503731,16.9691527737845,17.0260246117213,16.8788893702635,16.3050868588474,16.4773012148097,16.2188975213253,16.7255752354645,17.100609548027,16.895370900135,17.2596635988275,17.1417840498183,17.1320757681278,16.3797832228234,16.121708329053,16.782175135433,17.1675219951966,17.5929626930688,17.4040404249103,17.7866449755085,18.1789887448765,17.73516256302,17.7933530496199,17.4885502054535,17.7546068746608,17.8987891086896,17.6115320037995,17.6917910480203,17.557371677945,16.2463088725705,16.0706668651794,16.145654307771,15.689540932587,15.5840372409696,16.2956326949911,16.0320587816632,16.1009288957999,15.7434829142637,15.646935610208,14.4906295812933,15.5825025071396,16.387212962816,16.6695921325061,16.9725732380149,16.4630232621215,17.2073481464424,17.059142817078,16.8990330378957,16.9486111904065,17.3733815047836,17.5284411459798,17.8179771621407,17.8411205610265,16.481213972625,15.903968273974,18.3838141610209,18.9431940569726,19.3917230622286,19.2253827885576,19.3236603464873,19.0334741491349,17.5384728532529,18.5396285729268,18.8631388298919,18.6110172078947,18.3872919661772,18.8140765229449,18.2269849452322,19.4361217894433,19.7566097762851,19.7584499847848,19.8946170955432,18.211083298949,19.1336738899676,18.8297340266675,19.8058466704819,18.3556967342474,17.9387668659326,18.3393219219863,17.9257583177869,16.7963519623615,15.7364674857983,16.8836790816896,15.7577053921941,14.9673832905973,15.6846843010265,16.9916171155105,16.2295004732045,17.1700243000274,16.9135442547537,17.1606533380692,17.4781998436952,16.5505940339396,16.5053467701609,16.8894802954238,16.6075138478088,16.1711476608732,15.5339766215029,16.3480573226043,16.8506095866157,17.0925056563337,17.4743237003838,17.6353927016134,16.5614843067286,17.3219495536883,17.1070845909661,17.3232210028434],"EWG^FMA_PE(LTMA,-10AY,0,AM,\"PORTAGG\",\"MEANR\")":[14.0638805875565,14.1541128765517,13.95047329271,13.7675510419231,14.5515605853819,14.3005596447529,15.4501111188346,16.4876845059821,16.5350800348816,16.2020950800914,15.9191542300034,15.5441427672507,15.4623519316004,14.1980220803612,13.6776222801206,14.5204785615287,14.8734080992848,14.0285507216998,12.8764748822063,12.6938297459104,12.7367373784601,12.8774956899626,12.9120676965889,12.705984699086,13.1254170495848,13.3619062654799,13.577312567197,13.6425067445058,13.5942868011615,14.7976712735815,14.9360641191432,15.0053134428734,14.9705781965843,14.8967294809685,14.7785336976481,14.4898674106417,14.3623966197764,14.1350471384664,14.620290824259,15.406289000003,15.1727174553831,15.2737781513871,14.9880061971817,14.2132891635788,14.0968131677569,14.1545336203389,14.0895430336534,13.8875658519637,14.1482710317168,14.0214033605298,13.9939062049255,13.0991692107895,12.8828774173161,12.0117474275311,12.840174060001,13.2358567209154,13.1983478088777,13.4045329040034,13.0896201183251,13.4947925047364,13.6433531881615,13.5188905032313,13.9741608227532,14.8613488169956,15.237152155503,15.4728375894394,15.0341086969967,14.0375587989804,13.7626441080291,15.0676505396542,16.373354535278,17.6716570642607,18.4977538774007,20.0581098140239,20.3866457798621,18.3927645225934,20.8430991157201,22.1267684635384,20.9707963854957,20.2896527793725,20.0776866219531,19.3918044331191,18.8444128939558,18.3309014411308,17.5383914581113,16.8842220453658,15.830232476553,15.6427399628326,14.3865742124785,14.1378654604296,13.6884093120049,12.4550894144213,12.4501370702888,12.2663865298395,12.1161213447038,11.3778245348287,11.4904859798207,10.5683284939893,10.1258062443327,10.5475419509819,11.0658973659512,10.4151947731043,11.4886528061183,11.3365608178792,11.3853145706614,11.430275930101,11.2155407841587,11.3062516655622,11.3586097080531,11.2535872120991,11.0545024951529,10.73915808791,11.6816414665476,11.9633111578336,12.0275113471625,12.5191339045415,12.6128025790428,12.4966642038764,12.4976451206814,12.4746688647835,12.5342161004703],"QQQ^FMA_DIV_YLD(NTMA,-10AY,0,AM,\"PORTAGG\",\"MEANR\")":[1.26889000357946,1.21275980992652,1.25986214911698,1.22378485612699,1.2035150310818,1.20522103679901,1.24061559788852,1.21346631716943,1.28284620116048,1.2376520692411,1.23512949573586,1.26221462242627,1.26115963601434,1.40493936409476,1.39149108690901,1.27153351470829,1.25913473150721,1.25997804336583,1.35743194761465,1.3710840545105,1.31866278442854,1.39099344199501,1.34320748867806,1.35862473258535,1.28368196244514,1.28715994204844,1.26004379696741,1.29906864981698,1.31718174195757,1.30197782946316,1.23929508024738,1.21090299300674,1.20673171258263,1.17928582305438,1.15269571011583,1.19969361998082,1.17145423460811,1.16027732463639,1.16279797138161,1.11804763340603,1.10938838728236,1.10103549957568,1.03877696836191,1.08167415352881,1.12169010247195,1.1154288527313,1.06473200386643,1.07614608708486,1.09703908668389,1.05046082475478,1.05841309117407,1.16457082071913,1.19016442416278,1.32896766213063,1.22445201957326,1.1693555171644,1.12507532018353,1.09280026617946,1.20013896593598,1.1007709242829,1.10052877787143,1.11766359722321,1.12588916383928,1.07384042258333,1.07169013367975,1.04767821812718,1.02349313007551,1.09357289691384,1.24033352423263,1.04478206059787,0.946487357302498,0.883923693930056,0.835276830324754,0.741483393297862,0.789595638400839,0.838160298569396,0.745538967809674,0.763066801997993,0.748130599250461,0.753344858675771,0.754172590318573,0.730901961876092,0.743787882203141,0.704169752841562,0.703921698301684,0.678723103623779,0.723255603702928,0.67651484221193,0.682662774415724,0.667983627087954,0.735428103586397,0.800631761118898,0.757604902503769,0.878393684544828,0.908515762112544,0.99234214568881,0.894654142691987,0.947653116269755,1.07002595175519,1.0473580342612,0.98261855109185,1.03844001527225,0.930492115082127,0.970483677734932,0.884085344676665,0.865233771436154,0.796823505486709,0.76262951233807,0.857562244113052,0.874202943994887,0.945694228297222,0.955414562454479,0.884761727792016,0.919279185804027,0.892056325633203,0.870170859589696,0.880996076555189,0.957197684282538,0.896390999784131,0.837987249346547,0.851414417321313],"WL-FDS^FG_PRICE_CHANGE(0,-6AM)":-19.7332106715731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79906,24.5344428387709,26.6372021629589,24.0483215527383,25.319915472376],"TRYMY10Y-FDS^FG_YIELD(-10AY,0,Y,,\"YTM\")":[4.131911,4.345605,4.195897,3.902544,4.235642,3.300551,2.804181,3.573893,4.131847,3.727505],"TRYAU10Y-FDS^FG_YIELD(-10AY,0,Y,,\"YTM\")":[2.81,2.88,2.76,2.63,2.315,1.375,0.972,1.671,4.051,3.955],"USDSEK^STD(FG_PRICE_CHANGE(0,-3AY,M))":2.969808137363,"USDCHF^STD(FG_PRICE_CHANGE(0,-3AY,M))":2.41737824980572,"EWQ^FG_COMPANY_NAME":"iShares MSCI France ETF"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09323534995,11.2074687408189,13.9227699516468,15.8587443966116,14.7202112757034],"TRYMX10Y-FDS^FG_YIELD(-10AY,0,Y,,\"YTM\")":[5.8237,6.2537,7.5651,7.6401,8.7069,6.8373,5.552,7.558,9.0223,8.95],"TRYPE10Y-FDS^FG_YIELD(-10AY,0,Y,,\"YTM\")":[5.681629,7.426917,6.415413,5.167133,5.645114,4.243226,3.535983,5.889906,7.923381,6.6087],"CAGDPY@GB^EE_ACTUAL_ANNUAL(MED,+1)":-2.7,"CC_GB^FG_COMPANY_NAME":"United Kingdom","USDSEK^STD(FG_PRICE_CHANGE(0,-1AY,AM))":3.55343547951857,"USDCHF^STD(FG_PRICE_CHANGE(0,-1AY,AM))":2.62623193879666,"USDUSD^STD(FG_PRICE_CHANGE(0,-1AY,AM))":0.0,"USDEUR^STD(FG_PRICE_CHANGE(0,-1AY,AM))":1.524715965645,"USDAUD^STD(FG_PRICE_CHANGE(0,-1AY,AM))":2.24857576269971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616456,2.21310873799954,2.48981565234839,2.56381617192707,2.51009258677616],"EWQ^P_PRICE_RETURNS_PR('52W',2,-10AY,0,AM)":[7.883656,11.927187,-1.1442482,-6.071639,-3.28874,-10.757172,-5.969304,-5.814022,-8.281141,-5.8624687,-8.425182,-9.271008,0.89969635,-9.126806,-5.892497,4.997194,-1.533562,0.23943186,-4.770136,-10.340184,-6.839025,-6.7202687,-6.149304,-9.083867,-8.889598,1.6018391,3.3358574,-4.3941736,-4.460907,3.4080744,10.818362,11.614334,12.867022,17.047607,23.586416,28.388237,27.381252,26.241386,32.55131,33.63941,35.647358,30.07884,36.40374,26.941277,20.996893,18.101715,10.472465,8.55254,9.2906,6.950426,3.923738,-6.125772,-8.310795,-12.881112,-13.514101,-3.385961,-2.634734,-3.3613563,-6.530583,3.456843,-3.279698,-3.6489785,-2.2360861,12.586821,15.377844,26.66837,14.554572,1.2282014,-23.553688,-19.655449,-6.226283,-9.689361,-5.362451,-0.08999705,-4.822606,-14.244759,6.31572,2.8523922,5.436039,20.207108,61.32288,52.801704,49.855625,40.880573,36.081635,37.136745,35.936092,51.49282,14.31595,21.472895,21.979439,2.8564095,4.6483636,-8.985215,-10.574895,-16.32346,-12.111277,-21.550888,-23.862099,-20.146221,-4.2354107,-11.827093,0.470376,11.609734,10.544372,24.110603,14.2774105,31.734324,24.542725,31.38839,36.30797,18.639542,13.988113,20.348692,7.3084116,12.643003,12.6472,3.7074566,15.972781,2.321279,-0.26054382],"SPY^FG_COMPANY_NAME":"SPDR S&P 500 ETF Trust"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3024636413407],"TRYIN10Y-FDS^FG_YIELD(-10AY,0,Y,,\"YTM\")":[7.86,7.89,6.63,7.35,7.35,6.55,5.9,6.45,7.33,7.19],"TRYGR10Y-FDS^FG_YIELD(-10AY,0,Y,,\"YTM\")":[9.61,8.24,7.15,4.14,4.37,1.45,0.618,1.315,4.585,3.099],"CAGDPY@GB^EE_ACTUAL_ANNUAL(MED,0)":-3.3,"CC_CH^FG_COMPANY_NAME":"Switzerland","USDSEK^FG_PRICE_CHANGE(0,-6AM)":2.4021864,"USDCHF^FG_PRICE_CHANGE(0,-6AM)":1.4566779,"USDUSD^FG_PRICE_CHANGE(0,-6AM)":0.0,"USDEUR^FG_PRICE_CHANGE(0,-6AM)":0.33819675,"USDAUD^FG_PRICE_CHANGE(0,-6AM)":0.2757311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560750497075],"SPY^P_PRICE_RETURNS_PR('52W',2,-10AY,0,AM)":[15.014923,24.660957,16.99878,16.945076,15.88806,13.462114,13.454378,15.581285,11.402548,14.075815,11.947214,7.3809505,11.156249,-2.5788665,0.859046,6.39956,4.4639826,1.2520194,-0.887084,-4.000032,2.7596354,0.097203255,1.5260696,3.380084,5.314219,15.839958,15.318548,3.6792994,6.477022,10.880923,20.06973,23.636639,17.08033,18.074667,18.134462,17.782104,16.325474,16.328764,19.394566,24.49789,22.88295,21.255516,26.105917,13.809776,13.848591,13.132167,14.56604,14.497126,15.6790495,19.489134,18.236101,8.1566925,5.9098125,-4.557073,-2.257222,6.7546606,10.737955,12.273991,3.580451,11.154997,7.065785,2.7445555,2.5282264,14.169002,17.014767,31.221748,21.445179,8.319605,-12.099343,-1.084584,13.298321,7.1533084,12.00403,23.009682,17.195904,9.475517,18.741035,18.373215,19.165348,34.002148,65.37613,45.97652,39.565002,40.696526,37.39109,30.05718,30.667091,42.881836,24.826801,28.745068,22.01202,11.855518,14.555395,-0.6193757,-1.1088967,-10.165781,-4.9909296,-11.007118,-15.506047,-15.1482525,-8.200049,-18.377907,-7.830161,-6.7021666,-7.8076067,2.573347,4.743731,19.439352,12.959194,15.691757,19.705069,11.666859,14.48791,25.857162,20.907843,31.909966,29.403841,22.17244,28.048897,24.754059,20.62894],"EWU^FG_TOTAL_RETURNC(-10AY,0,AM)":[-4.0796995,1.5825987,-6.767291,-0.73106885,0.15782118,-3.435564,0.055468082,5.875826,-5.078542,6.01213,-0.468266,-2.6485085,1.3668656,-11.43474,0.18271208,6.2005997,-0.6868839,-5.11654,-4.708791,-0.78023076,1.7693281,5.0225377,-1.716733,-1.751262,0.39037466,2.8515816,-0.18903613,-5.6186914,0.66889524,3.3720255,2.9651403,1.4557004,1.5283823,1.7818809,5.19166,-2.2163332,3.0602932,-1.0480285,2.5301456,0.057387352,0.17206669,4.485619,3.7409306,-7.7233553,1.3414979,3.7985563,0.55447817,-1.8272102,-0.31627417,-3.1727672,1.5490055,-4.8401356,-3.1134367,-4.5764627,7.666099,3.259492,2.5130272,-0.20926595,-5.062914,5.1231265,-4.03325,-2.6628137,2.439022,5.1480055,0.76498985,5.3659916,-4.281521,-10.2328415,-22.423208,8.183026,7.5233817,-0.40391684,-0.038552284,1.9282699,-3.3673823,-4.698515,19.515205,1.8411517,1.0242343,4.3257833,2.5915146,2.7155042,4.6418786,-1.6860425,-0.36462545,1.280868,-2.4691343,4.6310544,-6.137502,7.0490837,3.439951,-3.7047863,2.7870417,-4.8040094,1.2693524,-6.9435415,3.3790588,-8.02589,-7.7762184,8.202982,12.200284,-2.2037685,6.5883875,-0.61199665,-0.6773412,4.835713,-4.4648113,2.068746,2.0401835,-2.877909,-1.3100505,-3.1605542,7.3107123,2.8310895,-0.8169472,0.42709112,3.5844445,1.4369607,5.0014496,-2.2524953,2.4124026],"EWJ^FMA_DIV_YLD(NTMA,-10AY,0,AM,\"PORTAGG\",\"MEANR\")":[2.05814286020646,2.08374180140113,2.03634028866475,2.02193698969938,1.93451284774106,1.96975335127454,2.00593789587793,1.87834190262488,1.90233720110599,1.86203725739815,1.83350131096929,1.91473264454382,1.89755667769649,2.15734600819299,2.2209929115241,2.05135413929023,2.01136496254557,2.09547306420622,2.23140332703741,2.47541155208697,2.48429726034848,2.39094788334759,2.32325332913153,2.5223679725129,2.38255002220849,2.34983259956945,2.40739452323872,2.30504600635411,2.15897688704514,2.12454937200345,2.14099416300882,2.13860392681546,2.21969245043735,2.20191768844144,2.17822281117946,2.17029687936999,2.16232213439309,2.20887719488853,2.15654878610097,2.04378421270845,2.07112668125357,2.05879632782467,2.02300119512866,2.22461620649654,2.28771578081579,2.2111522083347,2.27187897061566,2.30306871971896,2.2580483089028,2.31702072981049,2.21943549170658,2.48462515239147,2.46597273404865,2.75200807077962,2.63492681885579,2.55430607502661,2.56538605605482,2.56707640670251,2.75374577992844,2.62785611128688,2.66212344753311,2.78888071898197,2.60018063503101,2.51621352697338,2.46703565069828,2.44403377931989,2.497079968089,2.76169772404813,3.09370347891828,2.86541512025376,2.53995558413346,2.54372922801973,2.60440371300354,2.38175545627247,2.3949548893292,2.466602287426,2.17118645529453,2.13994843907004,2.13046437268171,2.08451046627909,2.06397660576062,2.15617238268872,2.17536659875462,2.20284538857995,2.27318058246774,2.23123106444581,2.25075954437269,2.21008151366312,2.34870858831146,2.31313540294848,2.4664710062583,2.54571887873058,2.51459229377345,2.59144098377952,2.5709958766415,2.74049664909012,2.58668634079791,2.63330695874421,2.81776405651262,2.65931661182964,2.59808834266289,2.76264104078828,2.63263923818439,2.61135392112718,2.62177551633838,2.53804062688529,2.45893109866111,2.3287754881267,2.31517050581848,2.33595613413281,2.3888924504773,2.42221124592133,2.38519926028459,2.42815251022587,2.27890319313578,2.15032087000016,2.18762481570174,2.21885777794466,2.22778838868481,2.224113393115,2.31215023004139],"EWC^FMA_PE(NTMA,-10AY,0,AM,\"PORTAGG\",\"MEANR\")":[14.9744452914376,15.2353364171694,14.2947664585205,14.3528473978999,14.6196410291488,15.505252280155,16.4931730592505,17.5003578800495,17.001418767197,17.3653448047375,16.6074128002818,15.8812342490629,15.6583481174536,14.510276396401,14.3813787100297,14.7494103952787,14.8229585886407,14.1218582708115,14.3080428817242,15.0369506080043,15.8880851041344,16.6967421165616,16.5604014537565,16.292351603394,16.4280279171271,16.3288547819539,16.1062542230975,15.7784976247736,15.8678371798218,15.7399936479628,15.942369651631,16.0796764797031,15.8540727266835,15.6813937198288,15.5455420683111,15.231540248212,15.6550222714376,15.3768543989389,15.7716774901123,15.9299452220098,15.9235049953578,15.9212397952306,15.136807751946,14.3155710689367,14.1789927411653,14.148227749658,14.1750368162333,14.2442586935319,14.1304579203504,13.8050323583318,13.6113053798559,12.6475585580421,12.6754421217113,12.1168899695446,13.6454069515695,14.1889227458099,14.2059028204486,13.8488284215153,13.3428339807209,13.6776593019833,13.6663481350531,13.644417231601,13.7667889785257,14.0478473496486,14.3781711187593,14.4121870789133,14.4576735763296,13.7130085427237,12.8291318137985,16.3983591720723,17.8892350493096,17.6073891550479,17.5936137431103,17.3230550111528,16.1984080538866,15.1667901201261,16.1652753820244,15.7520462514364,15.6786301124739,15.3694524977773,15.5223416392423,15.4366133742316,15.57935203722,15.5620466670284,15.0882773573153,14.9203660769274,14.4003158722003,15.0212924910747,14.0155740030182,14.4230586367119,14.2199006260756,13.8023575090253,13.5781892894371,12.6062626781824,12.4038986917144,11.2255879530961,11.5908058654927,11.2315713081662,10.7655574557414,11.5646885748511,12.4683983328945,11.9052655645163,13.043905507496,12.7178544833062,12.7462780514334,13.0613046305801,12.6993906558475,13.0104265560103,13.4790635998938,13.3546044330381,12.6003534314073,12.1913158143722,13.1174459148558,13.6734699817368,13.8740349314688,14.3279871696125,14.6324596904713,14.0517154417633,14.3125402522089,13.9260134154017,14.3643577959352],"ENZL^FMA_PE(LTMA,-10AY,0,AM,\"PORTAGG\",\"MEANR\")":[17.9250695119331,18.0499421595283,17.9749527694653,18.3922776203662,18.6965745352977,19.1978195738568,19.8353719172872,20.5337322033324,20.2804556239724,20.1000815154015,20.035081970229,19.788252593828,19.8477085315348,19.2448752718581,18.6002362660463,19.4731393543498,19.7119633425702,19.8617758299773,19.1662283557657,19.2802050885351,19.333984789594,19.4245354060829,19.8214919475842,19.7077987621199,20.5768317286497,20.9730162544288,20.9571967123212,20.0095295907038,20.1229182100543,19.9705823649528,20.3965413563894,19.6950524108203,19.7808677360449,19.9291991379736,19.9543554132187,20.1012546266455,20.4582311528892,20.6091379600415,20.6402295727802,21.2211379386903,21.5609239490599,22.3889251547657,22.408880497924,22.6120371926694,22.3954716683229,22.3024254741942,22.4265512501182,22.8475905494538,22.7902458649668,23.757388864391,23.5314241077826,22.8305175675,22.721928670499,22.9740924814715,23.2798198585488,24.1854317851912,24.1600819461599,24.1634460485346,24.2756481212711,24.6781095299587,25.4028299314704,27.6180524236735,28.7843748564908,28.8281061316689,31.2537203147485,32.3417714961783,32.637837937192,31.1164202842496,30.5051325556334,31.4631260359205,31.8858458812398,32.5414363620351,33.6752292840071,33.8037583201397,33.8854196442925,34.8687428432479,36.2610757178637,37.9280375106667,36.8347668250929,34.4544122939392,34.4420911347834,34.5850753527358,35.1574532084007,36.2338154932779,36.4057314824182,38.3526799202234,38.9620878831889,39.1577927426379,37.8848143327021,39.3549452476964,36.412944980986,35.3242590203779,35.014480592642,34.6100890008135,33.7183800408635,32.7706817688362,33.2626139163648,34.1727620203367,31.7065092068335,31.5490920119887,30.111392557184,29.0383466191266,30.0381399025016,29.5490590814853,28.9469486321736,28.5045007627353,26.9224087800135,26.0947908042071,25.3146107678957,24.8184061430677,23.8230599621873,22.4677365443026,23.4892598821136,24.0799065843605,23.4058441837338,23.702877733587,24.0745406260309,24.3400774170813,24.6781737791045,24.3081951916067,25.0047589519961],"WL-FDS^FG_PRICE_MAVG(0,,,,30)":555.06,"NI-FDS^FG_PRICE_MAVG(0,,,,30)":16487.5,"CPALM-FDS^FG_PRICE_MAVG(0,,,,30)":4004.7,"BRENT-FDS^FG_PRICE_MAVG(0,,,,30)":85.86,"TIOS-FDS^FG_PRICE_MAVG(0,,,,30)":108.067665,"FC0000CH^FG_PRICE(0)":346.7161,"FC0000AU^FG_PRICE(0)":368.68414,"EWN^FG_PRICE_MAVG(0,,,,30)":50.42967,"QQQ^FG_COMPANY_NAME":"Invesco QQQ Trust Series I"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9152373,7.43859929800855,9.22076567390078,9.22544557136733,9.2997687113842],"TRYQA10Y-FDS^FG_YIELD(-10AY,0,Y,,\"YTM\")":[null,null,null,null,null,null,null,null,null,null],"TRYCH10Y-FDS^FG_YIELD(-10AY,0,Y,,\"YTM\")":[0.314,null,-0.12,-0.09,-0.176,-0.434,-0.49,-0.111,1.617,0.703],"CAGDPY@IT^EE_ACTUAL_ANNUAL(MED,+1)":0.95,"CAGDPY@JP^EE_ACTUAL_ANNUAL(MED,+1)":3.8,"CC_CA^FG_COMPANY_NAME":"Canada","USDSEK^FG_PRICE_CHANGE(0,-1AY)":0.86262226,"USDCHF^FG_PRICE_CHANGE(0,-1AY)":-0.1085639,"USDEUR^FG_PRICE_CHANGE(0,-1AY)":1.7326832,"USDAUD^FG_PRICE_CHANGE(0,-1AY)":1.4169693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7826133,10.4260782968222,13.6402697448185,12.7503134402041,16.3243000822322],"EWL^P_PRICE_RETURNS_PR('52W',2,-10AY,0,AM)":[11.044205,16.857576,4.738462,2.822256,5.277109,-1.7329991,0.525105,0.13437271,-0.39936304,2.2106528,2.0950675,-2.556336,6.446469,-5.3752303,-2.7008057,0.89576244,-4.2382,0.28828382,-6.092918,-10.79427,-9.892124,-9.418821,-10.733849,-7.0082664,-9.470665,-0.04646182,2.5278926,-5.9657516,-6.88706,-4.4724345,8.4410305,10.723472,10.500622,11.955094,17.425274,18.264568,17.768324,15.711641,17.535448,20.570065,27.407742,23.987507,23.834969,11.963451,9.224844,3.8526297,-1.8227816,-2.717781,2.3301244,3.881967,1.629746,-0.2991736,-2.6792884,-9.189421,-8.714026,4.061687,6.1760664,9.035254,10.795748,17.309963,9.962106,9.4134445,9.460056,18.315304,19.468521,31.583559,24.781502,11.826515,-1.0984004,2.9318213,10.114932,6.8362474,10.81258,13.424099,12.920856,2.5479913,12.938142,11.787022,10.938585,17.489338,32.477615,27.622772,28.540266,26.252724,23.595858,24.216747,15.659666,32.181705,15.427483,20.193804,14.606535,10.337329,12.176191,0.95244646,-7.395238,-13.02101,-11.709976,-19.71684,-17.960316,-21.115791,-9.357733,-18.951529,-7.2416725,-6.653154,-5.8153687,5.7568192,6.7991138,13.766885,11.065245,17.080784,18.447542,11.149478,7.7215195,15.9624815,7.6191545,10.989261,7.0052624,-3.7932277,8.63111,6.3177466,8.324778],"EWG^FG_TOTAL_RETURNC(-10AY,0,AM)":[-8.810436,0.8719921,-5.394191,-0.47515035,5.820787,-4.875934,2.3349166,5.8823586,1.3468027,-0.33222437,-3.2666624,-1.4196754,0.7467985,-9.283442,-4.5525312,10.517729,0.5901933,-3.9603949,-7.1783185,-0.28794408,5.2805305,2.7821302,-1.0293603,-4.830086,5.9286833,2.9354215,-0.11406541,-2.1317124,-4.006219,7.330227,4.229605,1.1231899,3.009677,3.8956523,4.2852283,-0.9325564,2.4116278,-0.4838705,5.121553,2.8368711,-1.1993945,0.46538115,5.0878286,-8.328533,0.723052,0.93632936,-1.6388416,-3.4773588,3.6023974,-2.672249,-1.0916293,-7.6923075,-2.7536213,-5.5514154,5.7593703,2.946663,-1.0869622,4.7985435,-5.907029,7.320535,-4.6941757,-2.0522356,1.5238047,7.992494,0.55594444,1.589489,-2.9591799,-8.096743,-22.273075,13.199223,14.867794,3.292501,4.2820215,6.6194773,-2.6560485,-10.368347,18.607307,3.2090545,0.0,2.2033334,4.5580506,1.973486,4.274988,-2.301234,-0.46135783,1.5063763,-5.9931574,3.7644267,-7.0509076,4.071772,-1.5253186,-13.16604,2.069211,-9.087735,3.8446784,-12.098866,2.3447633,-8.612638,-8.356553,11.347521,16.378534,-3.2904148,15.325522,-3.611505,3.5285592,3.4083009,-3.397894,3.2518387,1.1550546,-4.463667,-5.1068425,-3.20611,13.288641,3.3468723,-0.63994527,4.3389797,3.086412,-4.223132,5.4952383,-1.6883314,-1.332897],"EWA^FMA_DIV_YLD(NTMA,-10AY,0,AM,\"PORTAGG\",\"MEANR\")":[4.71044497431136,4.68770238647863,5.03261016162282,4.82442256969284,5.14958361235614,4.96554929207771,4.85263383422431,4.54828740335052,4.63345136718315,4.65774731007215,4.74400966854786,4.92624424654806,4.80219644739101,5.43970814656964,5.38236887351386,5.23404955292721,5.16880468868755,5.09625601977213,5.12822030619562,5.00648354989366,4.92816711059488,4.66488079401308,4.60197101999305,4.67110150724477,4.40272607352222,4.54959974613066,4.54194004314948,4.6734072106641,4.5422551179457,4.5298092555234,4.55839019293908,4.57830619260404,4.50467500361871,4.43628117242483,4.65256622299641,4.6242746098921,4.54873578915732,4.57391715057525,4.61835372653978,4.48326386500135,4.49724618115489,4.44755058472285,4.49087692737843,4.63296619022001,4.85353405226345,4.69984484074136,4.7643423411268,4.59945664941218,4.5873783456281,4.61443164962547,4.77375619670306,5.05839556518472,5.32008527872189,5.36029790381623,5.12153635098732,4.93178777880528,4.91957600048077,4.85349424286939,4.84599235793604,4.63062006578149,4.5299871701072,4.67175098058672,4.43970324718551,4.40768446618338,4.2750688237062,4.30780774994785,4.1711082845887,4.49462427624511,5.03463798742481,4.07821543113563,3.47341570279065,3.44278915349479,3.42710956751037,3.46726373383873,3.66910431329037,3.78674181142676,3.45057579530597,3.58444483548155,3.66906062062303,3.84793935559715,3.97163701521748,3.93143691502429,3.89188267611863,4.08445429271633,4.12057268951881,4.0246302526534,4.15358137899966,3.94387881814509,4.05207257594859,3.87524385841503,4.3734366011415,4.35604950093991,4.24076049710472,4.46012951298553,4.65987722590298,5.31604037070343,4.76966090572773,4.86962799615233,5.2635282249166,4.88187036974389,4.38139489781855,4.5472140818103,4.25283834460804,4.48060168202026,4.54282694819021,4.40335410644404,4.51567819545012,4.2992331256683,4.08200178572908,4.15464262820757,4.29654795202818,4.50631860108974,4.29064807029694,3.97495871443751,4.01449821989931,3.95046016704896,3.90924171609263,4.06250079442741,3.99209138615604,3.94423427750006,3.83874754053863],"ENZL^JULIAN(FMA_DIV_YLD(NTMA,-10AY,0,AM,\"PORTAGG\",\"MEANR\").DATES)":[41852,41880,41913,41943,41974,42004,42034,42062,42095,42125,42156,42186,42216,42248,42278,42307,42339,42369,42401,42430,42461,42489,42522,42552,42583,42614,42643,42675,42705,42734,42767,42795,42825,42856,42887,42916,42948,42979,43007,43040,43070,43098,43132,43160,43188,43221,43252,43280,43313,43343,43374,43405,43434,43465,43497,43525,43556,43586,43616,43647,43678,43706,43739,43770,43798,43830,43861,43889,43922,43952,43983,44013,44043,44075,44105,44134,44166,44196,44228,44256,44287,44316,44348,44378,44407,44440,44470,44501,44531,44561,44593,44621,44652,44680,44713,44743,44774,44805,44834,44866,44896,44925,44958,44986,45016,45047,45078,45107,45139,45170,45198,45231,45261,45289,45323,45352,45383,45413,45443,45474,45502],"DDR3512M-FDS^FG_PRICE(0)/MAX(FG_PRICE(0,-1AY))":0.872521826923077,"PASP-FDS^FG_PRICE(0)/MAX(FG_PRICE(0,-1AY))":0.697761194029851,"PLATI-FDS^FG_PRICE(0)/MAX(FG_PRICE(0,-1AY))":0.914873713751169,"W-FDS^FG_PRICE(0)/MAX(FG_PRICE(0,-1AY))":0.759728668332738,"COPP-FDS^FG_PRICE(0)/MAX(FG_PRICE(0,-1AY))":0.794393436218011,"FC0000JP^FG_PRICE(0)":176.86075,"FC0000NZ^FG_PRICE(0)":399.64005,"EWQ^FG_PRICE_MAVG(0,,,,60)":39.893833,"EWL^FG_PRICE_MAVG(0,,,,60)":48.9565,"EWA^FG_PRICE_MAVG(0,,,,60)":24.710333,"EWJ^FG_COMPANY_NAME":"iShares MSCI Japan ETF","TRYCN10Y-FDS^FG_YIELD(-10AY,0,Y,,\"YTM\")":[3.653331,2.901145,3.070911,3.93859,3.259862,3.197311,3.1948,2.7893,2.855,2.574],"CAGDPY@NL^EE_ACTUAL_ANNUAL(MED,0)":10.1631565168417,"CAGDPY@CA^EE_ACTUAL_ANNUAL(MED,0)":-0.725414399026327,"USDITL^FG_PRICE_CHANGE(0,-6AM)":0.33819675,"USDANG^FG_PRICE_CHANGE(0,-6AM)":0.0,"USDGBP^FG_PRICE_CHANGE(0,-6AM)":-0.8520603,"USDJPY^FG_PRICE_CHANGE(0,-6AM)":2.6049614,"USDCAD^FG_PRICE_CHANGE(0,-6AM)":3.1647325,"USDNZD^FG_PRICE_CHANGE(0,-6AM)":2.6675582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ENZL^P_PRICE_RETURNS_PR('52W',2,-10AY,0,AM)":[20.21947,25.00683,3.1134367,5.0650716,10.840977,12.599718,6.8862915,8.312106,-1.4410317,-1.970154,-5.7720423,-13.286906,-9.44537,-17.937046,-12.204039,-3.9097548,-3.9559722,-1.9886672,-4.0211143,-5.867684,6.6857576,7.6375127,16.272713,28.644062,36.934566,52.98197,51.206062,21.34862,19.04496,10.709274,27.392567,21.937883,7.5505853,7.204139,10.837709,13.302744,8.326173,3.5515904,7.3923707,11.677372,14.648211,22.99831,19.74908,17.083693,21.153248,15.082717,13.438582,8.741915,4.0433407,9.108675,7.1116447,6.978929,9.931696,0.3503561,0.8842349,6.7422867,10.957432,12.045467,8.390844,13.318789,17.916822,8.1835985,10.530996,16.605938,20.654179,30.100859,19.802452,10.86787,-11.883026,-3.4128487,6.4344525,8.835864,11.098612,19.61229,15.082228,16.567791,23.383701,20.04013,22.767735,23.280203,42.820213,35.153103,21.77825,10.618603,4.8636556,8.17852,9.703684,9.600663,-10.967565,-11.381138,-19.52262,-12.19672,-9.100848,-21.67635,-20.936888,-25.094341,-17.587101,-25.11469,-31.495863,-29.32673,-12.834883,-16.554832,0.7845044,-8.196682,-7.7160654,1.2282014,2.4409056,11.783588,2.4325967,-0.37047267,6.871724,-1.7025411,-3.458041,1.6126633,-8.220464,-5.140364,-6.932789,-8.681679,0.87560415,-5.243194,-3.6734462],"USDCAD^STD(FG_PRICE_CHANGE(0,-3AY,M))":1.78482769575188,"EWI^FMA_DIV_YLD(NTMA,-10AY,0,AM,\"PORTAGG\",\"MEANR\")":[3.56350267083456,3.58687276806257,3.67199390702246,3.86008604824798,3.89175597741138,4.08215400071101,3.79258151599021,3.41457510831913,3.1246996377792,3.19624753464953,3.21746500996436,3.27847035763845,3.11657282318832,3.45992846087604,3.74117868957582,3.54649370875414,3.56245715044253,3.83180955229543,4.43567347144604,4.39038764100387,4.50181223588659,4.31378091072643,4.60021940040121,4.95911206174502,4.84320851121453,4.78302490539125,4.97306013607689,4.83798896060414,4.81863684166611,4.29570625532543,4.48636677137659,4.12385279357158,3.89749007770883,3.9251459181685,3.79177731466475,3.88575946739826,3.73398917666304,3.76365208942429,3.67563943116242,3.74510628602326,3.93219223576159,3.98923373121954,3.76974022712915,4.0255189260028,4.10658130199849,3.89488475397192,4.29618304948368,4.49608845866901,4.39796843418194,4.76770665054115,4.73424956126038,5.07810054827363,5.11951466148289,5.45959330280884,5.1230138199694,4.77612647624272,4.63905128464279,4.60675515679693,5.1591103569569,4.84636955285638,4.79143994569912,4.86869677955522,4.76655380783319,4.59891067856975,4.56961812429887,4.49658699383727,4.60113708658053,5.00870337290942,6.30047411609842,5.25468343349546,4.47742429387297,4.38242783154088,4.06515783932726,4.04063952357158,4.20956128731618,4.56028626394876,3.93067794602255,3.94464053531275,4.14685335925085,4.09564999726034,3.99637371635555,4.19083019348666,4.09032284827253,4.13226938733652,4.23531392945772,4.39706076963723,4.55865571078304,4.33476261952701,4.67611605953325,4.59985564784229,4.69900662749806,5.1928433391464,5.00794335850543,5.11557226472741,5.24046071713,5.92881946620004,5.80753831641921,5.81053702765729,6.19455067125162,5.68460469403371,5.65942959106114,5.92155859103816,5.44964221410754,5.31770759990413,5.4376222814754,5.39592260256861,5.52837039225174,5.29282056247708,5.30050842397018,5.38738414368684,5.50587372074155,5.67601685658853,5.45355488219512,5.4807296433606,5.3888604568293,5.27441524854175,5.08844007436936,5.30867901286678,5.24661167333255,5.41518172978374,5.31614445750407],"EWQ^FMA_PE(LTMA,-10AY,0,AM,\"PORTAGG\",\"MEANR\")":[15.1796147206156,15.4255219956301,15.2920623380793,14.9429776821522,15.4593034524244,15.0703384486285,16.1656093707683,17.5590988431393,17.5569151354055,17.4613249037491,17.4060033488792,17.0807446261276,17.1919416855132,15.8974030947293,15.404263590732,16.4233636129775,16.3666522751261,15.4220750370538,14.6497907347235,15.1719451342396,15.0982386968912,15.1765127198323,15.2213393847263,14.851521350003,15.0315918033056,14.9367477875839,14.8789840518654,14.854039679431,14.959003119199,15.7881796008571,15.5272842715648,15.6229038919178,15.6742006521623,15.7679170396914,15.7928845547291,15.5101231229392,15.5320989316771,15.528032370634,15.9446849679102,16.3439903686233,15.97207081065,15.9684031818278,16.3682864990595,15.5926073599115,15.4673578153265,15.6020308436565,15.4486688332309,15.1696652076955,15.2922544562108,15.0320387753647,15.1154639985001,14.1383518348878,13.7530718875671,12.9349299562362,13.8352055231773,14.5822107705839,14.5743377385841,14.6933705358076,14.3250107055749,14.715417667977,14.8832749935917,14.77255112947,15.037939851845,15.6943298863329,16.0933141980819,16.4979616323111,16.0515710915174,14.6441363459583,14.3294859926931,15.925724926684,17.1707467313858,18.6322131131857,20.7681841522754,22.5144288571425,23.179696456319,22.9517526211455,28.2490479915537,28.8602296384018,27.4959900652677,27.0317519521541,26.3018597290626,25.448476568856,24.6096279257986,23.6448566299334,22.2836656753896,21.1676137966142,19.5068567864199,18.8549829363448,17.6619658582621,17.2038332751852,16.5262365371428,15.3869510152763,15.2576768715522,14.8678883388555,14.3337256670051,13.5290358546988,13.3421732445853,12.4090677805568,11.4728680791524,11.8347366870939,12.2521840768861,11.5286030839496,12.8805616333242,12.8925621289672,12.9903789738096,13.2384791899094,13.0292439880719,13.3012821150877,13.3843302687013,13.2788952124571,12.9825633647097,12.6653690523905,13.5488907366627,14.0873839351291,14.4096583658894,15.4932826605144,15.5163165377073,15.3983859333029,15.340750992288,14.9396938028056,14.8967413343496],"TIOS-FDS^FG_PRICE(0)":102.83,"EWI^FG_PRICE_MAVG(0,,,,60)":37.546,"EWL^FG_PRICE_MAVG(0,,,,30)":49.191666,"FXI^FG_TOTAL_RETURNC(0,-12AM)":-12.147558,"EWL^FG_TOTAL_RETURNC(0,-6AM)":6.8762302,"EWA^FMA_PCT_ABOVE_MAVG(200,0,,,,\"PORTAGG\")":69.4915254237288,"VGK^SIZE(FG_CONSTITUENTS)":1283,"EWA^FMA_RBICS_REV_CURRENT(30, LOC, \"PORTAGG\")":42.4062571267776,"REFSEREPO-FDS^FG_YIELD(NOW,,,0)":3.75,"REFJPTON-FDS^(SUBARRAY(NOT_NA(NO_REPEAT_F(FG_YIELD(NOW,-10AY,D))),0,1)-SUBARRAY(NOT_NA(NO_REPEAT_F(FG_YIELD(NOW,-10AY,D))),1,1))*100":15.0,"TRYNL10Y-FDS^PCTCHG(FG_YIELD(0,,,,\"YTM\"),FG_YIELD(-1AM,,,,\"YTM\"))":-12.952125,"TRYIT10Y-FDS^FG_YIELD(0,,,,\"YTM\")":3.634,"VWO^FMA_EVAL_EBIT(LTMA,NOW,NOW,M,\"PORTAGG\",\"MEANR\")":14.4128499874666,"EWD^FMA_EVAL_EBITDA(NTMA,0,,,\"PORTAGG\",\"MEANR\")":10.819534446448,"EWU^JULIAN(FMA_DIV_YLD(NTMA,NOW,NOW,M,\"PORTAGG\",\"MEANR\").DATES)":45502,"GLD^P_PRICE(0)/P_PRICE_HIGH_PR(0,,,USD,,,\"PRICE\",\"INTRA\",\"52W\")":0.98310477,"ENZL^FG_TOTAL_RETURNC(0,-6AM)":-1.5956163,"EWU^SIZE(FG_CONSTITUENTS)":81,"TRYGB10Y-FDS^FG_YIELD_NAME":"United Kingdom Benchmark Bond - 10 Year","TRYFR10Y-FDS^PCTCHG(FG_YIELD(0,,,,\"YTM\"),FG_YIELD(-1AM,,,,\"YTM\"))":-9.512197,"TRYCA10Y-FDS^FG_YIELD(0,,,,\"YTM\")":3.1223,"EWD^FG_FCF_YIELD_NTM(0)":5.10419200521326,"SPY^FMA_EVAL_EBITDA(NTMA,0,,,\"PORTAGG\",\"MEANR\")":14.1894037846237,"EWG^FMA_PE(LTM,0,,,\"PORTAGG\",\"MEANR\")":16.2784914979858,"CC_US^IMF_IFS_RCPI_Q(0)":3.19889,"TLT^FG_TOTAL_RETURNC(0,-3AM)":8.691681,"SPY^SIZE(FG_CONSTITUENTS)":503,"EWU^FG_COMPANY_NAME":"iShares MSCI United Kingdom ETF","CAGDPY@CH^EE_ACTUAL_ANNUAL(MED,+1)":8.0,"USDCAD^STD(FG_PRICE_CHANGE(0,-1AY,AM))":1.63430157588994,"PASP-FDS^FG_PRICE_CHANGE(0,-3AM)":-2.09424083769634,"W-FDS^FG_PRICE_CHANGE(0,-1AY)":-18.4361824453814,"URTH^FG_TOTAL_RETURNC(0,-12AM)":17.073488,"EWN^P_PRICE(0)/P_PRICE_HIGH_PR(0,,,,,,\"PRICE\",\"INTRA\",\"52W\")":0.902508,"SPY^FG_TOTAL_RETURNC(0,-1AM)":-0.427258,"EWG^PERCENT_CHANGE(FMA_EPS(+1,0,,,,\"PORTAGG\",\"MEAN\"),FMA_EPS(+1,-3AM,,,,\"PORTAGG\",\"MEAN\"))":0.765933443557587,"TLT^P_PRICE(0)/P_PRICE_HIGH_PR(0,,,USD,,,\"PRICE\",\"INTRA\",\"52W\")":0.9476981,"TRYCA10Y-FDS^FG_YIELD_NAME":"Canada Benchmark Bond - 10 Year","EWC^FMA_EVAL_EBITDA(NTMA,0,,,\"PORTAGG\",\"MEANR\")":9.8004290381923,"EWD^FMA_PE(LTM,0,,,\"PORTAGG\",\"MEANR\")":14.1665136942902,"EWL^FG_FCF_YIELD_NTM(0)":4.67898613565472,"EWC^FMA_PE(NTMA,0,,,\"PORTAGG\",\"MEANR\")":14.3643577959352,"GLD^FG_TOTAL_RETURNC(0,-1AM)":4.731643,"EWJ^FG_ROE(0)":9.59721983058479,"REFEUREFI-FDS^FG_YIELD(NOW,,,0)":4.25,"CC_SE^IMF_IFS_RCPI_Q(0)":3.39215,"EWD^FMA_COS_DOWN(\"EPS\",\"1M\",+1,0,,,\"PORTAGG\",\"MEANR\")":26.0,"EWG^FMA_COS_UP(\"EPS\",\"1M\",+1,0,,,\"PORTAGG\",\"MEANR\")":24.0,"EWA^FMA_EVAL_EBITDA(NTMA,0,,,\"PORTAGG\",\"MEANR\")":8.68366841523128,"TRYJP10Y-FDS^PCTCHG(FG_YIELD(0,,,,\"YTM\"),FG_YIELD(-3AM,,,,\"YTM\"))":15.227918,"TRYPH10Y-FDS^FG_YIELD(-10AY,0,Y,,\"YTM\")":[3.8633,4.1,4.6281,5.6986,7.1730304,4.847582,3.4208684,4.796723,6.9293385,6.0028777],"USDSEK^FG_PRICE(0)":10.68705,"EWN^P_PRICE_RETURNS_PR('52W',2,-10AY,0,AM)":[5.7920814,10.342562,1.2026548,-2.9666722,0.80422163,-5.7940125,-0.9115875,2.1462917,-1.3454795,4.788029,3.9996982,2.4312258,11.588025,-1.6124666,-0.90333223,8.188462,0.95391273,1.5233636,-0.70346,-6.3549757,-1.9242287,-3.7667215,-3.3708632,-9.170872,-8.060169,7.079065,9.310616,-0.5432129,-4.106295,2.3715615,8.768976,12.487125,11.984146,17.426168,21.834612,28.129732,32.42607,25.774944,30.671036,33.29786,38.057182,34.362614,38.581253,24.433983,20.895588,15.16782,8.519161,8.1945305,4.9529076,3.535688,-1.5102208,-7.8024745,-7.846892,-15.359479,-13.873922,-3.3952773,-3.3142507,0.6779313,-3.4216404,4.8778176,0.1577735,0.5555153,6.017494,16.50387,17.68278,32.45555,18.715454,5.658746,-15.505653,-9.231461,7.91322,7.124114,11.269247,17.750477,14.860714,6.9336295,23.788488,23.225773,33.564068,48.675346,92.31813,70.473656,62.071323,48.024654,46.16245,50.87831,40.851868,55.620647,23.36365,22.740162,9.351646,-7.0072055,-8.838474,-20.70958,-21.703403,-26.87679,-22.880423,-36.20993,-36.88223,-35.933556,-17.838299,-24.333632,-5.9868693,1.3701677,1.6252041,12.097609,11.605274,25.603724,19.310581,25.123346,26.503313,16.314638,9.567165,20.292355,8.749437,19.980967,20.37679,14.757323,24.56186,18.770933,9.757101],"EWU^FMA_DIV_YLD(NTMA,-10AY,0,AM,\"PORTAGG\",\"MEANR\")":[3.94472150285523,3.8939000024378,4.08740370330205,4.09206953370175,4.06350973527636,4.13171988007349,4.07422576221118,3.88455792026231,4.03350979397316,3.90727354923853,3.94401885606583,4.15665087168762,4.096417008216,4.54183384843056,4.47706794942708,4.24491806245958,4.17471441285135,4.30856301942377,4.433412305322,4.45193507180467,4.3902824733655,4.27161646826222,4.3463062631528,4.18327853364226,4.14891037063421,4.12597458434389,4.1564709474935,4.3668141237444,4.42791166696293,4.27151734515527,4.31596796827998,4.2655251903389,4.32479324020005,4.38763198172017,4.21570041800816,4.35243963248784,4.24744428585637,4.31442701168876,4.29549488536781,4.29524370717001,4.4051747101624,4.19117596008474,4.23620721304884,4.65804464854088,4.56453427272181,4.36572748621448,4.32964674886198,4.40328539217437,4.41499875454365,4.5766306421935,4.52436096649175,4.82096450704078,4.97924386808332,5.34221032429731,5.04855046991584,4.97145053687759,4.8663529990935,4.85790827099594,4.95177272056864,4.74979838651254,4.8294055450787,5.08460971741738,4.934818195519,4.81277347025238,4.74565832707939,4.57016464918843,4.74674136843967,5.33492581494781,6.32539307134055,4.83977258060537,4.12931399959462,4.13830932250629,4.16555743888254,4.11067560183804,4.25352906605318,4.60407563498861,3.95416245797212,3.94793589236662,4.10276096658978,4.00741988192849,4.04903206886778,3.96701519111743,3.87432085763111,3.99257280864693,4.1678669636605,4.18179349482681,4.20909519632657,4.02118872218172,4.09584207747177,3.90526117650779,3.79570362266808,3.97300032511446,4.00250060947123,4.05183836400289,4.07713197459036,4.32334616068937,4.15564085258363,4.52914436099727,4.77033447577741,4.49178982295791,4.20819788542195,4.28414621863373,4.11485904778986,4.1351307504642,4.22500012576091,4.11001593765321,4.40783305973383,4.36051243750182,4.32179310989557,4.47451368325211,4.4562728448942,4.64647006741197,4.41149014577362,4.2666636081457,4.29618954278413,4.15585058228488,4.04202134052383,3.95735768532043,3.86605294293263,3.97489727488061,3.86965093805217],"SPY^FMA_PE(LTMA,-10AY,0,AM,\"PORTAGG\",\"MEANR\")":[16.1409224392695,16.5165946550167,16.2231207766489,16.7341229559942,17.0410496778828,17.3010358861258,16.7185963770641,17.59103730002,17.4708665459372,17.5540375738837,17.5266290456961,17.3927586192537,17.5282892922124,16.4933308469838,16.4757543210512,17.3980491760626,17.5806980360076,17.1423143271944,16.2966838906097,16.18819342752,16.4452153070474,16.565182572191,16.7695779217635,16.9159239183927,17.3891686463266,17.5592781607908,17.7472227651928,17.4841755223491,18.2658113603508,18.7888782880815,18.9218325814042,19.5302641047429,19.3434696885449,19.2245542627826,19.2142330470779,19.0829110788387,19.1916965773107,19.0917620071552,19.3338918115731,19.6143294203677,19.9910531942729,20.2347233132771,20.8953245388979,19.7489415921184,19.442240691761,19.0802460947866,18.9236411247262,18.6134370089549,18.5893530387516,18.7016893540282,18.6282540014562,17.4334450420136,17.2533705877263,15.4897044891365,16.6963695379994,17.1278184580145,17.1818515495163,17.2746028188757,16.8699525537769,17.4840852732845,17.5565716887437,17.521408279488,17.7142092010553,18.4911433028593,19.0907003478438,19.8780204656155,19.6689283104631,17.9045011587721,17.4460255594161,19.1940771845246,20.5284765633829,21.2950004898311,22.0892593105201,23.8394233221223,23.6818370772191,22.8456466177565,25.6165097162059,27.4234729465894,26.6698862700779,26.3340527227785,26.0393846071496,25.579834144978,25.0592115312852,24.8597551525114,24.1699611156655,24.0012153618291,23.0654726328527,23.3267714576555,22.3912851780297,23.234786308636,21.9169919382277,20.6621791496812,20.7160794344275,20.0247566197936,19.6813869854655,18.8216824574513,19.3149965022114,18.6795224687752,17.2655556717882,17.9729925028488,18.6440558209937,17.4105939536194,18.7006300730504,18.0409962970088,18.2162863620187,18.3329645885525,18.4892348624994,19.1373266219121,19.6776643795275,19.5870327873821,19.0499238637416,19.0355700419529,20.5743720894247,21.7256395465349,22.2173049181565,22.7964879594996,22.7417667428864,22.2899579845372,22.4935693690674,22.8001139701329,22.6698875645989],"PASP-FDS^FG_PRICE_CHANGE(0,-1AM)":-6.40640640640641,"EWI^FG_PRICE_MAVG(0,,,,30)":36.988335,"EWL^FG_PRICE(0)":50.1,"FXI^FG_TOTAL_RETURNC(0,-1AM)":-2.9141128,"EWL^FG_TOTAL_RETURNC(0,-3AM)":13.040792,"ENZL^FG_TOTAL_RETURNC(0,-3AM)":4.814291,"VGK^FMA_COS_DOWN(\"EPS\",\"1M\",+1,0,,,\"PORTAGG\",\"MEANR\")":487.0,"ENZL^FMA_RBICS_REV_CURRENT(30, LOC, \"PORTAGG\")":14.6753056662198,"REFSEREPO-FDS^PROPER_NAME(0,,,\"SECURITY\",\"NAME\")":"Sweden Repo Rate","REFJPTON-FDS^FG_YIELD(NOW,,,0)":0.25,"TRYUS10Y-FDS^PCTCHG(FG_YIELD(0,,,,\"YTM\"),FG_YIELD(-3AM,,,,\"YTM\"))":-13.88547,"TRYIT10Y-FDS^FG_YIELD_NAME":"Italy Benchmark Bond - 10 Year","VWO^FMA_EVAL_EBITDA(NTMA,0,,,\"PORTAGG\",\"MEANR\")":9.07400417748812,"EWD^FMA_DIV_YLD(NTMA,NOW,NOW,M,\"PORTAGG\",\"MEANR\")":3.22436381294799,"EWL^FMA_EVAL_EBIT(LTMA,NOW,NOW,M,\"PORTAGG\",\"MEANR\")":16.6816999603866,"EWC^FMA_EVAL_EBIT(LTMA,NOW,NOW,M,\"PORTAGG\",\"MEANR\")":16.0746079471989,"TLT^FG_TOTAL_RETURNC(0,-6AM)":-1.0374606,"GLD^FG_TOTAL_RETURNC(0,-6AM)":18.57046,"W-FDS^FG_PRICE_CHANGE(0,-6AM)":-11.5544472152951,"FXI^PERCENT_CHANGE(FMA_EPS(+1,0,,,,\"PORTAGG\",\"MEAN\"),FMA_EPS(+1,-3AM,,,,\"PORTAGG\",\"MEAN\"))":4.77850644874207,"URTH^P_PRICE(0)/P_PRICE_LOW_PR(0,,,,,,\"PRICE\",\"INTRA\",\"52W\")-1":0.28430688,"VGK^FMA_PCT_ABOVE_MAVG(200,0,,,,\"PORTAGG\")":60.1114649681529,"EWN^FG_TOTAL_RETURNC(0,-6AM)":5.011761,"SPY^PERCENT_CHANGE(FMA_EPS(+1,0,,,,\"PORTAGG\",\"MEAN\"),FMA_EPS(+1,-3AM,,,,\"PORTAGG\",\"MEAN\"))":-0.154177246442902,"EWG^PERCENT_CHANGE(FMA_EPS(+1,0,,,,\"PORTAGG\",\"MEAN\"),FMA_EPS(+1,-1AM,,,,\"PORTAGG\",\"MEAN\"))":-0.220679520822511,"ENZL^FG_TOTAL_RETURNC(0,-1AM)":1.5735865,"EWU^FMA_COS_DOWN(\"EPS\",\"1M\",+1,0,,,\"PORTAGG\",\"MEANR\")":44.0,"REFAUCASH-FDS^FG_YIELD(NOW,,,0)":4.35,"EWJ^FMA_EVAL_EBITDA(NTMA,0,,,\"PORTAGG\",\"MEANR\")":10.1549401427385,"EWA^FMA_EVAL_EBIT(LTMA,NOW,NOW,M,\"PORTAGG\",\"MEANR\")":12.542192676817,"EWN^FMA_DIV_YLD(NTMA,NOW,NOW,M,\"PORTAGG\",\"MEANR\")":2.59603241445544,"VWO^P_PRICE(0)/P_PRICE_HIGH_PR(0,,,USD,,,\"PRICE\",\"INTRA\",\"52W\")":0.9526518,"WL-FDS^FG_PRICE_CHANGE(0,-1AM)":-10.6502816180235,"VGK^P_PRICE(0)/P_PRICE_HIGH_PR(0,,,USD,,,\"PRICE\",\"INTRA\",\"52W\")":0.94856733,"CAGDPY@CH^EE_ACTUAL_ANNUAL(MED,0)":6.98087557861584,"USDGBP^STD(FG_PRICE_CHANGE(0,-3AY,M))":2.35418337899108,"EWL^FMA_DIV_YLD(NTMA,-10AY,0,AM,\"PORTAGG\",\"MEANR\")":[3.39158893225524,3.32530100104957,3.35021603646178,3.32346860354946,3.23096473582838,3.30343855307156,3.38086836776971,3.15848356988339,3.14184298215429,3.09952287960115,3.12179549947914,3.25594346569372,3.1022687086928,3.39137571869915,3.45124196958065,3.26121053829813,3.24483552927835,3.27040945041367,3.45046108964601,3.50360116603976,3.59224856747807,3.50550200625508,3.46306686831616,3.5203014955333,3.48763979720684,3.48638634033545,3.4921843468164,3.65106073725145,3.72254753625881,3.5533111966061,3.47380404547395,3.36106751562458,3.41799191065289,3.35829843888038,3.28282381623927,3.28848308107885,3.27841624612382,3.31966903233124,3.26883982541692,3.24533698826426,3.2504472447529,3.21930724944088,3.19994988989626,3.47256126560313,3.49854681834639,3.47283148356733,3.55352667181163,3.5660646339402,3.37542029819816,3.41830060980553,3.40356357205802,3.50525490631455,3.52407662738803,3.70550297641543,3.46170458346392,3.33694159663307,3.3053112884017,3.24704682104972,3.3445579813945,3.20639597785414,3.23028045697428,3.24884662076499,3.23974663681299,3.14559545770692,3.09756733932483,3.04328914915543,3.02734981477521,3.30262117982551,3.54175456863544,3.26156325188524,3.16567902165986,3.07102444145075,3.02019645615973,2.95327931980375,2.95815041718759,3.15198115057443,2.90733355265474,2.82077523850231,2.8533894840034,2.88809956733931,2.79350069710843,2.77483059944566,2.69657200419108,2.63268393206782,2.59129954385517,2.5599470040229,2.77919579426776,2.62830002731877,2.65090889390494,2.52766057359219,2.7096189486267,2.82808219096313,2.78158936299687,2.84152955009802,2.98523766102859,3.1965228346668,3.05468744334425,3.26923098253261,3.4263138214808,3.29550665285148,3.07435137435244,3.22514247311463,3.06225410097286,3.17701626787977,3.15678083781982,3.07700993467882,3.16826945755237,3.16485288239112,3.14713263005057,3.245367403327,3.35482479377066,3.5163441237358,3.3647868004724,3.27188692633068,3.31160617183323,3.29531729714116,3.26405138439594,3.42060043955727,3.19702705627753,3.23101538593108,3.17389595200055],"TRYAU10Y-FDS^FG_YIELD_NAME":"Australia Benchmark Bond - 10 Year","TRYUS10Y-FDS^PCTCHG(FG_YIELD(0,,,,\"YTM\"),FG_YIELD(-1AM,,,,\"YTM\"))":-10.959975,"SPY^FG_FCF_YIELD_NTM(0)":4.20417561984736,"REFEUREFI-FDS^(SUBARRAY(NOT_NA(NO_REPEAT_F(FG_YIELD(NOW,-10AY,D))),0,1)-SUBARRAY(NOT_NA(NO_REPEAT_F(FG_YIELD(NOW,-10AY,D))),1,1))*100":-25.0,"VGK^FG_PE(0)":14.2037753337727,"EWJ^FG_TOTAL_RETURNC(0,-6AM)":1.6958237,"TRYCA10Y-FDS^PCTCHG(FG_YIELD(0,,,,\"YTM\"),FG_YIELD(-1AM,,,,\"YTM\"))":-10.888179,"EWI^JULIAN(FMA_DIV_YLD(NTMA,NOW,NOW,M,\"PORTAGG\",\"MEANR\").DATES)":45503,"EWN^P_PRICE(0)/P_PRICE_LOW_PR(0,,,,,,\"PRICE\",\"INTRA\",\"52W\")-1":0.3188206,"EWG^FG_TOTAL_RETURNC(0,-1AM)":-1.332897,"EWG^FMA_PE(NTMA,0,,,\"PORTAGG\",\"MEANR\")":11.7568586327834,"USDSEK^FG_COMPANY_NAME":"Swedish Krona per U.S. Dollar","USDGBP^STD(FG_PRICE_CHANGE(0,-1AY,AM))":1.75299699740113,"USDAUD^STD(FG_PRICE_CHANGE(0,-3AY,M))":3.06365637155364,"QQQ^P_PRICE_RETURNS_PR('52W',2,-10AY,0,AM)":[25.588966,33.3786,23.798645,24.283768,24.057829,19.179333,18.667316,21.192778,19.063246,25.796616,22.271324,14.891159,19.081152,2.3591757,6.291294,14.533043,11.0636,9.446454,4.3296933,-1.4101267,6.2000275,-2.2656262,1.026094,1.2783289,4.6423793,16.830576,17.987537,3.6129594,1.4044046,5.768156,21.474218,25.634146,22.474062,31.111658,29.8586,29.312193,25.210226,26.356638,24.666859,32.309067,35.132946,31.301426,35.12894,26.278507,22.133816,19.675673,22.843765,25.764442,24.375582,28.700888,28.980196,13.992882,10.00483,-0.11628866,0.5487323,6.9315434,14.673101,17.075848,3.1725526,11.227119,8.298981,1.4514327,1.49647,16.622341,23.072565,38.959766,31.346619,19.806744,1.0036588,13.564264,35.705112,33.417572,40.203667,61.270557,51.845562,37.770927,49.063778,48.61877,48.226715,58.356964,79.143036,55.36039,43.08176,42.353333,40.404236,27.613485,28.29306,44.59238,28.251278,27.420341,13.914358,6.040609,12.023603,-7.483202,-7.6150236,-19.988829,-13.042909,-20.89405,-24.874979,-28.550661,-23.656326,-32.999577,-17.06865,-14.100188,-10.799914,3.6410809,15.9163,32.74591,22.28434,27.016926,32.6771,30.63513,33.662964,54.759644,41.16268,54.079758,39.566803,31.700468,30.380201,31.352043,20.90895],"EWC^FMA_PE(LTMA,-10AY,0,AM,\"PORTAGG\",\"MEANR\")":[16.2794343638855,16.4896600252732,15.8114847622967,15.6968746345144,15.6324437357216,15.5969389852536,15.7778455702872,17.0329169622469,17.0664854199883,17.3505916412903,17.2468631722311,17.0491009818518,17.0229383832672,16.3411393429818,16.302970366916,16.6370606081625,16.9217533376107,15.7794491987031,15.3708269286153,15.7564101827763,16.001157655848,16.4169682941824,16.6544333171183,16.7934665316453,17.2431935508894,17.5850219500058,17.8787659375175,18.173631370558,18.7730931844746,19.369708934889,19.5860410126195,19.4269843736793,19.1093046046532,18.7794306078942,18.4512339555032,18.0575223370907,18.0064838442803,17.5274265070569,17.6540699516057,17.6067486511393,17.315556170384,17.2069151729046,16.6506424868717,15.8202568992905,15.6942942467633,15.5967368982415,15.5170458711105,15.4956522413703,15.4706828697841,15.2389778780504,15.0742612271756,14.2366964060455,14.054323813253,13.1315578525348,14.5170878783775,14.7339208885223,14.7372885987207,14.6153659062406,14.3717500238412,14.4890949670935,14.4744053058873,14.4218130030175,14.5387906903177,14.8354397786325,15.1019996324581,15.2532362977261,15.3686742646582,14.3479619341519,14.1451230008571,15.5747218081999,16.8734333112294,17.3402868286934,17.9754653891431,18.4570714722875,18.3462045626291,17.9859032206936,19.8631866862076,20.3674881248119,20.4380919883984,19.9891448265538,19.6112449968824,19.2245259404903,18.8096887769834,18.4318011710174,17.7701510817431,17.189969061573,16.4144424371514,16.7301144290403,15.4228350631004,15.4052054193869,15.4559578512852,15.2223884554422,15.0357474837891,14.6000199213932,14.2677491688948,13.4335584086702,13.3331576955509,12.7322005112597,12.1689396395286,12.5354977249217,12.915765871406,12.0433714481908,12.8941868729574,12.5778044678252,12.6384051204375,12.8216210921448,12.7869830581798,13.0375879378741,13.5433262153808,13.6581067908403,13.3014635846757,13.0874726153313,14.0079271804528,14.6105070525951,14.6860330094323,14.8886833317143,14.9711868408308,14.8218683423403,14.954736798384,14.8145727362961,15.1870805903704],"PASP-FDS^FG_PRICE_MAVG(0,,,,30)":967.26666,"EWD^FG_PRICE(0)":39.28,"EWJ^FG_PRICE_MAVG(0,,,,200)":66.50105,"FXI^PERCENT_CHANGE(FMA_EPS(+1,0,,,,\"PORTAGG\",\"MEAN\"),FMA_EPS(+1,-1AM,,,,\"PORTAGG\",\"MEAN\"))":1.36570017043807,"EWI^FG_TOTAL_RETURNC(0,-12AM)":13.086033,"EWL^FG_TOTAL_RETURNC(0,-1AM)":4.1147113,"VGK^FMA_COS_UP(\"EPS\",\"1M\",+1,0,,,\"PORTAGG\",\"MEANR\")":465.0,"EWI^FG_ROE(0)":13.8154750109472,"TRYNZ10Y-FDS^FG_YIELD_NAME":"New Zealand Benchmark Bond - 10 Year","REFJPTON-FDS^PROPER_NAME(0,,,\"SECURITY\",\"NAME\")":"Japan Policy Rate","TRYSE10Y-FDS^FG_YIELD(0,,,,\"YTM\")":1.964,"VWO^FG_FCF_YIELD_NTM(0)":5.35529828793736,"EWD^FMA_PE(NTMA,0,,,\"PORTAGG\",\"MEANR\")":16.1140208797994,"EWL^FMA_EVAL_EBITDA(NTMA,0,,,\"PORTAGG\",\"MEANR\")":13.053234527699,"EWC^FG_FCF_YIELD_NTM(0)":5.92021484053265,"GLD^FG_TOTAL_RETURNC(0,-3AM)":5.6036353,"SPY^FMA_DIV_YLD(NTMA,NOW,NOW,M,\"PORTAGG\",\"MEANR\")":1.42373350476822,"EWC^FMA_DIV_YLD(NTMA,NOW,NOW,M,\"PORTAGG\",\"MEANR\")":3.21668898598266,"EWL^PERCENT_CHANGE(FMA_EPS(+1,0,,,,\"PORTAGG\",\"MEAN\"),FMA_EPS(+1,-3AM,,,,\"PORTAGG\",\"MEAN\"))":2.85651798608685,"EWI^SIZE(FG_CONSTITUENTS)":26,"EWD^FG_ROE(0)":16.243172505293,"SPY^P_PRICE(0)/P_PRICE_HIGH_PR(0,,,USD,,,\"PRICE\",\"INTRA\",\"52W\")":0.9608076,"EWC^JULIAN(FMA_DIV_YLD(NTMA,NOW,NOW,M,\"PORTAGG\",\"MEANR\").DATES)":45503,"SPY^FG_TOTAL_RETURNC(0,-6AM)":11.706543,"EWU^FG_TOTAL_RETURNC(0,-12AM)":12.6791,"EWA^FG_TOTAL_RETURNC(0,-6AM)":4.9117208,"EWN^JULIAN(FMA_DIV_YLD(NTMA,NOW,NOW,M,\"PORTAGG\",\"MEANR\").DATES)":45503,"EWU^FMA_EVAL_EBITDA(NTMA,0,,,\"PORTAGG\",\"MEANR\")":7.51674326466273,"EWA^FMA_PE(LTM,0,,,\"PORTAGG\",\"MEANR\")":19.0513694433058,"COPP-FDS^FG_PRICE_CHANGE(0,-1AM)":-8.13283632666893,"EWG^FMA_DIV_YLD(NTMA,-10AY,0,AM,\"PORTAGG\",\"MEANR\")":[3.25704295751316,3.17618926569511,3.22231765809683,3.26650999320345,3.13350522852649,3.19148978345338,2.94412797034923,2.78173214454678,2.67617777603095,2.85825084742977,2.93226550337666,3.03240810569487,3.01221055817859,3.41103565216772,3.51147868780938,2.99220050708342,2.89520021195596,3.02919339249765,3.35945111550105,3.38571269320653,3.34682933835506,3.2918871979604,3.29300305507476,3.45090564501753,3.26714463686329,3.20092977375196,3.17642683206914,3.19238156364056,3.22069452908108,2.9747084897089,2.95979320076035,2.90177153104679,2.9105466510859,2.89825926928436,2.92692709070001,3.0356339338288,3.06006517445688,3.12476873166622,2.99038375230085,2.85561800938279,2.95149356278972,2.95370495795088,2.98170548054883,3.19405465930477,3.24717650440132,3.15900905804478,3.15662323993141,3.27480156728605,3.17583856823455,3.25711693495655,3.29244309835281,3.61018803898043,3.68426508031226,3.97098544891004,3.71929133890379,3.58126323581273,3.57101010414303,3.39225499148554,3.65168275655261,3.4557832164084,3.43550931969415,3.55231236928533,3.43700265071634,3.25420404312015,3.09715514407385,3.10138985023865,3.16165671485229,3.43280005946778,4.0503090021436,3.34626637373,3.06695057214076,2.94019910991534,2.93759567526176,2.81564544240774,2.86937818660478,3.18210386302377,2.77436448274031,2.72025953204543,2.78117501759582,2.80302328766047,2.68998307807009,2.78465609579738,2.79620491681506,2.80984480507715,2.84320741617825,2.84012373618131,3.0078935552656,2.94099419478476,3.08930797363405,3.04424056811043,3.14306537707824,3.59926001025585,3.53484356274227,3.69682281990904,3.74839829271668,4.21178417068705,4.01266891507948,4.2808013615837,4.48461000593773,4.10394018604787,3.72168584319341,3.84751434283582,3.50244932568791,3.53976622008971,3.52030675913846,3.51138865267228,3.66391023894455,3.62045230888256,3.6288222655632,3.71753673276881,3.85852448007124,4.00750102241383,3.61815876891383,3.55310279376186,3.54564858416795,3.45238990658127,3.24527753414301,3.39291422411711,3.38109513912397,3.41031981452722,3.42362811988095],"EWA^FMA_PE(LTMA,-10AY,0,AM,\"PORTAGG\",\"MEANR\")":[15.4155976462339,15.4733873600374,14.7442280472244,15.3641044826555,14.2359905540101,14.8069956260328,15.1903814057501,16.2153413101021,16.2425853589346,16.3273988245437,16.1724349889938,15.9467637014206,16.1917626947425,15.2413576832367,15.2707772316948,15.6354822088134,15.7388969205548,16.060762601513,15.3410957732913,14.9539131521175,15.0999390080493,15.4385687174031,15.722020150496,15.7835404267062,16.5212454203445,16.4881311820149,16.7199617585058,16.7217563021785,17.2698636116085,17.7086539390355,17.5614864233131,17.5107295950144,17.3884455417508,17.3161127740132,16.853937213354,16.7910295964712,16.8928234231044,16.621429923767,16.3183191989285,16.6934743643464,16.6432391416311,16.8278911331571,16.8759341086374,16.5273599178474,16.2815090514869,16.3018042395324,16.1312538310613,16.2800875614586,16.348022536939,16.3597947840177,15.9883816470529,15.3013526523547,14.8672537208656,14.6223187067508,15.2545673380389,15.9237833795216,15.8795368562413,15.9028090299238,15.9137931434095,16.2710407853949,16.4894137458976,16.2495305438143,16.9476128919734,17.2934364679023,17.7420544241093,17.7688229253514,18.44603794122,16.9463800934025,16.4482678131092,17.0824387493561,18.1671032769987,18.4954283830442,18.9843454772302,19.5970548607426,19.2433376958491,19.5329044080874,22.4044079079365,22.9540612302639,22.5216435367592,21.8271429394159,21.3012038672565,21.0392869257868,20.6483396603594,19.848421447333,19.2280867786815,19.1497684252331,18.280316639501,18.5872726727719,17.6616775100105,17.8166424238212,15.7778765920654,15.6847576208229,15.796153789094,15.4451641663444,15.0346167727315,13.9861244999995,14.6056207350294,14.1170584290605,13.2218391737573,13.6787361233738,14.5953650799928,14.0289358848587,14.9973616243196,14.2578373391575,14.2408176993964,14.3644299546005,14.2362669547734,14.6024219137249,15.1429595486571,15.1076587386803,14.8131305964159,14.4922048778273,15.2643649937028,16.569398491349,16.4287747665095,16.6292710642533,16.6612782618708,16.5176699050301,16.6687307799717,16.8313022458407,17.1339755439403],"W-FDS^FG_PRICE_CHANGE(0,-3AM)":-8.51246775580395,"EWN^FG_PRICE_MAVG(0,,,,200)":46.677586,"EWJ^FG_PRICE_MAVG(0,,,,60)":68.771835,"URTH^P_PRICE(0)/P_PRICE_HIGH_PR(0,,,,,,\"PRICE\",\"INTRA\",\"52W\")":0.9601747,"EWI^P_PRICE(0)/P_PRICE_LOW_PR(0,,,,,,\"PRICE\",\"INTRA\",\"52W\")-1":0.24246085,"EWN^FG_TOTAL_RETURNC(0,-3AM)":1.6804934,"QQQ^P_PRICE(0)/P_PRICE_HIGH_PR(0,,,,,,\"PRICE\",\"INTRA\",\"52W\")":0.91289324,"EWG^FMA_PCT_ABOVE_MAVG(200,0,,,,\"PORTAGG\")":58.6206896551724,"ENZL^PERCENT_CHANGE(FMA_EPS(+1,0,,,,\"PORTAGG\",\"MEAN\"),FMA_EPS(+1,-3AM,,,,\"PORTAGG\",\"MEAN\"))":2.40075998245098,"EWU^FMA_COS_UP(\"EPS\",\"1M\",+1,0,,,\"PORTAGG\",\"MEANR\")":26.0,"TRYAU10Y-FDS^FG_YIELD(0,,,,\"YTM\")":4.088,"VWO^FG_PE_NTM(0,,,90,0)":10.5196011178852,"TLT^FG_TOTAL_RETURNC(0,-1AM)":6.3561916,"FXI^FMA_PCT_ABOVE_MAVG(200,0,,,,\"PORTAGG\")":50.9803921568627,"EWJ^SIZE(FG_CONSTITUENTS)":204,"TRYSE10Y-FDS^FG_YIELD_NAME":"Sweden Benchmark Bond - 10 Year","VWO^FG_PE(0)":15.0513221569259,"EWN^FMA_EVAL_EBITDA(NTMA,0,,,\"PORTAGG\",\"MEANR\")":11.9624320677821,"SPY^FG_TOTAL_RETURNC(0,-3AM)":8.876634,"DBA^FG_TOTAL_RETURNC(0,-6AM)":7.2383523,"EWJ^FG_TOTAL_RETURNC(-10AY,0,AM)":[-2.1224499,-1.5846491,-1.8644094,4.145086,-3.1509101,-3.200823,2.224195,7.48477,1.8623471,3.4976244,0.69123507,-1.105386,0.2325654,-10.518181,-0.5185783,7.0373535,2.0292163,-2.8780162,-5.693066,-2.3622096,-0.26881695,2.6055694,3.1523585,-1.7733932,5.4007053,2.2313952,1.3742924,0.31898022,-1.6891837,-0.0746727,4.0523887,1.9472837,-0.6367028,1.0873795,3.284669,0.41959286,2.6654243,-1.071167,2.2389412,5.8696866,1.1190176,1.1595488,5.5397987,-6.245059,2.327156,-0.1483202,-0.7261872,-2.970034,1.7268181,-1.171273,4.156649,-9.779024,1.151526,-7.692194,6.6482544,0.850904,1.6324282,-0.32485127,-4.5446277,5.960989,-1.8424869,-0.7729173,4.766333,4.903519,0.28687716,0.8640766,-2.5151968,-8.2943735,-11.178244,8.099484,10.619473,-1.7787874,-0.87575316,7.0863247,1.5469313,-1.4218032,12.826228,3.2182932,0.19242764,2.4523497,-0.30280948,-2.4877071,1.082766,-0.24154782,-0.56304336,3.576219,0.6042242,-0.71499944,-4.9690304,2.8327703,-4.2712092,-3.1513214,-0.24162531,-8.5742,1.783824,-7.0466876,7.2007537,-6.8929076,-7.743156,3.111565,11.534643,-2.881825,8.137405,-4.824191,4.7474623,0.13631582,3.5051942,2.4773955,1.243937,-1.0052621,-2.82076,-0.53076744,5.402696,2.9015183,4.334271,5.095637,-0.07109642,-4.5105276,2.7715683,-0.9763181,-0.3540337],"PLATI-FDS^FG_PRICE_MAVG(0,,,,30)":987.93335,"EWA^SIZE(FG_CONSTITUENTS)":59,"TRYIT10Y-FDS^PCTCHG(FG_YIELD(0,,,,\"YTM\"),FG_YIELD(-3AM,,,,\"YTM\"))":-6.1709228,"WL-FDS^FG_PRICE(0)":523.5,"EWL^FMA_RBICS_REV_CURRENT(30, LOC, \"PORTAGG\")":17.7952826099754,"EWA^JULIAN(FMA_DIV_YLD(NTMA,NOW,NOW,M,\"PORTAGG\",\"MEANR\").DATES)":45503,"EWA^FG_TOTAL_RETURNC(0,-1AM)":0.36976337,"EWJ^FMA_RBICS_REV_CURRENT(30, LOC, \"PORTAGG\")":18.9435007684702,"EWU^FMA_PE(LTM,0,,,\"PORTAGG\",\"MEANR\")":13.0330735023347,"EWJ^FMA_PCT_ABOVE_MAVG(200,0,,,,\"PORTAGG\")":61.2745098039216,"EWD^FMA_EVAL_EBIT(LTMA,NOW,NOW,M,\"PORTAGG\",\"MEANR\")":16.1280854003097,"CAGDPY@JP^EE_ACTUAL_ANNUAL(MED,0)":3.61295912215857,"USDANG^STD(FG_PRICE_CHANGE(0,-3AY,M))":0.0594600681310969,"USDAUD^FG_PRICE_CHANGE(0,-3AM)":-0.5744457,"EWU^P_PRICE_RETURNS_PR('52W',2,-10AY,0,AM)":[13.33127,15.797376999999999,3.6668181,-0.83319545,-1.451534,-7.6141834,-4.1665373,-3.8355708,-6.1125517,-4.7111692,-5.812061,-9.910255,-5.542195,-16.994864,-10.807287,-3.4619868,-5.3839564,-7.0310116,-11.457836,-17.024195,-11.038107,-12.776184,-12.974018,-12.171942,-13.018006,1.0129213,1.0065198,-10.562128,-9.341156,-2.2000492,6.7234993,9.128534,7.828665,5.5107713,12.927198,12.39264,15.381765,11.007082,14.755737,20.889103,20.292473,22.385906,22.504448,11.421037,11.250126,13.419557,8.419668,8.916473,5.284822,3.4807682,2.0382285,-2.9562473,-6.380373,-14.279747,-11.036414,-0.44788718,0.70296526,-3.1853378,-7.9849424,-2.1225274,-5.7721434,-6.363696,-4.4456778,5.5838704,8.943892,21.251917,8.173239,-6.1158657,-29.08377,-23.1198,-12.927389,-17.505402,-15.07954,-10.018521,-15.1188135,-23.161512,-8.75197,-11.804509,-6.915748,8.180857,43.06388,32.282997,32.193302,30.491554,27.412487,29.239773,30.44113,43.21071,12.47201,18.223583,21.05056,11.732578,11.945545,2.7083993,0.40653944,-4.9628735,-1.3919592,-10.453117,-14.958173,-12.435121,4.672301,-4.375112,-1.4645457,1.7001867,-0.8803785,8.223701,2.0957708,11.721849,10.533178,16.719936,25.046766,11.786186,6.9146633,11.871648,4.608536,5.7022095,10.237741,6.663835,18.739557,12.269556,12.6791],"NI-FDS^FG_PRICE_CHANGE(0,-6AM)":-0.71942446043165,"W-FDS^FG_PRICE_CHANGE(0,-1AM)":-6.54369784804567,"EWN^FG_PRICE_MAVG(0,,,,60)":50.8535,"USDANG^STD(FG_PRICE_CHANGE(0,-1AY,AM))":0.000141134267256493,"EWC^FMA_DIV_YLD(NTMA,-10AY,0,AM,\"PORTAGG\",\"MEANR\")":[2.80101167644883,2.75013004366271,2.91163807525448,2.96281853899497,2.95535439610653,2.92691965115154,2.9582966929684,2.84975029796081,2.90615539859722,2.82023525804275,2.88916952310388,3.01368472075686,3.06299969268628,3.25070679775797,3.3235318406121,3.26721661089548,3.24607263590736,3.3535405693637,3.40460104945315,3.30678179789041,3.16722468171465,3.05014927767596,3.04437030371098,3.0768974137006,2.97485888589722,2.95521242215834,2.93724662923556,2.93461962636795,2.88805649951556,2.84844159413114,2.83868981732376,2.87470876776292,2.91893378364749,2.93736772546394,2.97305967845699,3.04960316508655,3.0345450913062,3.0708359150307,2.98033222192467,2.91539216720979,2.91855330962318,2.90768089224411,2.98710038040065,3.15897135771853,3.18679481647357,3.15234261323912,3.09338401957996,3.06731781683034,3.07757283146572,3.12182649824625,3.16617141777281,3.38380649603749,3.39016347737641,3.58980144760299,3.34214490413316,3.26225225955191,3.25161949945889,3.2072240416835,3.38181444492034,3.32075928352516,3.36072959551562,3.39213479429931,3.37355327372155,3.3378159641193,3.24688046235831,3.26356056899418,3.28104813208701,3.54561819129622,4.46207832086337,3.9094621829445,3.61751689528373,3.54982011841636,3.42456447855619,3.32994289757591,3.4435613288864,3.55025297501576,3.17677434138542,3.13893857768554,3.09173440799837,2.93169872830081,2.80258135035122,2.76250451755712,2.6028620728651,2.70857773104228,2.71174355517182,2.73051158308324,2.82619890035866,2.71569075806898,2.86543604751418,2.78733273169164,2.79678950149346,2.89015157900717,2.8310748335118,3.07116332644503,3.1092023377313,3.42241268976922,3.32249176557966,3.50136277054284,3.63468459642186,3.42996893882819,3.27361151994725,3.4707922433344,3.2703478014262,3.34654197826021,3.34640317213685,3.23027208872632,3.37471637877423,3.25212688231186,3.14794244772468,3.44666746973776,3.63507319957846,3.74913194476478,3.440610777263,3.35843963849128,3.32423241704779,3.22415572385246,3.09871529296753,3.14664858147289,3.26116660149813,3.35019113048088,3.21668898598266],"ENZL^JULIAN(FMA_DIV_YLD(LTMA,-10AY,0,AM,\"PORTAGG\",\"MEANR\").DATES)":[41852,41880,41913,41943,41974,42004,42034,42062,42095,42125,42156,42186,42216,42248,42278,42307,42339,42369,42401,42430,42461,42489,42522,42552,42583,42614,42643,42675,42705,42734,42767,42795,42825,42856,42887,42916,42948,42979,43007,43040,43070,43098,43132,43160,43188,43221,43252,43280,43313,43343,43374,43405,43434,43465,43497,43525,43556,43586,43616,43647,43678,43706,43739,43770,43798,43830,43861,43889,43922,43952,43983,44013,44043,44075,44105,44134,44166,44196,44228,44256,44287,44316,44348,44378,44407,44440,44470,44501,44531,44561,44593,44621,44652,44680,44713,44743,44774,44805,44834,44866,44896,44925,44958,44986,45016,45047,45078,45107,45139,45170,45198,45231,45261,45289,45323,45352,45383,45413,45443,45474,45502],"NI-FDS^FG_PRICE_CHANGE(0,-3AM)":-14.7690655209452,"EWJ^FG_PRICE_MAVG(0,,,,30)":69.205,"URTH^FG_TOTAL_RETURNC(0,-6AM)":9.399807,"EWI^P_PRICE(0)/P_PRICE_HIGH_PR(0,,,,,,\"PRICE\",\"INTRA\",\"52W\")":0.9156718,"EWN^FG_TOTAL_RETURNC(0,-1AM)":-5.1337957,"QQQ^FG_TOTAL_RETURNC(0,-3AM)":9.223413,"EWC^FG_TOTAL_RETURNC(0,-12AM)":9.302675,"ENZL^PERCENT_CHANGE(FMA_EPS(+1,0,,,,\"PORTAGG\",\"MEAN\"),FMA_EPS(+1,-1AM,,,,\"PORTAGG\",\"MEAN\"))":-3.8247479269627,"TRYGB10Y-FDS^PCTCHG(FG_YIELD(0,,,,\"YTM\"),FG_YIELD(-3AM,,,,\"YTM\"))":-11.026884,"VWO^JULIAN(FMA_DIV_YLD(NTMA,NOW,NOW,M,\"PORTAGG\",\"MEANR\").DATES)":45471,"SPY^FMA_PE(NTMA,0,,,\"PORTAGG\",\"MEANR\")":20.6871366245101,"USO^P_PRICE(0)/P_PRICE_HIGH_PR(0,,,USD,,,\"PRICE\",\"INTRA\",\"52W\")":0.9146385,"TRYNL10Y-FDS^FG_YIELD(0,,,,\"YTM\")":2.527,"VGK^FMA_EVAL_EBIT(LTMA,NOW,NOW,M,\"PORTAGG\",\"MEANR\")":13.2235333636842,"EWL^FMA_DIV_YLD(NTMA,NOW,NOW,M,\"PORTAGG\",\"MEANR\")":3.17389595200055,"EWC^FMA_PE(LTM,0,,,\"PORTAGG\",\"MEANR\")":17.62414904935,"TRYEU10Y-FDS^FG_YIELD(-10AY,0,Y,,\"YTM\")":[0.5475,0.636,0.2082,0.4294,0.239,-0.189,-0.575,-0.181,2.533,2.004],"CAGDPY@DE^EE_ACTUAL_ANNUAL(MED,+1)":6.5,"USDCHF^FG_PRICE_CHANGE(0,-3AM)":-4.921955,"USDAUD^FG_PRICE_CHANGE(0,-1AM)":1.876533,"NI-FDS^FG_PRICE_CHANGE(0,-1AM)":-7.8397212543554,"W-FDS^FG_PRICE_MAVG(0,,,,30)":5.4590836,"EWN^FG_PRICE(0)":47.86,"SPY^FG_TOTAL_RETURNC(0,-12AM)":20.62894,"EWL^PERCENT_CHANGE(FMA_EPS(+1,0,,,,\"PORTAGG\",\"MEAN\"),FMA_EPS(+1,-1AM,,,,\"PORTAGG\",\"MEAN\"))":1.56279700289822,"EWI^FMA_COS_DOWN(\"EPS\",\"1M\",+1,0,,,\"PORTAGG\",\"MEANR\")":9.0,"EWN^FG_ROE(0)":10.8934609383566,"EWD^JULIAN(FMA_DIV_YLD(NTMA,NOW,NOW,M,\"PORTAGG\",\"MEANR\").DATES)":45502,"USDUSD^STD(FG_PRICE_CHANGE(0,-3AY,M))":0.0,"TRYNL10Y-FDS^FG_YIELD_NAME":"Netherlands Benchmark Bond - 10 Year","VGK^P_PRICE(0)/P_PRICE_HIGH_PR(0,,,,,,\"PRICE\",\"INTRA\",\"52W\")":0.94856733,"QQQ^FMA_COS_UP(\"EPS\",\"1M\",+1,0,,,\"PORTAGG\",\"MEANR\")":41.0,"ENZL^JULIAN(FMA_DIV_YLD(NTMA,NOW,NOW,M,\"PORTAGG\",\"MEANR\").DATES)":45502,"EWJ^P_PRICE_RETURNS_PR('52W',2,-10AY,0,AM)":[5.4751277,7.9221606,-1.0494888,2.7491212,-1.767379,-6.22353,0.01475811,8.291769,12.153506,17.524565,14.658058,6.4602375,8.93091,-0.8745551,0.48485994,8.398808,8.799338,9.162164,0.7075429,-8.518553,-10.432518,-12.41535,-9.034145,-9.648591,-4.989934,8.5473175,11.386883,3.6699057,-0.10828972,1.7673969,13.395536,18.40055,15.068984,16.218353,16.367413,18.7585,15.878105,12.134684,12.911022,19.34849,22.757626,24.223019,26.050318,15.92108,17.620241,17.919529,13.340366,9.883261,8.513379,7.967663,10.436905,-5.886883,-6.280917,-14.094437,-13.192195,-6.6220284,-7.255989,-7.4199557,-10.369987,-2.7872562,-6.1981797,-5.625552,-5.268794,10.147738,9.304941,19.328808,8.633733,-0.5233705,-13.317442,-5.9912148,8.943081,0.98546743,1.9612908,10.057343,6.6753387,1.2512684,12.77709,15.40935,18.614828,32.514965,48.74023,31.813824,22.605455,24.52433,21.691776,20.822609,19.700968,20.559216,1.5442967,1.1650205,-3.341943,-8.628702,-8.57262,-15.060425,-13.684792,-19.572884,-13.293325,-22.057343,-28.85003,-25.769688,-12.878376,-17.658394,-7.0545254,-8.659971,-3.5937607,5.0456524,6.8221927,18.257702,11.223316,18.256546,23.529387,20.16598,13.559496,19.378971,16.090261,28.189934,22.292973,16.617954,18.69886,11.888957,10.122978],"DDR3512M-FDS^MAX(FG_PRICE(0,-5AY))":3.3053632,"EWG^FG_PRICE(0)":30.35,"URTH^FG_TOTAL_RETURNC(0,-3AM)":7.1502447,"EWI^FG_TOTAL_RETURNC(0,-6AM)":8.943642,"EWN^PERCENT_CHANGE(FMA_EPS(+1,0,,,,\"PORTAGG\",\"MEAN\"),FMA_EPS(+1,-3AM,,,,\"PORTAGG\",\"MEAN\"))":-1.5588751340384,"QQQ^FG_TOTAL_RETURNC(0,-1AM)":-4.619026,"EWC^P_PRICE(0)/P_PRICE_LOW_PR(0,,,,,,\"PRICE\",\"INTRA\",\"52W\")-1":0.21139765,"ENZL^FMA_PCT_ABOVE_MAVG(200,0,,,,\"PORTAGG\")":50.0,"REFCATARG-FDS^(SUBARRAY(NOT_NA(NO_REPEAT_F(FG_YIELD(NOW,-10AY,D))),0,1)-SUBARRAY(NOT_NA(NO_REPEAT_F(FG_YIELD(NOW,-10AY,D))),1,1))*100":-25.0,"TRYGB10Y-FDS^PCTCHG(FG_YIELD(0,,,,\"YTM\"),FG_YIELD(-1AM,,,,\"YTM\"))":-9.084514,"TRYNZ10Y-FDS^FG_YIELD(0,,,,\"YTM\")":4.2695,"VGK^FMA_EVAL_EBITDA(NTMA,0,,,\"PORTAGG\",\"MEANR\")":8.80699440864635,"SPY^FMA_PE(LTM,0,,,\"PORTAGG\",\"MEANR\")":25.8164295246352,"EWL^FMA_PE(LTM,0,,,\"PORTAGG\",\"MEANR\")":17.3773954137081,"USO^FG_TOTAL_RETURNC(0,-6AM)":10.453165,"VGK^FG_PE_NTM(0,,,90,0)":13.0888032913833,"QQQ^FMA_EVAL_EBITDA(NTMA,0,,,\"PORTAGG\",\"MEANR\")":16.4670855129409,"REFNZOCR-FDS^(SUBARRAY(NOT_NA(NO_REPEAT_F(FG_YIELD(NOW,-10AY,D))),0,1)-SUBARRAY(NOT_NA(NO_REPEAT_F(FG_YIELD(NOW,-10AY,D))),1,1))*100":25.0,"EWQ^PERCENT_CHANGE(FMA_EPS(+1,0,,,,\"PORTAGG\",\"MEAN\"),FMA_EPS(+1,-3AM,,,,\"PORTAGG\",\"MEAN\"))":-0.767226556460929,"VWO^FG_TOTAL_RETURNC(0,-3AM)":3.5738707,"ENZL^FG_PRICE_MAVG(0,,,,60)":45.75905,"EWA^FG_TOTAL_RETURNC(0,-3AM)":6.481588,"URTH^FMA_COS_DOWN(\"EPS\",\"1M\",+1,0,,,\"PORTAGG\",\"MEANR\")":605.0,"TRYIT10Y-FDS^PCTCHG(FG_YIELD(0,,,,\"YTM\"),FG_YIELD(-1AM,,,,\"YTM\"))":-11.0839205,"TRYJP10Y-FDS^FG_YIELD(0,,,,\"YTM\")":1.0238,"EWQ^FMA_PE(NTMA,0,,,\"PORTAGG\",\"MEANR\")":13.5012279936373,"ENZL^FMA_EVAL_EBIT(LTMA,NOW,NOW,M,\"PORTAGG\",\"MEANR\")":21.0660890276935,"TRYNL10Y-FDS^PCTCHG(FG_YIELD(0,,,,\"YTM\"),FG_YIELD(-3AM,,,,\"YTM\"))":-11.828332,"TIPSCL10Y-FDS^FG_YIELD(-10AY,0,Y,,\"YTM\")":[null,null,null,null,null,null,null,null,null,null],"CAGDPY@DE^EE_ACTUAL_ANNUAL(MED,0)":6.05795477572622,"USDCHF^FG_PRICE_CHANGE(0,-1AM)":-3.3128679,"ENZL^FMA_DIV_YLD(NTMA,-10AY,0,AM,\"PORTAGG\",\"MEANR\")":[4.50732319290417,4.53899776998386,4.56579862887424,4.50483954106414,4.57422024771937,4.43603649853718,4.33415341945234,4.26227285815805,4.40717639045626,4.45989456357006,4.43117537005023,4.6451646509475,4.55337120119166,5.1055569414482,5.30548390315785,4.92397416743627,4.77788435301112,4.72515980905889,4.8367552548639,4.82713169252641,4.57794648713835,4.58125161388613,4.32188370551051,4.39813902459698,4.1211147843807,4.19822911323599,4.32040439452407,4.59803227706207,4.56259080934994,4.6345425267273,4.54160001978176,4.66053775616143,4.57882710059766,4.46322409263077,4.43648168554314,4.39307428705327,4.3773969193248,4.38776912924581,4.41229401725204,4.38704919050838,4.31485409915926,4.20128758471335,4.20498522388518,4.25594810238436,4.3162273701021,4.28130506940988,4.16799857437243,4.05433947621799,4.13311553077338,3.89557331235409,3.98954277623311,4.21845798760549,4.25832976064396,4.18061240383847,4.0989739418008,3.92348559420387,3.75467848051936,3.7194425120364,3.70790683248854,3.57194516734684,3.40576334367879,3.43300478864385,3.30680766283215,3.37994590382817,3.22070206143111,3.180368626039,3.10302790525696,3.16993345843362,3.27081133833935,2.71491786574694,2.6132165941173,2.50715230684145,2.39843697141942,2.38228781168829,2.45226748743542,2.43693764007441,2.37028398143554,2.40539263641599,2.48127837683859,2.57726652025901,2.59513839586019,2.58809487322422,2.68439214191093,2.62621090721439,2.6580797025583,2.58032537566294,2.61871249573644,2.67725322201043,2.77487075851725,2.76511566800919,3.01673757463895,2.97364029857693,3.06349188681102,3.05983317463859,3.19646067333717,3.40633923200343,3.24355990454516,3.2116481119588,3.42620608411407,3.36838224921471,3.3846111053827,3.48175951513012,3.28877882601057,3.38004001078602,3.3968483428021,3.393617328936,3.4012233634042,3.41941461587257,3.4083844106208,3.30573007834377,3.42427644033148,3.54846246127422,3.10567909452213,2.96827759625584,2.97986155650469,2.76217459590191,2.7459057298638,2.77097148103343,2.70122124532592,2.75412721520257,2.67421207278863],"NI-FDS^FG_PRICE(0)":15870.0,"BRENT-FDS^FG_PRICE_CHANGE(0,-6AM)":0.0,"EWQ^FG_PRICE_MAVG(0,,,,200)":39.048923,"EWC^FG_PRICE_MAVG(0,,,,200)":36.5478,"SPY^P_PRICE(0)/P_PRICE_LOW_PR(0,,,,,,\"PRICE\",\"INTRA\",\"52W\")-1":0.32697153,"EWL^FMA_PCT_ABOVE_MAVG(200,0,,,,\"PORTAGG\")":69.5652173913043,"EWC^FG_TOTAL_RETURNC(0,-1AM)":3.0327559,"EWI^FMA_COS_UP(\"EPS\",\"1M\",+1,0,,,\"PORTAGG\",\"MEANR\")":14.0,"EWG^SIZE(FG_CONSTITUENTS)":58,"EWQ^FG_ROE(0)":12.6860108172934,"REFCATARG-FDS^PROPER_NAME(0,,,\"SECURITY\",\"NAME\")":"Canada Target Rate","EWN^FMA_EVAL_EBIT(LTMA,NOW,NOW,M,\"PORTAGG\",\"MEANR\")":21.4382755497051,"EWL^JULIAN(FMA_DIV_YLD(NTMA,NOW,NOW,M,\"PORTAGG\",\"MEANR\").DATES)":45502,"ENZL^FG_PRICE_MAVG(0,,,,30)":45.875656,"ENZL^FMA_PE(LTM,0,,,\"PORTAGG\",\"MEANR\")":32.5688046149113,"TRYFR10Y-FDS^FG_YIELD(-10AY,0,Y,,\"YTM\")":[0.837,0.9989,0.682,0.785,0.71,0.118,-0.344,0.201,3.07,2.534],"CAGDPY@CA^EE_ACTUAL_ANNUAL(MED,+1)":-0.65,"USDAUD^FG_PRICE(0)":1.5318627,"EWG^P_PRICE_RETURNS_PR('52W',2,-10AY,0,AM)":[9.54442,13.956749,-0.77521205,-5.319333,-3.8394332,-11.955476,-5.8379354,-3.5980344,-2.7637541,-3.5145342,-7.886058,-9.007597,-1.1263967,-9.591931,-8.787614,2.7588725,-3.7193894,-2.79271,-11.829269,-16.967428,-13.744556,-9.938538,-8.991999,-12.140441,-7.621402,4.8213243,8.764577,-2.859676,-7.298434,1.9262791,16.332317,17.978657,14.491785,16.68451,22.950304,28.358067,23.736143,19.625902,28.738546,32.287727,36.155773,28.124655,28.496658,16.486395,13.781881,10.656298,4.370308,1.3211012,2.8716683,0.9038806,-5.336994,-15.029276,-17.095613,-21.374733,-20.872295,-11.139929,-12.736755,-9.397734,-12.863559,-3.6334515,-11.350573,-12.065733,-8.42675,7.1332574,9.797514,19.154919,9.413683,-1.3237476,-23.301983,-17.153847,1.1377811,-2.6582122,6.430316,15.939463,11.16612,-7.218504,8.828819,10.563791,13.935339,26.704681,70.44282,50.21949,39.38124,31.83316,23.347795,19.801903,15.694893,33.937218,4.9627066,5.840075,4.225683,-11.447823,-13.5556755,-23.92131,-23.250448,-30.947208,-29.00052,-36.07835,-37.647526,-33.13144,-16.276062,-22.198814,-8.885598,1.1399388,3.3809423,16.686583,8.548367,27.615654,26.022648,31.744062,36.277664,18.585598,15.437115,21.783829,6.281984,15.048528,14.557195,6.102979,17.7343,10.326815,7.6132774],"BRENT-FDS^FG_PRICE_CHANGE(0,-3AM)":0.0,"EWC^FG_PRICE_MAVG(0,,,,60)":37.827835,"URTH^FG_TOTAL_RETURNC(0,-1AM)":-0.33827424,"EWI^FG_TOTAL_RETURNC(0,-3AM)":1.1576891,"EWN^PERCENT_CHANGE(FMA_EPS(+1,0,,,,\"PORTAGG\",\"MEAN\"),FMA_EPS(+1,-1AM,,,,\"PORTAGG\",\"MEAN\"))":-0.443511483226128,"QQQ^PERCENT_CHANGE(FMA_EPS(+1,0,,,,\"PORTAGG\",\"MEAN\"),FMA_EPS(+1,-3AM,,,,\"PORTAGG\",\"MEAN\"))":0.487468142508781,"EWC^PERCENT_CHANGE(FMA_EPS(+1,0,,,,\"PORTAGG\",\"MEAN\"),FMA_EPS(+1,-3AM,,,,\"PORTAGG\",\"MEAN\"))":-1.54158750389843,"FXI^SIZE(FG_CONSTITUENTS)":52,"EWL^FG_ROE(0)":23.531210944667,"REFAUCASH-FDS^(SUBARRAY(NOT_NA(NO_REPEAT_F(FG_YIELD(NOW,-10AY,D))),0,1)-SUBARRAY(NOT_NA(NO_REPEAT_F(FG_YIELD(NOW,-10AY,D))),1,1))*100":25.0,"TRYCH10Y-FDS^PCTCHG(FG_YIELD(0,,,,\"YTM\"),FG_YIELD(-3AM,,,,\"YTM\"))":-39.252335,"VGK^FG_FCF_YIELD_NTM(0)":5.31233478244949,"SPY^JULIAN(FMA_DIV_YLD(NTMA,NOW,NOW,M,\"PORTAGG\",\"MEANR\").DATES)":45503,"EWJ^FMA_EVAL_EBIT(LTMA,NOW,NOW,M,\"PORTAGG\",\"MEANR\")":17.3324531266661,"USO^FG_TOTAL_RETURNC(0,-3AM)":0.4741192,"TRYFR10Y-FDS^FG_YIELD(0,,,,\"YTM\")":2.968,"EWA^FG_FCF_YIELD_NTM(0)":5.04675955523857,"TRYJP10Y-FDS^PCTCHG(FG_YIELD(0,,,,\"YTM\"),FG_YIELD(-1AM,,,,\"YTM\"))":-4.021746,"EWJ^P_PRICE(0)/P_PRICE_HIGH_PR(0,,,USD,,,\"PRICE\",\"INTRA\",\"52W\")":0.93734825,"ENZL^FMA_PE(NTMA,-10AY,0,AM,\"PORTAGG\",\"MEANR\")":[17.0318048653562,17.4259904450878,17.2021361959173,17.6075494605871,17.912529650664,18.2147707871206,18.934546597998,19.3006254187479,18.5206822809259,18.319896868662,18.3720383335325,18.052552964462,18.3374247523085,17.5815166159994,16.9631282100019,18.038295420771,18.254436495243,18.2879518587097,17.4635338805658,17.6481700214258,18.4156126192307,18.7141378948304,19.5262857810472,19.059687665176,20.2950128539833,20.7222896069427,20.2681896418316,18.8366354647071,18.8249690663342,18.4825680079845,18.9191691263602,18.3189241801169,19.0001722152101,19.4590418431261,19.3776399637034,19.5189489585176,19.7801493902805,19.9205763536595,19.8317741727984,20.2676915133957,20.2190870835144,20.939465306716,20.9074493598059,20.4153376839368,19.9684626391939,20.0490123902159,20.4909780057569,21.160631644616,20.8616705874022,22.0706051942858,21.4082138979402,20.3153639064618,19.9671800715046,20.0329836146318,20.4586874128021,21.6303992254278,22.3155645926634,22.6068747668835,22.9748409037613,23.7107730923999,24.7189614300096,25.2753786879671,25.6411909087515,24.8057520303655,26.0413182788816,25.6972104380638,26.1755926613487,25.9075376731227,25.0945463464861,28.8627775748998,29.6712336295665,30.67085396369,31.9189685382122,32.4227084055267,32.0420286274797,32.448419462001,32.9771264507569,34.2882844266682,33.2725048391632,32.2140588755369,32.1646560824619,32.4086247751355,32.9660836453104,34.2527174981591,33.5849621611838,34.8963869131203,34.5365152662788,33.5999016107012,31.7038352045088,32.3350031307077,29.5916766882078,29.234373477264,29.4533379080064,28.7863079035269,26.9905825066219,25.335570939777,26.319375566797,26.9340602815171,24.0408495534085,23.8126293785404,23.6985958383961,23.0087732743656,24.2021736706055,23.7435266515661,23.3553361619522,23.6783541943469,21.2206191316454,20.9845942104727,21.020468757726,20.8795334368409,20.166110375564,19.6210550321753,21.6659634908041,22.9720675812572,22.406450007676,24.6771374112755,25.2411476226376,25.0880161924635,25.3782164821703,23.9811635015743,24.8893087607956],"REFCHMPR-FDS^(SUBARRAY(NOT_NA(NO_REPEAT_F(FG_YIELD(NOW,-10AY,D))),0,1)-SUBARRAY(NOT_NA(NO_REPEAT_F(FG_YIELD(NOW,-10AY,D))),1,1))*100":-25.0,"USDSEK^FG_PRICE_CHANGE(0,-1AM)":0.49698353,"EWI^FG_PRICE_MAVG(0,,,,200)":35.22745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DDR3512M-FDS^FG_PRICE_CHANGE(0,-1AY)":-6.54286181750986,"PLATI-FDS^MAX(FG_PRICE(0,-5AY))":1272.59,"BRENT-FDS^FG_PRICE_CHANGE(0,-1AM)":0.0,"EWC^FG_PRICE_MAVG(0,,,,30)":37.885,"SPY^P_PRICE(0)/P_PRICE_HIGH_PR(0,,,,,,\"PRICE\",\"INTRA\",\"52W\")":0.9608076,"EWC^PERCENT_CHANGE(FMA_EPS(+1,0,,,,\"PORTAGG\",\"MEAN\"),FMA_EPS(+1,-1AM,,,,\"PORTAGG\",\"MEAN\"))":-0.752008348547406,"EWD^SIZE(FG_CONSTITUENTS)":45,"EWG^FMA_COS_DOWN(\"EPS\",\"1M\",+1,0,,,\"PORTAGG\",\"MEANR\")":29.0,"EWJ^FMA_PE(NTMA,0,,,\"PORTAGG\",\"MEANR\")":15.0398202360288,"DBA^FG_TOTAL_RETURNC(0,-1AM)":-1.5241325,"TRYCH10Y-FDS^FG_YIELD(0,,,,\"YTM\")":0.455,"TRYSE10Y-FDS^PCTCHG(FG_YIELD(0,,,,\"YTM\"),FG_YIELD(-3AM,,,,\"YTM\"))":-21.314104,"EWU^FMA_DIV_YLD(NTMA,NOW,NOW,M,\"PORTAGG\",\"MEANR\")":3.86965093805217,"CC_NZ^IMF_IFS_RCPI_Q(0)":null,"USDCHF^FG_PRICE(0)":0.8741,"USDAUD^FG_COMPANY_NAME":"Australian Dollar per U.S. Dollar","EWC^P_PRICE_RETURNS_PR('52W',2,-10AY,0,AM)":[17.422855,22.249817,9.378874,4.0884495,4.7733545,1.0822177,-3.384763,-1.3864279,-6.120205,-2.3891568,-7.8807235,-16.175276,-18.836344,-26.938766,-22.833776,-18.298363,-19.215662,-23.909348,-19.61041,-19.404686,-11.667085,-12.176168,-9.480786,-4.4914007,-0.31605363,10.814297,14.111673,8.945298,13.028693,22.90405,32.571507,23.763752,15.411925,5.0877094,9.309769,11.180282,13.677847,12.299013,15.073109,15.915335,14.546561,15.656078,12.2146015,4.8892856,4.079807,9.5547085,11.223173,8.639013,6.780112,5.491352,2.7198195,-5.335629,-6.0283127,-17.157238,-6.637806,2.8898954,4.117763,3.2831073,-2.5461853,3.2459497,-0.46814084,-0.84872246,0.51944256,11.176753,14.156378,27.563404,12.159813,1.3009429,-24.075228,-14.37223,-4.030162,-7.5274467,-1.5388966,4.932773,-1.0892689,-6.023836,5.1874876,5.5211782,6.648302,21.916748,70.401955,49.994205,52.03048,47.89921,38.592754,32.472454,35.35266,52.561985,23.320316,27.000809,27.413857,16.822899,18.33539,4.8905015,0.9021878,-7.686311,-4.42943,-9.410048,-13.525009,-14.632678,-1.9649446,-12.537366,-5.3178015,-7.167429,-13.114768,-3.0558705,-8.671284,6.471312,4.419875,7.3082805,10.333061,-0.8836806,2.7166486,13.87651,4.5898914,10.971808,14.491725,7.634282,17.781807,7.9954386,9.302675],"EWQ^FG_PRICE_MAVG(0,,,,30)":38.565666,"VWO^P_PRICE(0)/P_PRICE_LOW_PR(0,,,,,,\"PRICE\",\"INTRA\",\"52W\")-1":0.16299558,"EWI^FG_TOTAL_RETURNC(0,-1AM)":-1.1245191,"EWN^FMA_PCT_ABOVE_MAVG(200,0,,,,\"PORTAGG\")":49.0566037735849,"QQQ^PERCENT_CHANGE(FMA_EPS(+1,0,,,,\"PORTAGG\",\"MEAN\"),FMA_EPS(+1,-1AM,,,,\"PORTAGG\",\"MEAN\"))":-0.0482458897959332,"FXI^FMA_COS_DOWN(\"EPS\",\"1M\",+1,0,,,\"PORTAGG\",\"MEANR\")":25.0,"EWG^FG_ROE(0)":9.41806943764502,"TRYCH10Y-FDS^PCTCHG(FG_YIELD(0,,,,\"YTM\"),FG_YIELD(-1AM,,,,\"YTM\"))":-29.237947,"CC_NL^IMF_IFS_RCPI_Q(0)":2.888117,"VGK^FMA_DIV_YLD(NTMA,NOW,NOW,M,\"PORTAGG\",\"MEANR\")":3.52191109143479,"QQQ^FMA_EVAL_EBIT(LTMA,NOW,NOW,M,\"PORTAGG\",\"MEANR\")":24.4150877835161,"EWJ^FG_FCF_YIELD_NTM(0)":3.95100686556934,"USO^FG_TOTAL_RETURNC(0,-1AM)":-6.4385595,"EWI^FMA_PE(NTMA,-10AY,0,AM,\"PORTAGG\",\"MEANR\")":[13.6500259638654,13.8013716688956,13.5154493806152,12.859005925144,12.9367762046839,12.3383387133165,14.004178174042,15.5512236592378,15.9821345487538,15.78845062378,15.5988589626642,15.0572601254523,15.4666177640748,14.0914586258487,13.7711923112095,14.7406954620597,14.9754920118711,14.0570435212574,12.9842808096267,12.994645009678,12.8388132228063,13.4221143217494,13.0363837972069,11.8557083830139,12.2228720933673,12.327830080137,11.7803348217568,11.8736360485351,12.0085604273307,13.5567131574021,12.667026570166,13.1538039067673,13.682327478082,13.3835507872862,13.3073108132948,12.9922537854392,13.5384877737812,13.3394042700422,13.5903687427109,13.7224489992036,13.2668277987846,12.9476628628246,13.2870708447429,12.6102025980028,12.4578319062636,13.0384141087604,11.7420446539254,11.3692943819695,11.5172624788551,10.5885717201615,10.5403998608171,9.81774810197268,9.6810525954439,9.13844380576257,9.89504201309672,10.4911479274243,10.8802479273272,10.9453946443254,9.74880618893185,10.4687891497575,10.5793884403691,10.5133520374046,10.7292830795751,11.1590078572378,11.2325740446506,11.3789048915432,11.240492013789,10.5432842641668,9.4832047495702,13.3841180198839,16.6289952070213,17.4647267429648,16.4093384617975,15.6458830222348,14.6267243554734,13.1441012812624,15.3135493531248,14.7412461357557,13.4783883131916,13.7791945800182,14.0471705125076,13.4412207407004,13.6525597026969,13.4524929835424,12.9775278436631,11.9842937861978,11.5581456791629,11.7932502370981,10.9203286010892,11.069489560574,10.8605652579597,9.61532495669864,9.81421282883604,9.47563261783566,8.80121335408105,7.70345533018875,7.74176238755893,7.40559627682527,7.21126707199346,7.8883196555244,7.90831202177905,7.59438441254583,8.38353825405403,8.61287937028007,8.4771354117954,8.58671493250029,8.37033372018449,8.79260716527943,8.64509274634946,8.48261079696335,8.26959023250955,7.9802880898967,8.64684142677665,8.90130129430784,8.99126512255449,9.34110330597422,9.80583156251822,9.55459083991221,9.70936086481188,9.43045566148109,9.68561787936273],"DDR3512M-FDS^FG_PRICE_CHANGE(0,-6AM)":-6.36816157978735,"BRENT-FDS^FG_PRICE(0)":85.86,"EWC^FG_PRICE(0)":38.05,"VWO^P_PRICE(0)/P_PRICE_HIGH_PR(0,,,,,,\"PRICE\",\"INTRA\",\"52W\")":0.9526518,"EWC^FMA_PCT_ABOVE_MAVG(200,0,,,,\"PORTAGG\")":75.0,"REFAUCASH-FDS^PROPER_NAME(0,,,\"SECURITY\",\"NAME\")":"Australia Target Cash Rate","TRYFR10Y-FDS^FG_YIELD_NAME":"France Benchmark Bond - 10 Year","CC_FR^IMF_IFS_RCPI_Q(0)":2.2093682,"EWN^FG_FCF_YIELD_NTM(0)":4.12736480009455,"EWJ^FMA_DIV_YLD(NTMA,NOW,NOW,M,\"PORTAGG\",\"MEANR\")":2.31215023004139,"DBA^P_PRICE(0)/P_PRICE_HIGH_PR(0,,,USD,,,\"PRICE\",\"INTRA\",\"52W\")":0.87427175,"QQQ^FMA_DIV_YLD(NTMA,NOW,NOW,M,\"PORTAGG\",\"MEANR\")":0.851414417321313,"EWI^PERCENT_CHANGE(FMA_EPS(+1,0,,,,\"PORTAGG\",\"MEAN\"),FMA_EPS(+1,-1AM,,,,\"PORTAGG\",\"MEAN\"))":-1.16160986242208,"EWQ^FMA_COS_DOWN(\"EPS\",\"1M\",+1,0,,,\"PORTAGG\",\"MEANR\")":40.0,"CC_DE^IMF_IFS_RCPI_Q(0)":2.2863681,"EWG^P_PRICE(0)/P_PRICE_HIGH_PR(0,,,,,,\"PRICE\",\"INTRA\",\"52W\")":0.9267883,"EWG^FMA_EVAL_EBITDA(NTMA,0,,,\"PORTAGG\",\"MEANR\")":8.43331312080589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4,12.1997093940908,11.8187115511422,11.9489916743573],"EWA^P_PRICE_RETURNS_PR('52W',2,-10AY,0,AM)":[18.218935,20.751774,-2.0057857,-0.71719885,-4.4161797,-4.656953,-1.3607144,-0.88799596,-7.3352456,-6.2319813,-11.729252,-14.351278,-16.79867,-30.731922,-20.311451,-20.916193,-10.828882,-9.960371,-15.129435,-20.681541,-11.727208,-11.872995,-8.600396,-4.1840973,2.9543996,19.134544,21.586275,11.302912,9.720123,9.94482,25.815952,29.578377,21.861887,18.497776,15.014469,16.96211,15.698826,17.78332,13.532352,18.489384,16.054344,19.05055,17.124008,6.9320917,1.3550639,2.960658,10.915065,8.347929,4.2370796,3.7284255,2.8370023,-4.143733,-4.5717773,-12.024254,-8.83103,0.09881258,4.6405077,2.9942513,2.2782207,5.465448,3.9295197,1.1743426,5.4053307,15.24744,15.106928,22.4123,12.524784,-1.5908062,-28.203846,-22.309727,-9.524268,-10.474181,-8.036107,-0.8334577,-6.335658,-9.928715,5.052912,8.265495,11.079205,29.048645,71.34552,55.437447,45.063366,36.0412,29.80746,28.88857,28.280699,36.907887,7.0204973,8.950353,0.6523371,-1.248604,11.61269,-1.8955946,-3.1271458,-12.843555,-5.6286993,-11.193442,-15.423012,-15.076655,4.698622,-6.4979553,14.150536,1.8449187,-8.732128,-1.3067663,-4.9970684,10.292578,4.563749,6.2711596,11.6234665,4.3309093,0.28856993,13.24848,-1.7233372,8.943474,11.423742,5.4318786,17.20804,12.308418,11.000835],"EWA^FG_ROE(0)":12.4952153538427,"TRYTR7Y-FDS^FG_YIELD(-10AY,0,Y,,\"YTM\")":[7.979133,10.679033,11.110786,11.586128,15.896213,12.034795,12.534946,23.870693,7.323803,21.984322],"CC_JP^FG_COMPANY_NAME":"Japan","USDCHF^FG_COMPANY_NAME":"Swiss Franc per U.S. Dollar","USDNZD^STD(FG_PRICE_CHANGE(0,-3AY,M))":3.47996847402444,"EWD^FMA_PE(NTMA,-10AY,0,AM,\"PORTAGG\",\"MEANR\")":[15.1825336425474,14.7457568698236,14.4493763961582,14.6907340445612,15.6051584247734,15.6107957364202,16.2029143239634,17.3936140410266,16.9888158875635,15.84340237342,16.5287399669058,15.7351006377004,15.9682175913571,14.6030391027339,14.0441893449648,15.4549049078493,15.6520679912042,14.9750159777383,14.4148181847924,15.3815493671203,14.9967251926417,15.2560793560229,14.8753315608947,14.6967790020612,15.1548782287795,15.4726733215774,15.7653590079957,15.8614897618413,16.0645565904209,16.4046723033614,16.382025282421,16.6003595715598,17.1510964012342,17.0766002013445,17.9878389972043,16.4637755011596,16.1570905062733,15.965060274012,16.8113671936394,17.3501144201067,16.3458888812158,16.113894235022,16.6302724178056,16.1371350434613,15.8207495332629,15.8369212130551,15.5701425212651,15.3503417864848,15.6133765833928,15.8653631698662,15.9142664102447,14.3953500385301,14.1492544826452,13.3494752250555,14.216734947416,14.8597644903292,14.8852210135399,15.6901470242924,14.0663539951271,15.1444669273921,15.0067978368082,13.7512240655399,14.9049628675975,15.7537412472901,15.6167541320281,16.0880122737669,16.1009192625618,15.0630381290316,13.9400866941386,17.2131256482661,18.9368594283782,19.3959375591274,18.1484750394544,18.1252247026708,18.2898991622872,15.5955476213829,17.3955964068999,17.9837525904741,18.7115436087003,19.1678118853339,20.2750642492587,18.6933291451288,18.6404297468043,18.5900452463142,18.4424423296399,18.4879702850761,17.8128266714756,18.255411848296,18.8039094618552,18.6078033352797,16.8378107942565,14.7063290408293,15.2776032536875,14.5433017398059,16.0150130656555,14.1175287461339,15.298965136462,13.5498486139129,13.06520295104,13.2204229404569,13.1682289691023,12.6115488420258,14.0250636281282,14.0144717341906,13.803344961689,14.029398836972,13.4230147533144,13.6055048185304,13.310351936608,12.9978133031696,12.9090225088888,12.4734073748227,14.6781321560517,15.7259900145403,15.6483554259479,16.3621203567738,16.3942716371151,16.0043479294402,16.1860377006783,16.0564984249383,16.1140208797994],"PLATI-FDS^FG_PRICE_CHANGE(0,-1AY)":4.59893048128341,"EWQ^FG_PRICE(0)":37.44,"EWI^PERCENT_CHANGE(FMA_EPS(+1,0,,,,\"PORTAGG\",\"MEAN\"),FMA_EPS(+1,-3AM,,,,\"PORTAGG\",\"MEAN\"))":-0.973179989491374,"EWQ^FG_TOTAL_RETURNC(0,-3AM)":-3.9614797,"QQQ^FMA_PCT_ABOVE_MAVG(200,0,,,,\"PORTAGG\")":68.6274509803922,"FXI^FMA_COS_UP(\"EPS\",\"1M\",+1,0,,,\"PORTAGG\",\"MEANR\")":22.0,"EWN^FMA_COS_UP(\"EPS\",\"1M\",+1,0,,,\"PORTAGG\",\"MEANR\")":18.0,"EWC^FG_ROE(0)":10.9493367250714,"REFGBBANK-FDS^FG_YIELD(NOW,,,0)":5.0,"CPALM-FDS^FG_PRICE_CHANGE(0,-6AM)":4.56213948610382,"EWQ^FG_FCF_YIELD_NTM(0)":6.09877059051081,"SPY^FMA_COS_UP(\"EPS\",\"1M\",+1,0,,,\"PORTAGG\",\"MEANR\")":209.0,"EWI^FG_FCF_YIELD_NTM(0)":5.76674013577147,"EWA^FMA_COS_UP(\"EPS\",\"1M\",+1,0,,,\"PORTAGG\",\"MEANR\")":19.0,"SPY^FMA_EVAL_EBIT(LTMA,NOW,NOW,M,\"PORTAGG\",\"MEANR\")":20.5524142424094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89,13.147116166704],"USDNZD^STD(FG_PRICE_CHANGE(0,-1AY,AM))":2.86080758185537,"DDR3512M-FDS^FG_PRICE_CHANGE(0,-3AM)":-6.45126804123711,"COPP-FDS^MAX(FG_PRICE(0,-5AY))":5.119,"EWA^FG_PRICE_MAVG(0,,,,200)":23.7253,"EWQ^FG_TOTAL_RETURNC(0,-1AM)":-2.194357,"EWA^FG_TOTAL_RETURNC(0,-12AM)":11.000835,"EWQ^SIZE(FG_CONSTITUENTS)":62,"EWC^SIZE(FG_CONSTITUENTS)":88,"QQQ^FG_PRICE(0)":459.66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CC_DE^FG_COMPANY_NAME":"Germany","USDJPY^STD(FG_PRICE_CHANGE(0,-3AY,M))":3.28220732526,"SPY^FG_TOTAL_RETURNC(-10AY,0,AM)":[-2.299142,4.264939,-2.7156234,3.7612557,2.0331264,0.44203997,-2.962923,5.6204557,-1.9225419,2.4404526,0.4033804,-1.4444947,1.4457822,-8.897859,0.7174611,8.223593,1.3225555,-2.6462615,-5.013001,2.3031235,4.983413,-0.28474927,1.9091725,0.35526752,3.3437371,0.20742416,0.003194809,-2.44568,4.05668,2.4047017,1.8297315,5.342233,-1.2563586,1.2471318,1.9607902,-0.1565516,2.2828817,0.21024942,1.8700242,2.4917364,2.7068973,1.4191628,5.5160046,-4.929316,-1.3064802,0.69543123,3.2530785,-0.40231347,3.5313964,3.3646703,0.9443164,-6.2454996,0.78241825,-8.793616,8.058584,3.8361907,2.3760438,2.0921588,-5.6680737,7.9302907,-0.27734637,-0.8106053,0.73524714,4.3991327,2.6687026,2.9033542,-0.040382147,-7.9165754,-16.403793,14.885235,8.0483675,2.076435,5.1526427,7.987261,-4.025775,-3.115356,12.090397,2.5845885,0.6285429,3.5483599,3.1686187,4.16615,0.5679488,2.9040217,1.8772006,3.0307174,-3.5757065,5.941415,-2.073735,5.8046937,-4.6340704,-5.071199,5.658829,-9.034711,-0.584954,-6.520385,7.7457786,-3.4934342,-9.5255375,7.6544046,5.9450746,-5.6881847,7.4183464,-3.9094448,4.111862,1.4949083,1.5186191,5.4792523,2.9778004,-1.1588693,-4.9166737,-1.1275411,8.621586,3.9512873,2.9223084,4.8344135,2.1338582,-4.176873,5.4002166,3.7415385,-0.427258],"EWN^FMA_PE(NTMA,-10AY,0,AM,\"PORTAGG\",\"MEANR\")":[13.8612519222586,14.4572310569034,14.5183297068243,14.6029947441027,15.0756520747299,14.8474962949318,15.7673862704467,16.9244555464129,17.158007894023,16.8883612821547,16.9503402901938,16.5463519996948,16.8091333988136,14.6791923716135,14.2224090985233,15.8345823022642,16.3928469392427,15.3744123294909,15.0629184165664,15.2424495494411,15.1497446213715,14.946129809202,15.1136626537828,14.211112750831,14.6944898594773,15.0068261597007,14.9630416582273,14.5673891984479,14.3575768664828,15.0459531872303,14.9713606957398,15.7181675795303,16.086544809033,16.3458029265151,16.3567576150107,15.6412271612394,16.0302534437132,15.6909424418986,16.0204057170152,16.3588238205549,15.7640513277946,15.907886313488,16.2171815168603,15.4442060212217,15.3810444251276,15.659260052819,15.8200460711922,15.5222598755721,15.9701484964169,15.4862825689879,15.0231429095989,14.1652112522535,14.122416896252,13.0874773100853,14.1490824801262,14.979078434099,15.3354104883497,15.8049038339678,14.8405745987493,15.654701004396,15.8373428241743,15.411123426451,16.154735837528,16.3425801739007,16.7305213072439,17.007742429646,16.8189456167575,15.6522151155051,14.0425419905498,17.2144600259616,18.5871273373751,19.5233787220068,19.4070701657064,19.7723001853184,19.4228093834063,18.5871180103249,20.4159779139742,20.5781242257232,21.2819624622957,21.388505890049,22.7386615449256,21.8694192303021,21.3002708611311,21.2418654872644,21.4580485401318,22.0164183482002,20.2604898835083,21.2181100237521,20.4614652163441,20.6156105422855,18.9392248725958,17.3469503322023,18.3784351782723,17.1899384650319,17.1898699902436,15.8399377332913,17.9676133831939,15.6689388797343,14.3557537296509,15.3608831812473,16.4769659931692,15.3296391927015,17.1352736331275,16.42604630493,16.5539690403413,15.7953850703818,15.6090835620832,15.8423339530839,16.0909290167229,14.7321925748935,13.6306146163874,13.3931435141327,14.6385634864013,15.1008577463554,15.7137155650965,16.0014657078102,16.349763204004,15.5782376316087,16.0789608252623,16.2004373430057,15.3412227399393],"DDR3512M-FDS^FG_PRICE_CHANGE(0,-1AM)":-2.76008705980028,"PLATI-FDS^FG_PRICE_CHANGE(0,-6AM)":7.23684210526316,"SPY^FG_PRICE_MAVG(0,,,,200)":498.9899,"REFFFUND-FDS^PROPER_NAME(0,,,\"SECURITY\",\"NAME\")":"US Federal Funds Target Rate","QQQ^FMA_PE(NTMA,0,,,\"PORTAGG\",\"MEANR\")":26.0955667512413,"CC_JP^IMF_IFS_RCPI_Q(0)":null,"REFGBBANK-FDS^PROPER_NAME(0,,,\"SECURITY\",\"NAME\")":"UK Bank Rate","USDJPY^STD(FG_PRICE_CHANGE(0,-1AY,AM))":3.31680610435094,"QQQ^FG_TOTAL_RETURNC(-10AY,0,AM)":[-0.2843976,5.3977013,-2.3439407,4.310262,3.362918,-1.1231303,-2.082324,7.220578,-2.8689086,3.8077116,1.256299,-2.0380378,3.734243,-9.736485,1.407516,10.868716,1.6147494,-2.5628269,-6.6601095,1.3217092,4.6286583,-4.204422,4.379487,-1.7934501,7.1798563,0.7769346,1.9508839,-2.1984518,-0.5511999,2.9112458,5.8659673,4.791522,0.92482567,3.6410332,3.3819199,-2.6952684,4.301071,1.6996384,-0.15810728,4.572022,1.5713334,1.0313988,7.832575,-2.071929,-2.4835646,1.6548991,6.118691,-0.41799545,3.1867146,5.380535,-0.07830858,-7.579094,-1.563412,-8.654338,8.550501,4.1445255,4.576361,3.784883,-7.92886,9.041679,0.4702568,-1.4094114,0.094759464,6.1942577,3.132701,3.885603,3.0384302,-6.0574236,-11.22551,16.69135,10.021615,7.203591,6.1080337,12.840962,-5.7549953,-4.559785,12.651264,3.575468,2.766633,0.36287308,0.42710304,4.1346908,-1.529628,6.657815,2.820313,4.3914676,-5.253124,7.5656652,-0.080013275,2.9044032,-8.126182,-6.574196,6.093383,-13.430983,-2.3144424,-7.627654,11.746347,-5.033779,-10.575753,2.9372096,6.764579,-9.121961,13.008869,-3.230095,10.379577,0.3926158,9.255409,5.090022,3.619182,-1.3584495,-4.9795685,-0.3656447,9.239138,5.284989,3.0181766,5.624819,-0.017225742,-5.265766,6.924939,7.0964336,-4.619026],"SPY^FG_PRICE_MAVG(0,,,,60)":540.282,"EWA^P_PRICE(0)/P_PRICE_LOW_PR(0,,,,,,\"PRICE\",\"INTRA\",\"52W\")-1":0.1940372,"EWC^FMA_COS_DOWN(\"EPS\",\"1M\",+1,0,,,\"PORTAGG\",\"MEANR\")":34.0,"REFNZOCR-FDS^FG_YIELD(NOW,,,0)":5.5,"TRYUS10Y-FDS^FG_YIELD_NAME":"US Benchmark Bond - 10 Year","CC_GB^IMF_IFS_RCPI_Q(0)":null,"EWN^FMA_PE(NTMA,0,,,\"PORTAGG\",\"MEANR\")":15.3412227399393,"QQQ^FMA_PE(LTM,0,,,\"PORTAGG\",\"MEANR\")":34.8219608535861,"EWA^FMA_DIV_YLD(NTMA,NOW,NOW,M,\"PORTAGG\",\"MEANR\")":3.83874754053863,"VWO^FG_TOTAL_RETURNC(0,-1AM)":-0.6839931,"VGK^JULIAN(FMA_DIV_YLD(NTMA,NOW,NOW,M,\"PORTAGG\",\"MEANR\").DATES)":45471,"QQQ^JULIAN(FMA_DIV_YLD(NTMA,NOW,NOW,M,\"PORTAGG\",\"MEANR\").DATES)":45504,"EWJ^FMA_PE(LTM,0,,,\"PORTAGG\",\"MEANR\")":16.6409094356515,"QQQ^FMA_RBICS_REV_CURRENT(30, LOC, \"PORTAGG\")":0.753235479992886,"EWJ^JULIAN(FMA_DIV_YLD(NTMA,NOW,NOW,M,\"PORTAGG\",\"MEANR\").DATES)":45502,"EWA^FMA_PE(NTMA,-10AY,0,AM,\"PORTAGG\",\"MEANR\")":[14.8204287429637,14.8837061335486,13.955948541859,14.6171477501576,13.6225151931944,14.5931855361321,15.2362716214905,16.3202924327073,16.1744051216899,16.2534079600681,15.7521685962513,15.2648789160827,15.6963684051369,14.1788704331145,14.4841162629616,15.0311255121562,15.2822520086963,15.7577891400844,15.380540728003,15.2168801140055,15.4658529260418,16.1850679988962,16.3231242313008,15.999973819414,16.8597668262974,16.3645486578706,16.2714200349259,15.7124878274619,15.9092042968328,15.7804147186182,15.6510894924739,15.7063122255334,15.8592587383625,16.0425707137031,15.2269808529645,15.4265713988627,15.8372423211236,15.6384385009527,15.4254496003211,15.8497308142667,15.8621452188413,16.0258597214481,15.8673382937729,15.422031430463,14.7277990890281,15.2318540726896,15.0356792812731,15.4879372293169,15.6275612660485,15.6920441685479,15.1910963159558,14.367653808729,14.057780519792,13.9599013149694,14.6180898442541,15.4389791308334,15.3617798327976,15.5011668036274,15.5061517606689,16.2091093433349,16.4210275343788,15.9437412283025,16.7635581926263,16.908821260171,17.3687962440651,17.1775797198552,17.8997930548609,16.474077348146,14.5926014163013,16.6199755158604,18.8508555202161,18.9167723184463,19.0209536693887,19.1912067417959,18.1771577257187,17.7619109934881,19.6652027768605,18.9693708470683,18.5838490790294,18.3177926077925,17.6611665393569,17.9952989060456,18.015948492338,17.2239919994022,16.7884811693106,17.3651907229276,16.7414712683616,17.5555794330538,16.9593745702021,17.4970792673071,15.6082935604984,15.5647993379779,16.1527514548227,15.0445005468484,14.2739948813691,12.4724347323239,13.9943265734729,13.5691282557353,12.5463699651518,13.5963465076197,14.7952983059235,14.1727504256807,15.0357269506426,14.4501995011096,14.3117517505269,14.6573201466997,14.2552286364496,14.9313123571497,15.7029312571826,15.5104648620548,14.9055833664576,14.4188500798774,15.3253993852093,16.4578810774905,16.3724250598506,16.6808928800685,16.7326577932529,16.1777241479265,16.5526929776329,16.8136582350751,17.2480581309438],"EWU^FMA_RBICS_REV_CURRENT(30, LOC, \"PORTAGG\")":19.404935114088,"VWO^SIZE(FG_CONSTITUENTS)":4767,"TRYAU10Y-FDS^PCTCHG(FG_YIELD(0,,,,\"YTM\"),FG_YIELD(-1AM,,,,\"YTM\"))":-6.7305517,"CC_CA^IMF_IFS_RCPI_Q(0)":null,"UUP^P_PRICE(0)/P_PRICE_HIGH_PR(0,,,USD,,,\"PRICE\",\"INTRA\",\"52W\")":0.95673794,"ENZL^FMA_ROE(NTMA,-20AY,NOW,FY,\"PORTAGG\",\"MEANR\")":[null,null,null,null,null,null,10.8532267295878,10.9048734413645,11.45876758647,11.0832589152415,9.94517431688139,9.90242652659034,9.79986582903071,9.84792896856594,9.52177142619013,9.00388708752031,7.5322638919869,6.44400181202057,7.7689690341127,6.57910753918315],"TRYTW10Y-FDS^FG_YIELD(-10AY,0,Y,,\"YTM\")":[1.6015,1.015,1.2037,0.9478,0.8648,0.672,0.315,0.7413,1.2812,1.211]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EWJ^FMA_PE(NTMA,-10AY,0,AM,\"PORTAGG\",\"MEANR\")":[13.8186266306269,13.5853551672164,14.0037083848337,13.9869905302651,14.5701753839163,14.2976940656876,14.0144152447374,15.1015622612669,15.0649545109149,15.6616916730624,16.3510098822949,15.4448121585912,15.5549826524311,13.6441972916762,13.2591916261833,14.3851291143222,14.7711034545788,14.0592028995939,13.323653817854,12.3015127707037,12.3706974096579,12.8681650989449,13.6170175000058,12.6818555773172,13.3922993188955,13.5949036767571,13.3536745368456,13.842141569609,14.6735182133348,14.666066308777,14.4330201562073,14.2886708905287,13.7674669359031,13.924343181177,14.366157876494,14.3027048416095,14.2536317446626,13.7297054110204,14.0118512503269,14.7493862101983,14.7504364366261,14.7172858599221,14.9197210054985,13.0502538838804,12.6801796785625,13.2132149025556,12.9500813214387,12.7818554015054,13.030670362463,12.6994134229768,13.3312564007342,11.9128103240253,12.2456849881368,11.1043383882119,11.9182586991163,12.572848675728,12.6441539638234,12.7456676537944,12.1876913137614,12.9832117397877,12.8708386551993,12.3809222220557,13.3170996865814,13.8323194712722,14.2181336370353,14.5324935785119,14.2143773006561,12.9860798644863,11.8490628097768,13.8015097793768,16.5831804065256,17.4170401027676,17.0912511848955,18.1016751910541,18.0754288785973,17.118485615195,18.5865108446457,18.3692008225545,18.2421075945043,17.9538238552302,17.5855019315093,16.6871023988684,16.4494440791969,16.1847311242253,15.5393408717968,15.4817130004932,15.1591459762825,15.4692956078939,14.4276781040047,14.5056304866125,13.6185862687538,13.2023259118016,13.2659039327655,12.82540765537,12.9813462370993,12.1577786876913,12.8777035262305,12.6574474475612,11.8310228623086,12.566676979139,12.9080745770954,12.2038896558743,12.8652185385497,13.1155999099582,13.1586255534666,13.6151657328043,14.0961659755313,14.8859640232373,14.8934153522771,14.6649066233104,14.3534068686435,14.0696298448803,14.3052634214014,14.0456219856881,14.9467150374184,15.8135723186191,15.5937784303328,15.4138845295074,15.5762300076337,15.6683594386812,15.0398202360288],"DDR3512M-FDS^FG_PRICE_MAVG(0,,,,30)":0.92674845,"PLATI-FDS^FG_PRICE_CHANGE(0,-3AM)":2.73109243697478,"COPP-FDS^FG_PRICE_CHANGE(0,-1AY)":4.44330294079875,"EWA^FG_PRICE_MAVG(0,,,,30)":24.786,"EWI^FMA_PCT_ABOVE_MAVG(200,0,,,,\"PORTAGG\")":52.0,"EWQ^PERCENT_CHANGE(FMA_EPS(+1,0,,,,\"PORTAGG\",\"MEAN\"),FMA_EPS(+1,-1AM,,,,\"PORTAGG\",\"MEAN\"))":-1.01124248631536,"EWU^P_PRICE(0)/P_PRICE_LOW_PR(0,,,,,,\"PRICE\",\"INTRA\",\"52W\")-1":0.18314528,"EWJ^PERCENT_CHANGE(FMA_EPS(+1,0,,,,\"PORTAGG\",\"MEAN\"),FMA_EPS(+1,-1AM,,,,\"PORTAGG\",\"MEAN\"))":5.15312271522793,"SPY^FMA_COS_DOWN(\"EPS\",\"1M\",+1,0,,,\"PORTAGG\",\"MEANR\")":207.0,"EWQ^FMA_COS_UP(\"EPS\",\"1M\",+1,0,,,\"PORTAGG\",\"MEANR\")":15.0,"EWI^FMA_RBICS_REV_CURRENT(30, LOC, \"PORTAGG\")":37.0297073578114,"ENZL^FG_ROE(0)":4.86605863523276,"TRYDE10Y-FDS^PCTCHG(FG_YIELD(0,,,,\"YTM\"),FG_YIELD(-3AM,,,,\"YTM\"))":-12.896977,"DBA^FG_TOTAL_RETURNC(0,-3AM)":-2.4328828,"TRYDE10Y-FDS^PCTCHG(FG_YIELD(0,,,,\"YTM\"),FG_YIELD(-1AM,,,,\"YTM\"))":-13.166017,"EWI^FMA_EVAL_EBIT(LTMA,NOW,NOW,M,\"PORTAGG\",\"MEANR\")":11.0234960739959,"EWU^FG_FCF_YIELD_NTM(0)":6.20086743533828,"CC_AU^FG_COMPANY_NAME":"Australia","EWL^FG_TOTAL_RETURNC(-10AY,0,AM)":[-5.6391,3.0646682,-4.2818966,0.559175,2.6258945,-4.605663,0.1893282,4.944885,0.8403301,4.285717,0.42808056,-4.245466,3.6159158,-8.856302,-1.5765786,3.8574696,-2.2033393,-0.096553564,-6.1855674,-0.30906796,1.8601418,3.5170794,0.22867918,-0.24908781,0.87219477,0.6318569,0.95835924,-4.746312,-3.1615138,4.607451,4.3448806,1.7892003,2.2051692,4.3151975,5.125892,-0.07533431,0.990963,-1.1255503,2.2475243,-1.9982815,2.330315,1.2809634,4.7498584,-7.9688787,0.2040863,-1.3092816,-0.6191015,-0.92853904,6.1694264,0.5203843,-0.115042925,-3.8583338,-0.5390823,-5.0888243,5.298221,4.9111247,2.2400856,1.3483286,-0.33259988,6.283617,-0.48063993,0.53663254,-0.5871415,3.9194584,0.49083233,4.4730067,0.24607182,-7.020128,-8.922916,5.478263,6.622696,3.1190157,2.9464006,3.1828284,-1.0282159,-5.943465,11.045467,3.4081578,-0.51476955,-1.5298069,2.6959062,2.9810905,5.9624076,1.2838721,2.9930353,1.4729261,-7.8462124,7.492554,-3.0296981,7.678163,-5.1393867,-5.1979246,4.407418,-6.2815547,-3.8793147,-4.869169,4.54545,-7.7294707,-6.6317616,4.2456627,11.424171,-3.6091924,8.44264,-4.596436,4.4721007,6.1120987,-2.9320002,1.2154818,2.1856785,-2.7318954,-5.138254,-2.5935292,7.9877496,5.324018,-0.84939003,-1.6088605,0.7220268,-4.5962453,8.640885,-0.062185526,4.1147113],"EWG^FMA_PE(NTMA,-10AY,0,AM,\"PORTAGG\",\"MEANR\")":[12.3347824705966,12.5684138824964,12.3750566166674,12.2997736717441,13.1292981071664,12.8434669890816,13.9831599569778,14.8213749994138,15.4770747455457,14.5569971956958,14.1231698657779,13.6364668381086,13.7553346204986,12.1598747927558,11.6915773352854,13.3647461553588,14.0262353267374,13.3509645902165,12.3246399820035,12.4363342241899,12.5186064134994,12.7755065394228,12.6237239876012,12.0769572673331,12.7323195848768,12.8741092059004,12.875623321803,12.7482599579122,12.6638298847164,13.6385817263297,13.700727661715,13.9448709197979,14.0644180489508,13.961337440784,13.7756013569756,13.2857038333978,13.178051623269,13.0136614052677,13.6674893399511,14.2753490343753,13.7322685017056,13.7384136589018,13.6731725946708,12.8747004762825,12.7480705914781,13.1919646729993,13.1606055802944,12.7246507591889,13.1426179512201,12.8487783933063,12.7629835604686,11.7419156985559,11.5262510132241,10.9212601040765,11.7351785206771,12.2225715604446,12.2960618722553,12.9772311900107,12.1109148274646,12.8694261709758,12.9191006959106,12.5139450991495,12.8910676247318,13.651618672883,14.0872778464288,14.0793923786763,13.8458279539415,12.6907237186621,11.7096077329815,15.1729980028329,16.8760118230798,17.710278978973,17.4132627231127,17.7610998453495,16.8419299868708,14.5512280266285,16.0955124289035,16.0451618403573,15.5903612122482,15.5315610683564,16.234769821099,15.1918256612677,14.9277535171616,14.7333940940712,14.2274549215954,14.1984006180409,13.4514953620421,13.7723918577742,13.1474692977992,13.3826184607391,13.0196217440631,11.4071350504444,11.6374919242097,11.1607123813548,10.9740057777413,9.70409026672145,10.2849209153805,9.38914477094113,8.99432918296975,9.94591127252155,10.8348647964217,10.4616660277966,11.5453692871497,11.4691738156534,11.4300989069475,11.35493092995,10.7257680421829,10.8633793984956,10.892948648703,10.6467479976154,10.3206036467796,9.96204728139695,11.0287432158153,11.167694094965,11.4990933991693,12.0533084269054,12.3840281564391,11.8931099218866,11.8560974770809,11.7614814026525,11.7568586327834],"PLATI-FDS^FG_PRICE_CHANGE(0,-1AM)":-1.11223458038423,"SPY^FG_PRICE_MAVG(0,,,,30)":550.0863,"EWA^P_PRICE(0)/P_PRICE_HIGH_PR(0,,,,,,\"PRICE\",\"INTRA\",\"52W\")":0.94800156,"EWC^FMA_COS_UP(\"EPS\",\"1M\",+1,0,,,\"PORTAGG\",\"MEANR\")":38.0,"SPY^FMA_RBICS_REV_CURRENT(30, LOC, \"PORTAGG\")":11.9812912809187,"REFGBBANK-FDS^(SUBARRAY(NOT_NA(NO_REPEAT_F(FG_YIELD(NOW,-10AY,D))),0,1)-SUBARRAY(NOT_NA(NO_REPEAT_F(FG_YIELD(NOW,-10AY,D))),1,1))*100":-25.0,"REFNZOCR-FDS^PROPER_NAME(0,,,\"SECURITY\",\"NAME\")":"New Zealand Official Cash Rate","TRYGB10Y-FDS^FG_YIELD(0,,,,\"YTM\")":3.873,"CC_CH^IMF_IFS_RCPI_Q(0)":1.3619826,"EWN^FMA_PE(LTM,0,,,\"PORTAGG\",\"MEANR\")":20.9783754970629,"EWU^FMA_EVAL_EBIT(LTMA,NOW,NOW,M,\"PORTAGG\",\"MEANR\")":10.6681977640495,"EWA^FMA_PE(NTMA,0,,,\"PORTAGG\",\"MEANR\")":17.2480581309438,"EWA^JULIAN(FMA_ROE(NTMA,-20AY,NOW,FY,\"PORTAGG\",\"MEANR\").DATES)":[38352,38716,39080,39447,39813,40178,40543,40907,41274,41639,42004,42369,42734,43098,43465,43830,44196,44561,44925,45289],"USDEUR^STD(FG_PRICE_CHANGE(0,-3AY,M))":2.14381117647125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0688086,1.85109750447789,2.46081748750493,2.8026651908005,2.92070467991761],"WL-FDS^FG_PRICE_CHANGE(0,-3AM)":-7.88316030265704,"COPP-FDS^FG_PRICE_CHANGE(0,-6AM)":5.55483452303698,"EWA^FG_PRICE(0)":24.43,"VWO^PERCENT_CHANGE(FMA_EPS(+1,0,,,,\"PORTAGG\",\"MEAN\"),FMA_EPS(+1,-3AM,,,,\"PORTAGG\",\"MEAN\"))":7.54499129488478,"EWD^FG_TOTAL_RETURNC(0,-12AM)":15.663338,"EWQ^FMA_PCT_ABOVE_MAVG(200,0,,,,\"PORTAGG\")":43.5483870967742,"EWU^P_PRICE(0)/P_PRICE_HIGH_PR(0,,,,,,\"PRICE\",\"INTRA\",\"52W\")":0.96994424,"EWG^FG_TOTAL_RETURNC(0,-12AM)":7.6132774,"EWU^FG_PRICE_MAVG(0,,,,60)":35.742,"EWA^FMA_COS_DOWN(\"EPS\",\"1M\",+1,0,,,\"PORTAGG\",\"MEANR\")":33.0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863143369802],"TRYZA10Y-FDS^JULIAN(FG_YIELD(-10AY,0,CY,,\"YTM\").DATES)":[42004,42369,42734,43098,43465,43830,44196,44561,44925,45289],"CC_NZ^FG_COMPANY_NAME":"New Zealand","USDEUR^FG_PRICE_CHANGE(0,-3AM)":-1.009953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415451,16.6617703289926,22.2767073851685,22.9687104615331,24.3449867619937],"COPP-FDS^FG_PRICE_CHANGE(0,-3AM)":-10.675453047776,"EWU^FG_PRICE_MAVG(0,,,,200)":33.6614,"ENZL^FG_PRICE_MAVG(0,,,,200)":45.567554,"VWO^PERCENT_CHANGE(FMA_EPS(+1,0,,,,\"PORTAGG\",\"MEAN\"),FMA_EPS(+1,-1AM,,,,\"PORTAGG\",\"MEAN\"))":0.0,"EWD^P_PRICE(0)/P_PRICE_LOW_PR(0,,,,,,\"PRICE\",\"INTRA\",\"52W\")-1":0.28010428,"EWU^FG_TOTAL_RETURNC(0,-6AM)":10.916257,"EWG^P_PRICE(0)/P_PRICE_LOW_PR(0,,,,,,\"PRICE\",\"INTRA\",\"52W\")-1":0.22849631,"TRYCA10Y-FDS^PCTCHG(FG_YIELD(0,,,,\"YTM\"),FG_YIELD(-3AM,,,,\"YTM\"))":-17.114414,"EWI^FMA_EVAL_EBITDA(NTMA,0,,,\"PORTAGG\",\"MEANR\")":6.79371522825259,"EWQ^FMA_EVAL_EBITDA(NTMA,0,,,\"PORTAGG\",\"MEANR\")":8.87002311503432,"EWG^FMA_EVAL_EBIT(LTMA,NOW,NOW,M,\"PORTAGG\",\"MEANR\")":13.52752550704,"QQQ^P_PRICE(0)/P_PRICE_HIGH_PR(0,,,USD,,,\"PRICE\",\"INTRA\",\"52W\")":0.91289324,"USDITL^STD(FG_PRICE_CHANGE(0,-3AY,M))":2.14381118993651,"TRYBR10Y-FDS^FG_YIELD(-10AY,0,Y,,\"YTM\")":[12.319731,15.989595,11.062725,9.887577,8.936093,6.883678,6.961219,10.970291,12.900059,10.455909],"TRYVN10Y-FDS^FG_YIELD(-10AY,0,Y,,\"YTM\")":[7.3,6.277413,7.1117578,5.6717234,4.738006,3.5404546,2.4877946,2.059403,4.687226,2.9473283],"CAGDPY@IT^EE_ACTUAL_ANNUAL(MED,0)":0.464184965048982,"USDITL^STD(FG_PRICE_CHANGE(0,-1AY,AM))":1.52471443024076,"USDEUR^FG_PRICE_CHANGE(0,-1AM)":-0.5837381,"EWC^FG_TOTAL_RETURNC(-10AY,0,AM)":[-1.6064227,3.1711102,-7.3341427,-1.7405629,-0.2506733,-1.965034,-8.385306,5.975795,-2.569598,6.7399263,-4.9759746,-3.3424914,-3.8027108,-8.023482,-2.1276593,3.478253,-0.8403301,-7.6610146,-3.2093048,6.247008,6.7842603,7.581532,-3.385824,1.98524,0.40273666,2.2462845,0.7846236,-1.206702,2.8762817,1.1538982,3.6328912,-0.81181526,0.0,-2.4553537,0.49580336,2.3935556,3.998506,1.0061145,2.952683,-0.17277598,1.6614795,2.2118092,0.47234297,-7.286769,-0.18109679,2.0682096,2.0263076,0.12668371,2.1045208,-1.0649323,1.111114,-8.001375,-0.5599141,-8.554143,13.230383,2.1747112,1.010108,1.2500048,-3.5978854,5.9300423,-1.5684962,-0.17704964,1.2061,1.7525434,2.0668268,2.224052,-0.73602796,-7.010448,-24.64661,14.189506,8.045494,2.0697951,5.3626537,5.8220387,-4.6020746,-3.9898455,15.035892,2.548349,0.3242612,6.3025117,5.3207636,2.8002381,7.0766687,-0.7038474,-0.79723597,0.66970587,-2.5279403,8.2172985,-7.013112,5.6088924,0.650537,-2.5336087,6.684351,-7.8816533,1.8893361,-9.155643,2.702701,-4.5766535,-7.793766,7.8023434,6.7852855,-6.221628,9.47144,-4.437619,-0.17523766,2.8086543,-4.012519,4.7865987,1.8005013,-1.9371092,-4.2084217,-4.154211,10.664177,4.761255,-0.21810532,1.3934493,2.9911041,-3.349036,3.573358,-2.5622904,3.0327559],"CPALM-FDS^FG_PRICE_CHANGE(0,-3AM)":3.26255825996893,"EWU^FG_PRICE_MAVG(0,,,,30)":35.489334,"VWO^FMA_PCT_ABOVE_MAVG(200,0,,,,\"PORTAGG\")":40.2759810263044,"EWD^PERCENT_CHANGE(FMA_EPS(+1,0,,,,\"PORTAGG\",\"MEAN\"),FMA_EPS(+1,-3AM,,,,\"PORTAGG\",\"MEAN\"))":-0.643340371068899,"EWU^FG_TOTAL_RETURNC(0,-3AM)":5.1123023,"URTH^FMA_COS_UP(\"EPS\",\"1M\",+1,0,,,\"PORTAGG\",\"MEANR\")":567.0,"EWQ^FMA_DIV_YLD(NTMA,NOW,NOW,M,\"PORTAGG\",\"MEANR\")":3.40237667824497,"COPP-FDS^FG_PRICE_MAVG(0,,,,30)":4.36425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2233795695,2.03507562384137,2.71427224340632,3.12760121442787,3.00269886912718],"PASP-FDS^MAX(FG_PRICE(0,-5AY))":3158.12,"CPALM-FDS^FG_PRICE_CHANGE(0,-1AM)":-0.894632206759438,"EWD^PERCENT_CHANGE(FMA_EPS(+1,0,,,,\"PORTAGG\",\"MEAN\"),FMA_EPS(+1,-1AM,,,,\"PORTAGG\",\"MEAN\"))":-4.1310846248292,"UUP^FG_TOTAL_RETURNC(0,-1AM)":-0.96087456,"PASP-FDS^FG_PRICE_CHANGE(0,-6AM)":-3.10880829015544,"TRYUS10Y-FDS^FG_YIELD(-10AY,0,Y,,\"YTM\")":[2.1881,2.2961,2.4752,2.4325,2.6836,1.9185,0.9174,1.5119,3.8776,3.8791],"CAGDPY@SE^EE_ACTUAL_ANNUAL(MED,+1)":6.0,"EWA^FG_TOTAL_RETURNC(-10AY,0,AM)":[0.6476164,2.8009057,-11.708397,6.0467124,-8.454579,-1.6735315,-1.1276484,8.029199,-3.2939196,2.4017572,-4.6055436,-2.658856,-1.5992463,-14.961756,1.5739083,4.703927,3.752637,-0.7158458,-6.803793,0.9620786,7.623327,3.802085,-2.5589585,2.0445228,5.731821,-1.5972912,2.803731,-3.3492744,2.2772193,0.53693056,5.5363417,3.9812684,1.8468499,0.30959845,-5.423278,3.2945633,5.0737977,0.17558336,-1.6652048,1.6488314,0.17536879,3.897214,3.0642986,-5.0669966,-2.8672218,1.2715697,1.8834114,1.4623046,0.5307317,-1.0558724,-1.7785668,-5.2512465,-0.6211221,-3.8801312,6.8051934,4.2315245,1.5398979,-0.32169223,0.50714016,5.3194284,-0.93333125,-2.7366579,1.3376355,3.595817,0.30755997,1.1503577,-1.678443,-9.613651,-25.397617,7.8614235,17.04756,4.213655,2.3124456,4.3194413,-4.2850313,-0.5533159,17.197777,4.2436004,0.8768201,5.0082803,-0.9460032,2.984476,3.7867188,-2.2678673,-0.46349764,1.590991,-4.7364416,6.1347127,-8.38685,6.123388,-6.806284,3.0250669,11.9547,-7.9055843,0.73230267,-12.070465,7.776189,-4.399472,-9.710073,7.084608,12.946213,-4.576671,13.000452,-8.081216,-0.649631,0.5666971,-3.03424,2.7100205,1.552105,-2.8384268,-3.3258438,-1.8131077,8.570075,8.336174,-2.4650812,1.895535,1.6122341,-4.8413334,5.386913,0.6664872,0.36976337],"EWI^FMA_PE(LTMA,-10AY,0,AM,\"PORTAGG\",\"MEANR\")":[17.014809151495,17.5675207028686,17.5023512918267,17.2201366552846,18.7293684169754,18.2391023727132,23.6420497500349,45.3660681485857,42.3833309241437,39.584429081175,36.6675318136755,33.6911100040316,31.3328382271907,27.5487741199808,24.7803511327921,23.3228676094371,21.328413188851,17.9614432089949,15.0990855483384,15.3973277849584,15.206613016826,15.2931220355081,15.08027884094,14.4259968433632,14.6083330754516,14.9367940220877,14.6807457855707,14.6935099549462,14.486950005867,27.6594648643477,20.0356135511475,85.7919855682634,78.8542286422471,71.5238962059514,64.2642734956884,57.3506552325927,50.2702611366027,42.9328744031754,36.6466347019993,29.292520969465,22.2411344838242,15.5073974754213,15.6632217136932,14.2257603724861,14.0836991602724,14.1805086823334,13.5979394796518,13.2895626234646,13.2164649931545,12.4458594415345,12.255363346233,11.4855890332567,11.2217000747596,10.387179484885,11.0367709734709,11.2968756302449,11.3433339960844,11.3594348818077,10.836667034931,11.1105671517553,11.1740315265161,11.1152851854124,11.2741508581476,11.7720322730905,11.9159892515684,12.1127684771213,11.9865593742223,11.3567081312941,11.0609097792116,12.6078208976612,14.8412276477858,16.6353338048154,17.0026583394091,17.6924939390162,18.1357577635708,17.9766294783645,22.5397182494438,23.3237130000973,20.3854180878541,20.3076791842257,19.7895671723476,19.1070181825205,18.5893748541681,18.0033254536733,17.2330261415573,15.6670512740999,14.6199042510871,14.1715729729663,12.5331778975028,12.0674553868396,12.0078746166927,10.6062443854233,10.582352330359,10.4148019498813,9.99902003246913,9.32052182494765,8.98535307355358,8.35091106110268,8.02900297750191,8.12583038099301,7.89780831065856,7.3748312726829,8.13456567106909,8.29019053159721,8.29933443405496,8.38449808298846,8.33364259019578,8.59929106788544,8.47287982801503,8.38806422040202,8.25238875038986,8.0377595252518,8.63230951448981,8.85440833166031,9.0722561082594,9.36063616388658,9.48694018807653,9.45973716798038,9.57659329628482,9.49725712027458,9.70864244292806],"EWU^FG_PRICE(0)":35.66,"VGK^FG_TOTAL_RETURNC(0,-12AM)":10.28248,"EWD^FMA_PCT_ABOVE_MAVG(200,0,,,,\"PORTAGG\")":70.4545454545455,"EWU^FG_TOTAL_RETURNC(0,-1AM)":2.4124026,"EWG^FG_TOTAL_RETURNC(0,-6AM)":5.419016,"QQQ^SIZE(FG_CONSTITUENTS)":102,"TRYNZ10Y-FDS^PCTCHG(FG_YIELD(0,,,,\"YTM\"),FG_YIELD(-3AM,,,,\"YTM\"))":-13.207437,"EWI^FMA_DIV_YLD(NTMA,NOW,NOW,M,\"PORTAGG\",\"MEANR\")":5.31614445750407,"EWQ^FMA_PE(LTM,0,,,\"PORTAGG\",\"MEANR\")":15.5242137844171,"EWG^FG_FCF_YIELD_NTM(0)":5.89544628556398,"ENZL^FG_FCF_YIELD_NTM(0)":0.504609119641075,"UUP^FG_TOTAL_RETURNC(0,-6AM)":4.2253494,"TIOS-FDS^FG_PRICE_CHANGE(0,-6AM)":-22.4918971885128,"EWL^FG_TOTAL_RETURNC(0,-12AM)":8.324778,"EWA^PERCENT_CHANGE(FMA_EPS(+1,0,,,,\"PORTAGG\",\"MEAN\"),FMA_EPS(+1,-3AM,,,,\"PORTAGG\",\"MEAN\"))":-1.65443286693808,"UUP^FG_TOTAL_RETURNC(0,-3AM)":-0.31087995,"TRYDE10Y-FDS^FG_YIELD(0,,,,\"YTM\")":2.249,"EWI^FMA_PE(NTMA,0,,,\"PORTAGG\",\"MEANR\")":9.68561787936273,"REFCHMPR-FDS^PROPER_NAME(0,,,\"SECURITY\",\"NAME\")":"Swiss Policy Rate - Sight Deposit Rate","USDEUR^FG_PRICE(0)":0.9265694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70858427176],"CPALM-FDS^FG_PRICE(0)":3988.0,"VWO^FMA_COS_DOWN(\"EPS\",\"1M\",+1,0,,,\"PORTAGG\",\"MEANR\")":971.0,"ENZL^SIZE(FG_CONSTITUENTS)":14,"EWG^FMA_RBICS_REV_CURRENT(30, LOC, \"PORTAGG\")":23.0594534932324,"REFCHMPR-FDS^FG_YIELD(NOW,,,0)":1.25,"TRYSE10Y-FDS^PCTCHG(FG_YIELD(0,,,,\"YTM\"),FG_YIELD(-1AM,,,,\"YTM\"))":-14.497168,"TRYNZ10Y-FDS^PCTCHG(FG_YIELD(0,,,,\"YTM\"),FG_YIELD(-1AM,,,,\"YTM\"))":-8.119572,"CC_AU^IMF_IFS_RCPI_Q(0)":null,"EWU^FMA_PE(NTMA,0,,,\"PORTAGG\",\"MEANR\")":11.613644881033,"ENZL^FMA_DIV_YLD(NTMA,NOW,NOW,M,\"PORTAGG\",\"MEANR\")":2.67421207278863,"EWQ^JULIAN(FMA_DIV_YLD(NTMA,NOW,NOW,M,\"PORTAGG\",\"MEANR\").DATES)":45502,"EWG^FMA_DIV_YLD(NTMA,NOW,NOW,M,\"PORTAGG\",\"MEANR\")":3.42362811988095,"ENZL^FMA_PE(NTMA,0,,,\"PORTAGG\",\"MEANR\")":24.8893087607956,"EWN^FMA_PE(LTMA,-10AY,0,AM,\"PORTAGG\",\"MEANR\")":[16.3065554889084,16.62471730208,16.6716684762407,16.9559362554403,17.901078025671,17.6750083718626,18.8216496666534,20.1223054586507,19.9084028058598,19.6264132950042,19.443858421108,19.0523427701868,19.0096127556024,17.292426239142,16.5625494738977,17.6010138978147,18.0621547709678,16.8706386495531,16.406145654605,16.4342010948566,16.3502918095853,16.2415206382368,16.2860483560841,15.8183783091024,16.0722592755768,16.1809797339062,16.156385409687,15.6809532882497,15.379251590667,16.2999348215531,16.1121338186952,16.4408844449244,16.5201736815972,16.6613226441402,16.7498430758107,16.4737540777456,16.7476390782745,16.6016722981034,17.0140564913605,17.3947003136002,16.9747585624299,17.2377470781453,17.4946160359671,16.6358566673298,16.5599958886049,16.5822049425865,16.6365813063737,16.5176347654857,16.8226882345913,16.6007329052535,16.3439436671573,15.6055159750091,15.412775614075,14.2830374670868,15.2677384156241,16.1603659396246,16.1931618243557,16.3637660815908,16.0237908599382,16.4937681796358,16.6900385670695,16.5260795278757,16.9959772259788,17.4597494111542,18.0746968245673,18.6325090085047,18.4219762650162,17.3367558592985,16.8323051047155,17.8263060143421,18.6465884471971,19.5491182981503,20.1049729497633,21.3814409232709,22.0590986209683,21.5941512204297,25.8612976353345,27.3483402911446,27.7526000411273,28.9153891125967,28.6410000034421,27.8915235800863,27.0826985389916,26.5443499894941,26.2696248935467,26.0395311922545,24.1534486506697,24.625539219056,23.1300586097728,22.6891096808763,20.477395980732,18.3109482689826,18.5764891902353,18.3036541239359,18.5099210777848,18.0143758381022,19.6824071673773,18.2148104493602,17.0934099228763,18.3892898089622,18.4649886894825,17.6566343355755,19.4667923472527,20.6326683804078,20.3592854704907,19.8170664468923,19.3982925982782,19.2358258004028,19.0902768900877,17.81697511593,16.7427696765938,15.863246827977,16.3995440835698,16.6271224975657,17.3909071420675,18.5010552754277,18.4393592174885,18.096721687774,18.217382775482,18.278112585668,17.7687653141543],"CAGDPY@SE^EE_ACTUAL_ANNUAL(MED,0)":6.4686639012956,"USDSEK^FG_PRICE_CHANGE(0,-3AM)":-2.6556194,"ENZL^FG_TOTAL_RETURNC(-10AY,0,AM)":[-4.8642216,1.340282,-6.1474442,3.809762,1.3074398,1.9889355,-3.5767913,6.2256813,-2.0268679,0.64805746,-6.1193705,-5.771899,0.11488199,-8.864027,0.4091859,13.902819,1.0045409,4.0780187,-5.5763063,4.181969,11.03878,2.1494865,0.81300735,4.253924,6.5668106,1.8162131,-0.50753355,-8.817315,-0.9129226,-2.89976,8.306063,-0.27887225,-1.6080141,1.350069,4.229951,5.659044,2.7669787,-2.6714385,1.837039,-3.92614,1.7229915,5.0637484,4.5502424,-2.4984896,0.84728,-2.8073728,2.7408838,0.8903742,-1.2893438,2.7728796,-0.713557,-4.0451765,3.327632,-2.97665,5.106473,3.1631231,4.829657,-1.8543303,-0.46747327,5.325997,2.7159572,-5.3066435,1.0083437,1.2286425,5.973828,5.5488944,-2.7532458,-5.8582664,-15.906942,7.579851,9.680117,7.7023983,4.6685696,2.128017,-2.817142,1.8353343,12.941384,2.6886106,-0.54356456,-5.465281,-2.5781274,3.560543,-2.8496206,-2.167344,-0.62479377,5.195236,-1.4469981,1.7397046,-8.253789,2.2116065,-9.680706,3.1402707,0.8568883,-9.689081,-3.1024814,-7.3117733,9.334839,-4.413289,-11.154259,6.5080166,13.155497,-1.701796,8.589088,-6.050837,0.80759525,-0.3687203,-1.941669,1.4151216,-0.081670284,-7.0290146,-2.6593387,-4.0867033,11.134648,4.859531,-3.2271326,-2.897936,-1.0972142,-2.2409558,5.878353,-2.5386155,1.5735865],"EWD^FMA_PE(LTMA,-10AY,0,AM,\"PORTAGG\",\"MEANR\")":[15.8265445072361,15.8372840366843,15.8937269063523,16.3360450818904,17.271853513155,17.5843936947817,18.7007555337374,20.3028254397121,19.9572009832983,19.2562506036483,19.3051405168703,18.6474275073844,18.4990183364309,17.2551705880509,16.3984265693634,17.193332412251,16.937334281333,16.0162580656525,14.6695622996926,15.6158799578436,15.5496259742074,15.654626448611,15.523444452153,15.4538294040505,15.7863929124286,16.0710701609378,16.4554693449696,17.1515759308081,17.3615102114727,18.1859107293486,18.2569802689274,17.4744656980776,17.6049334019684,17.6347589127582,18.1042297598299,17.4990003834848,17.1689841962704,16.9755886646677,17.7146987001221,18.5965803425695,17.8216889028726,17.8917428432806,18.8302957350907,16.9481866783059,16.8339577519838,16.7748732453936,16.6276635043872,16.4769912290327,16.6232646791788,16.8131756196541,16.9378967265929,15.2863911024456,14.8233032959828,13.8015710705117,16.2348727994808,18.1610367121294,17.860133371288,17.8758247017429,16.9717150991156,17.1955360550945,16.8689721006865,15.7954335523063,16.3863599276536,16.8402932528477,15.8831275318796,16.172244747034,13.8187649573475,12.8819296635769,12.9085194242034,14.6114326531905,16.0394377454976,17.351162068409,16.8695910396999,17.2578611312338,18.1082937305295,15.0099346954424,17.014922744029,17.91501057852,18.3485678638997,17.6522236870105,18.167370415933,17.8426412896061,17.8474761872877,17.9379801461636,17.5041911164503,17.5004826848275,16.9609070654628,16.4900403972472,16.4639776388455,16.8898189156619,12.3755857087818,11.603567608241,12.1023299211123,12.2495902206745,13.7283209201825,13.3077306699604,14.6863388121544,14.1447835359599,14.3110336763274,13.4681879575645,14.4962517332998,15.4453401863932,24.5232004659825,25.6298095450356,24.4474304000133,23.3841203574519,21.9448270462718,20.9228819807488,19.475894652632,17.9417896809596,16.7595290826955,15.6521311810553,17.5552709871896,17.9664134766413,15.5494734224789,15.8068334118034,15.9174729521011,15.9097913954509,16.0591727777242,16.1286570532969,16.4273065144878],"PASP-FDS^FG_PRICE_CHANGE(0,-1AY)":-25.2,"TIOS-FDS^FG_PRICE_CHANGE(0,-3AM)":-12.2685777664022,"EWL^FG_PRICE_MAVG(0,,,,200)":46.9829,"VGK^P_PRICE(0)/P_PRICE_LOW_PR(0,,,,,,\"PRICE\",\"INTRA\",\"52W\")-1":0.2175808,"EWN^FG_TOTAL_RETURNC(0,-12AM)":9.757101,"EWL^P_PRICE(0)/P_PRICE_LOW_PR(0,,,,,,\"PRICE\",\"INTRA\",\"52W\")-1":0.20577621,"EWG^FG_TOTAL_RETURNC(0,-3AM)":2.3317337,"QQQ^FMA_COS_DOWN(\"EPS\",\"1M\",+1,0,,,\"PORTAGG\",\"MEANR\")":39.0,"CAGDPY@NL^EE_ACTUAL_ANNUAL(MED,+1)":9.5,"USDEUR^FG_COMPANY_NAME":"Euro per U.S. Dollar"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2764084,3.67789544317285,4.61613854439477,4.46089540048153,4.56673185665912],"ENZL^JULIAN(FG_TOTAL_RETURNC(-10AY,0,AM).DATES)":[41852,41880,41913,41943,41974,42004,42034,42062,42095,42125,42156,42186,42216,42248,42278,42307,42339,42369,42401,42430,42461,42489,42522,42552,42583,42614,42643,42675,42705,42734,42767,42795,42825,42856,42887,42916,42948,42979,43007,43040,43070,43098,43132,43160,43188,43221,43252,43280,43313,43343,43374,43405,43434,43465,43497,43525,43556,43586,43616,43647,43678,43707,43739,43770,43798,43830,43861,43889,43922,43952,43983,44013,44043,44075,44105,44134,44166,44196,44228,44256,44287,44316,44348,44378,44407,44440,44470,44501,44531,44561,44593,44621,44652,44680,44713,44743,44774,44805,44834,44866,44896,44925,44958,44986,45016,45047,45078,45107,45139,45170,45198,45231,45261,45289,45323,45352,45383,45413,45443,45474,45505],"W-FDS^MAX(FG_PRICE(0,-5AY))":14.2525,"TIOS-FDS^FG_PRICE_CHANGE(0,-1AM)":-4.78703703703703,"EWL^P_PRICE(0)/P_PRICE_HIGH_PR(0,,,,,,\"PRICE\",\"INTRA\",\"52W\")":0.9895319,"EWA^PERCENT_CHANGE(FMA_EPS(+1,0,,,,\"PORTAGG\",\"MEAN\"),FMA_EPS(+1,-1AM,,,,\"PORTAGG\",\"MEAN\"))":-1.32015533109093,"VWO^FMA_COS_UP(\"EPS\",\"1M\",+1,0,,,\"PORTAGG\",\"MEANR\")":818.0,"EWC^FMA_RBICS_REV_CURRENT(30, LOC, \"PORTAGG\")":39.9570295102956,"REFSEREPO-FDS^(SUBARRAY(NOT_NA(NO_REPEAT_F(FG_YIELD(NOW,-10AY,D))),0,1)-SUBARRAY(NOT_NA(NO_REPEAT_F(FG_YIELD(NOW,-10AY,D))),1,1))*100":-25.0,"DUMMY^ECON_DATE(45384,,, 'MM/YYYY')":"04/2024","DUMMY^ECON_DATE(45475,,, 'MM/YYYY')":"07/2024","CC_IT^IMF_IFS_RCPI_Q(-1AM)":null,"CC_JP^IMF_IFS_RCPI_Q(-1AM)":null,"CC_GB^IMF_IFS_RCPI_Q(-1AM)":null,"CC_NZ^IMF_IFS_RCPI_Q(-1AM)":null,"CC_AU^IMF_IFS_RCPI_Q(-1AM)":null,"CC_CA^IMF_IFS_RCPI_Q(-1AM)":null,"DUMMY^ECON_EXPR_DATA('FDS_ECON[NTCPMIMFGSA@NZ]',07/2024,,Q)":45.388824,"DUMMY^ECON_EXPR_DATA('FDS_ECON[NTCPMIMFGSA@NZ]',04/2024,,Q)":47.7971,"DUMMY^ECON_EXPR_DATA('FDS_ECON[NTCPMIMFGSA@AU]',07/2024,,Q)":48.811333,"DUMMY^ECON_EXPR_DATA('FDS_ECON[NTCPMIMFGSA@AU]',04/2024,,Q)":48.39547,"DUMMY^ECON_EXPR_DATA('FDS_ECON[NTCPMIMFGSA@CA]',07/2024,,Q)":49.331886,"DUMMY^ECON_EXPR_DATA('FDS_ECON[NTCPMIMFGSA@CA]',04/2024,,Q)":49.30091,"DUMMY^ECON_EXPR_DATA('FDS_ECON[NTCPMIMFGSA@DE]',07/2024,,Q)":43.782,"DUMMY^ECON_EXPR_DATA('FDS_ECON[NTCPMIMFGSA@DE]',04/2024,,Q)":43.319096,"DUMMY^ECON_EXPR_DATA('FDS_ECON[NTCPMIMFGSA@JP]',07/2024,,Q)":49.991356,"DUMMY^ECON_EXPR_DATA('FDS_ECON[NTCPMIMFGSA@JP]',04/2024,,Q)":47.808857,"DUMMY^ECON_EXPR_DATA('FDS_ECON[NTCPMIMFGSA@CH]',07/2024,,Q)":43.896877,"DUMMY^ECON_EXPR_DATA('FDS_ECON[NTCPMIMFGSA@CH]',04/2024,,Q)":44.08605,"DUMMY^ECON_EXPR_DATA('FDS_ECON[NTCPMIMFGSA@GB]',07/2024,,Q)":50.395269999999996,"DUMMY^ECON_EXPR_DATA('FDS_ECON[NTCPMIMFGSA@GB]',04/2024,,Q)":48.24796,"DUMMY^ECON_EXPR_DATA('FDS_ECON[NTCPMIMFGMESA@US]',07/2024,,Q)":50.939392,"DUMMY^ECON_EXPR_DATA('FDS_ECON[NTCPMIMFGMESA@US]',04/2024,,Q)":51.582687,"DUMMY^ECON_EXPR_DATA('FDS_ECON[NTCPMIMFGSA@FR]',07/2024,,Q)":45.684513,"DUMMY^ECON_EXPR_DATA('FDS_ECON[NTCPMIMFGSA@FR]',04/2024,,Q)":45.498753,"DUMMY^ECON_EXPR_DATA('FDS_ECON[NTCPMIMFGSA@NL]',07/2024,,Q)":51.49388,"DUMMY^ECON_EXPR_DATA('FDS_ECON[NTCPMIMFGSA@NL]',04/2024,,Q)":49.325874,"DUMMY^ECON_EXPR_DATA('FDS_ECON[]',07/2024,,Q)":null,"DUMMY^ECON_EXPR_DATA('FDS_ECON[]',04/2024,,Q)":null,"DUMMY^ECON_EXPR_DATA('FDS_ECON[NTCPMIMFGSA@IT]',07/2024,,Q)":46.215786,"DUMMY^ECON_EXPR_DATA('FDS_ECON[NTCPMIMFGSA@IT]',04/2024,,Q)":49.208153,"DUMMY^ECON_EXPR_DATA('FDS_ECON[PMIDMMANHE]',07/2024,,Q)":49.418633,"DUMMY^ECON_EXPR_DATA('FDS_ECON[PMIDMMANHE]',04/2024,,Q)":49.13539,"DUMMY^ECON_EXPR_DATA('FDS_ECON[NTCPMIMFGSA@EME]',07/2024,,Q)":52.007824,"DUMMY^ECON_EXPR_DATA('FDS_ECON[NTCPMIMFGSA@EME]',04/2024,,Q)":51.519516,"CC_NZ^IMF_IFS_RCPI_Q(-2AM)":4.022989,"CC_AU^IMF_IFS_RCPI_Q(-2AM)":3.61991,"CC_CA^IMF_IFS_RCPI_Q(-2AM)":2.8466706,"CC_GB^IMF_IFS_RCPI_Q(-2AM)":3.9194994,"CC_JP^IMF_IFS_RCPI_Q(-2AM)":2.5231562,"CC_IT^IMF_IFS_RCPI_Q(-2AM)":0.92385906}]]></FdsFormulaCache>
</file>

<file path=customXml/itemProps1.xml><?xml version="1.0" encoding="utf-8"?>
<ds:datastoreItem xmlns:ds="http://schemas.openxmlformats.org/officeDocument/2006/customXml" ds:itemID="{F6C79DFB-EE80-4EEB-8994-AC16494E456C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2024-08-02T06:34:46Z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