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TF_Model_Excel\"/>
    </mc:Choice>
  </mc:AlternateContent>
  <xr:revisionPtr revIDLastSave="0" documentId="13_ncr:1_{63D678A9-E733-4D88-A62C-673F472907F4}" xr6:coauthVersionLast="47" xr6:coauthVersionMax="47" xr10:uidLastSave="{00000000-0000-0000-0000-000000000000}"/>
  <bookViews>
    <workbookView xWindow="-110" yWindow="-110" windowWidth="25820" windowHeight="15500" firstSheet="24" activeTab="28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Risk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Economic Momentum (2)" sheetId="61" r:id="rId29"/>
    <sheet name="Market Capitalisation" sheetId="57" r:id="rId30"/>
  </sheets>
  <definedNames>
    <definedName name="_xlnm._FilterDatabase" localSheetId="11" hidden="1">'Momnetum ranking'!$A$2:$AI$18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61" l="1"/>
  <c r="L1" i="61"/>
  <c r="L18" i="61" a="1"/>
  <c r="K18" i="61" a="1"/>
  <c r="O3" i="61" a="1"/>
  <c r="N3" i="61" a="1"/>
  <c r="J13" i="61" a="1"/>
  <c r="M6" i="61" a="1"/>
  <c r="J20" i="61" a="1"/>
  <c r="J6" i="61" a="1"/>
  <c r="J8" i="61" a="1"/>
  <c r="J11" i="61" a="1"/>
  <c r="M13" i="61" a="1"/>
  <c r="M8" i="61" a="1"/>
  <c r="J19" i="61" a="1"/>
  <c r="J5" i="61" a="1"/>
  <c r="J14" i="61" a="1"/>
  <c r="M16" i="61" a="1"/>
  <c r="J4" i="61" a="1"/>
  <c r="J15" i="61" a="1"/>
  <c r="M10" i="61" a="1"/>
  <c r="J10" i="61" a="1"/>
  <c r="J7" i="61" a="1"/>
  <c r="J16" i="61" a="1"/>
  <c r="J9" i="61" a="1"/>
  <c r="M12" i="61" a="1"/>
  <c r="J12" i="61" a="1"/>
  <c r="M5" i="61" a="1"/>
  <c r="M14" i="61" a="1"/>
  <c r="M7" i="61" a="1"/>
  <c r="M9" i="61" a="1"/>
  <c r="M11" i="61" a="1"/>
  <c r="M13" i="48" a="1"/>
  <c r="M11" i="48" a="1"/>
  <c r="M10" i="48" a="1"/>
  <c r="M8" i="48" a="1"/>
  <c r="M6" i="48" a="1"/>
  <c r="M16" i="48" a="1"/>
  <c r="M12" i="48" a="1"/>
  <c r="M9" i="48" a="1"/>
  <c r="M7" i="48" a="1"/>
  <c r="M5" i="48" a="1"/>
  <c r="M14" i="48" a="1"/>
  <c r="K18" i="61" l="1"/>
  <c r="L18" i="61"/>
  <c r="N3" i="61"/>
  <c r="O3" i="61"/>
  <c r="M11" i="61"/>
  <c r="M9" i="61"/>
  <c r="M7" i="61"/>
  <c r="M14" i="61"/>
  <c r="M5" i="61"/>
  <c r="J12" i="61"/>
  <c r="M12" i="61"/>
  <c r="J9" i="61"/>
  <c r="J16" i="61"/>
  <c r="J7" i="61"/>
  <c r="J10" i="61"/>
  <c r="M10" i="61"/>
  <c r="J15" i="61"/>
  <c r="J4" i="61"/>
  <c r="M16" i="61"/>
  <c r="J14" i="61"/>
  <c r="J5" i="61"/>
  <c r="J19" i="61"/>
  <c r="M8" i="61"/>
  <c r="M13" i="61"/>
  <c r="J11" i="61"/>
  <c r="J8" i="61"/>
  <c r="J6" i="61"/>
  <c r="J20" i="61"/>
  <c r="M6" i="61"/>
  <c r="J13" i="61"/>
  <c r="M14" i="48"/>
  <c r="M5" i="48"/>
  <c r="M7" i="48"/>
  <c r="M9" i="48"/>
  <c r="M12" i="48"/>
  <c r="M16" i="48"/>
  <c r="M6" i="48"/>
  <c r="M8" i="48"/>
  <c r="M10" i="48"/>
  <c r="M11" i="48"/>
  <c r="M13" i="48"/>
  <c r="A4" i="9" a="1"/>
  <c r="G9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7" i="57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D8" i="57" a="1"/>
  <c r="G8" i="57" a="1"/>
  <c r="D7" i="57" a="1"/>
  <c r="G7" i="57" a="1"/>
  <c r="D6" i="57" a="1"/>
  <c r="G6" i="57" a="1"/>
  <c r="D5" i="57" a="1"/>
  <c r="K19" i="61" a="1"/>
  <c r="K20" i="61" a="1"/>
  <c r="L19" i="61" a="1"/>
  <c r="L20" i="61" a="1"/>
  <c r="N4" i="61" a="1"/>
  <c r="N5" i="61" a="1"/>
  <c r="N6" i="61" a="1"/>
  <c r="N7" i="61" a="1"/>
  <c r="N8" i="61" a="1"/>
  <c r="N9" i="61" a="1"/>
  <c r="N10" i="61" a="1"/>
  <c r="N11" i="61" a="1"/>
  <c r="N12" i="61" a="1"/>
  <c r="N13" i="61" a="1"/>
  <c r="N14" i="61" a="1"/>
  <c r="N15" i="61" a="1"/>
  <c r="N16" i="61" a="1"/>
  <c r="O4" i="61" a="1"/>
  <c r="O5" i="61" a="1"/>
  <c r="O6" i="61" a="1"/>
  <c r="O7" i="61" a="1"/>
  <c r="O8" i="61" a="1"/>
  <c r="O9" i="61" a="1"/>
  <c r="O10" i="61" a="1"/>
  <c r="O11" i="61" a="1"/>
  <c r="O12" i="61" a="1"/>
  <c r="O13" i="61" a="1"/>
  <c r="O14" i="61" a="1"/>
  <c r="O15" i="61" a="1"/>
  <c r="O16" i="61" a="1"/>
  <c r="M4" i="61" a="1"/>
  <c r="M15" i="61" a="1"/>
  <c r="J19" i="48" a="1"/>
  <c r="J15" i="48" a="1"/>
  <c r="J13" i="48" a="1"/>
  <c r="J12" i="48" a="1"/>
  <c r="J10" i="48" a="1"/>
  <c r="J7" i="48" a="1"/>
  <c r="J6" i="48" a="1"/>
  <c r="J20" i="48" a="1"/>
  <c r="J16" i="48" a="1"/>
  <c r="J14" i="48" a="1"/>
  <c r="J11" i="48" a="1"/>
  <c r="J9" i="48" a="1"/>
  <c r="J8" i="48" a="1"/>
  <c r="J5" i="48" a="1"/>
  <c r="J4" i="48" a="1"/>
  <c r="L20" i="61" l="1"/>
  <c r="L19" i="61"/>
  <c r="K20" i="61"/>
  <c r="M20" i="61" s="1"/>
  <c r="K19" i="61"/>
  <c r="O16" i="61"/>
  <c r="O15" i="61"/>
  <c r="O14" i="61"/>
  <c r="O13" i="61"/>
  <c r="O12" i="61"/>
  <c r="O11" i="61"/>
  <c r="O10" i="61"/>
  <c r="O9" i="61"/>
  <c r="O8" i="61"/>
  <c r="O7" i="61"/>
  <c r="O6" i="61"/>
  <c r="O5" i="61"/>
  <c r="O4" i="61"/>
  <c r="N16" i="61"/>
  <c r="N15" i="61"/>
  <c r="N14" i="61"/>
  <c r="N13" i="61"/>
  <c r="N12" i="61"/>
  <c r="N11" i="61"/>
  <c r="N10" i="61"/>
  <c r="N9" i="61"/>
  <c r="N8" i="61"/>
  <c r="N7" i="61"/>
  <c r="N6" i="61"/>
  <c r="N5" i="61"/>
  <c r="N4" i="61"/>
  <c r="M15" i="61"/>
  <c r="M4" i="61"/>
  <c r="J4" i="48"/>
  <c r="J5" i="48"/>
  <c r="J8" i="48"/>
  <c r="J9" i="48"/>
  <c r="J11" i="48"/>
  <c r="J14" i="48"/>
  <c r="J16" i="48"/>
  <c r="J20" i="48"/>
  <c r="J6" i="48"/>
  <c r="J7" i="48"/>
  <c r="J10" i="48"/>
  <c r="J12" i="48"/>
  <c r="J13" i="48"/>
  <c r="J15" i="48"/>
  <c r="J19" i="48"/>
  <c r="A4" i="9"/>
  <c r="A7" i="9"/>
  <c r="A10" i="9"/>
  <c r="A11" i="9"/>
  <c r="A12" i="9"/>
  <c r="A13" i="9"/>
  <c r="A5" i="9"/>
  <c r="A6" i="9"/>
  <c r="A8" i="9"/>
  <c r="A9" i="9"/>
  <c r="D5" i="57"/>
  <c r="G6" i="57"/>
  <c r="D6" i="57"/>
  <c r="G7" i="57"/>
  <c r="D7" i="57"/>
  <c r="G8" i="57"/>
  <c r="D8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D17" i="57"/>
  <c r="E17" i="57"/>
  <c r="B17" i="57"/>
  <c r="G2" i="57"/>
  <c r="D2" i="57"/>
  <c r="G3" i="57"/>
  <c r="D3" i="57"/>
  <c r="G4" i="57"/>
  <c r="D4" i="57"/>
  <c r="G5" i="57"/>
  <c r="G9" i="57"/>
  <c r="M4" i="48" a="1"/>
  <c r="M15" i="48" a="1"/>
  <c r="M19" i="61" l="1"/>
  <c r="P6" i="61"/>
  <c r="P16" i="61"/>
  <c r="P4" i="61"/>
  <c r="Q5" i="61" a="1"/>
  <c r="Q5" i="61" s="1"/>
  <c r="Q4" i="61" a="1"/>
  <c r="Q4" i="61" s="1"/>
  <c r="Q12" i="61" a="1"/>
  <c r="Q12" i="61" s="1"/>
  <c r="Q16" i="61" a="1"/>
  <c r="Q16" i="61" s="1"/>
  <c r="Q9" i="61" a="1"/>
  <c r="Q9" i="61" s="1"/>
  <c r="Q13" i="61" a="1"/>
  <c r="Q13" i="61" s="1"/>
  <c r="Q6" i="61" a="1"/>
  <c r="Q6" i="61" s="1"/>
  <c r="Q8" i="61" a="1"/>
  <c r="Q8" i="61" s="1"/>
  <c r="Q10" i="61" a="1"/>
  <c r="Q10" i="61" s="1"/>
  <c r="Q14" i="61" a="1"/>
  <c r="Q14" i="61" s="1"/>
  <c r="Q7" i="61" a="1"/>
  <c r="Q7" i="61" s="1"/>
  <c r="Q11" i="61" a="1"/>
  <c r="Q11" i="61" s="1"/>
  <c r="Q15" i="61" a="1"/>
  <c r="Q15" i="61" s="1"/>
  <c r="M15" i="48"/>
  <c r="M4" i="48"/>
  <c r="C23" i="12"/>
  <c r="M2" i="38" a="1"/>
  <c r="AK4" i="9" a="1"/>
  <c r="U4" i="9" a="1"/>
  <c r="E4" i="9" a="1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L2" i="38" a="1"/>
  <c r="AJ4" i="9" a="1"/>
  <c r="T4" i="9" a="1"/>
  <c r="D4" i="9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E5" i="42" a="1"/>
  <c r="M2" i="5" a="1"/>
  <c r="K2" i="38" a="1"/>
  <c r="AI4" i="9" a="1"/>
  <c r="S4" i="9" a="1"/>
  <c r="C4" i="9" a="1"/>
  <c r="H11" i="43" a="1"/>
  <c r="H3" i="43" a="1"/>
  <c r="E15" i="42" a="1"/>
  <c r="E13" i="42" a="1"/>
  <c r="E11" i="42" a="1"/>
  <c r="E9" i="42" a="1"/>
  <c r="E7" i="42" a="1"/>
  <c r="E3" i="42" a="1"/>
  <c r="A2" i="18" a="1"/>
  <c r="K2" i="7" a="1"/>
  <c r="I2" i="47" a="1"/>
  <c r="G2" i="46" a="1"/>
  <c r="I11" i="52" a="1"/>
  <c r="I9" i="52" a="1"/>
  <c r="H3" i="52" a="1"/>
  <c r="T15" i="56" a="1"/>
  <c r="T11" i="56" a="1"/>
  <c r="T7" i="56" a="1"/>
  <c r="H16" i="56" a="1"/>
  <c r="H12" i="56" a="1"/>
  <c r="H8" i="56" a="1"/>
  <c r="C24" i="56" a="1"/>
  <c r="C15" i="13" a="1"/>
  <c r="J2" i="38" a="1"/>
  <c r="AH4" i="9" a="1"/>
  <c r="R4" i="9" a="1"/>
  <c r="B4" i="9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I2" i="38" a="1"/>
  <c r="AG4" i="9" a="1"/>
  <c r="Q4" i="9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E2" i="46" a="1"/>
  <c r="G11" i="52" a="1"/>
  <c r="G9" i="52" a="1"/>
  <c r="G7" i="52" a="1"/>
  <c r="G5" i="52" a="1"/>
  <c r="G3" i="52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H2" i="38" a="1"/>
  <c r="AF4" i="9" a="1"/>
  <c r="P4" i="9" a="1"/>
  <c r="G10" i="43" a="1"/>
  <c r="G2" i="38" a="1"/>
  <c r="AE4" i="9" a="1"/>
  <c r="O4" i="9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U6" i="56" a="1"/>
  <c r="I15" i="56" a="1"/>
  <c r="I11" i="56" a="1"/>
  <c r="I7" i="56" a="1"/>
  <c r="B16" i="56" a="1"/>
  <c r="C12" i="13" a="1"/>
  <c r="O22" i="12" a="1"/>
  <c r="O18" i="12" a="1"/>
  <c r="O12" i="12" a="1"/>
  <c r="F2" i="38" a="1"/>
  <c r="AD4" i="9" a="1"/>
  <c r="N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E2" i="38" a="1"/>
  <c r="AC4" i="9" a="1"/>
  <c r="D2" i="38" a="1"/>
  <c r="AB4" i="9" a="1"/>
  <c r="L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H4" i="9" a="1"/>
  <c r="G8" i="42" a="1"/>
  <c r="B2" i="7" a="1"/>
  <c r="E12" i="52" a="1"/>
  <c r="F4" i="52" a="1"/>
  <c r="V13" i="56" a="1"/>
  <c r="H14" i="56" a="1"/>
  <c r="I8" i="56" a="1"/>
  <c r="B10" i="56" a="1"/>
  <c r="R22" i="12" a="1"/>
  <c r="P15" i="12" a="1"/>
  <c r="O10" i="12" a="1"/>
  <c r="R4" i="12" a="1"/>
  <c r="M10" i="12" a="1"/>
  <c r="K4" i="12" a="1"/>
  <c r="E18" i="12" a="1"/>
  <c r="F9" i="12" a="1"/>
  <c r="J6" i="39" a="1"/>
  <c r="F11" i="39" a="1"/>
  <c r="C4" i="39" a="1"/>
  <c r="K10" i="28" a="1"/>
  <c r="K3" i="28" a="1"/>
  <c r="E9" i="28" a="1"/>
  <c r="O9" i="1" a="1"/>
  <c r="L15" i="1" a="1"/>
  <c r="H10" i="1" a="1"/>
  <c r="J4" i="1" a="1"/>
  <c r="C21" i="55" a="1"/>
  <c r="C12" i="40" a="1"/>
  <c r="G9" i="60" a="1"/>
  <c r="H4" i="60" a="1"/>
  <c r="G4" i="9" a="1"/>
  <c r="H15" i="42" a="1"/>
  <c r="E8" i="42" a="1"/>
  <c r="H2" i="18" a="1"/>
  <c r="A2" i="7" a="1"/>
  <c r="D8" i="52" a="1"/>
  <c r="U13" i="56" a="1"/>
  <c r="V7" i="56" a="1"/>
  <c r="G14" i="56" a="1"/>
  <c r="G8" i="56" a="1"/>
  <c r="O15" i="12" a="1"/>
  <c r="L19" i="12" a="1"/>
  <c r="E9" i="12" a="1"/>
  <c r="B14" i="12" a="1"/>
  <c r="J5" i="39" a="1"/>
  <c r="C3" i="39" a="1"/>
  <c r="M9" i="28" a="1"/>
  <c r="H15" i="28" a="1"/>
  <c r="H5" i="28" a="1"/>
  <c r="O8" i="1" a="1"/>
  <c r="K15" i="1" a="1"/>
  <c r="F13" i="1" a="1"/>
  <c r="I7" i="1" a="1"/>
  <c r="C8" i="1" a="1"/>
  <c r="C11" i="40" a="1"/>
  <c r="G4" i="60" a="1"/>
  <c r="G14" i="42" a="1"/>
  <c r="G2" i="18" a="1"/>
  <c r="D12" i="52" a="1"/>
  <c r="E4" i="52" a="1"/>
  <c r="U7" i="56" a="1"/>
  <c r="J7" i="56" a="1"/>
  <c r="B9" i="56" a="1"/>
  <c r="Q22" i="12" a="1"/>
  <c r="R9" i="12" a="1"/>
  <c r="Q4" i="12" a="1"/>
  <c r="L10" i="12" a="1"/>
  <c r="M3" i="12" a="1"/>
  <c r="G15" i="12" a="1"/>
  <c r="Y4" i="9" a="1"/>
  <c r="G6" i="43" a="1"/>
  <c r="G4" i="42" a="1"/>
  <c r="F9" i="52" a="1"/>
  <c r="U16" i="56" a="1"/>
  <c r="V9" i="56" a="1"/>
  <c r="C26" i="56" a="1"/>
  <c r="C7" i="13" a="1"/>
  <c r="R11" i="12" a="1"/>
  <c r="R6" i="12" a="1"/>
  <c r="L22" i="12" a="1"/>
  <c r="L13" i="12" a="1"/>
  <c r="G20" i="12" a="1"/>
  <c r="E12" i="12" a="1"/>
  <c r="E5" i="12" a="1"/>
  <c r="L12" i="28" a="1"/>
  <c r="D3" i="28" a="1"/>
  <c r="F20" i="1" a="1"/>
  <c r="G14" i="1" a="1"/>
  <c r="H11" i="1" a="1"/>
  <c r="K5" i="1" a="1"/>
  <c r="D10" i="49" a="1"/>
  <c r="H6" i="60" a="1"/>
  <c r="H5" i="43" a="1"/>
  <c r="H11" i="42" a="1"/>
  <c r="E4" i="42" a="1"/>
  <c r="D2" i="5" a="1"/>
  <c r="H14" i="43" a="1"/>
  <c r="E12" i="42" a="1"/>
  <c r="A2" i="5" a="1"/>
  <c r="I7" i="52" a="1"/>
  <c r="I3" i="52" a="1"/>
  <c r="I17" i="56" a="1"/>
  <c r="H10" i="56" a="1"/>
  <c r="B15" i="56" a="1"/>
  <c r="Q14" i="12" a="1"/>
  <c r="L14" i="12" a="1"/>
  <c r="L6" i="12" a="1"/>
  <c r="G19" i="12" a="1"/>
  <c r="B12" i="12" a="1"/>
  <c r="M13" i="28" a="1"/>
  <c r="H9" i="28" a="1"/>
  <c r="D12" i="28" a="1"/>
  <c r="O12" i="1" a="1"/>
  <c r="F19" i="1" a="1"/>
  <c r="L12" i="1" a="1"/>
  <c r="J6" i="1" a="1"/>
  <c r="J3" i="1" a="1"/>
  <c r="D14" i="49" a="1"/>
  <c r="E6" i="60" a="1"/>
  <c r="H5" i="42" a="1"/>
  <c r="F12" i="52" a="1"/>
  <c r="F7" i="52" a="1"/>
  <c r="F3" i="52" a="1"/>
  <c r="V11" i="56" a="1"/>
  <c r="G10" i="56" a="1"/>
  <c r="B14" i="56" a="1"/>
  <c r="P23" i="12" a="1"/>
  <c r="Q8" i="12" a="1"/>
  <c r="M23" i="12" a="1"/>
  <c r="K14" i="12" a="1"/>
  <c r="K6" i="12" a="1"/>
  <c r="G9" i="12" a="1"/>
  <c r="H13" i="39" a="1"/>
  <c r="F4" i="39" a="1"/>
  <c r="L13" i="28" a="1"/>
  <c r="K6" i="28" a="1"/>
  <c r="G9" i="28" a="1"/>
  <c r="K12" i="1" a="1"/>
  <c r="K9" i="1" a="1"/>
  <c r="D13" i="49" a="1"/>
  <c r="C9" i="55" a="1"/>
  <c r="E11" i="60" a="1"/>
  <c r="H5" i="60" a="1"/>
  <c r="G14" i="43" a="1"/>
  <c r="D12" i="42" a="1"/>
  <c r="N2" i="7" a="1"/>
  <c r="U11" i="56" a="1"/>
  <c r="H17" i="56" a="1"/>
  <c r="O23" i="12" a="1"/>
  <c r="P14" i="12" a="1"/>
  <c r="P8" i="12" a="1"/>
  <c r="L23" i="12" a="1"/>
  <c r="M13" i="12" a="1"/>
  <c r="F19" i="12" a="1"/>
  <c r="B11" i="12" a="1"/>
  <c r="M5" i="28" a="1"/>
  <c r="H8" i="28" a="1"/>
  <c r="E11" i="28" a="1"/>
  <c r="O11" i="1" a="1"/>
  <c r="J9" i="1" a="1"/>
  <c r="I6" i="1" a="1"/>
  <c r="I3" i="1" a="1"/>
  <c r="D12" i="49" a="1"/>
  <c r="C18" i="40" a="1"/>
  <c r="G5" i="60" a="1"/>
  <c r="H13" i="43" a="1"/>
  <c r="C12" i="42" a="1"/>
  <c r="D4" i="42" a="1"/>
  <c r="E2" i="7" a="1"/>
  <c r="C7" i="52" a="1"/>
  <c r="C3" i="52" a="1"/>
  <c r="S11" i="56" a="1"/>
  <c r="G17" i="56" a="1"/>
  <c r="J9" i="56" a="1"/>
  <c r="B13" i="56" a="1"/>
  <c r="P22" i="12" a="1"/>
  <c r="M5" i="12" a="1"/>
  <c r="E19" i="12" a="1"/>
  <c r="G8" i="12" a="1"/>
  <c r="B10" i="12" a="1"/>
  <c r="H12" i="39" a="1"/>
  <c r="F3" i="39" a="1"/>
  <c r="K13" i="28" a="1"/>
  <c r="L5" i="28" a="1"/>
  <c r="D11" i="28" a="1"/>
  <c r="O10" i="1" a="1"/>
  <c r="J15" i="1" a="1"/>
  <c r="J12" i="1" a="1"/>
  <c r="I9" i="1" a="1"/>
  <c r="H10" i="60" a="1"/>
  <c r="V4" i="9" a="1"/>
  <c r="J15" i="42" a="1"/>
  <c r="J7" i="42" a="1"/>
  <c r="F2" i="15" a="1"/>
  <c r="L2" i="46" a="1"/>
  <c r="C5" i="52" a="1"/>
  <c r="V6" i="56" a="1"/>
  <c r="G13" i="56" a="1"/>
  <c r="P19" i="12" a="1"/>
  <c r="O11" i="12" a="1"/>
  <c r="M18" i="12" a="1"/>
  <c r="F22" i="12" a="1"/>
  <c r="G4" i="12" a="1"/>
  <c r="F13" i="39" a="1"/>
  <c r="M8" i="28" a="1"/>
  <c r="H13" i="28" a="1"/>
  <c r="E18" i="28" a="1"/>
  <c r="D5" i="28" a="1"/>
  <c r="F14" i="1" a="1"/>
  <c r="C7" i="1" a="1"/>
  <c r="C18" i="55" a="1"/>
  <c r="H7" i="60" a="1"/>
  <c r="M4" i="9" a="1"/>
  <c r="I15" i="42" a="1"/>
  <c r="I7" i="42" a="1"/>
  <c r="E2" i="15" a="1"/>
  <c r="K2" i="46" a="1"/>
  <c r="C9" i="52" a="1"/>
  <c r="J4" i="52" a="1"/>
  <c r="S14" i="56" a="1"/>
  <c r="J5" i="56" a="1"/>
  <c r="C9" i="13" a="1"/>
  <c r="O19" i="12" a="1"/>
  <c r="P5" i="12" a="1"/>
  <c r="K9" i="12" a="1"/>
  <c r="G12" i="12" a="1"/>
  <c r="J10" i="39" a="1"/>
  <c r="C2" i="39" a="1"/>
  <c r="G13" i="28" a="1"/>
  <c r="D18" i="28" a="1"/>
  <c r="E4" i="28" a="1"/>
  <c r="G20" i="1" a="1"/>
  <c r="L10" i="1" a="1"/>
  <c r="L7" i="1" a="1"/>
  <c r="K4" i="1" a="1"/>
  <c r="C17" i="55" a="1"/>
  <c r="H12" i="60" a="1"/>
  <c r="K4" i="9" a="1"/>
  <c r="E14" i="42" a="1"/>
  <c r="J8" i="52" a="1"/>
  <c r="I4" i="52" a="1"/>
  <c r="S6" i="56" a="1"/>
  <c r="J12" i="56" a="1"/>
  <c r="C8" i="13" a="1"/>
  <c r="R18" i="12" a="1"/>
  <c r="R10" i="12" a="1"/>
  <c r="O5" i="12" a="1"/>
  <c r="L18" i="12" a="1"/>
  <c r="M8" i="12" a="1"/>
  <c r="E22" i="12" a="1"/>
  <c r="F12" i="12" a="1"/>
  <c r="F4" i="12" a="1"/>
  <c r="F12" i="39" a="1"/>
  <c r="L8" i="28" a="1"/>
  <c r="L13" i="1" a="1"/>
  <c r="I4" i="1" a="1"/>
  <c r="C6" i="1" a="1"/>
  <c r="G12" i="60" a="1"/>
  <c r="G7" i="60" a="1"/>
  <c r="N2" i="38" a="1"/>
  <c r="C8" i="42" a="1"/>
  <c r="E2" i="5" a="1"/>
  <c r="J10" i="52" a="1"/>
  <c r="D6" i="52" a="1"/>
  <c r="S13" i="56" a="1"/>
  <c r="J8" i="56" a="1"/>
  <c r="R15" i="12" a="1"/>
  <c r="L8" i="12" a="1"/>
  <c r="J13" i="39" a="1"/>
  <c r="F8" i="39" a="1"/>
  <c r="L3" i="28" a="1"/>
  <c r="I11" i="1" a="1"/>
  <c r="H7" i="1" a="1"/>
  <c r="H3" i="1" a="1"/>
  <c r="D6" i="49" a="1"/>
  <c r="C7" i="40" a="1"/>
  <c r="C2" i="38" a="1"/>
  <c r="C2" i="5" a="1"/>
  <c r="I10" i="52" a="1"/>
  <c r="C6" i="52" a="1"/>
  <c r="J16" i="56" a="1"/>
  <c r="C11" i="13" a="1"/>
  <c r="Q7" i="12" a="1"/>
  <c r="M20" i="12" a="1"/>
  <c r="E20" i="12" a="1"/>
  <c r="F7" i="12" a="1"/>
  <c r="J12" i="39" a="1"/>
  <c r="E15" i="28" a="1"/>
  <c r="O13" i="1" a="1"/>
  <c r="G15" i="1" a="1"/>
  <c r="G7" i="1" a="1"/>
  <c r="C6" i="40" a="1"/>
  <c r="G6" i="60" a="1"/>
  <c r="G5" i="43" a="1"/>
  <c r="H7" i="42" a="1"/>
  <c r="J5" i="52" a="1"/>
  <c r="V12" i="56" a="1"/>
  <c r="I16" i="56" a="1"/>
  <c r="H7" i="56" a="1"/>
  <c r="C10" i="13" a="1"/>
  <c r="K8" i="12" a="1"/>
  <c r="G11" i="1" a="1"/>
  <c r="G3" i="1" a="1"/>
  <c r="F6" i="60" a="1"/>
  <c r="H10" i="52" a="1"/>
  <c r="P7" i="12" a="1"/>
  <c r="F6" i="39" a="1"/>
  <c r="G15" i="28" a="1"/>
  <c r="F7" i="1" a="1"/>
  <c r="F3" i="1" a="1"/>
  <c r="J15" i="56" a="1"/>
  <c r="H14" i="28" a="1"/>
  <c r="D4" i="49" a="1"/>
  <c r="L20" i="12" a="1"/>
  <c r="G18" i="12" a="1"/>
  <c r="E7" i="12" a="1"/>
  <c r="F7" i="39" a="1"/>
  <c r="F15" i="1" a="1"/>
  <c r="D5" i="49" a="1"/>
  <c r="Q15" i="12" a="1"/>
  <c r="K12" i="28" a="1"/>
  <c r="D15" i="28" a="1"/>
  <c r="I5" i="52" a="1"/>
  <c r="M7" i="12" a="1"/>
  <c r="J11" i="39" a="1"/>
  <c r="M11" i="28" a="1"/>
  <c r="K20" i="12" a="1"/>
  <c r="M15" i="12" a="1"/>
  <c r="J3" i="39" a="1"/>
  <c r="C13" i="39" a="1"/>
  <c r="O4" i="1" a="1"/>
  <c r="L10" i="28" a="1"/>
  <c r="C4" i="1" a="1"/>
  <c r="Q3" i="12" a="1"/>
  <c r="B13" i="12" a="1"/>
  <c r="L8" i="1" a="1"/>
  <c r="H3" i="28" a="1"/>
  <c r="B2" i="38" a="1"/>
  <c r="C7" i="43" a="1"/>
  <c r="G6" i="42" a="1"/>
  <c r="B2" i="5" a="1"/>
  <c r="G16" i="56" a="1"/>
  <c r="G7" i="56" a="1"/>
  <c r="E14" i="28" a="1"/>
  <c r="F12" i="60" a="1"/>
  <c r="U12" i="56" a="1"/>
  <c r="J9" i="39" a="1"/>
  <c r="F11" i="1" a="1"/>
  <c r="L6" i="1" a="1"/>
  <c r="O6" i="1" a="1"/>
  <c r="K6" i="1" a="1"/>
  <c r="C14" i="1" a="1"/>
  <c r="D13" i="28" a="1"/>
  <c r="O5" i="1" a="1"/>
  <c r="P6" i="12" a="1"/>
  <c r="G5" i="12" a="1"/>
  <c r="H12" i="28" a="1"/>
  <c r="F5" i="12" a="1"/>
  <c r="G12" i="28" a="1"/>
  <c r="G11" i="60" a="1"/>
  <c r="C15" i="55" a="1"/>
  <c r="G10" i="60" a="1"/>
  <c r="F9" i="60" a="1"/>
  <c r="B12" i="56" a="1"/>
  <c r="E7" i="28" a="1"/>
  <c r="A2" i="38" a="1"/>
  <c r="C5" i="43" a="1"/>
  <c r="E6" i="42" a="1"/>
  <c r="D2" i="7" a="1"/>
  <c r="G10" i="52" a="1"/>
  <c r="F5" i="52" a="1"/>
  <c r="C6" i="13" a="1"/>
  <c r="R14" i="12" a="1"/>
  <c r="O7" i="12" a="1"/>
  <c r="F18" i="12" a="1"/>
  <c r="G6" i="12" a="1"/>
  <c r="O7" i="1" a="1"/>
  <c r="L14" i="1" a="1"/>
  <c r="D23" i="1" a="1"/>
  <c r="F5" i="60" a="1"/>
  <c r="K14" i="1" a="1"/>
  <c r="K18" i="12" a="1"/>
  <c r="E15" i="12" a="1"/>
  <c r="J7" i="39" a="1"/>
  <c r="J10" i="1" a="1"/>
  <c r="H6" i="1" a="1"/>
  <c r="C19" i="55" a="1"/>
  <c r="H11" i="60" a="1"/>
  <c r="G4" i="52" a="1"/>
  <c r="F4" i="60" a="1"/>
  <c r="J14" i="56" a="1"/>
  <c r="G14" i="12" a="1"/>
  <c r="F14" i="12" a="1"/>
  <c r="E4" i="60" a="1"/>
  <c r="F10" i="60" a="1"/>
  <c r="R20" i="12" a="1"/>
  <c r="G11" i="12" a="1"/>
  <c r="G13" i="1" a="1"/>
  <c r="L3" i="1" a="1"/>
  <c r="K7" i="1" a="1"/>
  <c r="C2" i="7" a="1"/>
  <c r="J6" i="56" a="1"/>
  <c r="O14" i="12" a="1"/>
  <c r="M19" i="12" a="1"/>
  <c r="L7" i="12" a="1"/>
  <c r="F15" i="12" a="1"/>
  <c r="F6" i="12" a="1"/>
  <c r="J8" i="39" a="1"/>
  <c r="F5" i="39" a="1"/>
  <c r="L11" i="28" a="1"/>
  <c r="D14" i="28" a="1"/>
  <c r="K10" i="1" a="1"/>
  <c r="C15" i="1" a="1"/>
  <c r="C20" i="55" a="1"/>
  <c r="E12" i="60" a="1"/>
  <c r="E5" i="60" a="1"/>
  <c r="D6" i="42" a="1"/>
  <c r="F10" i="52" a="1"/>
  <c r="Q6" i="12" a="1"/>
  <c r="K19" i="12" a="1"/>
  <c r="E6" i="12" a="1"/>
  <c r="F2" i="39" a="1"/>
  <c r="K11" i="28" a="1"/>
  <c r="G14" i="28" a="1"/>
  <c r="AN4" i="9" a="1"/>
  <c r="C4" i="43" a="1"/>
  <c r="T12" i="56" a="1"/>
  <c r="H15" i="56" a="1"/>
  <c r="I6" i="56" a="1"/>
  <c r="C5" i="13" a="1"/>
  <c r="K7" i="12" a="1"/>
  <c r="E13" i="28" a="1"/>
  <c r="C12" i="39" a="1"/>
  <c r="O3" i="1" a="1"/>
  <c r="F11" i="60" a="1"/>
  <c r="H14" i="1" a="1"/>
  <c r="F6" i="1" a="1"/>
  <c r="C11" i="1" a="1"/>
  <c r="C14" i="55" a="1"/>
  <c r="J11" i="56" a="1"/>
  <c r="C6" i="39" a="1"/>
  <c r="F8" i="1" a="1"/>
  <c r="AM4" i="9" a="1"/>
  <c r="C3" i="43" a="1"/>
  <c r="C6" i="42" a="1"/>
  <c r="N2" i="47" a="1"/>
  <c r="H4" i="52" a="1"/>
  <c r="S12" i="56" a="1"/>
  <c r="G15" i="56" a="1"/>
  <c r="R13" i="12" a="1"/>
  <c r="C4" i="13" a="1"/>
  <c r="C14" i="39" a="1"/>
  <c r="J14" i="1" a="1"/>
  <c r="G6" i="56" a="1"/>
  <c r="I14" i="1" a="1"/>
  <c r="G6" i="1" a="1"/>
  <c r="C12" i="1" a="1"/>
  <c r="C16" i="55" a="1"/>
  <c r="G10" i="1" a="1"/>
  <c r="H3" i="60" a="1"/>
  <c r="H8" i="39" a="1"/>
  <c r="M2" i="47" a="1"/>
  <c r="E10" i="52" a="1"/>
  <c r="V10" i="56" a="1"/>
  <c r="H6" i="56" a="1"/>
  <c r="Q13" i="12" a="1"/>
  <c r="M6" i="12" a="1"/>
  <c r="J4" i="39" a="1"/>
  <c r="M10" i="28" a="1"/>
  <c r="E12" i="28" a="1"/>
  <c r="I10" i="1" a="1"/>
  <c r="C13" i="1" a="1"/>
  <c r="L5" i="12" a="1"/>
  <c r="AL4" i="9" a="1"/>
  <c r="J5" i="42" a="1"/>
  <c r="AA4" i="9" a="1"/>
  <c r="D14" i="42" a="1"/>
  <c r="I5" i="42" a="1"/>
  <c r="L2" i="47" a="1"/>
  <c r="D10" i="52" a="1"/>
  <c r="S10" i="56" a="1"/>
  <c r="I14" i="56" a="1"/>
  <c r="I5" i="56" a="1"/>
  <c r="R23" i="12" a="1"/>
  <c r="P13" i="12" a="1"/>
  <c r="O6" i="12" a="1"/>
  <c r="E9" i="60" a="1"/>
  <c r="C14" i="42" a="1"/>
  <c r="C4" i="42" a="1"/>
  <c r="D4" i="52" a="1"/>
  <c r="Q23" i="12" a="1"/>
  <c r="O13" i="12" a="1"/>
  <c r="L15" i="12" a="1"/>
  <c r="K5" i="12" a="1"/>
  <c r="J2" i="39" a="1"/>
  <c r="C11" i="39" a="1"/>
  <c r="H11" i="28" a="1"/>
  <c r="E10" i="28" a="1"/>
  <c r="Z4" i="9" a="1"/>
  <c r="F2" i="47" a="1"/>
  <c r="J9" i="52" a="1"/>
  <c r="C4" i="52" a="1"/>
  <c r="U9" i="56" a="1"/>
  <c r="J13" i="56" a="1"/>
  <c r="H5" i="56" a="1"/>
  <c r="R12" i="12" a="1"/>
  <c r="R5" i="12" a="1"/>
  <c r="E14" i="12" a="1"/>
  <c r="E4" i="12" a="1"/>
  <c r="H14" i="39" a="1"/>
  <c r="C10" i="39" a="1"/>
  <c r="D10" i="28" a="1"/>
  <c r="L20" i="1" a="1"/>
  <c r="K13" i="1" a="1"/>
  <c r="F10" i="1" a="1"/>
  <c r="L5" i="1" a="1"/>
  <c r="C10" i="1" a="1"/>
  <c r="X4" i="9" a="1"/>
  <c r="J13" i="42" a="1"/>
  <c r="J3" i="42" a="1"/>
  <c r="C2" i="47" a="1"/>
  <c r="I8" i="52" a="1"/>
  <c r="G5" i="56" a="1"/>
  <c r="R21" i="12" a="1"/>
  <c r="Q5" i="12" a="1"/>
  <c r="K15" i="12" a="1"/>
  <c r="M4" i="12" a="1"/>
  <c r="G13" i="12" a="1"/>
  <c r="G3" i="12" a="1"/>
  <c r="H11" i="39" a="1"/>
  <c r="L9" i="28" a="1"/>
  <c r="G11" i="28" a="1"/>
  <c r="L9" i="1" a="1"/>
  <c r="C13" i="55" a="1"/>
  <c r="W4" i="9" a="1"/>
  <c r="I13" i="42" a="1"/>
  <c r="I3" i="42" a="1"/>
  <c r="B2" i="47" a="1"/>
  <c r="J3" i="52" a="1"/>
  <c r="T9" i="56" a="1"/>
  <c r="I13" i="56" a="1"/>
  <c r="Q21" i="12" a="1"/>
  <c r="Q12" i="12" a="1"/>
  <c r="P4" i="12" a="1"/>
  <c r="M14" i="12" a="1"/>
  <c r="C9" i="39" a="1"/>
  <c r="K9" i="28" a="1"/>
  <c r="D9" i="28" a="1"/>
  <c r="K20" i="1" a="1"/>
  <c r="J13" i="1" a="1"/>
  <c r="C9" i="1" a="1"/>
  <c r="C12" i="55" a="1"/>
  <c r="G3" i="60" a="1"/>
  <c r="C8" i="39" a="1"/>
  <c r="E10" i="60" a="1"/>
  <c r="G8" i="28" a="1"/>
  <c r="I20" i="1" a="1"/>
  <c r="I5" i="1" a="1"/>
  <c r="A2" i="47" a="1"/>
  <c r="H8" i="52" a="1"/>
  <c r="V17" i="56" a="1"/>
  <c r="S9" i="56" a="1"/>
  <c r="C25" i="56" a="1"/>
  <c r="P12" i="12" a="1"/>
  <c r="L4" i="12" a="1"/>
  <c r="F13" i="12" a="1"/>
  <c r="F3" i="12" a="1"/>
  <c r="H10" i="39" a="1"/>
  <c r="K8" i="28" a="1"/>
  <c r="H10" i="28" a="1"/>
  <c r="J20" i="1" a="1"/>
  <c r="I13" i="1" a="1"/>
  <c r="H9" i="1" a="1"/>
  <c r="J5" i="1" a="1"/>
  <c r="D8" i="28" a="1"/>
  <c r="C10" i="55" a="1"/>
  <c r="L7" i="28" a="1"/>
  <c r="H7" i="28" a="1"/>
  <c r="H20" i="1" a="1"/>
  <c r="E3" i="60" a="1"/>
  <c r="H13" i="42" a="1"/>
  <c r="H3" i="42" a="1"/>
  <c r="G8" i="52" a="1"/>
  <c r="U17" i="56" a="1"/>
  <c r="H13" i="56" a="1"/>
  <c r="C23" i="56" a="1"/>
  <c r="P21" i="12" a="1"/>
  <c r="O4" i="12" a="1"/>
  <c r="K13" i="12" a="1"/>
  <c r="L3" i="12" a="1"/>
  <c r="E3" i="12" a="1"/>
  <c r="H9" i="39" a="1"/>
  <c r="G10" i="28" a="1"/>
  <c r="E8" i="28" a="1"/>
  <c r="G9" i="1" a="1"/>
  <c r="C5" i="1" a="1"/>
  <c r="C11" i="55" a="1"/>
  <c r="H9" i="60" a="1"/>
  <c r="F3" i="60" a="1"/>
  <c r="O21" i="12" a="1"/>
  <c r="R3" i="12" a="1"/>
  <c r="K3" i="12" a="1"/>
  <c r="E13" i="12" a="1"/>
  <c r="C7" i="39" a="1"/>
  <c r="H13" i="1" a="1"/>
  <c r="H5" i="1" a="1"/>
  <c r="C17" i="40" a="1"/>
  <c r="U8" i="56" a="1"/>
  <c r="L12" i="12" a="1"/>
  <c r="G23" i="12" a="1"/>
  <c r="E7" i="60" a="1"/>
  <c r="J4" i="9" a="1"/>
  <c r="G12" i="42" a="1"/>
  <c r="K2" i="18" a="1"/>
  <c r="N2" i="46" a="1"/>
  <c r="V8" i="56" a="1"/>
  <c r="I12" i="56" a="1"/>
  <c r="B17" i="56" a="1"/>
  <c r="M7" i="28" a="1"/>
  <c r="F9" i="1" a="1"/>
  <c r="I15" i="1" a="1"/>
  <c r="I4" i="9" a="1"/>
  <c r="I2" i="18" a="1"/>
  <c r="M2" i="46" a="1"/>
  <c r="F8" i="52" a="1"/>
  <c r="T17" i="56" a="1"/>
  <c r="G12" i="56" a="1"/>
  <c r="Q11" i="12" a="1"/>
  <c r="M12" i="12" a="1"/>
  <c r="B15" i="12" a="1"/>
  <c r="K14" i="28" a="1"/>
  <c r="J11" i="42" a="1"/>
  <c r="S17" i="56" a="1"/>
  <c r="F4" i="9" a="1"/>
  <c r="I11" i="42" a="1"/>
  <c r="F2" i="18" a="1"/>
  <c r="J2" i="46" a="1"/>
  <c r="E8" i="52" a="1"/>
  <c r="Q20" i="12" a="1"/>
  <c r="P11" i="12" a="1"/>
  <c r="F23" i="12" a="1"/>
  <c r="F11" i="12" a="1"/>
  <c r="B9" i="12" a="1"/>
  <c r="H7" i="39" a="1"/>
  <c r="C5" i="39" a="1"/>
  <c r="K7" i="28" a="1"/>
  <c r="G7" i="28" a="1"/>
  <c r="D7" i="28" a="1"/>
  <c r="L19" i="1" a="1"/>
  <c r="G5" i="1" a="1"/>
  <c r="C3" i="1" a="1"/>
  <c r="C16" i="40" a="1"/>
  <c r="H8" i="60" a="1"/>
  <c r="G10" i="42" a="1"/>
  <c r="E2" i="18" a="1"/>
  <c r="D2" i="46" a="1"/>
  <c r="J7" i="52" a="1"/>
  <c r="V16" i="56" a="1"/>
  <c r="T8" i="56" a="1"/>
  <c r="H11" i="56" a="1"/>
  <c r="B11" i="56" a="1"/>
  <c r="P3" i="12" a="1"/>
  <c r="K12" i="12" a="1"/>
  <c r="H6" i="39" a="1"/>
  <c r="H6" i="28" a="1"/>
  <c r="E6" i="28" a="1"/>
  <c r="K19" i="1" a="1"/>
  <c r="K8" i="1" a="1"/>
  <c r="F5" i="1" a="1"/>
  <c r="C15" i="40" a="1"/>
  <c r="G8" i="60" a="1"/>
  <c r="B8" i="12" a="1"/>
  <c r="Q10" i="12" a="1"/>
  <c r="E23" i="12" a="1"/>
  <c r="E11" i="12" a="1"/>
  <c r="H5" i="39" a="1"/>
  <c r="M15" i="28" a="1"/>
  <c r="M6" i="28" a="1"/>
  <c r="I12" i="1" a="1"/>
  <c r="L4" i="1" a="1"/>
  <c r="H15" i="43" a="1"/>
  <c r="E10" i="42" a="1"/>
  <c r="J6" i="52" a="1"/>
  <c r="S8" i="56" a="1"/>
  <c r="G11" i="56" a="1"/>
  <c r="P20" i="12" a="1"/>
  <c r="O3" i="12" a="1"/>
  <c r="D16" i="49" a="1"/>
  <c r="D2" i="18" a="1"/>
  <c r="A2" i="46" a="1"/>
  <c r="I6" i="52" a="1"/>
  <c r="S7" i="56" a="1"/>
  <c r="B8" i="56" a="1"/>
  <c r="P10" i="12" a="1"/>
  <c r="K23" i="12" a="1"/>
  <c r="M11" i="12" a="1"/>
  <c r="G22" i="12" a="1"/>
  <c r="G10" i="12" a="1"/>
  <c r="B7" i="12" a="1"/>
  <c r="L6" i="28" a="1"/>
  <c r="G6" i="28" a="1"/>
  <c r="D6" i="28" a="1"/>
  <c r="J19" i="1" a="1"/>
  <c r="J8" i="1" a="1"/>
  <c r="H4" i="1" a="1"/>
  <c r="D15" i="49" a="1"/>
  <c r="C14" i="40" a="1"/>
  <c r="F8" i="60" a="1"/>
  <c r="H8" i="1" a="1"/>
  <c r="C9" i="40" a="1"/>
  <c r="C8" i="40" a="1"/>
  <c r="G15" i="43" a="1"/>
  <c r="D10" i="42" a="1"/>
  <c r="I2" i="15" a="1"/>
  <c r="J12" i="52" a="1"/>
  <c r="T16" i="56" a="1"/>
  <c r="J10" i="56" a="1"/>
  <c r="O20" i="12" a="1"/>
  <c r="L11" i="12" a="1"/>
  <c r="H4" i="39" a="1"/>
  <c r="L15" i="28" a="1"/>
  <c r="G5" i="28" a="1"/>
  <c r="E5" i="28" a="1"/>
  <c r="I19" i="1" a="1"/>
  <c r="H12" i="1" a="1"/>
  <c r="I8" i="1" a="1"/>
  <c r="C10" i="42" a="1"/>
  <c r="G2" i="15" a="1"/>
  <c r="I12" i="52" a="1"/>
  <c r="H6" i="52" a="1"/>
  <c r="S16" i="56" a="1"/>
  <c r="V5" i="56" a="1"/>
  <c r="I10" i="56" a="1"/>
  <c r="B7" i="56" a="1"/>
  <c r="Q9" i="12" a="1"/>
  <c r="M22" i="12" a="1"/>
  <c r="G21" i="12" a="1"/>
  <c r="F10" i="12" a="1"/>
  <c r="B6" i="12" a="1"/>
  <c r="H3" i="39" a="1"/>
  <c r="K15" i="28" a="1"/>
  <c r="K5" i="28" a="1"/>
  <c r="H19" i="1" a="1"/>
  <c r="G12" i="1" a="1"/>
  <c r="G4" i="1" a="1"/>
  <c r="D11" i="49" a="1"/>
  <c r="C13" i="40" a="1"/>
  <c r="E8" i="60" a="1"/>
  <c r="K11" i="1" a="1"/>
  <c r="D7" i="49" a="1"/>
  <c r="G13" i="43" a="1"/>
  <c r="G6" i="52" a="1"/>
  <c r="U5" i="56" a="1"/>
  <c r="B6" i="56" a="1"/>
  <c r="R19" i="12" a="1"/>
  <c r="K11" i="12" a="1"/>
  <c r="E10" i="12" a="1"/>
  <c r="B5" i="12" a="1"/>
  <c r="H2" i="39" a="1"/>
  <c r="H4" i="28" a="1"/>
  <c r="D4" i="28" a="1"/>
  <c r="H8" i="43" a="1"/>
  <c r="J9" i="42" a="1"/>
  <c r="D2" i="15" a="1"/>
  <c r="H12" i="52" a="1"/>
  <c r="V15" i="56" a="1"/>
  <c r="I9" i="56" a="1"/>
  <c r="Q19" i="12" a="1"/>
  <c r="P9" i="12" a="1"/>
  <c r="K22" i="12" a="1"/>
  <c r="F21" i="12" a="1"/>
  <c r="F8" i="12" a="1"/>
  <c r="M14" i="28" a="1"/>
  <c r="M4" i="28" a="1"/>
  <c r="G4" i="28" a="1"/>
  <c r="G19" i="1" a="1"/>
  <c r="F12" i="1" a="1"/>
  <c r="G8" i="1" a="1"/>
  <c r="F4" i="1" a="1"/>
  <c r="D9" i="49" a="1"/>
  <c r="E21" i="12" a="1"/>
  <c r="L14" i="28" a="1"/>
  <c r="E3" i="28" a="1"/>
  <c r="L11" i="1" a="1"/>
  <c r="D8" i="49" a="1"/>
  <c r="F7" i="60" a="1"/>
  <c r="Q18" i="12" a="1"/>
  <c r="H7" i="43" a="1"/>
  <c r="I9" i="42" a="1"/>
  <c r="C2" i="15" a="1"/>
  <c r="G12" i="52" a="1"/>
  <c r="F6" i="52" a="1"/>
  <c r="U15" i="56" a="1"/>
  <c r="T5" i="56" a="1"/>
  <c r="B5" i="56" a="1"/>
  <c r="O9" i="12" a="1"/>
  <c r="K10" i="12" a="1"/>
  <c r="B4" i="12" a="1"/>
  <c r="F14" i="39" a="1"/>
  <c r="L4" i="28" a="1"/>
  <c r="C10" i="40" a="1"/>
  <c r="R8" i="12" a="1"/>
  <c r="M21" i="12" a="1"/>
  <c r="E8" i="12" a="1"/>
  <c r="F10" i="39" a="1"/>
  <c r="J7" i="1" a="1"/>
  <c r="F11" i="52" a="1"/>
  <c r="S15" i="56" a="1"/>
  <c r="S5" i="56" a="1"/>
  <c r="H9" i="56" a="1"/>
  <c r="C16" i="13" a="1"/>
  <c r="G7" i="43" a="1"/>
  <c r="H9" i="42" a="1"/>
  <c r="B2" i="15" a="1"/>
  <c r="E6" i="52" a="1"/>
  <c r="V14" i="56" a="1"/>
  <c r="G9" i="56" a="1"/>
  <c r="C14" i="13" a="1"/>
  <c r="P18" i="12" a="1"/>
  <c r="O8" i="12" a="1"/>
  <c r="L21" i="12" a="1"/>
  <c r="M9" i="12" a="1"/>
  <c r="B3" i="12" a="1"/>
  <c r="K4" i="28" a="1"/>
  <c r="O15" i="1" a="1"/>
  <c r="H6" i="43" a="1"/>
  <c r="D8" i="42" a="1"/>
  <c r="G2" i="5" a="1"/>
  <c r="C11" i="52" a="1"/>
  <c r="T13" i="56" a="1"/>
  <c r="J17" i="56" a="1"/>
  <c r="C13" i="13" a="1"/>
  <c r="R7" i="12" a="1"/>
  <c r="K21" i="12" a="1"/>
  <c r="L9" i="12" a="1"/>
  <c r="F20" i="12" a="1"/>
  <c r="G7" i="12" a="1"/>
  <c r="J14" i="39" a="1"/>
  <c r="F9" i="39" a="1"/>
  <c r="M12" i="28" a="1"/>
  <c r="M3" i="28" a="1"/>
  <c r="G3" i="28" a="1"/>
  <c r="O14" i="1" a="1"/>
  <c r="H15" i="1" a="1"/>
  <c r="J11" i="1" a="1"/>
  <c r="K3" i="1" a="1"/>
  <c r="P8" i="61" l="1"/>
  <c r="P9" i="61"/>
  <c r="P11" i="61"/>
  <c r="P12" i="61"/>
  <c r="P7" i="61"/>
  <c r="P5" i="61"/>
  <c r="P15" i="61"/>
  <c r="P10" i="61"/>
  <c r="P13" i="61"/>
  <c r="P14" i="61"/>
  <c r="K3" i="1"/>
  <c r="J11" i="1"/>
  <c r="H15" i="1"/>
  <c r="O14" i="1"/>
  <c r="G3" i="28"/>
  <c r="M3" i="28"/>
  <c r="M12" i="28"/>
  <c r="F9" i="39"/>
  <c r="J14" i="39"/>
  <c r="G7" i="12"/>
  <c r="F20" i="12"/>
  <c r="L9" i="12"/>
  <c r="K21" i="12"/>
  <c r="R7" i="12"/>
  <c r="C13" i="13"/>
  <c r="J17" i="56"/>
  <c r="T13" i="56"/>
  <c r="C11" i="52"/>
  <c r="G2" i="5"/>
  <c r="D8" i="42"/>
  <c r="H6" i="43"/>
  <c r="O15" i="1"/>
  <c r="K4" i="28"/>
  <c r="B3" i="12"/>
  <c r="M9" i="12"/>
  <c r="L21" i="12"/>
  <c r="O8" i="12"/>
  <c r="P18" i="12"/>
  <c r="C14" i="13"/>
  <c r="G9" i="56"/>
  <c r="V14" i="56"/>
  <c r="E6" i="52"/>
  <c r="B2" i="15"/>
  <c r="H9" i="42"/>
  <c r="G7" i="43"/>
  <c r="C16" i="13"/>
  <c r="H9" i="56"/>
  <c r="S5" i="56"/>
  <c r="S15" i="56"/>
  <c r="F11" i="52"/>
  <c r="J7" i="1"/>
  <c r="F10" i="39"/>
  <c r="E8" i="12"/>
  <c r="M21" i="12"/>
  <c r="R8" i="12"/>
  <c r="C10" i="40"/>
  <c r="L4" i="28"/>
  <c r="O4" i="28" s="1"/>
  <c r="F14" i="39"/>
  <c r="B4" i="12"/>
  <c r="K10" i="12"/>
  <c r="O9" i="12"/>
  <c r="B5" i="56"/>
  <c r="T5" i="56"/>
  <c r="U15" i="56"/>
  <c r="F6" i="52"/>
  <c r="G12" i="52"/>
  <c r="C2" i="15"/>
  <c r="I9" i="42"/>
  <c r="H7" i="43"/>
  <c r="Q18" i="12"/>
  <c r="F7" i="60"/>
  <c r="D8" i="49"/>
  <c r="L11" i="1"/>
  <c r="E3" i="28"/>
  <c r="L14" i="28"/>
  <c r="E21" i="12"/>
  <c r="D9" i="49"/>
  <c r="F4" i="1"/>
  <c r="G8" i="1"/>
  <c r="F12" i="1"/>
  <c r="G19" i="1"/>
  <c r="G4" i="28"/>
  <c r="M4" i="28"/>
  <c r="M14" i="28"/>
  <c r="F8" i="12"/>
  <c r="F21" i="12"/>
  <c r="K22" i="12"/>
  <c r="P9" i="12"/>
  <c r="Q19" i="12"/>
  <c r="I9" i="56"/>
  <c r="V15" i="56"/>
  <c r="H12" i="52"/>
  <c r="D2" i="15"/>
  <c r="J9" i="42"/>
  <c r="H8" i="43"/>
  <c r="D4" i="28"/>
  <c r="H4" i="28"/>
  <c r="H2" i="39"/>
  <c r="B5" i="12"/>
  <c r="E10" i="12"/>
  <c r="K11" i="12"/>
  <c r="R19" i="12"/>
  <c r="B6" i="56"/>
  <c r="U5" i="56"/>
  <c r="G6" i="52"/>
  <c r="G13" i="43"/>
  <c r="D7" i="49"/>
  <c r="K11" i="1"/>
  <c r="E8" i="60"/>
  <c r="C13" i="40"/>
  <c r="D11" i="49"/>
  <c r="G4" i="1"/>
  <c r="G12" i="1"/>
  <c r="H19" i="1"/>
  <c r="K5" i="28"/>
  <c r="K15" i="28"/>
  <c r="H3" i="39"/>
  <c r="B6" i="12"/>
  <c r="F10" i="12"/>
  <c r="G21" i="12"/>
  <c r="M22" i="12"/>
  <c r="Q9" i="12"/>
  <c r="B7" i="56"/>
  <c r="I10" i="56"/>
  <c r="V5" i="56"/>
  <c r="S16" i="56"/>
  <c r="H6" i="52"/>
  <c r="I12" i="52"/>
  <c r="G2" i="15"/>
  <c r="C10" i="42"/>
  <c r="I8" i="1"/>
  <c r="H12" i="1"/>
  <c r="I19" i="1"/>
  <c r="E5" i="28"/>
  <c r="G5" i="28"/>
  <c r="L15" i="28"/>
  <c r="H4" i="39"/>
  <c r="L11" i="12"/>
  <c r="O20" i="12"/>
  <c r="J10" i="56"/>
  <c r="T16" i="56"/>
  <c r="J12" i="52"/>
  <c r="I2" i="15"/>
  <c r="D10" i="42"/>
  <c r="G15" i="43"/>
  <c r="C8" i="40"/>
  <c r="C9" i="40"/>
  <c r="H8" i="1"/>
  <c r="F8" i="60"/>
  <c r="C14" i="40"/>
  <c r="D15" i="49"/>
  <c r="H4" i="1"/>
  <c r="J8" i="1"/>
  <c r="J19" i="1"/>
  <c r="D6" i="28"/>
  <c r="G6" i="28"/>
  <c r="L6" i="28"/>
  <c r="B7" i="12"/>
  <c r="G10" i="12"/>
  <c r="G22" i="12"/>
  <c r="M11" i="12"/>
  <c r="K23" i="12"/>
  <c r="P10" i="12"/>
  <c r="B8" i="56"/>
  <c r="S7" i="56"/>
  <c r="I6" i="52"/>
  <c r="A2" i="46"/>
  <c r="D2" i="18"/>
  <c r="D16" i="49"/>
  <c r="O3" i="12"/>
  <c r="P20" i="12"/>
  <c r="G11" i="56"/>
  <c r="S8" i="56"/>
  <c r="J6" i="52"/>
  <c r="E10" i="42"/>
  <c r="H15" i="43"/>
  <c r="L4" i="1"/>
  <c r="I12" i="1"/>
  <c r="M6" i="28"/>
  <c r="M15" i="28"/>
  <c r="H5" i="39"/>
  <c r="E11" i="12"/>
  <c r="E23" i="12"/>
  <c r="Q10" i="12"/>
  <c r="B8" i="12"/>
  <c r="G8" i="60"/>
  <c r="C15" i="40"/>
  <c r="F5" i="1"/>
  <c r="K8" i="1"/>
  <c r="K19" i="1"/>
  <c r="E6" i="28"/>
  <c r="H6" i="28"/>
  <c r="H6" i="39"/>
  <c r="K12" i="12"/>
  <c r="P3" i="12"/>
  <c r="B11" i="56"/>
  <c r="H11" i="56"/>
  <c r="T8" i="56"/>
  <c r="V16" i="56"/>
  <c r="J7" i="52"/>
  <c r="D2" i="46"/>
  <c r="E2" i="18"/>
  <c r="G10" i="42"/>
  <c r="H8" i="60"/>
  <c r="C16" i="40"/>
  <c r="C3" i="1"/>
  <c r="G5" i="1"/>
  <c r="L19" i="1"/>
  <c r="D7" i="28"/>
  <c r="G7" i="28"/>
  <c r="K7" i="28"/>
  <c r="C5" i="39"/>
  <c r="H7" i="39"/>
  <c r="B9" i="12"/>
  <c r="F11" i="12"/>
  <c r="F23" i="12"/>
  <c r="I23" i="12" s="1"/>
  <c r="E25" i="59" s="1"/>
  <c r="P11" i="12"/>
  <c r="Q20" i="12"/>
  <c r="E8" i="52"/>
  <c r="J2" i="46"/>
  <c r="F2" i="18"/>
  <c r="I11" i="42"/>
  <c r="F4" i="9"/>
  <c r="S17" i="56"/>
  <c r="J11" i="42"/>
  <c r="K14" i="28"/>
  <c r="B15" i="12"/>
  <c r="M12" i="12"/>
  <c r="Q11" i="12"/>
  <c r="G12" i="56"/>
  <c r="T17" i="56"/>
  <c r="F8" i="52"/>
  <c r="M2" i="46"/>
  <c r="I2" i="18"/>
  <c r="I4" i="9"/>
  <c r="I15" i="1"/>
  <c r="F9" i="1"/>
  <c r="M7" i="28"/>
  <c r="B17" i="56"/>
  <c r="I12" i="56"/>
  <c r="V8" i="56"/>
  <c r="N2" i="46"/>
  <c r="K2" i="18"/>
  <c r="G12" i="42"/>
  <c r="J4" i="9"/>
  <c r="E7" i="60"/>
  <c r="G23" i="12"/>
  <c r="L12" i="12"/>
  <c r="U8" i="56"/>
  <c r="C17" i="40"/>
  <c r="H5" i="1"/>
  <c r="H13" i="1"/>
  <c r="C7" i="39"/>
  <c r="E13" i="12"/>
  <c r="K3" i="12"/>
  <c r="R3" i="12"/>
  <c r="O21" i="12"/>
  <c r="F3" i="60"/>
  <c r="H9" i="60"/>
  <c r="C11" i="55"/>
  <c r="C5" i="1"/>
  <c r="G9" i="1"/>
  <c r="E8" i="28"/>
  <c r="G10" i="28"/>
  <c r="H9" i="39"/>
  <c r="E3" i="12"/>
  <c r="L3" i="12"/>
  <c r="K13" i="12"/>
  <c r="O4" i="12"/>
  <c r="P21" i="12"/>
  <c r="C23" i="56"/>
  <c r="H13" i="56"/>
  <c r="U17" i="56"/>
  <c r="G8" i="52"/>
  <c r="H3" i="42"/>
  <c r="H13" i="42"/>
  <c r="E3" i="60"/>
  <c r="H20" i="1"/>
  <c r="H7" i="28"/>
  <c r="L7" i="28"/>
  <c r="C10" i="55"/>
  <c r="D8" i="28"/>
  <c r="J5" i="1"/>
  <c r="H9" i="1"/>
  <c r="I13" i="1"/>
  <c r="J20" i="1"/>
  <c r="H10" i="28"/>
  <c r="K8" i="28"/>
  <c r="H10" i="39"/>
  <c r="F3" i="12"/>
  <c r="F13" i="12"/>
  <c r="L4" i="12"/>
  <c r="P12" i="12"/>
  <c r="C25" i="56"/>
  <c r="S9" i="56"/>
  <c r="V17" i="56"/>
  <c r="H8" i="52"/>
  <c r="A2" i="47"/>
  <c r="I5" i="1"/>
  <c r="I20" i="1"/>
  <c r="G8" i="28"/>
  <c r="E10" i="60"/>
  <c r="C8" i="39"/>
  <c r="G3" i="60"/>
  <c r="C12" i="55"/>
  <c r="C9" i="1"/>
  <c r="J13" i="1"/>
  <c r="K20" i="1"/>
  <c r="D9" i="28"/>
  <c r="K9" i="28"/>
  <c r="C9" i="39"/>
  <c r="M14" i="12"/>
  <c r="P4" i="12"/>
  <c r="Q12" i="12"/>
  <c r="Q21" i="12"/>
  <c r="I13" i="56"/>
  <c r="T9" i="56"/>
  <c r="J3" i="52"/>
  <c r="B2" i="47"/>
  <c r="I3" i="42"/>
  <c r="I13" i="42"/>
  <c r="W4" i="9"/>
  <c r="C13" i="55"/>
  <c r="L9" i="1"/>
  <c r="G11" i="28"/>
  <c r="L9" i="28"/>
  <c r="H11" i="39"/>
  <c r="G3" i="12"/>
  <c r="G13" i="12"/>
  <c r="M4" i="12"/>
  <c r="K15" i="12"/>
  <c r="Q5" i="12"/>
  <c r="R21" i="12"/>
  <c r="G5" i="56"/>
  <c r="I8" i="52"/>
  <c r="C2" i="47"/>
  <c r="J3" i="42"/>
  <c r="J13" i="42"/>
  <c r="X4" i="9"/>
  <c r="C10" i="1"/>
  <c r="L5" i="1"/>
  <c r="F10" i="1"/>
  <c r="K13" i="1"/>
  <c r="L20" i="1"/>
  <c r="D10" i="28"/>
  <c r="C10" i="39"/>
  <c r="H14" i="39"/>
  <c r="E4" i="12"/>
  <c r="E14" i="12"/>
  <c r="R5" i="12"/>
  <c r="R12" i="12"/>
  <c r="H5" i="56"/>
  <c r="J13" i="56"/>
  <c r="U9" i="56"/>
  <c r="C4" i="52"/>
  <c r="J9" i="52"/>
  <c r="F2" i="47"/>
  <c r="Z4" i="9"/>
  <c r="E10" i="28"/>
  <c r="H11" i="28"/>
  <c r="C11" i="39"/>
  <c r="J2" i="39"/>
  <c r="K5" i="12"/>
  <c r="L15" i="12"/>
  <c r="O13" i="12"/>
  <c r="Q23" i="12"/>
  <c r="D4" i="52"/>
  <c r="C4" i="42"/>
  <c r="C14" i="42"/>
  <c r="E9" i="60"/>
  <c r="O6" i="12"/>
  <c r="P13" i="12"/>
  <c r="R23" i="12"/>
  <c r="I5" i="56"/>
  <c r="I14" i="56"/>
  <c r="S10" i="56"/>
  <c r="D10" i="52"/>
  <c r="L2" i="47"/>
  <c r="I5" i="42"/>
  <c r="D14" i="42"/>
  <c r="AA4" i="9"/>
  <c r="J5" i="42"/>
  <c r="AL4" i="9"/>
  <c r="L5" i="12"/>
  <c r="C13" i="1"/>
  <c r="I10" i="1"/>
  <c r="E12" i="28"/>
  <c r="M10" i="28"/>
  <c r="J4" i="39"/>
  <c r="M6" i="12"/>
  <c r="Q13" i="12"/>
  <c r="H6" i="56"/>
  <c r="V10" i="56"/>
  <c r="E10" i="52"/>
  <c r="M2" i="47"/>
  <c r="H8" i="39"/>
  <c r="H3" i="60"/>
  <c r="G10" i="1"/>
  <c r="C16" i="55"/>
  <c r="C12" i="1"/>
  <c r="G6" i="1"/>
  <c r="I14" i="1"/>
  <c r="G6" i="56"/>
  <c r="J14" i="1"/>
  <c r="C14" i="39"/>
  <c r="C4" i="13"/>
  <c r="R13" i="12"/>
  <c r="G15" i="56"/>
  <c r="S12" i="56"/>
  <c r="H4" i="52"/>
  <c r="N2" i="47"/>
  <c r="C6" i="42"/>
  <c r="C3" i="43"/>
  <c r="AM4" i="9"/>
  <c r="F8" i="1"/>
  <c r="C6" i="39"/>
  <c r="J11" i="56"/>
  <c r="C14" i="55"/>
  <c r="C11" i="1"/>
  <c r="F6" i="1"/>
  <c r="H14" i="1"/>
  <c r="F11" i="60"/>
  <c r="O3" i="1"/>
  <c r="C12" i="39"/>
  <c r="E13" i="28"/>
  <c r="K7" i="12"/>
  <c r="C5" i="13"/>
  <c r="I6" i="56"/>
  <c r="H15" i="56"/>
  <c r="T12" i="56"/>
  <c r="C4" i="43"/>
  <c r="AN4" i="9"/>
  <c r="G14" i="28"/>
  <c r="K11" i="28"/>
  <c r="F2" i="39"/>
  <c r="E6" i="12"/>
  <c r="K19" i="12"/>
  <c r="F36" i="59" s="1"/>
  <c r="Q6" i="12"/>
  <c r="F10" i="52"/>
  <c r="D6" i="42"/>
  <c r="E5" i="60"/>
  <c r="E12" i="60"/>
  <c r="C20" i="55"/>
  <c r="C15" i="1"/>
  <c r="K10" i="1"/>
  <c r="D14" i="28"/>
  <c r="L11" i="28"/>
  <c r="F5" i="39"/>
  <c r="J8" i="39"/>
  <c r="F6" i="12"/>
  <c r="F15" i="12"/>
  <c r="L7" i="12"/>
  <c r="M19" i="12"/>
  <c r="O14" i="12"/>
  <c r="J6" i="56"/>
  <c r="C2" i="7"/>
  <c r="K7" i="1"/>
  <c r="L3" i="1"/>
  <c r="G13" i="1"/>
  <c r="G11" i="12"/>
  <c r="R20" i="12"/>
  <c r="F10" i="60"/>
  <c r="E4" i="60"/>
  <c r="F14" i="12"/>
  <c r="G14" i="12"/>
  <c r="J14" i="56"/>
  <c r="F4" i="60"/>
  <c r="G4" i="52"/>
  <c r="H11" i="60"/>
  <c r="C19" i="55"/>
  <c r="H6" i="1"/>
  <c r="J10" i="1"/>
  <c r="J7" i="39"/>
  <c r="E15" i="12"/>
  <c r="K18" i="12"/>
  <c r="K14" i="1"/>
  <c r="F5" i="60"/>
  <c r="D23" i="1"/>
  <c r="L14" i="1"/>
  <c r="O7" i="1"/>
  <c r="G6" i="12"/>
  <c r="F18" i="12"/>
  <c r="O7" i="12"/>
  <c r="R14" i="12"/>
  <c r="C6" i="13"/>
  <c r="F5" i="52"/>
  <c r="G10" i="52"/>
  <c r="D2" i="7"/>
  <c r="E6" i="42"/>
  <c r="C5" i="43"/>
  <c r="A2" i="38"/>
  <c r="E7" i="28"/>
  <c r="B12" i="56"/>
  <c r="F9" i="60"/>
  <c r="G10" i="60"/>
  <c r="C15" i="55"/>
  <c r="G11" i="60"/>
  <c r="G12" i="28"/>
  <c r="F5" i="12"/>
  <c r="H12" i="28"/>
  <c r="G5" i="12"/>
  <c r="P6" i="12"/>
  <c r="O5" i="1"/>
  <c r="D13" i="28"/>
  <c r="C14" i="1"/>
  <c r="K6" i="1"/>
  <c r="O6" i="1"/>
  <c r="L6" i="1"/>
  <c r="F11" i="1"/>
  <c r="J9" i="39"/>
  <c r="U12" i="56"/>
  <c r="F12" i="60"/>
  <c r="E14" i="28"/>
  <c r="G7" i="56"/>
  <c r="G16" i="56"/>
  <c r="B2" i="5"/>
  <c r="G6" i="42"/>
  <c r="C7" i="43"/>
  <c r="B2" i="38"/>
  <c r="H3" i="28"/>
  <c r="L8" i="1"/>
  <c r="B13" i="12"/>
  <c r="Q3" i="12"/>
  <c r="C4" i="1"/>
  <c r="L10" i="28"/>
  <c r="O4" i="1"/>
  <c r="C13" i="39"/>
  <c r="J3" i="39"/>
  <c r="M15" i="12"/>
  <c r="K20" i="12"/>
  <c r="F37" i="59" s="1"/>
  <c r="M11" i="28"/>
  <c r="J11" i="39"/>
  <c r="M7" i="12"/>
  <c r="I5" i="52"/>
  <c r="D15" i="28"/>
  <c r="K12" i="28"/>
  <c r="Q15" i="12"/>
  <c r="D5" i="49"/>
  <c r="F15" i="1"/>
  <c r="F7" i="39"/>
  <c r="E7" i="12"/>
  <c r="G18" i="12"/>
  <c r="L20" i="12"/>
  <c r="D4" i="49"/>
  <c r="H14" i="28"/>
  <c r="J15" i="56"/>
  <c r="F3" i="1"/>
  <c r="F7" i="1"/>
  <c r="G15" i="28"/>
  <c r="F6" i="39"/>
  <c r="P7" i="12"/>
  <c r="H10" i="52"/>
  <c r="F6" i="60"/>
  <c r="G3" i="1"/>
  <c r="G11" i="1"/>
  <c r="K8" i="12"/>
  <c r="C10" i="13"/>
  <c r="H7" i="56"/>
  <c r="I16" i="56"/>
  <c r="V12" i="56"/>
  <c r="J5" i="52"/>
  <c r="H7" i="42"/>
  <c r="G5" i="43"/>
  <c r="G6" i="60"/>
  <c r="C6" i="40"/>
  <c r="G7" i="1"/>
  <c r="G15" i="1"/>
  <c r="O13" i="1"/>
  <c r="E15" i="28"/>
  <c r="J12" i="39"/>
  <c r="F7" i="12"/>
  <c r="E20" i="12"/>
  <c r="M20" i="12"/>
  <c r="Q7" i="12"/>
  <c r="C11" i="13"/>
  <c r="J16" i="56"/>
  <c r="C6" i="52"/>
  <c r="I10" i="52"/>
  <c r="C2" i="5"/>
  <c r="C2" i="38"/>
  <c r="C7" i="40"/>
  <c r="D6" i="49"/>
  <c r="H3" i="1"/>
  <c r="H7" i="1"/>
  <c r="I11" i="1"/>
  <c r="L3" i="28"/>
  <c r="O3" i="28" s="1"/>
  <c r="F8" i="39"/>
  <c r="J13" i="39"/>
  <c r="L8" i="12"/>
  <c r="R15" i="12"/>
  <c r="J8" i="56"/>
  <c r="S13" i="56"/>
  <c r="D6" i="52"/>
  <c r="J10" i="52"/>
  <c r="E2" i="5"/>
  <c r="C8" i="42"/>
  <c r="N2" i="38"/>
  <c r="G7" i="60"/>
  <c r="G12" i="60"/>
  <c r="C6" i="1"/>
  <c r="I4" i="1"/>
  <c r="L13" i="1"/>
  <c r="L8" i="28"/>
  <c r="O8" i="28" s="1"/>
  <c r="F12" i="39"/>
  <c r="F4" i="12"/>
  <c r="F12" i="12"/>
  <c r="E22" i="12"/>
  <c r="M8" i="12"/>
  <c r="L18" i="12"/>
  <c r="O5" i="12"/>
  <c r="R10" i="12"/>
  <c r="R18" i="12"/>
  <c r="C8" i="13"/>
  <c r="J12" i="56"/>
  <c r="S6" i="56"/>
  <c r="I4" i="52"/>
  <c r="J8" i="52"/>
  <c r="E14" i="42"/>
  <c r="K4" i="9"/>
  <c r="H12" i="60"/>
  <c r="C17" i="55"/>
  <c r="K4" i="1"/>
  <c r="L7" i="1"/>
  <c r="L10" i="1"/>
  <c r="G20" i="1"/>
  <c r="E4" i="28"/>
  <c r="D18" i="28"/>
  <c r="G13" i="28"/>
  <c r="C2" i="39"/>
  <c r="J10" i="39"/>
  <c r="G12" i="12"/>
  <c r="K9" i="12"/>
  <c r="P5" i="12"/>
  <c r="O19" i="12"/>
  <c r="C9" i="13"/>
  <c r="J5" i="56"/>
  <c r="S14" i="56"/>
  <c r="J4" i="52"/>
  <c r="C9" i="52"/>
  <c r="K2" i="46"/>
  <c r="E2" i="15"/>
  <c r="I7" i="42"/>
  <c r="I15" i="42"/>
  <c r="M4" i="9"/>
  <c r="H7" i="60"/>
  <c r="C18" i="55"/>
  <c r="C7" i="1"/>
  <c r="F14" i="1"/>
  <c r="D5" i="28"/>
  <c r="E18" i="28"/>
  <c r="H13" i="28"/>
  <c r="M8" i="28"/>
  <c r="F13" i="39"/>
  <c r="G4" i="12"/>
  <c r="F22" i="12"/>
  <c r="M18" i="12"/>
  <c r="O11" i="12"/>
  <c r="P19" i="12"/>
  <c r="G13" i="56"/>
  <c r="V6" i="56"/>
  <c r="C5" i="52"/>
  <c r="L2" i="46"/>
  <c r="F2" i="15"/>
  <c r="J7" i="42"/>
  <c r="J15" i="42"/>
  <c r="V4" i="9"/>
  <c r="H10" i="60"/>
  <c r="I9" i="1"/>
  <c r="J12" i="1"/>
  <c r="J15" i="1"/>
  <c r="O10" i="1"/>
  <c r="D11" i="28"/>
  <c r="L5" i="28"/>
  <c r="K13" i="28"/>
  <c r="F3" i="39"/>
  <c r="H12" i="39"/>
  <c r="B10" i="12"/>
  <c r="G8" i="12"/>
  <c r="E19" i="12"/>
  <c r="M5" i="12"/>
  <c r="P22" i="12"/>
  <c r="B13" i="56"/>
  <c r="J9" i="56"/>
  <c r="G17" i="56"/>
  <c r="S11" i="56"/>
  <c r="C3" i="52"/>
  <c r="C7" i="52"/>
  <c r="E2" i="7"/>
  <c r="D4" i="42"/>
  <c r="C12" i="42"/>
  <c r="H13" i="43"/>
  <c r="G5" i="60"/>
  <c r="C18" i="40"/>
  <c r="D12" i="49"/>
  <c r="I3" i="1"/>
  <c r="I6" i="1"/>
  <c r="J9" i="1"/>
  <c r="O11" i="1"/>
  <c r="E11" i="28"/>
  <c r="H8" i="28"/>
  <c r="M5" i="28"/>
  <c r="B11" i="12"/>
  <c r="F19" i="12"/>
  <c r="M13" i="12"/>
  <c r="L23" i="12"/>
  <c r="P8" i="12"/>
  <c r="P14" i="12"/>
  <c r="O23" i="12"/>
  <c r="H17" i="56"/>
  <c r="U11" i="56"/>
  <c r="N2" i="7"/>
  <c r="D12" i="42"/>
  <c r="G14" i="43"/>
  <c r="H5" i="60"/>
  <c r="E11" i="60"/>
  <c r="C9" i="55"/>
  <c r="D13" i="49"/>
  <c r="K9" i="1"/>
  <c r="K12" i="1"/>
  <c r="G9" i="28"/>
  <c r="K6" i="28"/>
  <c r="L13" i="28"/>
  <c r="O13" i="28" s="1"/>
  <c r="F4" i="39"/>
  <c r="H13" i="39"/>
  <c r="G9" i="12"/>
  <c r="K6" i="12"/>
  <c r="K14" i="12"/>
  <c r="M23" i="12"/>
  <c r="Q8" i="12"/>
  <c r="P23" i="12"/>
  <c r="B14" i="56"/>
  <c r="G10" i="56"/>
  <c r="V11" i="56"/>
  <c r="F3" i="52"/>
  <c r="F7" i="52"/>
  <c r="F12" i="52"/>
  <c r="H5" i="42"/>
  <c r="E6" i="60"/>
  <c r="D14" i="49"/>
  <c r="J3" i="1"/>
  <c r="J6" i="1"/>
  <c r="L12" i="1"/>
  <c r="F19" i="1"/>
  <c r="O12" i="1"/>
  <c r="D12" i="28"/>
  <c r="H9" i="28"/>
  <c r="M13" i="28"/>
  <c r="B12" i="12"/>
  <c r="G19" i="12"/>
  <c r="L6" i="12"/>
  <c r="L14" i="12"/>
  <c r="Q14" i="12"/>
  <c r="B15" i="56"/>
  <c r="H10" i="56"/>
  <c r="I17" i="56"/>
  <c r="I3" i="52"/>
  <c r="I7" i="52"/>
  <c r="A2" i="5"/>
  <c r="E12" i="42"/>
  <c r="H14" i="43"/>
  <c r="D2" i="5"/>
  <c r="E4" i="42"/>
  <c r="H11" i="42"/>
  <c r="H5" i="43"/>
  <c r="H6" i="60"/>
  <c r="D10" i="49"/>
  <c r="K5" i="1"/>
  <c r="H11" i="1"/>
  <c r="G14" i="1"/>
  <c r="F20" i="1"/>
  <c r="D3" i="28"/>
  <c r="L12" i="28"/>
  <c r="E5" i="12"/>
  <c r="E12" i="12"/>
  <c r="G20" i="12"/>
  <c r="L13" i="12"/>
  <c r="L22" i="12"/>
  <c r="R6" i="12"/>
  <c r="R11" i="12"/>
  <c r="C7" i="13"/>
  <c r="C26" i="56"/>
  <c r="V9" i="56"/>
  <c r="U16" i="56"/>
  <c r="F9" i="52"/>
  <c r="G4" i="42"/>
  <c r="G6" i="43"/>
  <c r="Y4" i="9"/>
  <c r="G15" i="12"/>
  <c r="M3" i="12"/>
  <c r="L10" i="12"/>
  <c r="Q4" i="12"/>
  <c r="R9" i="12"/>
  <c r="Q22" i="12"/>
  <c r="B9" i="56"/>
  <c r="J7" i="56"/>
  <c r="U7" i="56"/>
  <c r="E4" i="52"/>
  <c r="D12" i="52"/>
  <c r="G2" i="18"/>
  <c r="G14" i="42"/>
  <c r="G4" i="60"/>
  <c r="C11" i="40"/>
  <c r="C8" i="1"/>
  <c r="I7" i="1"/>
  <c r="F13" i="1"/>
  <c r="K15" i="1"/>
  <c r="O8" i="1"/>
  <c r="H5" i="28"/>
  <c r="H15" i="28"/>
  <c r="M9" i="28"/>
  <c r="C3" i="39"/>
  <c r="J5" i="39"/>
  <c r="B14" i="12"/>
  <c r="E9" i="12"/>
  <c r="L19" i="12"/>
  <c r="O15" i="12"/>
  <c r="G8" i="56"/>
  <c r="G14" i="56"/>
  <c r="V7" i="56"/>
  <c r="U13" i="56"/>
  <c r="D8" i="52"/>
  <c r="A2" i="7"/>
  <c r="H2" i="18"/>
  <c r="E8" i="42"/>
  <c r="H15" i="42"/>
  <c r="G4" i="9"/>
  <c r="H4" i="60"/>
  <c r="G9" i="60"/>
  <c r="C12" i="40"/>
  <c r="C21" i="55"/>
  <c r="J4" i="1"/>
  <c r="H10" i="1"/>
  <c r="L15" i="1"/>
  <c r="O9" i="1"/>
  <c r="E9" i="28"/>
  <c r="K3" i="28"/>
  <c r="K10" i="28"/>
  <c r="C4" i="39"/>
  <c r="F11" i="39"/>
  <c r="J6" i="39"/>
  <c r="F9" i="12"/>
  <c r="E18" i="12"/>
  <c r="K4" i="12"/>
  <c r="M10" i="12"/>
  <c r="R4" i="12"/>
  <c r="O10" i="12"/>
  <c r="P15" i="12"/>
  <c r="R22" i="12"/>
  <c r="B10" i="56"/>
  <c r="I8" i="56"/>
  <c r="H14" i="56"/>
  <c r="V13" i="56"/>
  <c r="F4" i="52"/>
  <c r="E12" i="52"/>
  <c r="B2" i="7"/>
  <c r="G8" i="42"/>
  <c r="H4" i="9"/>
  <c r="F2" i="5"/>
  <c r="H2" i="15"/>
  <c r="J2" i="18"/>
  <c r="F4" i="42"/>
  <c r="F6" i="42"/>
  <c r="F8" i="42"/>
  <c r="F10" i="42"/>
  <c r="F12" i="42"/>
  <c r="F14" i="42"/>
  <c r="C6" i="43"/>
  <c r="G8" i="43"/>
  <c r="L4" i="9"/>
  <c r="AB4" i="9"/>
  <c r="D2" i="38"/>
  <c r="AC4" i="9"/>
  <c r="E2" i="38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N4" i="9"/>
  <c r="AD4" i="9"/>
  <c r="F2" i="38"/>
  <c r="O12" i="12"/>
  <c r="O18" i="12"/>
  <c r="H35" i="59" s="1"/>
  <c r="O22" i="12"/>
  <c r="C12" i="13"/>
  <c r="B16" i="56"/>
  <c r="I7" i="56"/>
  <c r="I11" i="56"/>
  <c r="I15" i="56"/>
  <c r="U6" i="56"/>
  <c r="U10" i="56"/>
  <c r="U14" i="56"/>
  <c r="E3" i="52"/>
  <c r="E5" i="52"/>
  <c r="E7" i="52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O4" i="9"/>
  <c r="AE4" i="9"/>
  <c r="G2" i="38"/>
  <c r="G10" i="43"/>
  <c r="P4" i="9"/>
  <c r="AF4" i="9"/>
  <c r="H2" i="38"/>
  <c r="H2" i="7"/>
  <c r="J2" i="5"/>
  <c r="L2" i="15"/>
  <c r="N2" i="18"/>
  <c r="J4" i="42"/>
  <c r="J6" i="42"/>
  <c r="J8" i="42"/>
  <c r="J10" i="42"/>
  <c r="J12" i="42"/>
  <c r="J14" i="42"/>
  <c r="C10" i="43"/>
  <c r="G3" i="52"/>
  <c r="G5" i="52"/>
  <c r="G7" i="52"/>
  <c r="G9" i="52"/>
  <c r="G11" i="52"/>
  <c r="E2" i="46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Q4" i="9"/>
  <c r="AG4" i="9"/>
  <c r="I2" i="38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B4" i="9"/>
  <c r="R4" i="9"/>
  <c r="AH4" i="9"/>
  <c r="J2" i="38"/>
  <c r="C15" i="13"/>
  <c r="C24" i="56"/>
  <c r="H8" i="56"/>
  <c r="H12" i="56"/>
  <c r="H16" i="56"/>
  <c r="T7" i="56"/>
  <c r="T11" i="56"/>
  <c r="T15" i="56"/>
  <c r="H3" i="52"/>
  <c r="I9" i="52"/>
  <c r="I11" i="52"/>
  <c r="G2" i="46"/>
  <c r="I2" i="47"/>
  <c r="K2" i="7"/>
  <c r="A2" i="18"/>
  <c r="E3" i="42"/>
  <c r="E7" i="42"/>
  <c r="E9" i="42"/>
  <c r="E11" i="42"/>
  <c r="E13" i="42"/>
  <c r="E15" i="42"/>
  <c r="H3" i="43"/>
  <c r="H11" i="43"/>
  <c r="C4" i="9"/>
  <c r="S4" i="9"/>
  <c r="AI4" i="9"/>
  <c r="K2" i="38"/>
  <c r="M2" i="5"/>
  <c r="E5" i="4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D4" i="9"/>
  <c r="T4" i="9"/>
  <c r="AJ4" i="9"/>
  <c r="L2" i="38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E4" i="9"/>
  <c r="U4" i="9"/>
  <c r="AK4" i="9"/>
  <c r="M2" i="38"/>
  <c r="O5" i="28"/>
  <c r="O15" i="28"/>
  <c r="O11" i="28"/>
  <c r="H38" i="59"/>
  <c r="F38" i="59"/>
  <c r="O9" i="28"/>
  <c r="G39" i="59"/>
  <c r="G37" i="59"/>
  <c r="F35" i="59"/>
  <c r="S4" i="52"/>
  <c r="H39" i="59"/>
  <c r="S16" i="52"/>
  <c r="S5" i="52"/>
  <c r="H23" i="12"/>
  <c r="S9" i="52"/>
  <c r="G36" i="59"/>
  <c r="H36" i="59"/>
  <c r="H37" i="59"/>
  <c r="G38" i="59"/>
  <c r="F39" i="59"/>
  <c r="G35" i="59"/>
  <c r="R4" i="61" l="1" a="1"/>
  <c r="R4" i="61" s="1"/>
  <c r="S4" i="61" s="1"/>
  <c r="R16" i="61" a="1"/>
  <c r="R16" i="61" s="1"/>
  <c r="S16" i="61" s="1"/>
  <c r="R14" i="61" a="1"/>
  <c r="R14" i="61" s="1"/>
  <c r="S14" i="61" s="1"/>
  <c r="R10" i="61" a="1"/>
  <c r="R10" i="61" s="1"/>
  <c r="S10" i="61" s="1"/>
  <c r="R13" i="61" a="1"/>
  <c r="R13" i="61" s="1"/>
  <c r="S13" i="61" s="1"/>
  <c r="R11" i="61" a="1"/>
  <c r="R11" i="61" s="1"/>
  <c r="S11" i="61" s="1"/>
  <c r="R7" i="61" a="1"/>
  <c r="R7" i="61" s="1"/>
  <c r="S7" i="61" s="1"/>
  <c r="R9" i="61" a="1"/>
  <c r="R9" i="61" s="1"/>
  <c r="S9" i="61" s="1"/>
  <c r="R5" i="61" a="1"/>
  <c r="R5" i="61" s="1"/>
  <c r="S5" i="61" s="1"/>
  <c r="R6" i="61" a="1"/>
  <c r="R6" i="61" s="1"/>
  <c r="S6" i="61" s="1"/>
  <c r="R12" i="61" a="1"/>
  <c r="R12" i="61" s="1"/>
  <c r="S12" i="61" s="1"/>
  <c r="R15" i="61" a="1"/>
  <c r="R15" i="61" s="1"/>
  <c r="S15" i="61" s="1"/>
  <c r="R8" i="61" a="1"/>
  <c r="R8" i="61" s="1"/>
  <c r="S8" i="61" s="1"/>
  <c r="O6" i="28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P8" i="56" s="1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T5" i="61" l="1" a="1"/>
  <c r="T5" i="61" s="1"/>
  <c r="T8" i="61" a="1"/>
  <c r="T8" i="61" s="1"/>
  <c r="T10" i="61" a="1"/>
  <c r="T10" i="61" s="1"/>
  <c r="T12" i="61" a="1"/>
  <c r="T12" i="61" s="1"/>
  <c r="T4" i="61" a="1"/>
  <c r="T4" i="61" s="1"/>
  <c r="T11" i="61" a="1"/>
  <c r="T11" i="61" s="1"/>
  <c r="T7" i="61" a="1"/>
  <c r="T7" i="61" s="1"/>
  <c r="T14" i="61" a="1"/>
  <c r="T14" i="61" s="1"/>
  <c r="T9" i="61" a="1"/>
  <c r="T9" i="61" s="1"/>
  <c r="T15" i="61" a="1"/>
  <c r="T15" i="61" s="1"/>
  <c r="T6" i="61" a="1"/>
  <c r="T6" i="61" s="1"/>
  <c r="T16" i="61" a="1"/>
  <c r="T16" i="61" s="1"/>
  <c r="T13" i="61" a="1"/>
  <c r="T13" i="61" s="1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N35" i="59"/>
  <c r="M35" i="59"/>
  <c r="L35" i="59"/>
  <c r="L22" i="56" l="1"/>
  <c r="I9" i="59" s="1"/>
  <c r="M22" i="56"/>
  <c r="I10" i="59" s="1"/>
  <c r="N22" i="56"/>
  <c r="I11" i="59" s="1"/>
  <c r="K3" i="60"/>
  <c r="M36" i="59"/>
  <c r="L37" i="59"/>
  <c r="N39" i="59"/>
  <c r="N36" i="59"/>
  <c r="M37" i="59"/>
  <c r="L38" i="59"/>
  <c r="N37" i="59"/>
  <c r="M38" i="59"/>
  <c r="L39" i="59"/>
  <c r="L36" i="59"/>
  <c r="N38" i="59"/>
  <c r="M39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Q8" i="48" a="1"/>
  <c r="Q8" i="48" s="1"/>
  <c r="Q13" i="48" a="1"/>
  <c r="Q13" i="48" s="1"/>
  <c r="Q16" i="48" a="1"/>
  <c r="Q16" i="48" s="1"/>
  <c r="Q12" i="48" a="1"/>
  <c r="Q12" i="48" s="1"/>
  <c r="Q7" i="48" a="1"/>
  <c r="Q7" i="48" s="1"/>
  <c r="Q15" i="48" a="1"/>
  <c r="Q15" i="48" s="1"/>
  <c r="Q6" i="48" a="1"/>
  <c r="Q6" i="48" s="1"/>
  <c r="Q11" i="48" a="1"/>
  <c r="Q11" i="48" s="1"/>
  <c r="Q14" i="48" a="1"/>
  <c r="Q14" i="48" s="1"/>
  <c r="Q9" i="48" a="1"/>
  <c r="Q9" i="48" s="1"/>
  <c r="Q4" i="48" a="1"/>
  <c r="Q4" i="48" s="1"/>
  <c r="Q10" i="48" a="1"/>
  <c r="Q10" i="48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O3" i="42" l="1"/>
  <c r="O15" i="42"/>
  <c r="S15" i="42" s="1"/>
  <c r="O12" i="42" l="1"/>
  <c r="S12" i="42" s="1"/>
  <c r="O13" i="42"/>
  <c r="S13" i="42" s="1"/>
  <c r="O14" i="42"/>
  <c r="S14" i="42" s="1"/>
  <c r="K126" i="15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V12" i="28" l="1"/>
  <c r="V13" i="28"/>
  <c r="N15" i="28"/>
  <c r="V15" i="28"/>
  <c r="N14" i="28"/>
  <c r="V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AE2" i="12" l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1" i="8"/>
  <c r="H22" i="12" l="1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I20" i="12" l="1"/>
  <c r="H20" i="12" l="1"/>
  <c r="J20" i="12" s="1"/>
  <c r="E37" i="59" s="1"/>
  <c r="C19" i="12" l="1"/>
  <c r="L39" i="8"/>
  <c r="I19" i="12" l="1"/>
  <c r="E28" i="59" s="1"/>
  <c r="H19" i="12"/>
  <c r="C28" i="59" s="1"/>
  <c r="J19" i="12" l="1"/>
  <c r="E36" i="59" s="1"/>
  <c r="L2" i="48"/>
  <c r="L1" i="48" l="1"/>
  <c r="N3" i="48" a="1"/>
  <c r="K18" i="48" a="1"/>
  <c r="K19" i="48" a="1"/>
  <c r="K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3" i="48" l="1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K20" i="48"/>
  <c r="M20" i="48" s="1"/>
  <c r="K19" i="48"/>
  <c r="M19" i="48" s="1"/>
  <c r="K18" i="48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S5" i="48" s="1"/>
  <c r="R7" i="48" a="1"/>
  <c r="R7" i="48" s="1"/>
  <c r="S7" i="48" s="1"/>
  <c r="R9" i="48" a="1"/>
  <c r="R9" i="48" s="1"/>
  <c r="S9" i="48" s="1"/>
  <c r="R11" i="48" a="1"/>
  <c r="R11" i="48" s="1"/>
  <c r="S11" i="48" s="1"/>
  <c r="R13" i="48" a="1"/>
  <c r="R13" i="48" s="1"/>
  <c r="S13" i="48" s="1"/>
  <c r="R8" i="48" a="1"/>
  <c r="R8" i="48" s="1"/>
  <c r="S8" i="48" s="1"/>
  <c r="R10" i="48" a="1"/>
  <c r="R10" i="48" s="1"/>
  <c r="S10" i="48" s="1"/>
  <c r="R14" i="48" a="1"/>
  <c r="R14" i="48" s="1"/>
  <c r="S14" i="48" s="1"/>
  <c r="R16" i="48" a="1"/>
  <c r="R16" i="48" s="1"/>
  <c r="S16" i="48" s="1"/>
  <c r="R6" i="48" a="1"/>
  <c r="R6" i="48" s="1"/>
  <c r="S6" i="48" s="1"/>
  <c r="R12" i="48" a="1"/>
  <c r="R12" i="48" s="1"/>
  <c r="S12" i="48" s="1"/>
  <c r="R15" i="48" a="1"/>
  <c r="R15" i="48" s="1"/>
  <c r="S15" i="48" s="1"/>
  <c r="R4" i="48" a="1"/>
  <c r="R4" i="48" s="1"/>
  <c r="S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T4" i="48" l="1" a="1"/>
  <c r="T4" i="48" s="1"/>
  <c r="T5" i="48" a="1"/>
  <c r="T5" i="48" s="1"/>
  <c r="T7" i="48" a="1"/>
  <c r="T7" i="48" s="1"/>
  <c r="T9" i="48" a="1"/>
  <c r="T9" i="48" s="1"/>
  <c r="T11" i="48" a="1"/>
  <c r="T11" i="48" s="1"/>
  <c r="T13" i="48" a="1"/>
  <c r="T13" i="48" s="1"/>
  <c r="T15" i="48" a="1"/>
  <c r="T15" i="48" s="1"/>
  <c r="T6" i="48" a="1"/>
  <c r="T6" i="48" s="1"/>
  <c r="T8" i="48" a="1"/>
  <c r="T8" i="48" s="1"/>
  <c r="T10" i="48" a="1"/>
  <c r="T10" i="48" s="1"/>
  <c r="T12" i="48" a="1"/>
  <c r="T12" i="48" s="1"/>
  <c r="T14" i="48" a="1"/>
  <c r="T14" i="48" s="1"/>
  <c r="T16" i="48" a="1"/>
  <c r="T16" i="48" s="1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11" i="42" l="1"/>
  <c r="C18" i="12"/>
  <c r="O10" i="42" l="1"/>
  <c r="S10" i="42" s="1"/>
  <c r="O6" i="42"/>
  <c r="S6" i="42" s="1"/>
  <c r="O9" i="42"/>
  <c r="D20" i="1"/>
  <c r="D19" i="1"/>
  <c r="O7" i="42" l="1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E24" i="8"/>
  <c r="U2" i="12" s="1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AB13" i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U11" i="28" l="1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E16" i="8"/>
  <c r="AC2" i="12" s="1"/>
  <c r="F16" i="8"/>
  <c r="AD2" i="12" s="1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E20" i="8"/>
  <c r="Z2" i="12" s="1"/>
  <c r="H16" i="8"/>
  <c r="AB2" i="12" s="1"/>
  <c r="G16" i="8"/>
  <c r="AA2" i="12" s="1"/>
  <c r="F12" i="8"/>
  <c r="W2" i="12" s="1"/>
  <c r="G12" i="8"/>
  <c r="X2" i="12" s="1"/>
  <c r="E12" i="8"/>
  <c r="V2" i="12" s="1"/>
  <c r="K14" i="13" l="1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AF2" i="12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F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F14" i="12" s="1"/>
  <c r="AB11" i="12" a="1"/>
  <c r="AB11" i="12" s="1"/>
  <c r="AF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I12" i="12" s="1"/>
  <c r="AB3" i="12" a="1"/>
  <c r="AB3" i="12" s="1"/>
  <c r="AI3" i="12" s="1"/>
  <c r="AB10" i="12" a="1"/>
  <c r="AB10" i="12" s="1"/>
  <c r="AI10" i="12" s="1"/>
  <c r="AI7" i="12"/>
  <c r="AF12" i="12" l="1"/>
  <c r="AI8" i="12"/>
  <c r="AF10" i="12"/>
  <c r="AF3" i="12"/>
  <c r="AI15" i="12"/>
  <c r="AI14" i="12"/>
  <c r="L22" i="55"/>
  <c r="M14" i="55" s="1"/>
  <c r="AF13" i="12"/>
  <c r="AH6" i="12" s="1" a="1"/>
  <c r="AH6" i="12" s="1"/>
  <c r="J10" i="40" s="1"/>
  <c r="AI11" i="12"/>
  <c r="AI4" i="12"/>
  <c r="AI6" i="12"/>
  <c r="AI9" i="12"/>
  <c r="AI5" i="12"/>
  <c r="AH9" i="12" l="1" a="1"/>
  <c r="AH9" i="12" s="1"/>
  <c r="J11" i="40" s="1"/>
  <c r="J9" i="49" s="1"/>
  <c r="AH15" i="12" a="1"/>
  <c r="AH15" i="12" s="1"/>
  <c r="J18" i="40" s="1"/>
  <c r="AH5" i="12" a="1"/>
  <c r="AH5" i="12" s="1"/>
  <c r="J12" i="40" s="1"/>
  <c r="M12" i="40" s="1"/>
  <c r="AH13" i="12" a="1"/>
  <c r="AH13" i="12" s="1"/>
  <c r="J16" i="40" s="1"/>
  <c r="F19" i="55" s="1"/>
  <c r="J19" i="55" s="1"/>
  <c r="M16" i="55"/>
  <c r="AH7" i="12" a="1"/>
  <c r="AH7" i="12" s="1"/>
  <c r="J7" i="40" s="1"/>
  <c r="J5" i="49" s="1"/>
  <c r="M17" i="55"/>
  <c r="AH11" i="12" a="1"/>
  <c r="AH11" i="12" s="1"/>
  <c r="J9" i="40" s="1"/>
  <c r="M9" i="40" s="1"/>
  <c r="AH12" i="12" a="1"/>
  <c r="AH12" i="12" s="1"/>
  <c r="J15" i="40" s="1"/>
  <c r="F18" i="55" s="1"/>
  <c r="J18" i="55" s="1"/>
  <c r="M18" i="55"/>
  <c r="F15" i="55"/>
  <c r="J15" i="55" s="1"/>
  <c r="M11" i="40"/>
  <c r="AH14" i="12" a="1"/>
  <c r="AH14" i="12" s="1"/>
  <c r="J17" i="40" s="1"/>
  <c r="AH4" i="12" a="1"/>
  <c r="AH4" i="12" s="1"/>
  <c r="J13" i="40" s="1"/>
  <c r="M12" i="55"/>
  <c r="M9" i="55"/>
  <c r="M15" i="55"/>
  <c r="J16" i="49"/>
  <c r="F21" i="55"/>
  <c r="J21" i="55" s="1"/>
  <c r="M18" i="40"/>
  <c r="J8" i="49"/>
  <c r="F12" i="55"/>
  <c r="J12" i="55" s="1"/>
  <c r="M10" i="40"/>
  <c r="M20" i="55"/>
  <c r="AH10" i="12" a="1"/>
  <c r="AH10" i="12" s="1"/>
  <c r="J8" i="40" s="1"/>
  <c r="M13" i="55"/>
  <c r="AH3" i="12" a="1"/>
  <c r="AH3" i="12" s="1"/>
  <c r="J14" i="40" s="1"/>
  <c r="AH8" i="12" a="1"/>
  <c r="AH8" i="12" s="1"/>
  <c r="J6" i="40" s="1"/>
  <c r="M6" i="40" s="1"/>
  <c r="M21" i="55"/>
  <c r="M19" i="55"/>
  <c r="M10" i="55"/>
  <c r="M11" i="55"/>
  <c r="F11" i="55" l="1"/>
  <c r="J11" i="55" s="1"/>
  <c r="J10" i="49"/>
  <c r="J13" i="49"/>
  <c r="M16" i="40"/>
  <c r="J14" i="49"/>
  <c r="J7" i="49"/>
  <c r="M7" i="40"/>
  <c r="F13" i="55"/>
  <c r="J13" i="55" s="1"/>
  <c r="F17" i="55"/>
  <c r="J17" i="55" s="1"/>
  <c r="M15" i="40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4" i="49"/>
  <c r="F14" i="55"/>
  <c r="J14" i="55" s="1"/>
  <c r="J12" i="49"/>
  <c r="F9" i="55"/>
  <c r="J9" i="55" s="1"/>
  <c r="M14" i="40"/>
  <c r="N7" i="40" l="1" a="1"/>
  <c r="N7" i="40" s="1"/>
  <c r="L5" i="49" s="1"/>
  <c r="N13" i="40" a="1"/>
  <c r="N13" i="40" s="1"/>
  <c r="L11" i="49" s="1"/>
  <c r="N18" i="40" a="1"/>
  <c r="N18" i="40" s="1"/>
  <c r="L16" i="49" s="1"/>
  <c r="N9" i="40" a="1"/>
  <c r="N9" i="40" s="1"/>
  <c r="L7" i="49" s="1"/>
  <c r="N16" i="40" a="1"/>
  <c r="N16" i="40" s="1"/>
  <c r="L14" i="49" s="1"/>
  <c r="J22" i="55"/>
  <c r="K14" i="55" s="1"/>
  <c r="R14" i="55" s="1"/>
  <c r="N8" i="40" a="1"/>
  <c r="N8" i="40" s="1"/>
  <c r="L6" i="49" s="1"/>
  <c r="N17" i="40" a="1"/>
  <c r="N17" i="40" s="1"/>
  <c r="L15" i="49" s="1"/>
  <c r="N14" i="40" a="1"/>
  <c r="N14" i="40" s="1"/>
  <c r="L12" i="49" s="1"/>
  <c r="N6" i="40" a="1"/>
  <c r="N6" i="40" s="1"/>
  <c r="L4" i="49" s="1"/>
  <c r="N15" i="40" a="1"/>
  <c r="N15" i="40" s="1"/>
  <c r="L13" i="49" s="1"/>
  <c r="N11" i="40" a="1"/>
  <c r="N11" i="40" s="1"/>
  <c r="L9" i="49" s="1"/>
  <c r="N10" i="40" a="1"/>
  <c r="N10" i="40" s="1"/>
  <c r="L8" i="49" s="1"/>
  <c r="N12" i="40" a="1"/>
  <c r="N12" i="40" s="1"/>
  <c r="L10" i="49" s="1"/>
  <c r="K10" i="55" l="1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D0305EC-DA1B-4B69-8F62-14F3CA36903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Timestamp="1709708366"&gt;&lt;FQL&gt;&lt;Q&gt;FC0000US^FMA_MCAP(0,,,USD,"PORTAGG")&lt;/Q&gt;&lt;R&gt;1&lt;/R&gt;&lt;C&gt;1&lt;/C&gt;&lt;D xsi:type="xsd:double"&gt;53679290&lt;/D&gt;&lt;/FQL&gt;&lt;FQL&gt;&lt;Q&gt;FC0000DE^FMA_MCAP(0,,,USD,"PORTAGG")&lt;/Q&gt;&lt;R&gt;1&lt;/R&gt;&lt;C&gt;1&lt;/C&gt;&lt;D xsi:type="xsd:double"&gt;2313505.3&lt;/D&gt;&lt;/FQL&gt;&lt;FQL&gt;&lt;Q&gt;EWC^FREF_MARKET_VALUE_COMPANY(0,,,USD,,0,,"LEGACY")&lt;/Q&gt;&lt;R&gt;1&lt;/R&gt;&lt;C&gt;1&lt;/C&gt;&lt;D xsi:type="xsd:double"&gt;2809.818&lt;/D&gt;&lt;/FQL&gt;&lt;FQL&gt;&lt;Q&gt;FC0000CA^FMA_MCAP(0,,,USD,"PORTAGG")&lt;/Q&gt;&lt;R&gt;1&lt;/R&gt;&lt;C&gt;1&lt;/C&gt;&lt;D xsi:type="xsd:double"&gt;2662035.5&lt;/D&gt;&lt;/FQL&gt;&lt;FQL&gt;&lt;Q&gt;EWA^FREF_MARKET_VALUE_COMPANY(0,,,USD,,0,,"LEGACY")&lt;/Q&gt;&lt;R&gt;1&lt;/R&gt;&lt;C&gt;1&lt;/C&gt;&lt;D xsi:type="xsd:double"&gt;1955.228&lt;/D&gt;&lt;/FQL&gt;&lt;FQL&gt;&lt;Q&gt;FC0000AU^FMA_MCAP(0,,,USD,"PORTAGG")&lt;/Q&gt;&lt;R&gt;1&lt;/R&gt;&lt;C&gt;1&lt;/C&gt;&lt;D xsi:type="xsd:double"&gt;1654518.5&lt;/D&gt;&lt;/FQL&gt;&lt;FQL&gt;&lt;Q&gt;ENZL^FREF_MARKET_VALUE_COMPANY(0,,,USD,,0,,"LEGACY")&lt;/Q&gt;&lt;R&gt;1&lt;/R&gt;&lt;C&gt;1&lt;/C&gt;&lt;D xsi:type="xsd:double"&gt;99.176&lt;/D&gt;&lt;/FQL&gt;&lt;FQL&gt;&lt;Q&gt;FC0000NZ^FMA_MCAP(0,,,USD,"PORTAGG")&lt;/Q&gt;&lt;R&gt;1&lt;/R&gt;&lt;C&gt;1&lt;/C&gt;&lt;D xsi:type="xsd:double"&gt;91122.24&lt;/D&gt;&lt;/FQL&gt;&lt;FQL&gt;&lt;Q&gt;NQG00809^FG_COMPANY_NAME&lt;/Q&gt;&lt;R&gt;1&lt;/R&gt;&lt;C&gt;1&lt;/C&gt;&lt;D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Africa&lt;/D&gt;&lt;/FQL&gt;&lt;FQL&gt;&lt;Q&gt;NQG00809^FMA_MCAP(0,,,USD,"PORTAGG")&lt;/Q&gt;&lt;R&gt;0&lt;/R&gt;&lt;C&gt;0&lt;/C&gt;&lt;/FQL&gt;&lt;FQL&gt;&lt;Q&gt;FC0000ZA^FG_MCAP_IDX(0,,,USD)&lt;/Q&gt;&lt;R&gt;1&lt;/R&gt;&lt;C&gt;1&lt;/C&gt;&lt;D xsi:type="xsd:double"&gt;292423.8&lt;/D&gt;&lt;/FQL&gt;&lt;FQL&gt;&lt;Q&gt;EWI^FREF_MARKET_VALUE_COMPANY(0,,,USD,,0,,"LEGACY")&lt;/Q&gt;&lt;R&gt;1&lt;/R&gt;&lt;C&gt;1&lt;/C&gt;&lt;D xsi:type="xsd:double"&gt;382.548&lt;/D&gt;&lt;/FQL&gt;&lt;FQL&gt;&lt;Q&gt;FC0000IT^FMA_MCAP(0,,,USD,"PORTAGG")&lt;/Q&gt;&lt;R&gt;1&lt;/R&gt;&lt;C&gt;1&lt;/C&gt;&lt;D xsi:type="xsd:double"&gt;857228.7&lt;/D&gt;&lt;/FQL&gt;&lt;FQL&gt;&lt;Q&gt;EWD^FREF_MARKET_VALUE_COMPANY(0,,,USD,,0,,"LEGACY")&lt;/Q&gt;&lt;R&gt;1&lt;/R&gt;&lt;C&gt;1&lt;/C&gt;&lt;D xsi:type="xsd:double"&gt;263.796&lt;/D&gt;&lt;/FQL&gt;&lt;FQL&gt;&lt;Q&gt;FC0000SE^FMA_MCAP(0,,,USD,"PORTAGG")&lt;/Q&gt;&lt;R&gt;1&lt;/R&gt;&lt;C&gt;1&lt;/C&gt;&lt;D xsi:type="xsd:double"&gt;1031661.5&lt;/D&gt;&lt;/FQL&gt;&lt;FQL&gt;&lt;Q&gt;EWN^FREF_MARKET_VALUE_COMPANY(0,,,USD,,0,,"LEGACY")&lt;/Q&gt;&lt;R&gt;1&lt;/R&gt;&lt;C&gt;1&lt;/C&gt;&lt;D xsi:type="xsd:double"&gt;217.98&lt;/D&gt;&lt;/FQL&gt;&lt;FQL&gt;&lt;Q&gt;FC0000NL^FMA_MCAP(0,,,USD,"PORTAGG")&lt;/Q&gt;&lt;R&gt;1&lt;/R&gt;&lt;C&gt;1&lt;/C&gt;&lt;D xsi:type="xsd:double"&gt;1122856&lt;/D&gt;&lt;/FQL&gt;&lt;FQL&gt;&lt;Q&gt;EWQ^FREF_MARKET_VALUE_COMPANY(0,,,USD,,0,,"LEGACY")&lt;/Q&gt;&lt;R&gt;1&lt;/R&gt;&lt;C&gt;1&lt;/C&gt;&lt;D xsi:type="xsd:double"&gt;662.068&lt;/D&gt;&lt;/FQL&gt;&lt;FQL&gt;&lt;Q&gt;FC0000FR^FMA_MCAP(0,,,USD,"PORTAGG")&lt;/Q&gt;&lt;R&gt;1&lt;/R&gt;&lt;C&gt;1&lt;/C&gt;&lt;D xsi:type="xsd:double"&gt;3375113&lt;/D&gt;&lt;/FQL&gt;&lt;FQL&gt;&lt;Q&gt;SPY^FREF_MARKET_VALUE_COMPANY(0,,,USD,,0,,"LEGACY")&lt;/Q&gt;&lt;R&gt;1&lt;/R&gt;&lt;C&gt;1&lt;/C&gt;&lt;D xsi:type="xsd:double"&gt;506424.99483&lt;/D&gt;&lt;/FQL&gt;&lt;FQL&gt;&lt;Q&gt;QQQ^FREF_MARKET_VALUE_COMPANY(0,,,USD,,0,,"LEGACY")&lt;/Q&gt;&lt;R&gt;1&lt;/R&gt;&lt;C&gt;1&lt;/C&gt;&lt;D xsi:type="xsd:double"&gt;257331.791&lt;/D&gt;&lt;/FQL&gt;&lt;FQL&gt;&lt;Q&gt;EWU^FREF_MARKET_VALUE_COMPANY(0,,,USD,,0,,"LEGACY")&lt;/Q&gt;&lt;R&gt;1&lt;/R&gt;&lt;C&gt;1&lt;/C&gt;&lt;D xsi:type="xsd:double"&gt;2576.37&lt;/D&gt;&lt;/FQL&gt;&lt;FQL&gt;&lt;Q&gt;FC0000GB^FMA_MCAP(0,,,USD,"PORTAGG")&lt;/Q&gt;&lt;R&gt;1&lt;/R&gt;&lt;C&gt;1&lt;/C&gt;&lt;D xsi:type="xsd:double"&gt;3041917&lt;/D&gt;&lt;/FQL&gt;&lt;FQL&gt;&lt;Q&gt;EWL^FREF_MARKET_VALUE_COMPANY(0,,,USD,,0,,"LEGACY")&lt;/Q&gt;&lt;R&gt;1&lt;/R&gt;&lt;C&gt;1&lt;/C&gt;&lt;D xsi:type="xsd:double"&gt;1201.55625&lt;/D&gt;&lt;/FQL&gt;&lt;FQL&gt;&lt;Q&gt;FC0000CH^FMA_MCAP(0,,,USD,"PORTAGG")&lt;/Q&gt;&lt;R&gt;1&lt;/R&gt;&lt;C&gt;1&lt;/C&gt;&lt;D xsi:type="xsd:double"&gt;2133620.3&lt;/D&gt;&lt;/FQL&gt;&lt;FQL&gt;&lt;Q&gt;EWJ^FREF_MARKET_VALUE_COMPANY(0,,,USD,,0,,"LEGACY")&lt;/Q&gt;&lt;R&gt;1&lt;/R&gt;&lt;C&gt;1&lt;/C&gt;&lt;D xsi:type="xsd:double"&gt;16560.552&lt;/D&gt;&lt;/FQL&gt;&lt;FQL&gt;&lt;Q&gt;FC0000JP^FMA_MCAP(0,,,USD,"PORTAGG")&lt;/Q&gt;&lt;R&gt;1&lt;/R&gt;&lt;C&gt;1&lt;/C&gt;&lt;D xsi:type="xsd:double"&gt;6661200&lt;/D&gt;&lt;/FQL&gt;&lt;FQL&gt;&lt;Q&gt;EWG^FREF_MARKET_VALUE_COMPANY(0,,,USD,,0,,"LEGACY")&lt;/Q&gt;&lt;R&gt;1&lt;/R&gt;&lt;C&gt;1&lt;/C&gt;&lt;D xsi:type="xsd:double"&gt;1014.09&lt;/D&gt;&lt;/FQL&gt;&lt;FQL&gt;&lt;Q&gt;DUMMY^ECON_EXPR_DATA('FDS_ECON[]',,,M)&lt;/Q&gt;&lt;R&gt;0&lt;/R&gt;&lt;C&gt;0&lt;/C&gt;&lt;/FQL&gt;&lt;FQL&gt;&lt;Q&gt;DUMMY^ECON_EXPR_DATA('FDS_ECON[NTCPMIMFGSA@FR]',,,M)&lt;/Q&gt;&lt;R&gt;1&lt;/R&gt;&lt;C&gt;1&lt;/C&gt;&lt;D xsi:type="xsd:double"&gt;47.113422&lt;/D&gt;&lt;/FQL&gt;&lt;FQL&gt;&lt;Q&gt;DUMMY^ECON_EXPR_DATA('FDS_ECON[NTCPMIMFGSA@GB]',,,M)&lt;/Q&gt;&lt;R&gt;1&lt;/R&gt;&lt;C&gt;1&lt;/C&gt;&lt;D xsi:type="xsd:double"&gt;47.508816&lt;/D&gt;&lt;/FQL&gt;&lt;FQL&gt;&lt;Q&gt;DUMMY^ECON_EXPR_DATA('FDS_ECON[NTCPMIMFGSA@JP]',,,M)&lt;/Q&gt;&lt;R&gt;1&lt;/R&gt;&lt;C&gt;1&lt;/C&gt;&lt;D xsi:type="xsd:double"&gt;47.18277&lt;/D&gt;&lt;/FQL&gt;&lt;FQL&gt;&lt;Q&gt;DUMMY^ECON_EXPR_DATA('FDS_ECON[NTCPMIMFGSA@CA]',,,M)&lt;/Q&gt;&lt;R&gt;1&lt;/R&gt;&lt;C&gt;1&lt;/C&gt;&lt;D xsi:type="xsd:double"&gt;49.74032&lt;/D&gt;&lt;/FQL&gt;&lt;FQL&gt;&lt;Q&gt;DUMMY^ECON_EXPR_DATA('FDS_ECON[NTCPMIMFGSA@NZ]',,,M)&lt;/Q&gt;&lt;R&gt;0&lt;/R&gt;&lt;C&gt;0&lt;/C&gt;&lt;/FQL&gt;&lt;FQL&gt;&lt;Q&gt;DUMMY^ECON_EXPR_DATA('FDS_ECON[NTCPMIMFGSA@IT]',,,M)&lt;/Q&gt;&lt;R&gt;1&lt;/R&gt;&lt;C&gt;1&lt;/C&gt;&lt;D xsi:type="xsd:double"&gt;48.697094&lt;/D&gt;&lt;/FQL&gt;&lt;FQL&gt;&lt;Q&gt;DUMMY^ECON_EXPR_DATA('FDS_ECON[NTCPMIMFGMESA@US]',,,M)&lt;/Q&gt;&lt;R&gt;1&lt;/R&gt;&lt;C&gt;1&lt;/C&gt;&lt;D xsi:type="xsd:double"&gt;52.19507&lt;/D&gt;&lt;/FQL&gt;&lt;FQL&gt;&lt;Q&gt;DUMMY^ECON_EXPR_DATA('FDS_ECON[NTCPMIMFGSA@CH]',,,M)&lt;/Q&gt;&lt;R&gt;1&lt;/R&gt;&lt;C&gt;1&lt;/C&gt;&lt;D xsi:type="xsd:double"&gt;43.954456&lt;/D&gt;&lt;/FQL&gt;&lt;FQL&gt;&lt;Q&gt;DUMMY^ECON_EXPR_DATA('FDS_ECON[NTCPMIMFGSA@DE]',,,M)&lt;/Q&gt;&lt;R&gt;1&lt;/R&gt;&lt;C&gt;1&lt;/C&gt;&lt;D xsi:type="xsd:double"&gt;42.52625&lt;/D&gt;&lt;/FQL&gt;&lt;FQL&gt;&lt;Q&gt;DUMMY^ECON_EXPR_DATA('FDS_ECON[NTCPMIMFGSA@AU]',,,M)&lt;/Q&gt;&lt;R&gt;1&lt;/R&gt;&lt;C&gt;1&lt;/C&gt;&lt;D xsi:type="xsd:double"&gt;47.823067&lt;/D&gt;&lt;/FQL&gt;&lt;FQL&gt;&lt;Q&gt;DUMMY^ECON_EXPR_DATA('FDS_ECON[NTCPMIMFGSA@NL]',,,M)&lt;/Q&gt;&lt;R&gt;1&lt;/R&gt;&lt;C&gt;1&lt;/C&gt;&lt;D xsi:type="xsd:double"&gt;49.33351&lt;/D&gt;&lt;/FQL&gt;&lt;FQL&gt;&lt;Q&gt;EWD^FMA_ROE(NTMA,-20AY,NOW,FY,"PORTAGG","MEANR")&lt;/Q&gt;&lt;R&gt;20&lt;/R&gt;&lt;C&gt;1&lt;/C&gt;&lt;D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xsi:type="xsd:double"&gt;13.4117968278463&lt;/D&gt;&lt;D xsi:type="xsd:double"&gt;11.9070326859664&lt;/D&gt;&lt;D xsi:type="xsd:double"&gt;15.3602779404436&lt;/D&gt;&lt;D xsi:type="xsd:double"&gt;14.6912945348088&lt;/D&gt;&lt;D xsi:type="xsd:double"&gt;15.3680506035552&lt;/D&gt;&lt;/FQL&gt;&lt;FQL&gt;&lt;Q&gt;^FG_YIELD(-10AY,0,Y,,"YTM")&lt;/Q&gt;&lt;R&gt;10&lt;/R&gt;&lt;C&gt;1&lt;/C&gt;&lt;D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xsi:type="xsd:double"&gt;2.004&lt;/D&gt;&lt;/FQL&gt;&lt;FQL&gt;&lt;Q&gt;CAGDPY@FR^EE_ACTUAL_ANNUAL(MED,+1)&lt;/Q&gt;&lt;R&gt;1&lt;/R&gt;&lt;C&gt;1&lt;/C&gt;&lt;D xsi:type="xsd:double"&gt;-1.15&lt;/D&gt;&lt;/FQL&gt;&lt;FQL&gt;&lt;Q&gt;CAGDPY@AU^EE_ACTUAL_ANNUAL(MED,+1)&lt;/Q&gt;&lt;R&gt;1&lt;/R&gt;&lt;C&gt;1&lt;/C&gt;&lt;D xsi:type="xsd:double"&gt;0.45&lt;/D&gt;&lt;/FQL&gt;&lt;FQL&gt;&lt;Q&gt;USDITL^FG_PRICE_CHANGE(0,-3AM)&lt;/Q&gt;&lt;R&gt;1&lt;/R&gt;&lt;C&gt;1&lt;/C&gt;&lt;D xsi:type="xsd:double"&gt;-0.44184923&lt;/D&gt;&lt;/FQL&gt;&lt;FQL&gt;&lt;Q&gt;USDANG^FG_PRICE_CHANGE(0,-3AM)&lt;/Q&gt;&lt;R&gt;1&lt;/R&gt;&lt;C&gt;1&lt;/C&gt;&lt;D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xsi:type="xsd:double"&gt;-0.6929934&lt;/D&gt;&lt;/FQL&gt;&lt;FQL&gt;&lt;Q&gt;USDJPY^FG_PRICE_CHANGE(0,-3AM)&lt;/Q&gt;&lt;R&gt;1&lt;/R&gt;&lt;C&gt;1&lt;/C&gt;&lt;D xsi:type="xsd:double"&gt;2.3044705&lt;/D&gt;&lt;/FQL&gt;&lt;FQL&gt;&lt;Q&gt;USDCAD^FG_PRICE_CHANGE(0,-3AM)&lt;/Q&gt;&lt;R&gt;1&lt;/R&gt;&lt;C&gt;1&lt;/C&gt;&lt;D xsi:type="xsd:double"&gt;0.18097162&lt;/D&gt;&lt;/FQL&gt;&lt;FQL&gt;&lt;Q&gt;USDNZD^FG_PRICE_CHANGE(0,-3AM)&lt;/Q&gt;&lt;R&gt;1&lt;/R&gt;&lt;C&gt;1&lt;/C&gt;&lt;D xsi:type="xsd:double"&gt;1.0576367&lt;/D&gt;&lt;/FQL&gt;&lt;FQL&gt;&lt;Q&gt;EWA^FMA_EPS(NTMA,-20AY,0,CY,,"PORTAGG","MEANR")&lt;/Q&gt;&lt;R&gt;20&lt;/R&gt;&lt;C&gt;1&lt;/C&gt;&lt;D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xsi:type="xsd:long"&gt;45355&lt;/D&gt;&lt;/FQL&gt;&lt;FQL&gt;&lt;Q&gt;EWD^FMA_DIV_YLD(NTMA,-10AY,0,AM,"PORTAGG","MEANR")&lt;/Q&gt;&lt;R&gt;121&lt;/R&gt;&lt;C&gt;1&lt;/C&gt;&lt;D xsi:type="xsd:double"&gt;3.99366848184693&lt;/D&gt;&lt;D xsi:type="xsd:double"&gt;3.99126325412964&lt;/D&gt;&lt;D xsi:type="xsd:double"&gt;4.11187226650118&lt;/D&gt;&lt;D xsi:type="xsd:double"&gt;4.06745041293963&lt;/D&gt;&lt;D xsi:type="xsd:double"&gt;4.05135199817431&lt;/D&gt;&lt;D xsi:type="xsd:double"&gt;4.28411717912099&lt;/D&gt;&lt;D xsi:type="xsd:double"&gt;4.18828352234158&lt;/D&gt;&lt;D xsi:type="xsd:double"&gt;4.30738999542707&lt;/D&gt;&lt;D xsi:type="xsd:double"&gt;4.21474888694285&lt;/D&gt;&lt;D xsi:type="xsd:double"&gt;4.11893210669832&lt;/D&gt;&lt;D xsi:type="xsd:double"&gt;4.09745096649795&lt;/D&gt;&lt;D xsi:type="xsd:double"&gt;3.83369990842633&lt;/D&gt;&lt;D xsi:type="xsd:double"&gt;3.67019450583995&lt;/D&gt;&lt;D xsi:type="xsd:double"&gt;3.65937690689615&lt;/D&gt;&lt;D xsi:type="xsd:double"&gt;3.79221376969597&lt;/D&gt;&lt;D xsi:type="xsd:double"&gt;3.84371011100898&lt;/D&gt;&lt;D xsi:type="xsd:double"&gt;4.02620848817658&lt;/D&gt;&lt;D xsi:type="xsd:double"&gt;3.97652155166922&lt;/D&gt;&lt;D xsi:type="xsd:double"&gt;4.40894771797914&lt;/D&gt;&lt;D xsi:type="xsd:double"&gt;4.57136566651824&lt;/D&gt;&lt;D xsi:type="xsd:double"&gt;4.12405639252162&lt;/D&gt;&lt;D xsi:type="xsd:double"&gt;4.21571381315639&lt;/D&gt;&lt;D xsi:type="xsd:double"&gt;4.46743525945826&lt;/D&gt;&lt;D xsi:type="xsd:double"&gt;4.51321686424956&lt;/D&gt;&lt;D xsi:type="xsd:double"&gt;4.27244227416144&lt;/D&gt;&lt;D xsi:type="xsd:double"&gt;4.4026623563381&lt;/D&gt;&lt;D xsi:type="xsd:double"&gt;4.50663765653268&lt;/D&gt;&lt;D xsi:type="xsd:double"&gt;4.44920851553594&lt;/D&gt;&lt;D xsi:type="xsd:double"&gt;4.45984828805178&lt;/D&gt;&lt;D xsi:type="xsd:double"&gt;4.36841610803346&lt;/D&gt;&lt;D xsi:type="xsd:double"&gt;4.18540209469836&lt;/D&gt;&lt;D xsi:type="xsd:double"&gt;4.14187166390452&lt;/D&gt;&lt;D xsi:type="xsd:double"&gt;4.24570555871851&lt;/D&gt;&lt;D xsi:type="xsd:double"&gt;4.03949567137985&lt;/D&gt;&lt;D xsi:type="xsd:double"&gt;3.86540113570329&lt;/D&gt;&lt;D xsi:type="xsd:double"&gt;3.67984413142987&lt;/D&gt;&lt;D xsi:type="xsd:double"&gt;3.63830664450521&lt;/D&gt;&lt;D xsi:type="xsd:double"&gt;3.67771797992242&lt;/D&gt;&lt;D xsi:type="xsd:double"&gt;3.512705744293&lt;/D&gt;&lt;D xsi:type="xsd:double"&gt;3.36604315801769&lt;/D&gt;&lt;D xsi:type="xsd:double"&gt;3.56050769275156&lt;/D&gt;&lt;D xsi:type="xsd:double"&gt;3.68728274697132&lt;/D&gt;&lt;D xsi:type="xsd:double"&gt;3.74100517530846&lt;/D&gt;&lt;D xsi:type="xsd:double"&gt;3.52634257028056&lt;/D&gt;&lt;D xsi:type="xsd:double"&gt;3.51379707662705&lt;/D&gt;&lt;D xsi:type="xsd:double"&gt;3.66500534795097&lt;/D&gt;&lt;D xsi:type="xsd:double"&gt;3.70306250932207&lt;/D&gt;&lt;D xsi:type="xsd:double"&gt;3.81273090284385&lt;/D&gt;&lt;D xsi:type="xsd:double"&gt;3.98582247509225&lt;/D&gt;&lt;D xsi:type="xsd:double"&gt;4.16379633671818&lt;/D&gt;&lt;D xsi:type="xsd:double"&gt;4.03374338245727&lt;/D&gt;&lt;D xsi:type="xsd:double"&gt;4.08937100983267&lt;/D&gt;&lt;D xsi:type="xsd:double"&gt;4.17906637120055&lt;/D&gt;&lt;D xsi:type="xsd:double"&gt;4.09562349798691&lt;/D&gt;&lt;D xsi:type="xsd:double"&gt;4.04511214681699&lt;/D&gt;&lt;D xsi:type="xsd:double"&gt;4.05402475913192&lt;/D&gt;&lt;D xsi:type="xsd:double"&gt;4.30719388408219&lt;/D&gt;&lt;D xsi:type="xsd:double"&gt;4.45884851263367&lt;/D&gt;&lt;D xsi:type="xsd:double"&gt;4.64469829440776&lt;/D&gt;&lt;D xsi:type="xsd:double"&gt;4.31295938189837&lt;/D&gt;&lt;D xsi:type="xsd:double"&gt;4.12962975639641&lt;/D&gt;&lt;D xsi:type="xsd:double"&gt;4.07415965349333&lt;/D&gt;&lt;D xsi:type="xsd:double"&gt;4.02507739456709&lt;/D&gt;&lt;D xsi:type="xsd:double"&gt;4.37295300284587&lt;/D&gt;&lt;D xsi:type="xsd:double"&gt;4.09586167505537&lt;/D&gt;&lt;D xsi:type="xsd:double"&gt;4.1520859183797&lt;/D&gt;&lt;D xsi:type="xsd:double"&gt;4.1616160839249&lt;/D&gt;&lt;D xsi:type="xsd:double"&gt;4.04084789891005&lt;/D&gt;&lt;D xsi:type="xsd:double"&gt;3.6599152565671&lt;/D&gt;&lt;D xsi:type="xsd:double"&gt;3.72833813680238&lt;/D&gt;&lt;D xsi:type="xsd:double"&gt;3.59549070219962&lt;/D&gt;&lt;D xsi:type="xsd:double"&gt;3.54475411397242&lt;/D&gt;&lt;D xsi:type="xsd:double"&gt;3.75168603990891&lt;/D&gt;&lt;D xsi:type="xsd:double"&gt;3.99197054181823&lt;/D&gt;&lt;D xsi:type="xsd:double"&gt;3.43330175363627&lt;/D&gt;&lt;D xsi:type="xsd:double"&gt;2.9398972206795&lt;/D&gt;&lt;D xsi:type="xsd:double"&gt;3.00450382364383&lt;/D&gt;&lt;D xsi:type="xsd:double"&gt;3.02706294831297&lt;/D&gt;&lt;D xsi:type="xsd:double"&gt;3.04613619945323&lt;/D&gt;&lt;D xsi:type="xsd:double"&gt;3.0326695227194&lt;/D&gt;&lt;D xsi:type="xsd:double"&gt;3.17647111945125&lt;/D&gt;&lt;D xsi:type="xsd:double"&gt;3.01397460350416&lt;/D&gt;&lt;D xsi:type="xsd:double"&gt;3.08317272557961&lt;/D&gt;&lt;D xsi:type="xsd:double"&gt;2.96552060657484&lt;/D&gt;&lt;D xsi:type="xsd:double"&gt;2.91072312939165&lt;/D&gt;&lt;D xsi:type="xsd:double"&gt;2.75477930738998&lt;/D&gt;&lt;D xsi:type="xsd:double"&gt;2.87953308925506&lt;/D&gt;&lt;D xsi:type="xsd:double"&gt;2.67614977349376&lt;/D&gt;&lt;D xsi:type="xsd:double"&gt;2.69562978057831&lt;/D&gt;&lt;D xsi:type="xsd:double"&gt;2.70739027822329&lt;/D&gt;&lt;D xsi:type="xsd:double"&gt;2.72957625905381&lt;/D&gt;&lt;D xsi:type="xsd:double"&gt;2.93701221198978&lt;/D&gt;&lt;D xsi:type="xsd:double"&gt;2.98785653728161&lt;/D&gt;&lt;D xsi:type="xsd:double"&gt;3.02557243135518&lt;/D&gt;&lt;D xsi:type="xsd:double"&gt;2.79813712003775&lt;/D&gt;&lt;D xsi:type="xsd:double"&gt;2.94404820817427&lt;/D&gt;&lt;D xsi:type="xsd:double"&gt;3.37343342937531&lt;/D&gt;&lt;D xsi:type="xsd:double"&gt;3.08014196511247&lt;/D&gt;&lt;D xsi:type="xsd:double"&gt;3.38130135888321&lt;/D&gt;&lt;D xsi:type="xsd:double"&gt;3.23859296299805&lt;/D&gt;&lt;D xsi:type="xsd:double"&gt;3.63852905398068&lt;/D&gt;&lt;D xsi:type="xsd:double"&gt;3.45892741637499&lt;/D&gt;&lt;D xsi:type="xsd:double"&gt;3.71263331991204&lt;/D&gt;&lt;D xsi:type="xsd:double"&gt;3.62641555533321&lt;/D&gt;&lt;D xsi:type="xsd:double"&gt;3.71907740326317&lt;/D&gt;&lt;D xsi:type="xsd:double"&gt;3.55931358037428&lt;/D&gt;&lt;D xsi:type="xsd:double"&gt;3.64722752252945&lt;/D&gt;&lt;D xsi:type="xsd:double"&gt;3.42777181425567&lt;/D&gt;&lt;D xsi:type="xsd:double"&gt;3.49742820752947&lt;/D&gt;&lt;D xsi:type="xsd:double"&gt;3.64154665843357&lt;/D&gt;&lt;D xsi:type="xsd:double"&gt;3.71116048296115&lt;/D&gt;&lt;D xsi:type="xsd:double"&gt;3.7123831910178&lt;/D&gt;&lt;D xsi:type="xsd:double"&gt;3.72826452620109&lt;/D&gt;&lt;D xsi:type="xsd:double"&gt;3.86196961308518&lt;/D&gt;&lt;D xsi:type="xsd:double"&gt;3.95449653552831&lt;/D&gt;&lt;D xsi:type="xsd:double"&gt;4.10299250909727&lt;/D&gt;&lt;D xsi:type="xsd:double"&gt;3.85626151468886&lt;/D&gt;&lt;D xsi:type="xsd:double"&gt;3.13804183652875&lt;/D&gt;&lt;D xsi:type="xsd:double"&gt;2.98197891078311&lt;/D&gt;&lt;D xsi:type="xsd:double"&gt;3.3140954838563&lt;/D&gt;&lt;D xsi:type="xsd:double"&gt;3.25106600410122&lt;/D&gt;&lt;/FQL&gt;&lt;FQL&gt;&lt;Q&gt;EWQ^FMA_PE(NTMA,-10AY,0,AM,"PORTAGG","MEANR")&lt;/Q&gt;&lt;R&gt;121&lt;/R&gt;&lt;C&gt;1&lt;/C&gt;&lt;D xsi:type="xsd:double"&gt;13.8052599242527&lt;/D&gt;&lt;D xsi:type="xsd:double"&gt;14.0521966377966&lt;/D&gt;&lt;D xsi:type="xsd:double"&gt;14.0176256018427&lt;/D&gt;&lt;D xsi:type="xsd:double"&gt;14.2166335785692&lt;/D&gt;&lt;D xsi:type="xsd:double"&gt;14.1361001037127&lt;/D&gt;&lt;D xsi:type="xsd:double"&gt;13.2935719873864&lt;/D&gt;&lt;D xsi:type="xsd:double"&gt;13.952491944265&lt;/D&gt;&lt;D xsi:type="xsd:double"&gt;13.2381987885324&lt;/D&gt;&lt;D xsi:type="xsd:double"&gt;12.901313762166&lt;/D&gt;&lt;D xsi:type="xsd:double"&gt;13.7884594638176&lt;/D&gt;&lt;D xsi:type="xsd:double"&gt;13.7289565546907&lt;/D&gt;&lt;D xsi:type="xsd:double"&gt;15.6072248759&lt;/D&gt;&lt;D xsi:type="xsd:double"&gt;16.248165188513&lt;/D&gt;&lt;D xsi:type="xsd:double"&gt;16.6037523299544&lt;/D&gt;&lt;D xsi:type="xsd:double"&gt;16.3992254777522&lt;/D&gt;&lt;D xsi:type="xsd:double"&gt;16.024036046838&lt;/D&gt;&lt;D xsi:type="xsd:double"&gt;15.3237084896228&lt;/D&gt;&lt;D xsi:type="xsd:double"&gt;15.8528684045159&lt;/D&gt;&lt;D xsi:type="xsd:double"&gt;13.9508657899878&lt;/D&gt;&lt;D xsi:type="xsd:double"&gt;13.8827690699177&lt;/D&gt;&lt;D xsi:type="xsd:double"&gt;15.2915302025362&lt;/D&gt;&lt;D xsi:type="xsd:double"&gt;14.7690731045913&lt;/D&gt;&lt;D xsi:type="xsd:double"&gt;14.1752873396429&lt;/D&gt;&lt;D xsi:type="xsd:double"&gt;13.7223838276463&lt;/D&gt;&lt;D xsi:type="xsd:double"&gt;14.5520858214009&lt;/D&gt;&lt;D xsi:type="xsd:double"&gt;14.2264950589951&lt;/D&gt;&lt;D xsi:type="xsd:double"&gt;14.1861658824392&lt;/D&gt;&lt;D xsi:type="xsd:double"&gt;14.3182960735214&lt;/D&gt;&lt;D xsi:type="xsd:double"&gt;13.6982287872212&lt;/D&gt;&lt;D xsi:type="xsd:double"&gt;13.7897973489736&lt;/D&gt;&lt;D xsi:type="xsd:double"&gt;14.265122056874&lt;/D&gt;&lt;D xsi:type="xsd:double"&gt;13.9989862682257&lt;/D&gt;&lt;D xsi:type="xsd:double"&gt;13.5104488661513&lt;/D&gt;&lt;D xsi:type="xsd:double"&gt;13.7541373927975&lt;/D&gt;&lt;D xsi:type="xsd:double"&gt;14.646981526403&lt;/D&gt;&lt;D xsi:type="xsd:double"&gt;14.3369487502949&lt;/D&gt;&lt;D xsi:type="xsd:double"&gt;14.5341399191049&lt;/D&gt;&lt;D xsi:type="xsd:double"&gt;14.8322729851316&lt;/D&gt;&lt;D xsi:type="xsd:double"&gt;15.4661036765156&lt;/D&gt;&lt;D xsi:type="xsd:double"&gt;15.2634708736995&lt;/D&gt;&lt;D xsi:type="xsd:double"&gt;14.759932603358&lt;/D&gt;&lt;D xsi:type="xsd:double"&gt;14.7740514540149&lt;/D&gt;&lt;D xsi:type="xsd:double"&gt;14.5510852693452&lt;/D&gt;&lt;D xsi:type="xsd:double"&gt;15.1875610945984&lt;/D&gt;&lt;D xsi:type="xsd:double"&gt;15.4478297837694&lt;/D&gt;&lt;D xsi:type="xsd:double"&gt;15.0703722671518&lt;/D&gt;&lt;D xsi:type="xsd:double"&gt;15.0568383033677&lt;/D&gt;&lt;D xsi:type="xsd:double"&gt;14.883011983911&lt;/D&gt;&lt;D xsi:type="xsd:double"&gt;14.1847968466843&lt;/D&gt;&lt;D xsi:type="xsd:double"&gt;14.1087826330934&lt;/D&gt;&lt;D xsi:type="xsd:double"&gt;14.8102091998853&lt;/D&gt;&lt;D xsi:type="xsd:double"&gt;14.4786724922305&lt;/D&gt;&lt;D xsi:type="xsd:double"&gt;13.9214169739867&lt;/D&gt;&lt;D xsi:type="xsd:double"&gt;14.072271243197&lt;/D&gt;&lt;D xsi:type="xsd:double"&gt;13.6047046408345&lt;/D&gt;&lt;D xsi:type="xsd:double"&gt;13.6150947599762&lt;/D&gt;&lt;D xsi:type="xsd:double"&gt;12.8366828005511&lt;/D&gt;&lt;D xsi:type="xsd:double"&gt;12.5664136855346&lt;/D&gt;&lt;D xsi:type="xsd:double"&gt;11.9068560310163&lt;/D&gt;&lt;D xsi:type="xsd:double"&gt;12.8703089852673&lt;/D&gt;&lt;D xsi:type="xsd:double"&gt;13.5787893918899&lt;/D&gt;&lt;D xsi:type="xsd:double"&gt;13.8759338479745&lt;/D&gt;&lt;D xsi:type="xsd:double"&gt;14.0397728643122&lt;/D&gt;&lt;D xsi:type="xsd:double"&gt;13.3049018503161&lt;/D&gt;&lt;D xsi:type="xsd:double"&gt;14.0809810226379&lt;/D&gt;&lt;D xsi:type="xsd:double"&gt;13.6054903864722&lt;/D&gt;&lt;D xsi:type="xsd:double"&gt;13.8964850770857&lt;/D&gt;&lt;D xsi:type="xsd:double"&gt;13.77232801751&lt;/D&gt;&lt;D xsi:type="xsd:double"&gt;14.6385133237635&lt;/D&gt;&lt;D xsi:type="xsd:double"&gt;14.4872020603202&lt;/D&gt;&lt;D xsi:type="xsd:double"&gt;15.0300559696275&lt;/D&gt;&lt;D xsi:type="xsd:double"&gt;14.8131268241372&lt;/D&gt;&lt;D xsi:type="xsd:double"&gt;13.8748468856443&lt;/D&gt;&lt;D xsi:type="xsd:double"&gt;12.5360041044414&lt;/D&gt;&lt;D xsi:type="xsd:double"&gt;15.8836698494214&lt;/D&gt;&lt;D xsi:type="xsd:double"&gt;18.989131497066&lt;/D&gt;&lt;D xsi:type="xsd:double"&gt;19.2809752577408&lt;/D&gt;&lt;D xsi:type="xsd:double"&gt;19.6356046065242&lt;/D&gt;&lt;D xsi:type="xsd:double"&gt;19.1740616350775&lt;/D&gt;&lt;D xsi:type="xsd:double"&gt;18.0821121688499&lt;/D&gt;&lt;D xsi:type="xsd:double"&gt;17.5416792002974&lt;/D&gt;&lt;D xsi:type="xsd:double"&gt;19.0429811307927&lt;/D&gt;&lt;D xsi:type="xsd:double"&gt;18.0701185273924&lt;/D&gt;&lt;D xsi:type="xsd:double"&gt;17.8270398121279&lt;/D&gt;&lt;D xsi:type="xsd:double"&gt;18.0290262750309&lt;/D&gt;&lt;D xsi:type="xsd:double"&gt;18.3004914058889&lt;/D&gt;&lt;D xsi:type="xsd:double"&gt;17.8015613997234&lt;/D&gt;&lt;D xsi:type="xsd:double"&gt;17.8812166742069&lt;/D&gt;&lt;D xsi:type="xsd:double"&gt;17.4625566406553&lt;/D&gt;&lt;D xsi:type="xsd:double"&gt;16.8221721808954&lt;/D&gt;&lt;D xsi:type="xsd:double"&gt;16.2904181560816&lt;/D&gt;&lt;D xsi:type="xsd:double"&gt;15.4223544461693&lt;/D&gt;&lt;D xsi:type="xsd:double"&gt;15.8610419185483&lt;/D&gt;&lt;D xsi:type="xsd:double"&gt;15.139832931153&lt;/D&gt;&lt;D xsi:type="xsd:double"&gt;16.1030520744488&lt;/D&gt;&lt;D xsi:type="xsd:double"&gt;14.8152666728467&lt;/D&gt;&lt;D xsi:type="xsd:double"&gt;12.5924774116136&lt;/D&gt;&lt;D xsi:type="xsd:double"&gt;13.5609960682267&lt;/D&gt;&lt;D xsi:type="xsd:double"&gt;12.5451346254352&lt;/D&gt;&lt;D xsi:type="xsd:double"&gt;12.4292431743521&lt;/D&gt;&lt;D xsi:type="xsd:double"&gt;11.1853188289709&lt;/D&gt;&lt;D xsi:type="xsd:double"&gt;11.8109593984701&lt;/D&gt;&lt;D xsi:type="xsd:double"&gt;11.1241657096226&lt;/D&gt;&lt;D xsi:type="xsd:double"&gt;10.7614842038368&lt;/D&gt;&lt;D xsi:type="xsd:double"&gt;11.4255476671195&lt;/D&gt;&lt;D xsi:type="xsd:double"&gt;12.1846772308317&lt;/D&gt;&lt;D xsi:type="xsd:double"&gt;12.341981719946&lt;/D&gt;&lt;D xsi:type="xsd:double"&gt;13.4166095173354&lt;/D&gt;&lt;D xsi:type="xsd:double"&gt;13.3424034678087&lt;/D&gt;&lt;D xsi:type="xsd:double"&gt;13.3762972054909&lt;/D&gt;&lt;D xsi:type="xsd:double"&gt;13.3878340064485&lt;/D&gt;&lt;D xsi:type="xsd:double"&gt;13.1336131538586&lt;/D&gt;&lt;D xsi:type="xsd:double"&gt;13.2760080130871&lt;/D&gt;&lt;D xsi:type="xsd:double"&gt;13.045112210231&lt;/D&gt;&lt;D xsi:type="xsd:double"&gt;12.9497600687677&lt;/D&gt;&lt;D xsi:type="xsd:double"&gt;12.2142776291676&lt;/D&gt;&lt;D xsi:type="xsd:double"&gt;12.4413113283708&lt;/D&gt;&lt;D xsi:type="xsd:double"&gt;12.9740181619545&lt;/D&gt;&lt;D xsi:type="xsd:double"&gt;13.2628992281579&lt;/D&gt;&lt;D xsi:type="xsd:double"&gt;13.6461392312577&lt;/D&gt;&lt;D xsi:type="xsd:double"&gt;15.5397035968711&lt;/D&gt;&lt;/FQL&gt;&lt;FQL&gt;&lt;Q&gt;QQQ^FMA_PE(LTMA,-10AY,0,AM,"PORTAGG","MEANR")&lt;/Q&gt;&lt;R&gt;121&lt;/R&gt;&lt;C&gt;1&lt;/C&gt;&lt;D xsi:type="xsd:double"&gt;19.2709011630388&lt;/D&gt;&lt;D xsi:type="xsd:double"&gt;18.9604589630434&lt;/D&gt;&lt;D xsi:type="xsd:double"&gt;18.7783283384728&lt;/D&gt;&lt;D xsi:type="xsd:double"&gt;18.9017969696518&lt;/D&gt;&lt;D xsi:type="xsd:double"&gt;19.2148765330994&lt;/D&gt;&lt;D xsi:type="xsd:double"&gt;18.9741970650072&lt;/D&gt;&lt;D xsi:type="xsd:double"&gt;19.4119457064866&lt;/D&gt;&lt;D xsi:type="xsd:double"&gt;19.2525087136177&lt;/D&gt;&lt;D xsi:type="xsd:double"&gt;19.7535616683577&lt;/D&gt;&lt;D xsi:type="xsd:double"&gt;20.4343391103326&lt;/D&gt;&lt;D xsi:type="xsd:double"&gt;20.0691968928018&lt;/D&gt;&lt;D xsi:type="xsd:double"&gt;19.7408344854617&lt;/D&gt;&lt;D xsi:type="xsd:double"&gt;20.7570925544997&lt;/D&gt;&lt;D xsi:type="xsd:double"&gt;20.457636356412&lt;/D&gt;&lt;D xsi:type="xsd:double"&gt;20.3785244931196&lt;/D&gt;&lt;D xsi:type="xsd:double"&gt;20.1955568892353&lt;/D&gt;&lt;D xsi:type="xsd:double"&gt;19.9452813801037&lt;/D&gt;&lt;D xsi:type="xsd:double"&gt;20.3655289650461&lt;/D&gt;&lt;D xsi:type="xsd:double"&gt;19.1647038302447&lt;/D&gt;&lt;D xsi:type="xsd:double"&gt;19.2635539720155&lt;/D&gt;&lt;D xsi:type="xsd:double"&gt;20.5611373358865&lt;/D&gt;&lt;D xsi:type="xsd:double"&gt;20.6064489807126&lt;/D&gt;&lt;D xsi:type="xsd:double"&gt;19.9050710063603&lt;/D&gt;&lt;D xsi:type="xsd:double"&gt;18.2619361991922&lt;/D&gt;&lt;D xsi:type="xsd:double"&gt;18.2516666867713&lt;/D&gt;&lt;D xsi:type="xsd:double"&gt;18.4245100522264&lt;/D&gt;&lt;D xsi:type="xsd:double"&gt;18.2737461252963&lt;/D&gt;&lt;D xsi:type="xsd:double"&gt;18.6126621595739&lt;/D&gt;&lt;D xsi:type="xsd:double"&gt;18.6440457276687&lt;/D&gt;&lt;D xsi:type="xsd:double"&gt;19.412035999545&lt;/D&gt;&lt;D xsi:type="xsd:double"&gt;19.6058006620666&lt;/D&gt;&lt;D xsi:type="xsd:double"&gt;19.9465008074335&lt;/D&gt;&lt;D xsi:type="xsd:double"&gt;19.2478778038632&lt;/D&gt;&lt;D xsi:type="xsd:double"&gt;19.6266462216378&lt;/D&gt;&lt;D xsi:type="xsd:double"&gt;20.5913106388023&lt;/D&gt;&lt;D xsi:type="xsd:double"&gt;21.2572761468263&lt;/D&gt;&lt;D xsi:type="xsd:double"&gt;21.7219698335703&lt;/D&gt;&lt;D xsi:type="xsd:double"&gt;21.6535291099736&lt;/D&gt;&lt;D xsi:type="xsd:double"&gt;21.7836219593518&lt;/D&gt;&lt;D xsi:type="xsd:double"&gt;22.1022740381737&lt;/D&gt;&lt;D xsi:type="xsd:double"&gt;21.5399218389232&lt;/D&gt;&lt;D xsi:type="xsd:double"&gt;22.0850486522561&lt;/D&gt;&lt;D xsi:type="xsd:double"&gt;22.3062549192523&lt;/D&gt;&lt;D xsi:type="xsd:double"&gt;22.363092743029&lt;/D&gt;&lt;D xsi:type="xsd:double"&gt;22.9227416283693&lt;/D&gt;&lt;D xsi:type="xsd:double"&gt;22.8368980831031&lt;/D&gt;&lt;D xsi:type="xsd:double"&gt;24.1540038512161&lt;/D&gt;&lt;D xsi:type="xsd:double"&gt;24.1449957666679&lt;/D&gt;&lt;D xsi:type="xsd:double"&gt;24.0788483340659&lt;/D&gt;&lt;D xsi:type="xsd:double"&gt;23.5554020395594&lt;/D&gt;&lt;D xsi:type="xsd:double"&gt;23.265680097237&lt;/D&gt;&lt;D xsi:type="xsd:double"&gt;23.3427693991118&lt;/D&gt;&lt;D xsi:type="xsd:double"&gt;22.9029684507188&lt;/D&gt;&lt;D xsi:type="xsd:double"&gt;23.1215312910434&lt;/D&gt;&lt;D xsi:type="xsd:double"&gt;23.3721615278027&lt;/D&gt;&lt;D xsi:type="xsd:double"&gt;22.9338697397862&lt;/D&gt;&lt;D xsi:type="xsd:double"&gt;21.1234186000788&lt;/D&gt;&lt;D xsi:type="xsd:double"&gt;20.2852841007646&lt;/D&gt;&lt;D xsi:type="xsd:double"&gt;19.0476001417074&lt;/D&gt;&lt;D xsi:type="xsd:double"&gt;20.5389593871857&lt;/D&gt;&lt;D xsi:type="xsd:double"&gt;20.913814128787&lt;/D&gt;&lt;D xsi:type="xsd:double"&gt;21.1567250705163&lt;/D&gt;&lt;D xsi:type="xsd:double"&gt;21.5142552176524&lt;/D&gt;&lt;D xsi:type="xsd:double"&gt;20.8381362011605&lt;/D&gt;&lt;D xsi:type="xsd:double"&gt;21.8952327009466&lt;/D&gt;&lt;D xsi:type="xsd:double"&gt;21.7403634515916&lt;/D&gt;&lt;D xsi:type="xsd:double"&gt;21.9106671441629&lt;/D&gt;&lt;D xsi:type="xsd:double"&gt;22.129203862312&lt;/D&gt;&lt;D xsi:type="xsd:double"&gt;23.2772751727262&lt;/D&gt;&lt;D xsi:type="xsd:double"&gt;23.9209657662154&lt;/D&gt;&lt;D xsi:type="xsd:double"&gt;25.6234835956995&lt;/D&gt;&lt;D xsi:type="xsd:double"&gt;26.4210891810339&lt;/D&gt;&lt;D xsi:type="xsd:double"&gt;23.9970502388216&lt;/D&gt;&lt;D xsi:type="xsd:double"&gt;23.3643675426848&lt;/D&gt;&lt;D xsi:type="xsd:double"&gt;25.0848085988077&lt;/D&gt;&lt;D xsi:type="xsd:double"&gt;26.6459995769387&lt;/D&gt;&lt;D xsi:type="xsd:double"&gt;27.9753211761512&lt;/D&gt;&lt;D xsi:type="xsd:double"&gt;29.0872429404241&lt;/D&gt;&lt;D xsi:type="xsd:double"&gt;30.6448883050624&lt;/D&gt;&lt;D xsi:type="xsd:double"&gt;30.5399241983619&lt;/D&gt;&lt;D xsi:type="xsd:double"&gt;31.5089148655437&lt;/D&gt;&lt;D xsi:type="xsd:double"&gt;33.909425848717&lt;/D&gt;&lt;D xsi:type="xsd:double"&gt;34.6453741154332&lt;/D&gt;&lt;D xsi:type="xsd:double"&gt;35.1318545992393&lt;/D&gt;&lt;D xsi:type="xsd:double"&gt;32.684540374848&lt;/D&gt;&lt;D xsi:type="xsd:double"&gt;32.6716433388025&lt;/D&gt;&lt;D xsi:type="xsd:double"&gt;31.8645531272531&lt;/D&gt;&lt;D xsi:type="xsd:double"&gt;31.4616990484072&lt;/D&gt;&lt;D xsi:type="xsd:double"&gt;32.0171609181533&lt;/D&gt;&lt;D xsi:type="xsd:double"&gt;31.4594183915121&lt;/D&gt;&lt;D xsi:type="xsd:double"&gt;31.8010792817601&lt;/D&gt;&lt;D xsi:type="xsd:double"&gt;29.8608099612789&lt;/D&gt;&lt;D xsi:type="xsd:double"&gt;32.1992350775981&lt;/D&gt;&lt;D xsi:type="xsd:double"&gt;30.8335051969529&lt;/D&gt;&lt;D xsi:type="xsd:double"&gt;31.7861775357966&lt;/D&gt;&lt;D xsi:type="xsd:double"&gt;27.8003756988071&lt;/D&gt;&lt;D xsi:type="xsd:double"&gt;26.5577278574984&lt;/D&gt;&lt;D xsi:type="xsd:double"&gt;26.9680728952301&lt;/D&gt;&lt;D xsi:type="xsd:double"&gt;26.1860660335728&lt;/D&gt;&lt;D xsi:type="xsd:double"&gt;25.236945724813&lt;/D&gt;&lt;D xsi:type="xsd:double"&gt;24.1734814448847&lt;/D&gt;&lt;D xsi:type="xsd:double"&gt;26.0514745076895&lt;/D&gt;&lt;D xsi:type="xsd:double"&gt;24.488897986318&lt;/D&gt;&lt;D xsi:type="xsd:double"&gt;23.5367120069021&lt;/D&gt;&lt;D xsi:type="xsd:double"&gt;22.3801722673231&lt;/D&gt;&lt;D xsi:type="xsd:double"&gt;24.0273413937452&lt;/D&gt;&lt;D xsi:type="xsd:double"&gt;22.6503939800935&lt;/D&gt;&lt;D xsi:type="xsd:double"&gt;26.2413558925897&lt;/D&gt;&lt;D xsi:type="xsd:double"&gt;25.3131845910093&lt;/D&gt;&lt;D xsi:type="xsd:double"&gt;25.6456716768616&lt;/D&gt;&lt;D xsi:type="xsd:double"&gt;25.5096258270577&lt;/D&gt;&lt;D xsi:type="xsd:double"&gt;26.5757854525081&lt;/D&gt;&lt;D xsi:type="xsd:double"&gt;27.3341887206319&lt;/D&gt;&lt;D xsi:type="xsd:double"&gt;26.555960997089&lt;/D&gt;&lt;D xsi:type="xsd:double"&gt;26.7887987504424&lt;/D&gt;&lt;D xsi:type="xsd:double"&gt;26.0430148466678&lt;/D&gt;&lt;D xsi:type="xsd:double"&gt;26.3727856048661&lt;/D&gt;&lt;D xsi:type="xsd:double"&gt;27.4927757370683&lt;/D&gt;&lt;D xsi:type="xsd:double"&gt;28.1947907343788&lt;/D&gt;&lt;D xsi:type="xsd:double"&gt;30.0130341286181&lt;/D&gt;&lt;D xsi:type="xsd:double"&gt;30.3753914620825&lt;/D&gt;&lt;/FQL&gt;&lt;FQL&gt;&lt;Q&gt;DDR3512M-FDS^FG_PRICE(0)&lt;/Q&gt;&lt;R&gt;1&lt;/R&gt;&lt;C&gt;1&lt;/C&gt;&lt;D xsi:type="xsd:double"&gt;0.96913904&lt;/D&gt;&lt;/FQL&gt;&lt;FQL&gt;&lt;Q&gt;PASP-FDS^FG_PRICE(0)&lt;/Q&gt;&lt;R&gt;1&lt;/R&gt;&lt;C&gt;1&lt;/C&gt;&lt;D xsi:type="xsd:double"&gt;960&lt;/D&gt;&lt;/FQL&gt;&lt;FQL&gt;&lt;Q&gt;PLATI-FDS^FG_PRICE(0)&lt;/Q&gt;&lt;R&gt;1&lt;/R&gt;&lt;C&gt;1&lt;/C&gt;&lt;D xsi:type="xsd:double"&gt;894&lt;/D&gt;&lt;/FQL&gt;&lt;FQL&gt;&lt;Q&gt;DUMMY^ECON_EXPR_DATA('FDS_ECON[PMIDMMANHE]',,,M)&lt;/Q&gt;&lt;R&gt;1&lt;/R&gt;&lt;C&gt;1&lt;/C&gt;&lt;D xsi:type="xsd:double"&gt;49.253857&lt;/D&gt;&lt;/FQL&gt;&lt;FQL&gt;&lt;Q&gt;EWD^FG_COMPANY_NAME&lt;/Q&gt;&lt;R&gt;1&lt;/R&gt;&lt;C&gt;1&lt;/C&gt;&lt;D xsi:type="xsd:string"&gt;iShares MSCI Sweden ETF&lt;/D&gt;&lt;/FQL&gt;&lt;FQL&gt;&lt;Q&gt;EWN^FMA_ROE(NTMA,-20AY,NOW,FY,"PORTAGG","MEANR")&lt;/Q&gt;&lt;R&gt;20&lt;/R&gt;&lt;C&gt;1&lt;/C&gt;&lt;D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xsi:type="xsd:double"&gt;12.7456586334444&lt;/D&gt;&lt;/FQL&gt;&lt;FQL&gt;&lt;Q&gt;TRYSA10Y-FDS^FG_YIELD(-10AY,0,Y,,"YTM")&lt;/Q&gt;&lt;R&gt;10&lt;/R&gt;&lt;C&gt;1&lt;/C&gt;&lt;D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xsi:type="xsd:double"&gt;3.1928&lt;/D&gt;&lt;/FQL&gt;&lt;FQL&gt;&lt;Q&gt;CAGDPY@FR^EE_ACTUAL_ANNUAL(MED,0)&lt;/Q&gt;&lt;R&gt;1&lt;/R&gt;&lt;C&gt;1&lt;/C&gt;&lt;D xsi:type="xsd:double"&gt;-1.23263412565785&lt;/D&gt;&lt;/FQL&gt;&lt;FQL&gt;&lt;Q&gt;CAGDPY@AU^EE_ACTUAL_ANNUAL(MED,0)&lt;/Q&gt;&lt;R&gt;1&lt;/R&gt;&lt;C&gt;1&lt;/C&gt;&lt;D xsi:type="xsd:double"&gt;0.8&lt;/D&gt;&lt;/FQL&gt;&lt;FQL&gt;&lt;Q&gt;USDITL^FG_PRICE_CHANGE(0,-1AM)&lt;/Q&gt;&lt;R&gt;1&lt;/R&gt;&lt;C&gt;1&lt;/C&gt;&lt;D xsi:type="xsd:double"&gt;-0.56611896&lt;/D&gt;&lt;/FQL&gt;&lt;FQL&gt;&lt;Q&gt;USDANG^FG_PRICE_CHANGE(0,-1AM)&lt;/Q&gt;&lt;R&gt;1&lt;/R&gt;&lt;C&gt;1&lt;/C&gt;&lt;D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xsi:type="xsd:double"&gt;-0.3228724&lt;/D&gt;&lt;/FQL&gt;&lt;FQL&gt;</t>
        </r>
      </text>
    </comment>
    <comment ref="A2" authorId="0" shapeId="0" xr:uid="{411A8670-25B6-4191-8137-86D0D26C4AF1}">
      <text>
        <r>
          <rPr>
            <b/>
            <sz val="9"/>
            <color indexed="81"/>
            <rFont val="Tahoma"/>
            <family val="2"/>
          </rPr>
          <t>&lt;Q&gt;USDJPY^FG_PRICE_CHANGE(0,-1AM)&lt;/Q&gt;&lt;R&gt;1&lt;/R&gt;&lt;C&gt;1&lt;/C&gt;&lt;D xsi:type="xsd:double"&gt;1.5006304&lt;/D&gt;&lt;/FQL&gt;&lt;FQL&gt;&lt;Q&gt;USDCAD^FG_PRICE_CHANGE(0,-1AM)&lt;/Q&gt;&lt;R&gt;1&lt;/R&gt;&lt;C&gt;1&lt;/C&gt;&lt;D xsi:type="xsd:double"&gt;0.8176923&lt;/D&gt;&lt;/FQL&gt;&lt;FQL&gt;&lt;Q&gt;USDNZD^FG_PRICE_CHANGE(0,-1AM)&lt;/Q&gt;&lt;R&gt;1&lt;/R&gt;&lt;C&gt;1&lt;/C&gt;&lt;D xsi:type="xsd:double"&gt;-0.39353967&lt;/D&gt;&lt;/FQL&gt;&lt;FQL&gt;&lt;Q&gt;ENZL^FMA_EPS(NTMA,-20AY,0,CY,,"PORTAGG","MEANR")&lt;/Q&gt;&lt;R&gt;20&lt;/R&gt;&lt;C&gt;1&lt;/C&gt;&lt;D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xsi:type="xsd:double"&gt;8.36054&lt;/D&gt;&lt;D xsi:type="xsd:double"&gt;7.3538184&lt;/D&gt;&lt;D xsi:type="xsd:double"&gt;0.84222555&lt;/D&gt;&lt;D xsi:type="xsd:double"&gt;-1.6703725&lt;/D&gt;&lt;D xsi:type="xsd:double"&gt;1.9749284&lt;/D&gt;&lt;D xsi:type="xsd:double"&gt;-7.4887395&lt;/D&gt;&lt;D xsi:type="xsd:double"&gt;-0.24346113&lt;/D&gt;&lt;D xsi:type="xsd:double"&gt;-7.8706446&lt;/D&gt;&lt;D xsi:type="xsd:double"&gt;-5.0993385&lt;/D&gt;&lt;D xsi:type="xsd:double"&gt;1.3258934&lt;/D&gt;&lt;D xsi:type="xsd:double"&gt;-5.477089&lt;/D&gt;&lt;D xsi:type="xsd:double"&gt;2.6412249&lt;/D&gt;&lt;D xsi:type="xsd:double"&gt;4.5032144&lt;/D&gt;&lt;D xsi:type="xsd:double"&gt;3.2831788&lt;/D&gt;&lt;D xsi:type="xsd:double"&gt;2.1854281&lt;/D&gt;&lt;D xsi:type="xsd:double"&gt;1.6850233&lt;/D&gt;&lt;D xsi:type="xsd:double"&gt;-2.8431296&lt;/D&gt;&lt;D xsi:type="xsd:double"&gt;2.3364544&lt;/D&gt;&lt;D xsi:type="xsd:double"&gt;-6.5883875&lt;/D&gt;&lt;D xsi:type="xsd:double"&gt;2.4441361&lt;/D&gt;&lt;D xsi:type="xsd:double"&gt;-0.6816685&lt;/D&gt;&lt;D xsi:type="xsd:double"&gt;-0.34316778&lt;/D&gt;&lt;D xsi:type="xsd:double"&gt;-6.467533&lt;/D&gt;&lt;D xsi:type="xsd:double"&gt;-13.146234&lt;/D&gt;&lt;D xsi:type="xsd:double"&gt;1.6156435&lt;/D&gt;&lt;D xsi:type="xsd:double"&gt;-0.5857706&lt;/D&gt;&lt;D xsi:type="xsd:double"&gt;3.1144738&lt;/D&gt;&lt;D xsi:type="xsd:double"&gt;-1.6326487&lt;/D&gt;&lt;D xsi:type="xsd:double"&gt;-7.64913&lt;/D&gt;&lt;D xsi:type="xsd:double"&gt;-0.4621029&lt;/D&gt;&lt;D xsi:type="xsd:double"&gt;6.499529&lt;/D&gt;&lt;D xsi:type="xsd:double"&gt;-5.405402&lt;/D&gt;&lt;D xsi:type="xsd:double"&gt;-0.27650595&lt;/D&gt;&lt;D xsi:type="xsd:double"&gt;2.2643209&lt;/D&gt;&lt;D xsi:type="xsd:double"&gt;12.460661&lt;/D&gt;&lt;D xsi:type="xsd:double"&gt;-1.4598548&lt;/D&gt;&lt;D xsi:type="xsd:double"&gt;0.94650984&lt;/D&gt;&lt;D xsi:type="xsd:double"&gt;3.9951086&lt;/D&gt;&lt;D xsi:type="xsd:double"&gt;7.4480534&lt;/D&gt;&lt;D xsi:type="xsd:double"&gt;3.4294128&lt;/D&gt;&lt;D xsi:type="xsd:double"&gt;0.74261427&lt;/D&gt;&lt;D xsi:type="xsd:double"&gt;7.985747&lt;/D&gt;&lt;D xsi:type="xsd:double"&gt;0.46219826&lt;/D&gt;&lt;D xsi:type="xsd:double"&gt;1.1830449&lt;/D&gt;&lt;D xsi:type="xsd:double"&gt;1.3965487&lt;/D&gt;&lt;D xsi:type="xsd:double"&gt;-1.2171686&lt;/D&gt;&lt;D xsi:type="xsd:double"&gt;2.8014183&lt;/D&gt;&lt;D xsi:type="xsd:double"&gt;5.2965403&lt;/D&gt;&lt;D xsi:type="xsd:double"&gt;-5.0903616&lt;/D&gt;&lt;D xsi:type="xsd:double"&gt;2.5388837&lt;/D&gt;&lt;D xsi:type="xsd:double"&gt;5.199635&lt;/D&gt;&lt;D xsi:type="xsd:double"&gt;-10.826719&lt;/D&gt;&lt;D xsi:type="xsd:double"&gt;-1.7426908&lt;/D&gt;&lt;D xsi:type="xsd:double"&gt;-0.37969947&lt;/D&gt;&lt;D xsi:type="xsd:double"&gt;-4.712409&lt;/D&gt;&lt;D xsi:type="xsd:double"&gt;-0.6181836&lt;/D&gt;&lt;D xsi:type="xsd:double"&gt;-5.7446003&lt;/D&gt;&lt;D xsi:type="xsd:double"&gt;-2.4068356&lt;/D&gt;&lt;D xsi:type="xsd:double"&gt;0.3109932&lt;/D&gt;&lt;D xsi:type="xsd:double"&gt;4.9799204&lt;/D&gt;&lt;D xsi:type="xsd:double"&gt;3.7107944&lt;/D&gt;&lt;D xsi:type="xsd:double"&gt;3.9468765&lt;/D&gt;&lt;D xsi:type="xsd:double"&gt;-0.14194846&lt;/D&gt;&lt;D xsi:type="xsd:double"&gt;-4.584217&lt;/D&gt;&lt;D xsi:type="xsd:double"&gt;8.991135&lt;/D&gt;&lt;D xsi:type="xsd:double"&gt;-5.127299&lt;/D&gt;&lt;D xsi:type="xsd:double"&gt;2.4599314&lt;/D&gt;&lt;D xsi:type="xsd:double"&gt;-1.9643485999999999&lt;/D&gt;&lt;D xsi:type="xsd:double"&gt;9.499073&lt;/D&gt;&lt;D xsi:type="xsd:double"&gt;-2.0332098&lt;/D&gt;&lt;D xsi:type="xsd:double"&gt;2.716422&lt;/D&gt;&lt;D xsi:type="xsd:double"&gt;-0.23736954&lt;/D&gt;&lt;D xsi:type="xsd:double"&gt;-6.016314&lt;/D&gt;&lt;D xsi:type="xsd:double"&gt;-29.150087&lt;/D&gt;&lt;D xsi:type="xsd:double"&gt;4.951501&lt;/D&gt;&lt;D xsi:type="xsd:double"&gt;19.795715&lt;/D&gt;&lt;D xsi:type="xsd:double"&gt;0.8410573&lt;/D&gt;&lt;D xsi:type="xsd:double"&gt;3.9056182&lt;/D&gt;&lt;D xsi:type="xsd:double"&gt;0&lt;/D&gt;&lt;D xsi:type="xsd:double"&gt;-4.189515&lt;/D&gt;&lt;D xsi:type="xsd:double"&gt;0.36779642&lt;/D&gt;&lt;D xsi:type="xsd:double"&gt;19.096088&lt;/D&gt;&lt;D xsi:type="xsd:double"&gt;2.2737026&lt;/D&gt;&lt;D xsi:type="xsd:double"&gt;0.8763075&lt;/D&gt;&lt;D xsi:type="xsd:double"&gt;-0.13364553&lt;/D&gt;&lt;D xsi:type="xsd:double"&gt;6.457007&lt;/D&gt;&lt;D xsi:type="xsd:double"&gt;-1.037085&lt;/D&gt;&lt;D xsi:type="xsd:double"&gt;8.320105&lt;/D&gt;&lt;D xsi:type="xsd:double"&gt;-3.4692883&lt;/D&gt;&lt;D xsi:type="xsd:double"&gt;0.030744076&lt;/D&gt;&lt;D xsi:type="xsd:double"&gt;1.7516851&lt;/D&gt;&lt;D xsi:type="xsd:double"&gt;-4.2283354&lt;/D&gt;&lt;D xsi:type="xsd:double"&gt;7.4424505&lt;/D&gt;&lt;D xsi:type="xsd:double"&gt;-7.279128&lt;/D&gt;&lt;D xsi:type="xsd:double"&gt;7.588315&lt;/D&gt;&lt;D xsi:type="xsd:double"&gt;-2.417183&lt;/D&gt;&lt;D xsi:type="xsd:double"&gt;-18.715595&lt;/D&gt;&lt;D xsi:type="xsd:double"&gt;12.151993&lt;/D&gt;&lt;D xsi:type="xsd:double"&gt;-5.3002357&lt;/D&gt;&lt;D xsi:type="xsd:double"&gt;0.4250884&lt;/D&gt;&lt;D xsi:type="xsd:double"&gt;-11.981976&lt;/D&gt;&lt;D xsi:type="xsd:double"&gt;1.9826531&lt;/D&gt;&lt;D xsi:type="xsd:double"&gt;-7.614422&lt;/D&gt;&lt;D xsi:type="xsd:double"&gt;1.6221046&lt;/D&gt;&lt;D xsi:type="xsd:double"&gt;7.8516006&lt;/D&gt;&lt;D xsi:type="xsd:double"&gt;11.839998&lt;/D&gt;&lt;D xsi:type="xsd:double"&gt;1.6126037&lt;/D&gt;&lt;D xsi:type="xsd:double"&gt;7.359767&lt;/D&gt;&lt;D xsi:type="xsd:double"&gt;2.5291204&lt;/D&gt;&lt;D xsi:type="xsd:double"&gt;-0.5517721&lt;/D&gt;&lt;D xsi:type="xsd:double"&gt;1.8603086&lt;/D&gt;&lt;D xsi:type="xsd:double"&gt;-1.3777614&lt;/D&gt;&lt;D xsi:type="xsd:double"&gt;6.3148737&lt;/D&gt;&lt;D xsi:type="xsd:double"&gt;0.5948663&lt;/D&gt;&lt;D xsi:type="xsd:double"&gt;-0.9025872&lt;/D&gt;&lt;D xsi:type="xsd:double"&gt;-7.44347&lt;/D&gt;&lt;D xsi:type="xsd:double"&gt;6.345439&lt;/D&gt;&lt;D xsi:type="xsd:double"&gt;5.392468&lt;/D&gt;&lt;D xsi:type="xsd:double"&gt;2.8558016&lt;/D&gt;&lt;D xsi:type="xsd:double"&gt;0.23845434&lt;/D&gt;&lt;D xsi:type="xsd:double"&gt;6.8093896&lt;/D&gt;&lt;/FQL&gt;&lt;FQL&gt;&lt;Q&gt;EWN^FMA_DIV_YLD(NTMA,-10AY,0,AM,"PORTAGG","MEANR")&lt;/Q&gt;&lt;R&gt;121&lt;/R&gt;&lt;C&gt;1&lt;/C&gt;&lt;D xsi:type="xsd:double"&gt;2.68984532508254&lt;/D&gt;&lt;D xsi:type="xsd:double"&gt;2.67126707524373&lt;/D&gt;&lt;D xsi:type="xsd:double"&gt;2.81697348034319&lt;/D&gt;&lt;D xsi:type="xsd:double"&gt;2.81302604363984&lt;/D&gt;&lt;D xsi:type="xsd:double"&gt;2.74809731260379&lt;/D&gt;&lt;D xsi:type="xsd:double"&gt;3.02855808781653&lt;/D&gt;&lt;D xsi:type="xsd:double"&gt;2.92833905600878&lt;/D&gt;&lt;D xsi:type="xsd:double"&gt;3.06632105731315&lt;/D&gt;&lt;D xsi:type="xsd:double"&gt;3.13825561926678&lt;/D&gt;&lt;D xsi:type="xsd:double"&gt;3.01333652251545&lt;/D&gt;&lt;D xsi:type="xsd:double"&gt;3.08146154647867&lt;/D&gt;&lt;D xsi:type="xsd:double"&gt;2.90041212861688&lt;/D&gt;&lt;D xsi:type="xsd:double"&gt;2.71151167153017&lt;/D&gt;&lt;D xsi:type="xsd:double"&gt;2.65446860563694&lt;/D&gt;&lt;D xsi:type="xsd:double"&gt;2.73851380507085&lt;/D&gt;&lt;D xsi:type="xsd:double"&gt;2.86920066045636&lt;/D&gt;&lt;D xsi:type="xsd:double"&gt;2.95031048369196&lt;/D&gt;&lt;D xsi:type="xsd:double"&gt;2.86384022510323&lt;/D&gt;&lt;D xsi:type="xsd:double"&gt;3.48373985946937&lt;/D&gt;&lt;D xsi:type="xsd:double"&gt;3.59274484905921&lt;/D&gt;&lt;D xsi:type="xsd:double"&gt;3.18525859456351&lt;/D&gt;&lt;D xsi:type="xsd:double"&gt;3.24592202388408&lt;/D&gt;&lt;D xsi:type="xsd:double"&gt;3.21759422453154&lt;/D&gt;&lt;D xsi:type="xsd:double"&gt;3.40650652264899&lt;/D&gt;&lt;D xsi:type="xsd:double"&gt;3.30689514791493&lt;/D&gt;&lt;D xsi:type="xsd:double"&gt;3.33420247127681&lt;/D&gt;&lt;D xsi:type="xsd:double"&gt;3.44491716761665&lt;/D&gt;&lt;D xsi:type="xsd:double"&gt;3.15820379646118&lt;/D&gt;&lt;D xsi:type="xsd:double"&gt;3.32961459433652&lt;/D&gt;&lt;D xsi:type="xsd:double"&gt;3.22708402576824&lt;/D&gt;&lt;D xsi:type="xsd:double"&gt;3.06719574638024&lt;/D&gt;&lt;D xsi:type="xsd:double"&gt;3.08425972778601&lt;/D&gt;&lt;D xsi:type="xsd:double"&gt;3.22947777603248&lt;/D&gt;&lt;D xsi:type="xsd:double"&gt;3.17431436302957&lt;/D&gt;&lt;D xsi:type="xsd:double"&gt;2.93909982755878&lt;/D&gt;&lt;D xsi:type="xsd:double"&gt;2.9453471749988&lt;/D&gt;&lt;D xsi:type="xsd:double"&gt;2.81676394391233&lt;/D&gt;&lt;D xsi:type="xsd:double"&gt;2.77519558482281&lt;/D&gt;&lt;D xsi:type="xsd:double"&gt;2.69896207538921&lt;/D&gt;&lt;D xsi:type="xsd:double"&gt;2.69270382525859&lt;/D&gt;&lt;D xsi:type="xsd:double"&gt;2.80029212195414&lt;/D&gt;&lt;D xsi:type="xsd:double"&gt;2.75012306960095&lt;/D&gt;&lt;D xsi:type="xsd:double"&gt;2.86919605885253&lt;/D&gt;&lt;D xsi:type="xsd:double"&gt;2.77129783606755&lt;/D&gt;&lt;D xsi:type="xsd:double"&gt;2.74329851679338&lt;/D&gt;&lt;D xsi:type="xsd:double"&gt;2.84822115568756&lt;/D&gt;&lt;D xsi:type="xsd:double"&gt;2.81954100358298&lt;/D&gt;&lt;D xsi:type="xsd:double"&gt;2.85162940046749&lt;/D&gt;&lt;D xsi:type="xsd:double"&gt;3.01713124475304&lt;/D&gt;&lt;D xsi:type="xsd:double"&gt;3.01601066750348&lt;/D&gt;&lt;D xsi:type="xsd:double"&gt;2.93207103567599&lt;/D&gt;&lt;D xsi:type="xsd:double"&gt;2.87658370110586&lt;/D&gt;&lt;D xsi:type="xsd:double"&gt;2.96667622010222&lt;/D&gt;&lt;D xsi:type="xsd:double"&gt;2.8361045196147&lt;/D&gt;&lt;D xsi:type="xsd:double"&gt;2.9457349883553&lt;/D&gt;&lt;D xsi:type="xsd:double"&gt;3.0626344642723&lt;/D&gt;&lt;D xsi:type="xsd:double"&gt;3.19994166073887&lt;/D&gt;&lt;D xsi:type="xsd:double"&gt;3.22002155234071&lt;/D&gt;&lt;D xsi:type="xsd:double"&gt;3.45552055978227&lt;/D&gt;&lt;D xsi:type="xsd:double"&gt;3.25001712180833&lt;/D&gt;&lt;D xsi:type="xsd:double"&gt;3.10244073755478&lt;/D&gt;&lt;D xsi:type="xsd:double"&gt;3.00838411035306&lt;/D&gt;&lt;D xsi:type="xsd:double"&gt;2.95313298217354&lt;/D&gt;&lt;D xsi:type="xsd:double"&gt;3.15568448964536&lt;/D&gt;&lt;D xsi:type="xsd:double"&gt;2.94241711839443&lt;/D&gt;&lt;D xsi:type="xsd:double"&gt;2.96913777924068&lt;/D&gt;&lt;D xsi:type="xsd:double"&gt;2.92586473374311&lt;/D&gt;&lt;D xsi:type="xsd:double"&gt;2.81032375082343&lt;/D&gt;&lt;D xsi:type="xsd:double"&gt;2.71064626650132&lt;/D&gt;&lt;D xsi:type="xsd:double"&gt;2.67601295810468&lt;/D&gt;&lt;D xsi:type="xsd:double"&gt;2.57692308486884&lt;/D&gt;&lt;D xsi:type="xsd:double"&gt;2.60371339716205&lt;/D&gt;&lt;D xsi:type="xsd:double"&gt;2.78069297740998&lt;/D&gt;&lt;D xsi:type="xsd:double"&gt;3.20485609528927&lt;/D&gt;&lt;D xsi:type="xsd:double"&gt;2.76635889359986&lt;/D&gt;&lt;D xsi:type="xsd:double"&gt;2.38028706088979&lt;/D&gt;&lt;D xsi:type="xsd:double"&gt;2.34370971906715&lt;/D&gt;&lt;D xsi:type="xsd:double"&gt;2.3647043844534&lt;/D&gt;&lt;D xsi:type="xsd:double"&gt;2.35778111888305&lt;/D&gt;&lt;D xsi:type="xsd:double"&gt;2.32667070572977&lt;/D&gt;&lt;D xsi:type="xsd:double"&gt;2.29481037849603&lt;/D&gt;&lt;D xsi:type="xsd:double"&gt;2.05513811281423&lt;/D&gt;&lt;D xsi:type="xsd:double"&gt;1.94684423360957&lt;/D&gt;&lt;D xsi:type="xsd:double"&gt;1.9410179083804&lt;/D&gt;&lt;D xsi:type="xsd:double"&gt;2.09168273222309&lt;/D&gt;&lt;D xsi:type="xsd:double"&gt;1.91768256488738&lt;/D&gt;&lt;D xsi:type="xsd:double"&gt;2.01504220238602&lt;/D&gt;&lt;D xsi:type="xsd:double"&gt;2.00071757628817&lt;/D&gt;&lt;D xsi:type="xsd:double"&gt;2.00869467931465&lt;/D&gt;&lt;D xsi:type="xsd:double"&gt;1.9248875890576&lt;/D&gt;&lt;D xsi:type="xsd:double"&gt;1.83825569482228&lt;/D&gt;&lt;D xsi:type="xsd:double"&gt;2.01206758872996&lt;/D&gt;&lt;D xsi:type="xsd:double"&gt;1.84565483419015&lt;/D&gt;&lt;D xsi:type="xsd:double"&gt;2.00595870227783&lt;/D&gt;&lt;D xsi:type="xsd:double"&gt;1.93435633515663&lt;/D&gt;&lt;D xsi:type="xsd:double"&gt;2.23184375093928&lt;/D&gt;&lt;D xsi:type="xsd:double"&gt;2.49780948125594&lt;/D&gt;&lt;D xsi:type="xsd:double"&gt;2.21128891636716&lt;/D&gt;&lt;D xsi:type="xsd:double"&gt;2.41589059233176&lt;/D&gt;&lt;D xsi:type="xsd:double"&gt;2.56093646803958&lt;/D&gt;&lt;D xsi:type="xsd:double"&gt;3.48420352945728&lt;/D&gt;&lt;D xsi:type="xsd:double"&gt;3.0413857238227&lt;/D&gt;&lt;D xsi:type="xsd:double"&gt;3.79304012738644&lt;/D&gt;&lt;D xsi:type="xsd:double"&gt;2.91948559780481&lt;/D&gt;&lt;D xsi:type="xsd:double"&gt;2.94884022376906&lt;/D&gt;&lt;D xsi:type="xsd:double"&gt;2.63424289569049&lt;/D&gt;&lt;D xsi:type="xsd:double"&gt;2.68045351424372&lt;/D&gt;&lt;D xsi:type="xsd:double"&gt;2.50476080702443&lt;/D&gt;&lt;D xsi:type="xsd:double"&gt;2.62721850533603&lt;/D&gt;&lt;D xsi:type="xsd:double"&gt;2.65280401193152&lt;/D&gt;&lt;D xsi:type="xsd:double"&gt;2.72628355341659&lt;/D&gt;&lt;D xsi:type="xsd:double"&gt;2.68778023644371&lt;/D&gt;&lt;D xsi:type="xsd:double"&gt;2.68438370126344&lt;/D&gt;&lt;D xsi:type="xsd:double"&gt;2.72316917583791&lt;/D&gt;&lt;D xsi:type="xsd:double"&gt;2.88128665314331&lt;/D&gt;&lt;D xsi:type="xsd:double"&gt;3.05688157343528&lt;/D&gt;&lt;D xsi:type="xsd:double"&gt;2.97249284621361&lt;/D&gt;&lt;D xsi:type="xsd:double"&gt;2.78745573827148&lt;/D&gt;&lt;D xsi:type="xsd:double"&gt;2.73303785912013&lt;/D&gt;&lt;D xsi:type="xsd:double"&gt;2.55140048032166&lt;/D&gt;&lt;D xsi:type="xsd:double"&gt;2.45480692606383&lt;/D&gt;&lt;/FQL&gt;&lt;FQL&gt;&lt;Q&gt;SPY^FMA_PE(NTMA,-10AY,0,AM,"PORTAGG","MEANR")&lt;/Q&gt;&lt;R&gt;121&lt;/R&gt;&lt;C&gt;1&lt;/C&gt;&lt;D xsi:type="xsd:double"&gt;15.1223130614076&lt;/D&gt;&lt;D xsi:type="xsd:double"&gt;15.0036798254437&lt;/D&gt;&lt;D xsi:type="xsd:double"&gt;14.9807407222394&lt;/D&gt;&lt;D xsi:type="xsd:double"&gt;15.2064681803441&lt;/D&gt;&lt;D xsi:type="xsd:double"&gt;15.5382568404618&lt;/D&gt;&lt;D xsi:type="xsd:double"&gt;14.9505229649943&lt;/D&gt;&lt;D xsi:type="xsd:double"&gt;15.2883371364133&lt;/D&gt;&lt;D xsi:type="xsd:double"&gt;14.9925693310257&lt;/D&gt;&lt;D xsi:type="xsd:double"&gt;15.4304658501201&lt;/D&gt;&lt;D xsi:type="xsd:double"&gt;15.9120558211944&lt;/D&gt;&lt;D xsi:type="xsd:double"&gt;15.96244162404&lt;/D&gt;&lt;D xsi:type="xsd:double"&gt;16.419523643282&lt;/D&gt;&lt;D xsi:type="xsd:double"&gt;16.8445898768855&lt;/D&gt;&lt;D xsi:type="xsd:double"&gt;16.4721081381795&lt;/D&gt;&lt;D xsi:type="xsd:double"&gt;16.7400919944104&lt;/D&gt;&lt;D xsi:type="xsd:double"&gt;16.4352487804838&lt;/D&gt;&lt;D xsi:type="xsd:double"&gt;16.2167847939528&lt;/D&gt;&lt;D xsi:type="xsd:double"&gt;16.3437954395583&lt;/D&gt;&lt;D xsi:type="xsd:double"&gt;14.9541919634132&lt;/D&gt;&lt;D xsi:type="xsd:double"&gt;15.211116793077&lt;/D&gt;&lt;D xsi:type="xsd:double"&gt;16.4782347854965&lt;/D&gt;&lt;D xsi:type="xsd:double"&gt;16.3317084868427&lt;/D&gt;&lt;D xsi:type="xsd:double"&gt;15.7336892964021&lt;/D&gt;&lt;D xsi:type="xsd:double"&gt;15.5099438140132&lt;/D&gt;&lt;D xsi:type="xsd:double"&gt;15.5167363536305&lt;/D&gt;&lt;D xsi:type="xsd:double"&gt;16.5004635460184&lt;/D&gt;&lt;D xsi:type="xsd:double"&gt;16.5226770167304&lt;/D&gt;&lt;D xsi:type="xsd:double"&gt;16.5924966240686&lt;/D&gt;&lt;D xsi:type="xsd:double"&gt;16.5274762929012&lt;/D&gt;&lt;D xsi:type="xsd:double"&gt;16.8656648362178&lt;/D&gt;&lt;D xsi:type="xsd:double"&gt;16.8353987793995&lt;/D&gt;&lt;D xsi:type="xsd:double"&gt;16.4998967636805&lt;/D&gt;&lt;D xsi:type="xsd:double"&gt;15.9314009319239&lt;/D&gt;&lt;D xsi:type="xsd:double"&gt;16.6187304749981&lt;/D&gt;&lt;D xsi:type="xsd:double"&gt;17.0303746810917&lt;/D&gt;&lt;D xsi:type="xsd:double"&gt;17.2007565377716&lt;/D&gt;&lt;D xsi:type="xsd:double"&gt;17.7918478206949&lt;/D&gt;&lt;D xsi:type="xsd:double"&gt;17.4639972744766&lt;/D&gt;&lt;D xsi:type="xsd:double"&gt;17.4587066309205&lt;/D&gt;&lt;D xsi:type="xsd:double"&gt;17.6699845483287&lt;/D&gt;&lt;D xsi:type="xsd:double"&gt;17.4455862424405&lt;/D&gt;&lt;D xsi:type="xsd:double"&gt;17.6558176903749&lt;/D&gt;&lt;D xsi:type="xsd:double"&gt;17.5139583604644&lt;/D&gt;&lt;D xsi:type="xsd:double"&gt;17.8379081913369&lt;/D&gt;&lt;D xsi:type="xsd:double"&gt;17.9873893505642&lt;/D&gt;&lt;D xsi:type="xsd:double"&gt;18.1571857761639&lt;/D&gt;&lt;D xsi:type="xsd:double"&gt;18.3154461217802&lt;/D&gt;&lt;D xsi:type="xsd:double"&gt;17.4567931643708&lt;/D&gt;&lt;D xsi:type="xsd:double"&gt;16.7186294157627&lt;/D&gt;&lt;D xsi:type="xsd:double"&gt;16.3280272953488&lt;/D&gt;&lt;D xsi:type="xsd:double"&gt;16.1223922939324&lt;/D&gt;&lt;D xsi:type="xsd:double"&gt;16.4087371116787&lt;/D&gt;&lt;D xsi:type="xsd:double"&gt;16.0711269701908&lt;/D&gt;&lt;D xsi:type="xsd:double"&gt;16.5791208014203&lt;/D&gt;&lt;D xsi:type="xsd:double"&gt;16.7607783211991&lt;/D&gt;&lt;D xsi:type="xsd:double"&gt;16.671085837805&lt;/D&gt;&lt;D xsi:type="xsd:double"&gt;15.5692950591314&lt;/D&gt;&lt;D xsi:type="xsd:double"&gt;15.3892957579238&lt;/D&gt;&lt;D xsi:type="xsd:double"&gt;14.6350443624539&lt;/D&gt;&lt;D xsi:type="xsd:double"&gt;15.8762635240394&lt;/D&gt;&lt;D xsi:type="xsd:double"&gt;16.252931096535&lt;/D&gt;&lt;D xsi:type="xsd:double"&gt;16.666795849669&lt;/D&gt;&lt;D xsi:type="xsd:double"&gt;16.9075550983813&lt;/D&gt;&lt;D xsi:type="xsd:double"&gt;15.9698054644912&lt;/D&gt;&lt;D xsi:type="xsd:double"&gt;17.0327146443677&lt;/D&gt;&lt;D xsi:type="xsd:double"&gt;16.6709137094355&lt;/D&gt;&lt;D xsi:type="xsd:double"&gt;16.6108563879746&lt;/D&gt;&lt;D xsi:type="xsd:double"&gt;16.6653498832325&lt;/D&gt;&lt;D xsi:type="xsd:double"&gt;17.3870584792154&lt;/D&gt;&lt;D xsi:type="xsd:double"&gt;17.5343593589442&lt;/D&gt;&lt;D xsi:type="xsd:double"&gt;18.1692256178913&lt;/D&gt;&lt;D xsi:type="xsd:double"&gt;18.4801112412569&lt;/D&gt;&lt;D xsi:type="xsd:double"&gt;17.5842314301237&lt;/D&gt;&lt;D xsi:type="xsd:double"&gt;15.4150159230203&lt;/D&gt;&lt;D xsi:type="xsd:double"&gt;19.9958863935943&lt;/D&gt;&lt;D xsi:type="xsd:double"&gt;22.0624665069425&lt;/D&gt;&lt;D xsi:type="xsd:double"&gt;21.8530127352021&lt;/D&gt;&lt;D xsi:type="xsd:double"&gt;22.083740991538&lt;/D&gt;&lt;D xsi:type="xsd:double"&gt;22.3212655882675&lt;/D&gt;&lt;D xsi:type="xsd:double"&gt;21.3957099965413&lt;/D&gt;&lt;D xsi:type="xsd:double"&gt;21.1983118866023&lt;/D&gt;&lt;D xsi:type="xsd:double"&gt;22.1743846008777&lt;/D&gt;&lt;D xsi:type="xsd:double"&gt;22.0441189396131&lt;/D&gt;&lt;D xsi:type="xsd:double"&gt;22.0170374307806&lt;/D&gt;&lt;D xsi:type="xsd:double"&gt;21.0854565012942&lt;/D&gt;&lt;D xsi:type="xsd:double"&gt;22.0538828772336&lt;/D&gt;&lt;D xsi:type="xsd:double"&gt;21.4588626999265&lt;/D&gt;&lt;D xsi:type="xsd:double"&gt;21.304072182828&lt;/D&gt;&lt;D xsi:type="xsd:double"&gt;21.5927825283421&lt;/D&gt;&lt;D xsi:type="xsd:double"&gt;20.9354067848336&lt;/D&gt;&lt;D xsi:type="xsd:double"&gt;21.2531059495434&lt;/D&gt;&lt;D xsi:type="xsd:double"&gt;20.0524149933392&lt;/D&gt;&lt;D xsi:type="xsd:double"&gt;21.4021003573203&lt;/D&gt;&lt;D xsi:type="xsd:double"&gt;20.5352287864636&lt;/D&gt;&lt;D xsi:type="xsd:double"&gt;21.402555966289&lt;/D&gt;&lt;D xsi:type="xsd:double"&gt;19.8383178116775&lt;/D&gt;&lt;D xsi:type="xsd:double"&gt;18.860370175799&lt;/D&gt;&lt;D xsi:type="xsd:double"&gt;19.6328001402032&lt;/D&gt;&lt;D xsi:type="xsd:double"&gt;18.2206266036189&lt;/D&gt;&lt;D xsi:type="xsd:double"&gt;17.2338444172687&lt;/D&gt;&lt;D xsi:type="xsd:double"&gt;15.9841345070002&lt;/D&gt;&lt;D xsi:type="xsd:double"&gt;17.4974891118223&lt;/D&gt;&lt;D xsi:type="xsd:double"&gt;16.5142032973876&lt;/D&gt;&lt;D xsi:type="xsd:double"&gt;16.0088902394908&lt;/D&gt;&lt;D xsi:type="xsd:double"&gt;16.3196021821568&lt;/D&gt;&lt;D xsi:type="xsd:double"&gt;17.5965965003554&lt;/D&gt;&lt;D xsi:type="xsd:double"&gt;16.724071126004&lt;/D&gt;&lt;D xsi:type="xsd:double"&gt;18.2599237848494&lt;/D&gt;&lt;D xsi:type="xsd:double"&gt;17.8026855322931&lt;/D&gt;&lt;D xsi:type="xsd:double"&gt;18.0312335535936&lt;/D&gt;&lt;D xsi:type="xsd:double"&gt;17.6856961162962&lt;/D&gt;&lt;D xsi:type="xsd:double"&gt;18.4629471266517&lt;/D&gt;&lt;D xsi:type="xsd:double"&gt;19.1448500271313&lt;/D&gt;&lt;D xsi:type="xsd:double"&gt;19.0135013077214&lt;/D&gt;&lt;D xsi:type="xsd:double"&gt;18.8904508192918&lt;/D&gt;&lt;D xsi:type="xsd:double"&gt;17.7410244971942&lt;/D&gt;&lt;D xsi:type="xsd:double"&gt;18.0390743809101&lt;/D&gt;&lt;D xsi:type="xsd:double"&gt;18.7079135530477&lt;/D&gt;&lt;D xsi:type="xsd:double"&gt;19.1510285813535&lt;/D&gt;&lt;D xsi:type="xsd:double"&gt;20.168084686601&lt;/D&gt;&lt;D xsi:type="xsd:double"&gt;22.7851734342265&lt;/D&gt;&lt;/FQL&gt;&lt;FQL&gt;&lt;Q&gt;EWU^FMA_PE(LTMA,-10AY,0,AM,"PORTAGG","MEANR")&lt;/Q&gt;&lt;R&gt;121&lt;/R&gt;&lt;C&gt;1&lt;/C&gt;&lt;D xsi:type="xsd:double"&gt;14.4228389635333&lt;/D&gt;&lt;D xsi:type="xsd:double"&gt;14.321614372864&lt;/D&gt;&lt;D xsi:type="xsd:double"&gt;14.3893722187413&lt;/D&gt;&lt;D xsi:type="xsd:double"&gt;14.3635178916582&lt;/D&gt;&lt;D xsi:type="xsd:double"&gt;14.4635631367125&lt;/D&gt;&lt;D xsi:type="xsd:double"&gt;14.2229546758657&lt;/D&gt;&lt;D xsi:type="xsd:double"&gt;14.3259661532883&lt;/D&gt;&lt;D xsi:type="xsd:double"&gt;13.6852686540251&lt;/D&gt;&lt;D xsi:type="xsd:double"&gt;13.6571584706565&lt;/D&gt;&lt;D xsi:type="xsd:double"&gt;13.9671384663896&lt;/D&gt;&lt;D xsi:type="xsd:double"&gt;13.6760489520509&lt;/D&gt;&lt;D xsi:type="xsd:double"&gt;14.449291240652&lt;/D&gt;&lt;D xsi:type="xsd:double"&gt;15.1825389702884&lt;/D&gt;&lt;D xsi:type="xsd:double"&gt;15.2601983607484&lt;/D&gt;&lt;D xsi:type="xsd:double"&gt;15.5735600312179&lt;/D&gt;&lt;D xsi:type="xsd:double"&gt;15.6596009526017&lt;/D&gt;&lt;D xsi:type="xsd:double"&gt;15.5181994991463&lt;/D&gt;&lt;D xsi:type="xsd:double"&gt;15.7326327234998&lt;/D&gt;&lt;D xsi:type="xsd:double"&gt;14.7873240569561&lt;/D&gt;&lt;D xsi:type="xsd:double"&gt;15.1081636704652&lt;/D&gt;&lt;D xsi:type="xsd:double"&gt;15.9923393617882&lt;/D&gt;&lt;D xsi:type="xsd:double"&gt;15.7034169706265&lt;/D&gt;&lt;D xsi:type="xsd:double"&gt;15.2846760952477&lt;/D&gt;&lt;D xsi:type="xsd:double"&gt;14.9951856990591&lt;/D&gt;&lt;D xsi:type="xsd:double"&gt;15.5936516191535&lt;/D&gt;&lt;D xsi:type="xsd:double"&gt;15.7601151272067&lt;/D&gt;&lt;D xsi:type="xsd:double"&gt;15.7990387706362&lt;/D&gt;&lt;D xsi:type="xsd:double"&gt;15.9914968248398&lt;/D&gt;&lt;D xsi:type="xsd:double"&gt;16.3512579053777&lt;/D&gt;&lt;D xsi:type="xsd:double"&gt;16.6939965588228&lt;/D&gt;&lt;D xsi:type="xsd:double"&gt;17.1492827394209&lt;/D&gt;&lt;D xsi:type="xsd:double"&gt;17.3296677766435&lt;/D&gt;&lt;D xsi:type="xsd:double"&gt;16.2431460224896&lt;/D&gt;&lt;D xsi:type="xsd:double"&gt;16.3684698356865&lt;/D&gt;&lt;D xsi:type="xsd:double"&gt;17.2807209886432&lt;/D&gt;&lt;D xsi:type="xsd:double"&gt;17.1730593944532&lt;/D&gt;&lt;D xsi:type="xsd:double"&gt;17.3620600606368&lt;/D&gt;&lt;D xsi:type="xsd:double"&gt;17.0764257459439&lt;/D&gt;&lt;D xsi:type="xsd:double"&gt;16.8262086236604&lt;/D&gt;&lt;D xsi:type="xsd:double"&gt;16.8020541321819&lt;/D&gt;&lt;D xsi:type="xsd:double"&gt;16.4550127307998&lt;/D&gt;&lt;D xsi:type="xsd:double"&gt;16.468691944279&lt;/D&gt;&lt;D xsi:type="xsd:double"&gt;16.103619870065&lt;/D&gt;&lt;D xsi:type="xsd:double"&gt;15.8711096344577&lt;/D&gt;&lt;D xsi:type="xsd:double"&gt;15.6243300350307&lt;/D&gt;&lt;D xsi:type="xsd:double"&gt;15.1155493959063&lt;/D&gt;&lt;D xsi:type="xsd:double"&gt;15.5436759678491&lt;/D&gt;&lt;D xsi:type="xsd:double"&gt;15.0783485898368&lt;/D&gt;&lt;D xsi:type="xsd:double"&gt;13.8558218942637&lt;/D&gt;&lt;D xsi:type="xsd:double"&gt;13.8741335923891&lt;/D&gt;&lt;D xsi:type="xsd:double"&gt;14.0284792862355&lt;/D&gt;&lt;D xsi:type="xsd:double"&gt;14.0295664509961&lt;/D&gt;&lt;D xsi:type="xsd:double"&gt;13.7950873312013&lt;/D&gt;&lt;D xsi:type="xsd:double"&gt;13.8587502045571&lt;/D&gt;&lt;D xsi:type="xsd:double"&gt;13.4848025964493&lt;/D&gt;&lt;D xsi:type="xsd:double"&gt;13.5080738665326&lt;/D&gt;&lt;D xsi:type="xsd:double"&gt;12.861120610642&lt;/D&gt;&lt;D xsi:type="xsd:double"&gt;12.5983627836019&lt;/D&gt;&lt;D xsi:type="xsd:double"&gt;12.1286869949997&lt;/D&gt;&lt;D xsi:type="xsd:double"&gt;12.6675236136849&lt;/D&gt;&lt;D xsi:type="xsd:double"&gt;12.9370712059007&lt;/D&gt;&lt;D xsi:type="xsd:double"&gt;13.0051016691814&lt;/D&gt;&lt;D xsi:type="xsd:double"&gt;13.0043341051328&lt;/D&gt;&lt;D xsi:type="xsd:double"&gt;12.8561353529555&lt;/D&gt;&lt;D xsi:type="xsd:double"&gt;13.1767581227365&lt;/D&gt;&lt;D xsi:type="xsd:double"&gt;12.9743126121464&lt;/D&gt;&lt;D xsi:type="xsd:double"&gt;12.9503809435329&lt;/D&gt;&lt;D xsi:type="xsd:double"&gt;12.8429168833659&lt;/D&gt;&lt;D xsi:type="xsd:double"&gt;13.4055846041042&lt;/D&gt;&lt;D xsi:type="xsd:double"&gt;13.3595463540105&lt;/D&gt;&lt;D xsi:type="xsd:double"&gt;14.2075295100932&lt;/D&gt;&lt;D xsi:type="xsd:double"&gt;13.953128788167&lt;/D&gt;&lt;D xsi:type="xsd:double"&gt;12.4128007828323&lt;/D&gt;&lt;D xsi:type="xsd:double"&gt;12.3474595424017&lt;/D&gt;&lt;D xsi:type="xsd:double"&gt;13.562115520447&lt;/D&gt;&lt;D xsi:type="xsd:double"&gt;14.9545205930159&lt;/D&gt;&lt;D xsi:type="xsd:double"&gt;15.3088729985573&lt;/D&gt;&lt;D xsi:type="xsd:double"&gt;15.9048126282025&lt;/D&gt;&lt;D xsi:type="xsd:double"&gt;16.3383134959903&lt;/D&gt;&lt;D xsi:type="xsd:double"&gt;16.8155783266292&lt;/D&gt;&lt;D xsi:type="xsd:double"&gt;16.5322753183077&lt;/D&gt;&lt;D xsi:type="xsd:double"&gt;19.3739861534205&lt;/D&gt;&lt;D xsi:type="xsd:double"&gt;19.8964655402159&lt;/D&gt;&lt;D xsi:type="xsd:double"&gt;19.307606914517&lt;/D&gt;&lt;D xsi:type="xsd:double"&gt;18.7803725495001&lt;/D&gt;&lt;D xsi:type="xsd:double"&gt;18.2153961897661&lt;/D&gt;&lt;D xsi:type="xsd:double"&gt;17.5599835702292&lt;/D&gt;&lt;D xsi:type="xsd:double"&gt;17.0557852121652&lt;/D&gt;&lt;D xsi:type="xsd:double"&gt;16.3401414881837&lt;/D&gt;&lt;D xsi:type="xsd:double"&gt;15.4104004263092&lt;/D&gt;&lt;D xsi:type="xsd:double"&gt;14.7353980638035&lt;/D&gt;&lt;D xsi:type="xsd:double"&gt;13.7824369947295&lt;/D&gt;&lt;D xsi:type="xsd:double"&gt;13.4113483604817&lt;/D&gt;&lt;D xsi:type="xsd:double"&gt;12.4710273516146&lt;/D&gt;&lt;D xsi:type="xsd:double"&gt;12.6066810315757&lt;/D&gt;&lt;D xsi:type="xsd:double"&gt;12.6552817687009&lt;/D&gt;&lt;D xsi:type="xsd:double"&gt;12.4091222468475&lt;/D&gt;&lt;D xsi:type="xsd:double"&gt;12.2767964995758&lt;/D&gt;&lt;D xsi:type="xsd:double"&gt;11.9327334007192&lt;/D&gt;&lt;D xsi:type="xsd:double"&gt;11.6970434956876&lt;/D&gt;&lt;D xsi:type="xsd:double"&gt;11.1000349956988&lt;/D&gt;&lt;D xsi:type="xsd:double"&gt;10.8978553522272&lt;/D&gt;&lt;D xsi:type="xsd:double"&gt;10.2759097984494&lt;/D&gt;&lt;D xsi:type="xsd:double"&gt;9.7195087066351&lt;/D&gt;&lt;D xsi:type="xsd:double"&gt;9.60528218794841&lt;/D&gt;&lt;D xsi:type="xsd:double"&gt;9.9880876774813&lt;/D&gt;&lt;D xsi:type="xsd:double"&gt;9.73551986101331&lt;/D&gt;&lt;D xsi:type="xsd:double"&gt;10.0982656394051&lt;/D&gt;&lt;D xsi:type="xsd:double"&gt;10.2641849383081&lt;/D&gt;&lt;D xsi:type="xsd:double"&gt;10.2866241362122&lt;/D&gt;&lt;D xsi:type="xsd:double"&gt;10.3415245221316&lt;/D&gt;&lt;D xsi:type="xsd:double"&gt;10.3040064909821&lt;/D&gt;&lt;D xsi:type="xsd:double"&gt;10.3638248279089&lt;/D&gt;&lt;D xsi:type="xsd:double"&gt;10.5555070069723&lt;/D&gt;&lt;D xsi:type="xsd:double"&gt;10.5145387085705&lt;/D&gt;&lt;D xsi:type="xsd:double"&gt;10.3397515321361&lt;/D&gt;&lt;D xsi:type="xsd:double"&gt;10.5289697280422&lt;/D&gt;&lt;D xsi:type="xsd:double"&gt;10.8956245942217&lt;/D&gt;&lt;D xsi:type="xsd:double"&gt;11.3242206018346&lt;/D&gt;&lt;D xsi:type="xsd:double"&gt;11.2541048853349&lt;/D&gt;&lt;D xsi:type="xsd:double"&gt;11.4546128295379&lt;/D&gt;&lt;/FQL&gt;&lt;FQL&gt;&lt;Q&gt;WL-FDS^MAX(FG_PRICE(0,-5AY))&lt;/Q&gt;&lt;R&gt;1&lt;/R&gt;&lt;C&gt;1&lt;/C&gt;&lt;D xsi:type="xsd:double"&gt;763.4&lt;/D&gt;&lt;/FQL&gt;&lt;FQL&gt;&lt;Q&gt;USDCAD^FG_PRICE_CHANGE(0,-1AY)&lt;/Q&gt;&lt;R&gt;1&lt;/R&gt;&lt;C&gt;1&lt;/C&gt;&lt;D xsi:type="xsd:double"&gt;-0.46236515&lt;/D&gt;&lt;/FQL&gt;&lt;FQL&gt;&lt;Q&gt;EWD^FG_TOTAL_RETURNC(-10AY,0,AM)&lt;/Q&gt;&lt;R&gt;121&lt;/R&gt;&lt;C&gt;1&lt;/C&gt;&lt;D xsi:type="xsd:double"&gt;7.100594&lt;/D&gt;&lt;D xsi:type="xsd:double"&gt;-0.027632713&lt;/D&gt;&lt;D xsi:type="xsd:double"&gt;1.6026616&lt;/D&gt;&lt;D xsi:type="xsd:double"&gt;0.7614851&lt;/D&gt;&lt;D xsi:type="xsd:double"&gt;-1.7177105&lt;/D&gt;&lt;D xsi:type="xsd:double"&gt;-3.9830506&lt;/D&gt;&lt;D xsi:type="xsd:double"&gt;-0.5001545&lt;/D&gt;&lt;D xsi:type="xsd:double"&gt;-4.790062&lt;/D&gt;&lt;D xsi:type="xsd:double"&gt;1.3354063&lt;/D&gt;&lt;D xsi:type="xsd:double"&gt;1.7468572&lt;/D&gt;&lt;D xsi:type="xsd:double"&gt;-4.5451283&lt;/D&gt;&lt;D xsi:type="xsd:double"&gt;3.0832887&lt;/D&gt;&lt;D xsi:type="xsd:double"&gt;5.7971&lt;/D&gt;&lt;D xsi:type="xsd:double"&gt;-1.6321838&lt;/D&gt;&lt;D xsi:type="xsd:double"&gt;1.2148142&lt;/D&gt;&lt;D xsi:type="xsd:double"&gt;1.0831356&lt;/D&gt;&lt;D xsi:type="xsd:double"&gt;-4.99568&lt;/D&gt;&lt;D xsi:type="xsd:double"&gt;-0.12622476&lt;/D&gt;&lt;D xsi:type="xsd:double"&gt;-6.5402803&lt;/D&gt;&lt;D xsi:type="xsd:double"&gt;-0.5409062&lt;/D&gt;&lt;D xsi:type="xsd:double"&gt;3.5350084&lt;/D&gt;&lt;D xsi:type="xsd:double"&gt;0.16415119&lt;/D&gt;&lt;D xsi:type="xsd:double"&gt;-6.2426624&lt;/D&gt;&lt;D xsi:type="xsd:double"&gt;-4.3736877&lt;/D&gt;&lt;D xsi:type="xsd:double"&gt;4.2078257&lt;/D&gt;&lt;D xsi:type="xsd:double"&gt;3.3707857&lt;/D&gt;&lt;D xsi:type="xsd:double"&gt;-0.7472873&lt;/D&gt;&lt;D xsi:type="xsd:double"&gt;2.053392&lt;/D&gt;&lt;D xsi:type="xsd:double"&gt;-4.233551&lt;/D&gt;&lt;D xsi:type="xsd:double"&gt;1.0921001&lt;/D&gt;&lt;D xsi:type="xsd:double"&gt;4.213178&lt;/D&gt;&lt;D xsi:type="xsd:double"&gt;0.6565213&lt;/D&gt;&lt;D xsi:type="xsd:double"&gt;-7.6553345&lt;/D&gt;&lt;D xsi:type="xsd:double"&gt;2.0074368&lt;/D&gt;&lt;D xsi:type="xsd:double"&gt;6.0311913&lt;/D&gt;&lt;D xsi:type="xsd:double"&gt;6.2908173&lt;/D&gt;&lt;D xsi:type="xsd:double"&gt;-0.64683557&lt;/D&gt;&lt;D xsi:type="xsd:double"&gt;1.204431&lt;/D&gt;&lt;D xsi:type="xsd:double"&gt;8.427143&lt;/D&gt;&lt;D xsi:type="xsd:double"&gt;2.8181553&lt;/D&gt;&lt;D xsi:type="xsd:double"&gt;0.2646923&lt;/D&gt;&lt;D xsi:type="xsd:double"&gt;1.3537407&lt;/D&gt;&lt;D xsi:type="xsd:double"&gt;1.074338&lt;/D&gt;&lt;D xsi:type="xsd:double"&gt;4.050565&lt;/D&gt;&lt;D xsi:type="xsd:double"&gt;-1.8498123&lt;/D&gt;&lt;D xsi:type="xsd:double"&gt;-4.022503&lt;/D&gt;&lt;D xsi:type="xsd:double"&gt;3.0730963&lt;/D&gt;&lt;D xsi:type="xsd:double"&gt;1.8093109&lt;/D&gt;&lt;D xsi:type="xsd:double"&gt;-6.234127&lt;/D&gt;&lt;D xsi:type="xsd:double"&gt;-1.8953085&lt;/D&gt;&lt;D xsi:type="xsd:double"&gt;0.85862875&lt;/D&gt;&lt;D xsi:type="xsd:double"&gt;-0.030398369&lt;/D&gt;&lt;D xsi:type="xsd:double"&gt;-2.4067163&lt;/D&gt;&lt;D xsi:type="xsd:double"&gt;4.0769696&lt;/D&gt;&lt;D xsi:type="xsd:double"&gt;-0.28204322&lt;/D&gt;&lt;D xsi:type="xsd:double"&gt;0.7228136&lt;/D&gt;&lt;D xsi:type="xsd:double"&gt;-6.583458&lt;/D&gt;&lt;D xsi:type="xsd:double"&gt;-3.2398164&lt;/D&gt;&lt;D xsi:type="xsd:double"&gt;-1.5981436&lt;/D&gt;&lt;D xsi:type="xsd:double"&gt;5.4405093&lt;/D&gt;&lt;D xsi:type="xsd:double"&gt;0.3994584&lt;/D&gt;&lt;D xsi:type="xsd:double"&gt;4.409814&lt;/D&gt;&lt;D xsi:type="xsd:double"&gt;1.6830802&lt;/D&gt;&lt;D xsi:type="xsd:double"&gt;-7.05809&lt;/D&gt;&lt;D xsi:type="xsd:double"&gt;8.819378&lt;/D&gt;&lt;D xsi:type="xsd:double"&gt;-8.381134&lt;/D&gt;&lt;D xsi:type="xsd:double"&gt;-0.5913019&lt;/D&gt;&lt;D xsi:type="xsd:double"&gt;0.17493963&lt;/D&gt;&lt;D xsi:type="xsd:double"&gt;12.713945&lt;/D&gt;&lt;D xsi:type="xsd:double"&gt;-0.8676827&lt;/D&gt;&lt;D xsi:type="xsd:double"&gt;4.1971087&lt;/D&gt;&lt;D xsi:type="xsd:double"&gt;0.0911355&lt;/D&gt;&lt;D xsi:type="xsd:double"&gt;-3.7632823&lt;/D&gt;&lt;D xsi:type="xsd:double"&gt;-24.8502&lt;/D&gt;&lt;D xsi:type="xsd:double"&gt;11.665976&lt;/D&gt;&lt;D xsi:type="xsd:double"&gt;21.04472&lt;/D&gt;&lt;D xsi:type="xsd:double"&gt;-1.7410755&lt;/D&gt;&lt;D xsi:type="xsd:double"&gt;10.206032&lt;/D&gt;&lt;D xsi:type="xsd:double"&gt;2.2720814&lt;/D&gt;&lt;D xsi:type="xsd:double"&gt;-0.59055686&lt;/D&gt;&lt;D xsi:type="xsd:double"&gt;0.93352795&lt;/D&gt;&lt;D xsi:type="xsd:double"&gt;11.715245&lt;/D&gt;&lt;D xsi:type="xsd:double"&gt;1.8605232&lt;/D&gt;&lt;D xsi:type="xsd:double"&gt;3.9206028&lt;/D&gt;&lt;D xsi:type="xsd:double"&gt;1.9102216&lt;/D&gt;&lt;D xsi:type="xsd:double"&gt;6.0215592&lt;/D&gt;&lt;D xsi:type="xsd:double"&gt;1.7237544&lt;/D&gt;&lt;D xsi:type="xsd:double"&gt;7.147515&lt;/D&gt;&lt;D xsi:type="xsd:double"&gt;-2.4225712&lt;/D&gt;&lt;D xsi:type="xsd:double"&gt;3.9549232&lt;/D&gt;&lt;D xsi:type="xsd:double"&gt;-0.4295349&lt;/D&gt;&lt;D xsi:type="xsd:double"&gt;-7.867712&lt;/D&gt;&lt;D xsi:type="xsd:double"&gt;8.69565&lt;/D&gt;&lt;D xsi:type="xsd:double"&gt;-8.882057&lt;/D&gt;&lt;D xsi:type="xsd:double"&gt;9.111727&lt;/D&gt;&lt;D xsi:type="xsd:double"&gt;-9.980851&lt;/D&gt;&lt;D xsi:type="xsd:double"&gt;-18.723398&lt;/D&gt;&lt;D xsi:type="xsd:double"&gt;16.02676&lt;/D&gt;&lt;D xsi:type="xsd:double"&gt;-8.59865&lt;/D&gt;&lt;D xsi:type="xsd:double"&gt;1.1245251&lt;/D&gt;&lt;D xsi:type="xsd:double"&gt;-14.77083&lt;/D&gt;&lt;D xsi:type="xsd:double"&gt;10.412574&lt;/D&gt;&lt;D xsi:type="xsd:double"&gt;-13.4638195&lt;/D&gt;&lt;D xsi:type="xsd:double"&gt;0.65113306&lt;/D&gt;&lt;D xsi:type="xsd:double"&gt;3.7112594&lt;/D&gt;&lt;D xsi:type="xsd:double"&gt;12.5738735&lt;/D&gt;&lt;D xsi:type="xsd:double"&gt;-2.3319483&lt;/D&gt;&lt;D xsi:type="xsd:double"&gt;8.198202&lt;/D&gt;&lt;D xsi:type="xsd:double"&gt;0.055515766&lt;/D&gt;&lt;D xsi:type="xsd:double"&gt;-0.69348216&lt;/D&gt;&lt;D xsi:type="xsd:double"&gt;2.1787763&lt;/D&gt;&lt;D xsi:type="xsd:double"&gt;-3.6085367&lt;/D&gt;&lt;D xsi:type="xsd:double"&gt;-0.14179945&lt;/D&gt;&lt;D xsi:type="xsd:double"&gt;-1.4200509&lt;/D&gt;&lt;D xsi:type="xsd:double"&gt;-4.494375&lt;/D&gt;&lt;D xsi:type="xsd:double"&gt;-3.016591&lt;/D&gt;&lt;D xsi:type="xsd:double"&gt;2.8926969&lt;/D&gt;&lt;D xsi:type="xsd:double"&gt;10.429251&lt;/D&gt;&lt;D xsi:type="xsd:double"&gt;6.6209435&lt;/D&gt;&lt;D xsi:type="xsd:double"&gt;-1.3680518&lt;/D&gt;&lt;D xsi:type="xsd:double"&gt;5.414772&lt;/D&gt;&lt;/FQL&gt;&lt;FQL&gt;&lt;Q&gt;EWQ^FG_COMPANY_NAME&lt;/Q&gt;&lt;R&gt;1&lt;/R&gt;&lt;C&gt;1&lt;/C&gt;&lt;D xsi:type="xsd:string"&gt;iShares MSCI France ETF&lt;/D&gt;&lt;/FQL&gt;&lt;FQL&gt;&lt;Q&gt;EWQ^FMA_ROE(NTMA,-20AY,NOW,FY,"PORTAGG","MEANR")&lt;/Q&gt;&lt;R&gt;20&lt;/R&gt;&lt;C&gt;1&lt;/C&gt;&lt;D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xsi:type="xsd:double"&gt;8.94242101240323&lt;/D&gt;&lt;D xsi:type="xsd:double"&gt;12.2539581188642&lt;/D&gt;&lt;D xsi:type="xsd:double"&gt;13.1475852543623&lt;/D&gt;&lt;D xsi:type="xsd:double"&gt;13.2210595032912&lt;/D&gt;&lt;/FQL&gt;&lt;FQL&gt;&lt;Q&gt;TRYID10Y-FDS^FG_YIELD(-10AY,0,Y,,"YTM")&lt;/Q&gt;&lt;R&gt;10&lt;/R&gt;&lt;C&gt;1&lt;/C&gt;&lt;D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xsi:type="xsd:double"&gt;-6&lt;/D&gt;&lt;/FQL&gt;&lt;FQL&gt;&lt;Q&gt;USDITL^FG_PRICE_CHANGE(0,-1AY)&lt;/Q&gt;&lt;R&gt;1&lt;/R&gt;&lt;C&gt;1&lt;/C&gt;&lt;D xsi:type="xsd:double"&gt;-2.4485648&lt;/D&gt;&lt;/FQL&gt;&lt;FQL&gt;&lt;Q&gt;USDANG^FG_PRICE_CHANGE(0,-1AY)&lt;/Q&gt;&lt;R&gt;1&lt;/R&gt;&lt;C&gt;1&lt;/C&gt;&lt;D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xsi:type="xsd:double"&gt;-5.6817713&lt;/D&gt;&lt;/FQL&gt;&lt;FQL&gt;&lt;Q&gt;USDJPY^FG_PRICE_CHANGE(0,-1AY)&lt;/Q&gt;&lt;R&gt;1&lt;/R&gt;&lt;C&gt;1&lt;/C&gt;&lt;D xsi:type="xsd:double"&gt;10.382128&lt;/D&gt;&lt;/FQL&gt;&lt;FQL&gt;&lt;Q&gt;USDNZD^FG_PRICE_CHANGE(0,-1AY)&lt;/Q&gt;&lt;R&gt;1&lt;/R&gt;&lt;C&gt;1&lt;/C&gt;&lt;D xsi:type="xsd:double"&gt;1.6233444&lt;/D&gt;&lt;/FQL&gt;&lt;FQL&gt;&lt;Q&gt;EWA^JULIAN(FMA_EPS(NTMA,-20AY,0,CY,,"PORTAGG","MEANR").DATES)&lt;/Q&gt;&lt;R&gt;20&lt;/R&gt;&lt;C&gt;1&lt;/C&gt;&lt;D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xsi:type="xsd:long"&gt;45289&lt;/D&gt;&lt;/FQL&gt;&lt;FQL&gt;&lt;Q&gt;EWQ^FMA_DIV_YLD(NTMA,-10AY,0,AM,"PORTAGG","MEANR")&lt;/Q&gt;&lt;R&gt;121&lt;/R&gt;&lt;C&gt;1&lt;/C&gt;&lt;D xsi:type="xsd:double"&gt;3.48800065609681&lt;/D&gt;&lt;D xsi:type="xsd:double"&gt;3.44523871759868&lt;/D&gt;&lt;D xsi:type="xsd:double"&gt;3.4638687105566&lt;/D&gt;&lt;D xsi:type="xsd:double"&gt;3.40314677817427&lt;/D&gt;&lt;D xsi:type="xsd:double"&gt;3.39466547962953&lt;/D&gt;&lt;D xsi:type="xsd:double"&gt;3.62938922033426&lt;/D&gt;&lt;D xsi:type="xsd:double"&gt;3.46051569248756&lt;/D&gt;&lt;D xsi:type="xsd:double"&gt;3.66366166176064&lt;/D&gt;&lt;D xsi:type="xsd:double"&gt;3.78295064988747&lt;/D&gt;&lt;D xsi:type="xsd:double"&gt;3.60053125737797&lt;/D&gt;&lt;D xsi:type="xsd:double"&gt;3.64916230848045&lt;/D&gt;&lt;D xsi:type="xsd:double"&gt;3.29870696276236&lt;/D&gt;&lt;D xsi:type="xsd:double"&gt;3.20322667199082&lt;/D&gt;&lt;D xsi:type="xsd:double"&gt;3.16908348705545&lt;/D&gt;&lt;D xsi:type="xsd:double"&gt;3.23008449182558&lt;/D&gt;&lt;D xsi:type="xsd:double"&gt;3.30427343335816&lt;/D&gt;&lt;D xsi:type="xsd:double"&gt;3.42910900812975&lt;/D&gt;&lt;D xsi:type="xsd:double"&gt;3.28066172513954&lt;/D&gt;&lt;D xsi:type="xsd:double"&gt;3.72022612204557&lt;/D&gt;&lt;D xsi:type="xsd:double"&gt;3.75713712725147&lt;/D&gt;&lt;D xsi:type="xsd:double"&gt;3.40571434891679&lt;/D&gt;&lt;D xsi:type="xsd:double"&gt;3.53260877580856&lt;/D&gt;&lt;D xsi:type="xsd:double"&gt;3.695135933997&lt;/D&gt;&lt;D xsi:type="xsd:double"&gt;3.91501369983541&lt;/D&gt;&lt;D xsi:type="xsd:double"&gt;3.73328352804335&lt;/D&gt;&lt;D xsi:type="xsd:double"&gt;3.80209442053117&lt;/D&gt;&lt;D xsi:type="xsd:double"&gt;3.80500408259515&lt;/D&gt;&lt;D xsi:type="xsd:double"&gt;3.74099399348952&lt;/D&gt;&lt;D xsi:type="xsd:double"&gt;3.87498928857858&lt;/D&gt;&lt;D xsi:type="xsd:double"&gt;3.80651779413734&lt;/D&gt;&lt;D xsi:type="xsd:double"&gt;3.65727704865518&lt;/D&gt;&lt;D xsi:type="xsd:double"&gt;3.69666651328337&lt;/D&gt;&lt;D xsi:type="</t>
        </r>
      </text>
    </comment>
    <comment ref="A3" authorId="0" shapeId="0" xr:uid="{75C1AA17-5F7F-4FE7-B4B9-CD6FE2149688}">
      <text>
        <r>
          <rPr>
            <b/>
            <sz val="9"/>
            <color indexed="81"/>
            <rFont val="Tahoma"/>
            <family val="2"/>
          </rPr>
          <t>xsd:double"&gt;3.84206700365282&lt;/D&gt;&lt;D xsi:type="xsd:double"&gt;3.69359323027504&lt;/D&gt;&lt;D xsi:type="xsd:double"&gt;3.4457616683946&lt;/D&gt;&lt;D xsi:type="xsd:double"&gt;3.48467204640201&lt;/D&gt;&lt;D xsi:type="xsd:double"&gt;3.43312872630518&lt;/D&gt;&lt;D xsi:type="xsd:double"&gt;3.36541305820753&lt;/D&gt;&lt;D xsi:type="xsd:double"&gt;3.20302724166321&lt;/D&gt;&lt;D xsi:type="xsd:double"&gt;3.22577455836148&lt;/D&gt;&lt;D xsi:type="xsd:double"&gt;3.35209483649732&lt;/D&gt;&lt;D xsi:type="xsd:double"&gt;3.34982234157062&lt;/D&gt;&lt;D xsi:type="xsd:double"&gt;3.40480123197067&lt;/D&gt;&lt;D xsi:type="xsd:double"&gt;3.2826454472718&lt;/D&gt;&lt;D xsi:type="xsd:double"&gt;3.22881272844645&lt;/D&gt;&lt;D xsi:type="xsd:double"&gt;3.27094020708733&lt;/D&gt;&lt;D xsi:type="xsd:double"&gt;3.26492160740921&lt;/D&gt;&lt;D xsi:type="xsd:double"&gt;3.28798644955116&lt;/D&gt;&lt;D xsi:type="xsd:double"&gt;3.4729556178549&lt;/D&gt;&lt;D xsi:type="xsd:double"&gt;3.48883838829736&lt;/D&gt;&lt;D xsi:type="xsd:double"&gt;3.30371098310647&lt;/D&gt;&lt;D xsi:type="xsd:double"&gt;3.35234841432552&lt;/D&gt;&lt;D xsi:type="xsd:double"&gt;3.4665935651196&lt;/D&gt;&lt;D xsi:type="xsd:double"&gt;3.39473735393995&lt;/D&gt;&lt;D xsi:type="xsd:double"&gt;3.4962465948667&lt;/D&gt;&lt;D xsi:type="xsd:double"&gt;3.49159248697106&lt;/D&gt;&lt;D xsi:type="xsd:double"&gt;3.70183322733909&lt;/D&gt;&lt;D xsi:type="xsd:double"&gt;3.77375068983075&lt;/D&gt;&lt;D xsi:type="xsd:double"&gt;4.00299318562177&lt;/D&gt;&lt;D xsi:type="xsd:double"&gt;3.79359593674381&lt;/D&gt;&lt;D xsi:type="xsd:double"&gt;3.61018153264353&lt;/D&gt;&lt;D xsi:type="xsd:double"&gt;3.53257535132803&lt;/D&gt;&lt;D xsi:type="xsd:double"&gt;3.48983441390455&lt;/D&gt;&lt;D xsi:type="xsd:double"&gt;3.68941293508324&lt;/D&gt;&lt;D xsi:type="xsd:double"&gt;3.48307835259069&lt;/D&gt;&lt;D xsi:type="xsd:double"&gt;3.65992110966625&lt;/D&gt;&lt;D xsi:type="xsd:double"&gt;3.57157631343115&lt;/D&gt;&lt;D xsi:type="xsd:double"&gt;3.6019278658264&lt;/D&gt;&lt;D xsi:type="xsd:double"&gt;3.40103173809881&lt;/D&gt;&lt;D xsi:type="xsd:double"&gt;3.43638194586445&lt;/D&gt;&lt;D xsi:type="xsd:double"&gt;3.32107569158241&lt;/D&gt;&lt;D xsi:type="xsd:double"&gt;3.36530096202138&lt;/D&gt;&lt;D xsi:type="xsd:double"&gt;3.60785633554719&lt;/D&gt;&lt;D xsi:type="xsd:double"&gt;4.48843951621097&lt;/D&gt;&lt;D xsi:type="xsd:double"&gt;3.66501471514003&lt;/D&gt;&lt;D xsi:type="xsd:double"&gt;3.09838449454209&lt;/D&gt;&lt;D xsi:type="xsd:double"&gt;3.08260103573464&lt;/D&gt;&lt;D xsi:type="xsd:double"&gt;3.17507082308698&lt;/D&gt;&lt;D xsi:type="xsd:double"&gt;3.15097130849987&lt;/D&gt;&lt;D xsi:type="xsd:double"&gt;3.27596497862787&lt;/D&gt;&lt;D xsi:type="xsd:double"&gt;3.22445239591409&lt;/D&gt;&lt;D xsi:type="xsd:double"&gt;2.8595569599684&lt;/D&gt;&lt;D xsi:type="xsd:double"&gt;2.92036512563252&lt;/D&gt;&lt;D xsi:type="xsd:double"&gt;2.94182165853113&lt;/D&gt;&lt;D xsi:type="xsd:double"&gt;2.82146261627734&lt;/D&gt;&lt;D xsi:type="xsd:double"&gt;2.7400858139563&lt;/D&gt;&lt;D xsi:type="xsd:double"&gt;2.72473170555019&lt;/D&gt;&lt;D xsi:type="xsd:double"&gt;2.67103769944326&lt;/D&gt;&lt;D xsi:type="xsd:double"&gt;2.69312704439762&lt;/D&gt;&lt;D xsi:type="xsd:double"&gt;2.69385335926535&lt;/D&gt;&lt;D xsi:type="xsd:double"&gt;2.75626790754225&lt;/D&gt;&lt;D xsi:type="xsd:double"&gt;2.88467128624076&lt;/D&gt;&lt;D xsi:type="xsd:double"&gt;2.74709248518717&lt;/D&gt;&lt;D xsi:type="xsd:double"&gt;2.87630629338555&lt;/D&gt;&lt;D xsi:type="xsd:double"&gt;2.68754976064924&lt;/D&gt;&lt;D xsi:type="xsd:double"&gt;2.89182130690571&lt;/D&gt;&lt;D xsi:type="xsd:double"&gt;3.4006010868894&lt;/D&gt;&lt;D xsi:type="xsd:double"&gt;3.06607656432858&lt;/D&gt;&lt;D xsi:type="xsd:double"&gt;3.22448161084733&lt;/D&gt;&lt;D xsi:type="xsd:double"&gt;3.20792621430169&lt;/D&gt;&lt;D xsi:type="xsd:double"&gt;3.53730111911811&lt;/D&gt;&lt;D xsi:type="xsd:double"&gt;3.25712985559851&lt;/D&gt;&lt;D xsi:type="xsd:double"&gt;3.49737002534738&lt;/D&gt;&lt;D xsi:type="xsd:double"&gt;3.59280587025269&lt;/D&gt;&lt;D xsi:type="xsd:double"&gt;3.42276453766615&lt;/D&gt;&lt;D xsi:type="xsd:double"&gt;3.26032581086652&lt;/D&gt;&lt;D xsi:type="xsd:double"&gt;3.24680528095213&lt;/D&gt;&lt;D xsi:type="xsd:double"&gt;3.05813258530929&lt;/D&gt;&lt;D xsi:type="xsd:double"&gt;3.13616809728225&lt;/D&gt;&lt;D xsi:type="xsd:double"&gt;3.16752059112588&lt;/D&gt;&lt;D xsi:type="xsd:double"&gt;3.19796365773109&lt;/D&gt;&lt;D xsi:type="xsd:double"&gt;3.26041297028459&lt;/D&gt;&lt;D xsi:type="xsd:double"&gt;3.24099782952408&lt;/D&gt;&lt;D xsi:type="xsd:double"&gt;3.30760324696775&lt;/D&gt;&lt;D xsi:type="xsd:double"&gt;3.32461220107856&lt;/D&gt;&lt;D xsi:type="xsd:double"&gt;3.49152384700578&lt;/D&gt;&lt;D xsi:type="xsd:double"&gt;3.4541575001755&lt;/D&gt;&lt;D xsi:type="xsd:double"&gt;3.32674504056966&lt;/D&gt;&lt;D xsi:type="xsd:double"&gt;3.268216738011&lt;/D&gt;&lt;D xsi:type="xsd:double"&gt;3.20794258474006&lt;/D&gt;&lt;D xsi:type="xsd:double"&gt;2.95561175250303&lt;/D&gt;&lt;/FQL&gt;&lt;FQL&gt;&lt;Q&gt;QQQ^FMA_PE(NTMA,-10AY,0,AM,"PORTAGG","MEANR")&lt;/Q&gt;&lt;R&gt;121&lt;/R&gt;&lt;C&gt;1&lt;/C&gt;&lt;D xsi:type="xsd:double"&gt;17.8273740230405&lt;/D&gt;&lt;D xsi:type="xsd:double"&gt;16.876151636883&lt;/D&gt;&lt;D xsi:type="xsd:double"&gt;16.6762648670382&lt;/D&gt;&lt;D xsi:type="xsd:double"&gt;17.183610319885&lt;/D&gt;&lt;D xsi:type="xsd:double"&gt;17.7656502883482&lt;/D&gt;&lt;D xsi:type="xsd:double"&gt;17.2573475159038&lt;/D&gt;&lt;D xsi:type="xsd:double"&gt;17.7737630113152&lt;/D&gt;&lt;D xsi:type="xsd:double"&gt;17.3233638844064&lt;/D&gt;&lt;D xsi:type="xsd:double"&gt;17.7175569758787&lt;/D&gt;&lt;D xsi:type="xsd:double"&gt;18.1410390740665&lt;/D&gt;&lt;D xsi:type="xsd:double"&gt;17.4085719896589&lt;/D&gt;&lt;D xsi:type="xsd:double"&gt;17.2297081172198&lt;/D&gt;&lt;D xsi:type="xsd:double"&gt;18.086785969898&lt;/D&gt;&lt;D xsi:type="xsd:double"&gt;17.5930702998624&lt;/D&gt;&lt;D xsi:type="xsd:double"&gt;18.015092180585&lt;/D&gt;&lt;D xsi:type="xsd:double"&gt;17.9005573941926&lt;/D&gt;&lt;D xsi:type="xsd:double"&gt;17.6216170239777&lt;/D&gt;&lt;D xsi:type="xsd:double"&gt;18.5221636330891&lt;/D&gt;&lt;D xsi:type="xsd:double"&gt;16.8907951485815&lt;/D&gt;&lt;D xsi:type="xsd:double"&gt;17.1770994663732&lt;/D&gt;&lt;D xsi:type="xsd:double"&gt;18.8384360337357&lt;/D&gt;&lt;D xsi:type="xsd:double"&gt;18.8344373393543&lt;/D&gt;&lt;D xsi:type="xsd:double"&gt;18.0523968620675&lt;/D&gt;&lt;D xsi:type="xsd:double"&gt;16.8456697793383&lt;/D&gt;&lt;D xsi:type="xsd:double"&gt;17.3457942482943&lt;/D&gt;&lt;D xsi:type="xsd:double"&gt;17.9809991003185&lt;/D&gt;&lt;D xsi:type="xsd:double"&gt;17.3258997769089&lt;/D&gt;&lt;D xsi:type="xsd:double"&gt;17.9437090657512&lt;/D&gt;&lt;D xsi:type="xsd:double"&gt;17.7093238287946&lt;/D&gt;&lt;D xsi:type="xsd:double"&gt;18.6756362685822&lt;/D&gt;&lt;D xsi:type="xsd:double"&gt;18.5893421645408&lt;/D&gt;&lt;D xsi:type="xsd:double"&gt;18.5760402500502&lt;/D&gt;&lt;D xsi:type="xsd:double"&gt;17.6296222986152&lt;/D&gt;&lt;D xsi:type="xsd:double"&gt;17.7586649712242&lt;/D&gt;&lt;D xsi:type="xsd:double"&gt;18.3092568721436&lt;/D&gt;&lt;D xsi:type="xsd:double"&gt;19.3094351018213&lt;/D&gt;&lt;D xsi:type="xsd:double"&gt;20.1405453119786&lt;/D&gt;&lt;D xsi:type="xsd:double"&gt;20.1382279659144&lt;/D&gt;&lt;D xsi:type="xsd:double"&gt;20.5772292550812&lt;/D&gt;&lt;D xsi:type="xsd:double"&gt;21.2027524572007&lt;/D&gt;&lt;D xsi:type="xsd:double"&gt;19.8547435220406&lt;/D&gt;&lt;D xsi:type="xsd:double"&gt;20.6417750448389&lt;/D&gt;&lt;D xsi:type="xsd:double"&gt;20.6993067237689&lt;/D&gt;&lt;D xsi:type="xsd:double"&gt;20.396638311608&lt;/D&gt;&lt;D xsi:type="xsd:double"&gt;20.9012350377746&lt;/D&gt;&lt;D xsi:type="xsd:double"&gt;20.5367225394248&lt;/D&gt;&lt;D xsi:type="xsd:double"&gt;21.3495471488768&lt;/D&gt;&lt;D xsi:type="xsd:double"&gt;20.8845307369388&lt;/D&gt;&lt;D xsi:type="xsd:double"&gt;20.6426104833192&lt;/D&gt;&lt;D xsi:type="xsd:double"&gt;19.6810844452275&lt;/D&gt;&lt;D xsi:type="xsd:double"&gt;19.7470859391111&lt;/D&gt;&lt;D xsi:type="xsd:double"&gt;20.5432776215878&lt;/D&gt;&lt;D xsi:type="xsd:double"&gt;19.9944536382941&lt;/D&gt;&lt;D xsi:type="xsd:double"&gt;20.5652717594885&lt;/D&gt;&lt;D xsi:type="xsd:double"&gt;21.0069498863393&lt;/D&gt;&lt;D xsi:type="xsd:double"&gt;20.4826805342542&lt;/D&gt;&lt;D xsi:type="xsd:double"&gt;18.8850673113004&lt;/D&gt;&lt;D xsi:type="xsd:double"&gt;18.379241900894&lt;/D&gt;&lt;D xsi:type="xsd:double"&gt;17.6695794785626&lt;/D&gt;&lt;D xsi:type="xsd:double"&gt;19.197365666601&lt;/D&gt;&lt;D xsi:type="xsd:double"&gt;19.7954741924912&lt;/D&gt;&lt;D xsi:type="xsd:double"&gt;20.7621331575988&lt;/D&gt;&lt;D xsi:type="xsd:double"&gt;21.4494060379668&lt;/D&gt;&lt;D xsi:type="xsd:double"&gt;19.4400249564428&lt;/D&gt;&lt;D xsi:type="xsd:double"&gt;21.2817650292575&lt;/D&gt;&lt;D xsi:type="xsd:double"&gt;20.6348273258007&lt;/D&gt;&lt;D xsi:type="xsd:double"&gt;20.497400113556&lt;/D&gt;&lt;D xsi:type="xsd:double"&gt;20.411648772202&lt;/D&gt;&lt;D xsi:type="xsd:double"&gt;21.4283553041877&lt;/D&gt;&lt;D xsi:type="xsd:double"&gt;21.6870648416359&lt;/D&gt;&lt;D xsi:type="xsd:double"&gt;22.8635334414515&lt;/D&gt;&lt;D xsi:type="xsd:double"&gt;23.6253257870767&lt;/D&gt;&lt;D xsi:type="xsd:double"&gt;22.588088914905&lt;/D&gt;&lt;D xsi:type="xsd:double"&gt;20.1149122658874&lt;/D&gt;&lt;D xsi:type="xsd:double"&gt;25.0830874315563&lt;/D&gt;&lt;D xsi:type="xsd:double"&gt;27.4394430557438&lt;/D&gt;&lt;D xsi:type="xsd:double"&gt;28.8230082344702&lt;/D&gt;&lt;D xsi:type="xsd:double"&gt;29.3028979283188&lt;/D&gt;&lt;D xsi:type="xsd:double"&gt;30.1632566756378&lt;/D&gt;&lt;D xsi:type="xsd:double"&gt;28.7721260874328&lt;/D&gt;&lt;D xsi:type="xsd:double"&gt;29.0528728199217&lt;/D&gt;&lt;D xsi:type="xsd:double"&gt;30.139721885605&lt;/D&gt;&lt;D xsi:type="xsd:double"&gt;29.6007895308391&lt;/D&gt;&lt;D xsi:type="xsd:double"&gt;29.9640015785162&lt;/D&gt;&lt;D xsi:type="xsd:double"&gt;26.8152063811817&lt;/D&gt;&lt;D xsi:type="xsd:double"&gt;28.4157878524009&lt;/D&gt;&lt;D xsi:type="xsd:double"&gt;27.1017183650153&lt;/D&gt;&lt;D xsi:type="xsd:double"&gt;27.025989998426&lt;/D&gt;&lt;D xsi:type="xsd:double"&gt;28.6177148872982&lt;/D&gt;&lt;D xsi:type="xsd:double"&gt;28.1215922684984&lt;/D&gt;&lt;D xsi:type="xsd:double"&gt;28.7401387137877&lt;/D&gt;&lt;D xsi:type="xsd:double"&gt;26.4484614429869&lt;/D&gt;&lt;D xsi:type="xsd:double"&gt;29.6635875816994&lt;/D&gt;&lt;D xsi:type="xsd:double"&gt;28.1983207404912&lt;/D&gt;&lt;D xsi:type="xsd:double"&gt;29.0442260635482&lt;/D&gt;&lt;D xsi:type="xsd:double"&gt;25.8669137255324&lt;/D&gt;&lt;D xsi:type="xsd:double"&gt;24.0416846836349&lt;/D&gt;&lt;D xsi:type="xsd:double"&gt;26.1164305367799&lt;/D&gt;&lt;D xsi:type="xsd:double"&gt;23.582813234798&lt;/D&gt;&lt;D xsi:type="xsd:double"&gt;21.6483583250418&lt;/D&gt;&lt;D xsi:type="xsd:double"&gt;20.0874049897724&lt;/D&gt;&lt;D xsi:type="xsd:double"&gt;23.620647305356&lt;/D&gt;&lt;D xsi:type="xsd:double"&gt;21.4813741815194&lt;/D&gt;&lt;D xsi:type="xsd:double"&gt;20.5998240557849&lt;/D&gt;&lt;D xsi:type="xsd:double"&gt;20.2643594163648&lt;/D&gt;&lt;D xsi:type="xsd:double"&gt;22.2772241849681&lt;/D&gt;&lt;D xsi:type="xsd:double"&gt;20.8280878673638&lt;/D&gt;&lt;D xsi:type="xsd:double"&gt;24.3287716323719&lt;/D&gt;&lt;D xsi:type="xsd:double"&gt;23.5610648811803&lt;/D&gt;&lt;D xsi:type="xsd:double"&gt;24.8688863325334&lt;/D&gt;&lt;D xsi:type="xsd:double"&gt;24.076173416447&lt;/D&gt;&lt;D xsi:type="xsd:double"&gt;26.128499654911&lt;/D&gt;&lt;D xsi:type="xsd:double"&gt;26.8021624240104&lt;/D&gt;&lt;D xsi:type="xsd:double"&gt;24.9009995604284&lt;/D&gt;&lt;D xsi:type="xsd:double"&gt;24.6492510092304&lt;/D&gt;&lt;D xsi:type="xsd:double"&gt;23.224047119706&lt;/D&gt;&lt;D xsi:type="xsd:double"&gt;23.3829055277616&lt;/D&gt;&lt;D xsi:type="xsd:double"&gt;24.025138066748&lt;/D&gt;&lt;D xsi:type="xsd:double"&gt;24.2265332776038&lt;/D&gt;&lt;D xsi:type="xsd:double"&gt;25.9873097032666&lt;/D&gt;&lt;D xsi:type="xsd:double"&gt;26.5729326491097&lt;/D&gt;&lt;/FQL&gt;&lt;FQL&gt;&lt;Q&gt;EWL^FMA_PE(LTMA,-10AY,0,AM,"PORTAGG","MEANR")&lt;/Q&gt;&lt;R&gt;121&lt;/R&gt;&lt;C&gt;1&lt;/C&gt;&lt;D xsi:type="xsd:double"&gt;17.1364069991293&lt;/D&gt;&lt;D xsi:type="xsd:double"&gt;17.1060562051019&lt;/D&gt;&lt;D xsi:type="xsd:double"&gt;17.1250613126208&lt;/D&gt;&lt;D xsi:type="xsd:double"&gt;17.2102811360228&lt;/D&gt;&lt;D xsi:type="xsd:double"&gt;17.2597702996767&lt;/D&gt;&lt;D xsi:type="xsd:double"&gt;16.9866198354842&lt;/D&gt;&lt;D xsi:type="xsd:double"&gt;17.5034729356427&lt;/D&gt;&lt;D xsi:type="xsd:double"&gt;17.0624895336422&lt;/D&gt;&lt;D xsi:type="xsd:double"&gt;17.1543581667354&lt;/D&gt;&lt;D xsi:type="xsd:double"&gt;17.6184008630134&lt;/D&gt;&lt;D xsi:type="xsd:double"&gt;17.1892387956023&lt;/D&gt;&lt;D xsi:type="xsd:double"&gt;17.0688150334987&lt;/D&gt;&lt;D xsi:type="xsd:double"&gt;17.9632836391579&lt;/D&gt;&lt;D xsi:type="xsd:double"&gt;18.028330397076&lt;/D&gt;&lt;D xsi:type="xsd:double"&gt;18.0932183027372&lt;/D&gt;&lt;D xsi:type="xsd:double"&gt;18.1015018506456&lt;/D&gt;&lt;D xsi:type="xsd:double"&gt;17.8155523923486&lt;/D&gt;&lt;D xsi:type="xsd:double"&gt;18.2680934792093&lt;/D&gt;&lt;D xsi:type="xsd:double"&gt;17.1691832618721&lt;/D&gt;&lt;D xsi:type="xsd:double"&gt;17.0105680671862&lt;/D&gt;&lt;D xsi:type="xsd:double"&gt;17.7759852895907&lt;/D&gt;&lt;D xsi:type="xsd:double"&gt;17.4902701636845&lt;/D&gt;&lt;D xsi:type="xsd:double"&gt;17.0028712522052&lt;/D&gt;&lt;D xsi:type="xsd:double"&gt;16.7287673022491&lt;/D&gt;&lt;D xsi:type="xsd:double"&gt;16.6344526418168&lt;/D&gt;&lt;D xsi:type="xsd:double"&gt;16.6263275456812&lt;/D&gt;&lt;D xsi:type="xsd:double"&gt;16.7108407562324&lt;/D&gt;&lt;D xsi:type="xsd:double"&gt;17.112112660667&lt;/D&gt;&lt;D xsi:type="xsd:double"&gt;17.2037167975357&lt;/D&gt;&lt;D xsi:type="xsd:double"&gt;17.5735509118325&lt;/D&gt;&lt;D xsi:type="xsd:double"&gt;17.9974801924623&lt;/D&gt;&lt;D xsi:type="xsd:double"&gt;18.1305386362343&lt;/D&gt;&lt;D xsi:type="xsd:double"&gt;17.2419120869675&lt;/D&gt;&lt;D xsi:type="xsd:double"&gt;17.3308447360363&lt;/D&gt;&lt;D xsi:type="xsd:double"&gt;18.4458412392836&lt;/D&gt;&lt;D xsi:type="xsd:double"&gt;18.6143092662367&lt;/D&gt;&lt;D xsi:type="xsd:double"&gt;19.6758440484471&lt;/D&gt;&lt;D xsi:type="xsd:double"&gt;19.4543456328416&lt;/D&gt;&lt;D xsi:type="xsd:double"&gt;19.5332165126259&lt;/D&gt;&lt;D xsi:type="xsd:double"&gt;19.6261880786779&lt;/D&gt;&lt;D xsi:type="xsd:double"&gt;19.4095821352218&lt;/D&gt;&lt;D xsi:type="xsd:double"&gt;19.46967483232&lt;/D&gt;&lt;D xsi:type="xsd:double"&gt;19.1444664384264&lt;/D&gt;&lt;D xsi:type="xsd:double"&gt;19.6280305073099&lt;/D&gt;&lt;D xsi:type="xsd:double"&gt;20.4025119141339&lt;/D&gt;&lt;D xsi:type="xsd:double"&gt;20.4227491025228&lt;/D&gt;&lt;D xsi:type="xsd:double"&gt;20.9618732232536&lt;/D&gt;&lt;D xsi:type="xsd:double"&gt;21.507578164467&lt;/D&gt;&lt;D xsi:type="xsd:double"&gt;21.1100631842414&lt;/D&gt;&lt;D xsi:type="xsd:double"&gt;20.5396245067421&lt;/D&gt;&lt;D xsi:type="xsd:double"&gt;20.2444108893736&lt;/D&gt;&lt;D xsi:type="xsd:double"&gt;19.6679368537386&lt;/D&gt;&lt;D xsi:type="xsd:double"&gt;19.2423074570726&lt;/D&gt;&lt;D xsi:type="xsd:double"&gt;19.2603756519011&lt;/D&gt;&lt;D xsi:type="xsd:double"&gt;18.7058393027404&lt;/D&gt;&lt;D xsi:type="xsd:double"&gt;18.4170696242638&lt;/D&gt;&lt;D xsi:type="xsd:double"&gt;17.9929825099386&lt;/D&gt;&lt;D xsi:type="xsd:double"&gt;17.7453518396777&lt;/D&gt;&lt;D xsi:type="xsd:double"&gt;16.4991314313888&lt;/D&gt;&lt;D xsi:type="xsd:double"&gt;17.5755340496179&lt;/D&gt;&lt;D xsi:type="xsd:double"&gt;18.3394318160253&lt;/D&gt;&lt;D xsi:type="xsd:double"&gt;18.2977965166738&lt;/D&gt;&lt;D xsi:type="xsd:double"&gt;18.2748242009205&lt;/D&gt;&lt;D xsi:type="xsd:double"&gt;18.1028308456078&lt;/D&gt;&lt;D xsi:type="xsd:double"&gt;18.4826916295533&lt;/D&gt;&lt;D xsi:type="xsd:double"&gt;18.2494739557424&lt;/D&gt;&lt;D xsi:type="xsd:double"&gt;18.3374444233711&lt;/D&gt;&lt;D xsi:type="xsd:double"&gt;18.1417193729842&lt;/D&gt;&lt;D xsi:type="xsd:double"&gt;18.8865083487033&lt;/D&gt;&lt;D xsi:type="xsd:double"&gt;18.8692926969172&lt;/D&gt;&lt;D xsi:type="xsd:double"&gt;19.7449365424873&lt;/D&gt;&lt;D xsi:type="xsd:double"&gt;19.9412311884975&lt;/D&gt;&lt;D xsi:type="xsd:double"&gt;18.0642341862183&lt;/D&gt;&lt;D xsi:type="xsd:double"&gt;17.738175680093&lt;/D&gt;&lt;D xsi:type="xsd:double"&gt;18.4045771603644&lt;/D&gt;&lt;D xsi:type="xsd:double"&gt;19.2632789848795&lt;/D&gt;&lt;D xsi:type="xsd:double"&gt;19.6724995941249&lt;/D&gt;&lt;D xsi:type="xsd:double"&gt;20.1321138832561&lt;/D&gt;&lt;D xsi:type="xsd:double"&gt;20.4164662971064&lt;/D&gt;&lt;D xsi:type="xsd:double"&gt;20.7899161628718&lt;/D&gt;&lt;D xsi:type="xsd:double"&gt;20.783602743101&lt;/D&gt;&lt;D xsi:type="xsd:double"&gt;20.9592896478072&lt;/D&gt;&lt;D xsi:type="xsd:double"&gt;22.1028224233987&lt;/D&gt;&lt;D xsi:type="xsd:double"&gt;21.3736762243852&lt;/D&gt;&lt;D xsi:type="xsd:double"&gt;20.4688832394904&lt;/D&gt;&lt;D xsi:type="xsd:double"&gt;20.4554903396587&lt;/D&gt;&lt;D xsi:type="xsd:double"&gt;20.3823073559885&lt;/D&gt;&lt;D xsi:type="xsd:double"&gt;20.7389530193878&lt;/D&gt;&lt;D xsi:type="xsd:double"&gt;20.859253667377&lt;/D&gt;&lt;D xsi:type="xsd:double"&gt;21.020109685097&lt;/D&gt;&lt;D xsi:type="xsd:double"&gt;21.1174303938879&lt;/D&gt;&lt;D xsi:type="xsd:double"&gt;20.0143035944468&lt;/D&gt;&lt;D xsi:type="xsd:double"&gt;20.9752353615898&lt;/D&gt;&lt;D xsi:type="xsd:double"&gt;20.4227766572214&lt;/D&gt;&lt;D xsi:type="xsd:double"&gt;21.6751039689911&lt;/D&gt;&lt;D xsi:type="xsd:double"&gt;19.7278824743864&lt;/D&gt;&lt;D xsi:type="xsd:double"&gt;18.3281041309794&lt;/D&gt;&lt;D xsi:type="xsd:double"&gt;18.6536954456422&lt;/D&gt;&lt;D xsi:type="xsd:double"&gt;18.3624085092782&lt;/D&gt;&lt;D xsi:type="xsd:double"&gt;18.1448349367019&lt;/D&gt;&lt;D xsi:type="xsd:double"&gt;17.5724768220331&lt;/D&gt;&lt;D xsi:type="xsd:double"&gt;18.3547041239477&lt;/D&gt;&lt;D xsi:type="xsd:double"&gt;17.9012740995087&lt;/D&gt;&lt;D xsi:type="xsd:double"&gt;17.3430499620543&lt;/D&gt;&lt;D xsi:type="xsd:double"&gt;18.6915925547177&lt;/D&gt;&lt;D xsi:type="xsd:double"&gt;19.9699113012793&lt;/D&gt;&lt;D xsi:type="xsd:double"&gt;20.8824849260327&lt;/D&gt;&lt;D xsi:type="xsd:double"&gt;20.818452300651&lt;/D&gt;&lt;D xsi:type="xsd:double"&gt;20.6873987258818&lt;/D&gt;&lt;D xsi:type="xsd:double"&gt;20.3796720105717&lt;/D&gt;&lt;D xsi:type="xsd:double"&gt;20.2674700435334&lt;/D&gt;&lt;D xsi:type="xsd:double"&gt;19.6829579091621&lt;/D&gt;&lt;D xsi:type="xsd:double"&gt;19.2185781088984&lt;/D&gt;&lt;D xsi:type="xsd:double"&gt;19.0270390276626&lt;/D&gt;&lt;D xsi:type="xsd:double"&gt;18.8896536197856&lt;/D&gt;&lt;D xsi:type="xsd:double"&gt;18.0787234076674&lt;/D&gt;&lt;D xsi:type="xsd:double"&gt;17.7813788921017&lt;/D&gt;&lt;D xsi:type="xsd:double"&gt;18.038188476555&lt;/D&gt;&lt;D xsi:type="xsd:double"&gt;18.4721283755708&lt;/D&gt;&lt;D xsi:type="xsd:double"&gt;18.5980070051474&lt;/D&gt;&lt;D xsi:type="xsd:double"&gt;19.4309739173937&lt;/D&gt;&lt;/FQL&gt;&lt;FQL&gt;&lt;Q&gt;WL-FDS^FG_PRICE(0)/MAX(FG_PRICE(0,-1AY))&lt;/Q&gt;&lt;R&gt;1&lt;/R&gt;&lt;C&gt;1&lt;/C&gt;&lt;D xsi:type="xsd:double"&gt;0.776788053445114&lt;/D&gt;&lt;/FQL&gt;&lt;FQL&gt;&lt;Q&gt;NI-FDS^FG_PRICE(0)/MAX(FG_PRICE(0,-1AY))&lt;/Q&gt;&lt;R&gt;1&lt;/R&gt;&lt;C&gt;1&lt;/C&gt;&lt;D xsi:type="xsd:double"&gt;0.688136256851997&lt;/D&gt;&lt;/FQL&gt;&lt;FQL&gt;&lt;Q&gt;TIOS-FDS^FG_PRICE_CHANGE(0,-1AY)&lt;/Q&gt;&lt;R&gt;1&lt;/R&gt;&lt;C&gt;1&lt;/C&gt;&lt;D xsi:type="xsd:double"&gt;-7.6595072646873&lt;/D&gt;&lt;/FQL&gt;&lt;FQL&gt;&lt;Q&gt;FC0000US^FG_PRICE(0)&lt;/Q&gt;&lt;R&gt;1&lt;/R&gt;&lt;C&gt;1&lt;/C&gt;&lt;D xsi:type="xsd:double"&gt;386.42722&lt;/D&gt;&lt;/FQL&gt;&lt;FQL&gt;&lt;Q&gt;FC0000GB^FG_PRICE(0)&lt;/Q&gt;&lt;R&gt;1&lt;/R&gt;&lt;C&gt;1&lt;/C&gt;&lt;D xsi:type="xsd:double"&gt;118.759514&lt;/D&gt;&lt;/FQL&gt;&lt;FQL&gt;&lt;Q&gt;FC0000CA^FG_PRICE(0)&lt;/Q&gt;&lt;R&gt;1&lt;/R&gt;&lt;C&gt;1&lt;/C&gt;&lt;D xsi:type="xsd:double"&gt;284.53564&lt;/D&gt;&lt;/FQL&gt;&lt;FQL&gt;&lt;Q&gt;EWD^FG_PRICE_MAVG(0,,,,30)&lt;/Q&gt;&lt;R&gt;1&lt;/R&gt;&lt;C&gt;1&lt;/C&gt;&lt;D xsi:type="xsd:double"&gt;38.075333&lt;/D&gt;&lt;/FQL&gt;&lt;FQL&gt;&lt;Q&gt;QQQ^FG_PRICE_MAVG(0,,,,30)&lt;/Q&gt;&lt;R&gt;1&lt;/R&gt;&lt;C&gt;1&lt;/C&gt;&lt;D xsi:type="xsd:double"&gt;430.94666&lt;/D&gt;&lt;/FQL&gt;&lt;FQL&gt;&lt;Q&gt;EWG^FG_PRICE_MAVG(0,,,,30)&lt;/Q&gt;&lt;R&gt;1&lt;/R&gt;&lt;C&gt;1&lt;/C&gt;&lt;D xsi:type="xsd:double"&gt;29.603333&lt;/D&gt;&lt;/FQL&gt;&lt;FQL&gt;&lt;Q&gt;EWU^FG_COMPANY_NAME&lt;/Q&gt;&lt;R&gt;1&lt;/R&gt;&lt;C&gt;1&lt;/C&gt;&lt;D xsi:type="xsd:string"&gt;iShares MSCI United Kingdom ETF&lt;/D&gt;&lt;/FQL&gt;&lt;FQL&gt;&lt;Q&gt;SPY^FG_COMPANY_NAME&lt;/Q&gt;&lt;R&gt;1&lt;/R&gt;&lt;C&gt;1&lt;/C&gt;&lt;D xsi:type="xsd:string"&gt;SPDR S&amp;amp;P 500 ETF Trust&lt;/D&gt;&lt;/FQL&gt;&lt;FQL&gt;&lt;Q&gt;SPY^FMA_ROE(NTMA,-20AY,NOW,FY,"PORTAGG","MEANR")&lt;/Q&gt;&lt;R&gt;20&lt;/R&gt;&lt;C&gt;1&lt;/C&gt;&lt;D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xsi:type="xsd:double"&gt;18.2929292655871&lt;/D&gt;&lt;D xsi:type="xsd:double"&gt;17.2298191459873&lt;/D&gt;&lt;D xsi:type="xsd:double"&gt;20.6863832700785&lt;/D&gt;&lt;D xsi:type="xsd:double"&gt;20.5985725378041&lt;/D&gt;&lt;D xsi:type="xsd:double"&gt;20.3434939595137&lt;/D&gt;&lt;/FQL&gt;&lt;FQL&gt;&lt;Q&gt;TRYAE10Y-FDS^FG_YIELD(-10AY,0,Y,,"YTM")&lt;/Q&gt;&lt;R&gt;10&lt;/R&gt;&lt;C&gt;1&lt;/C&gt;&lt;D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xsi:type="xsd:double"&gt;11.358896&lt;/D&gt;&lt;/FQL&gt;&lt;FQL&gt;&lt;Q&gt;CAGDPY@US^EE_ACTUAL_ANNUAL(MED,0)&lt;/Q&gt;&lt;R&gt;1&lt;/R&gt;&lt;C&gt;1&lt;/C&gt;&lt;D xsi:type="xsd:double"&gt;-3.1&lt;/D&gt;&lt;/FQL&gt;&lt;FQL&gt;&lt;Q&gt;CAGDPY@NZ^EE_ACTUAL_ANNUAL(MED,0)&lt;/Q&gt;&lt;R&gt;1&lt;/R&gt;&lt;C&gt;1&lt;/C&gt;&lt;D xsi:type="xsd:double"&gt;-7.6&lt;/D&gt;&lt;/FQL&gt;&lt;FQL&gt;&lt;Q&gt;USDITL^FG_PRICE(0)&lt;/Q&gt;&lt;R&gt;1&lt;/R&gt;&lt;C&gt;1&lt;/C&gt;&lt;D xsi:type="xsd:double"&gt;1782.3629&lt;/D&gt;&lt;/FQL&gt;&lt;FQL&gt;&lt;Q&gt;USDANG^FG_PRICE(0)&lt;/Q&gt;&lt;R&gt;1&lt;/R&gt;&lt;C&gt;1&lt;/C&gt;&lt;D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xsi:type="xsd:double"&gt;0.7874946&lt;/D&gt;&lt;/FQL&gt;&lt;FQL&gt;&lt;Q&gt;USDJPY^FG_PRICE(0)&lt;/Q&gt;&lt;R&gt;1&lt;/R&gt;&lt;C&gt;1&lt;/C&gt;&lt;D xsi:type="xsd:double"&gt;150.495&lt;/D&gt;&lt;/FQL&gt;&lt;FQL&gt;&lt;Q&gt;USDCAD^FG_PRICE(0)&lt;/Q&gt;&lt;R&gt;1&lt;/R&gt;&lt;C&gt;1&lt;/C&gt;&lt;D xsi:type="xsd:double"&gt;1.35625&lt;/D&gt;&lt;/FQL&gt;&lt;FQL&gt;&lt;Q&gt;USDNZD^FG_PRICE(0)&lt;/Q&gt;&lt;R&gt;1&lt;/R&gt;&lt;C&gt;1&lt;/C&gt;&lt;D xsi:type="xsd:double"&gt;1.6397475&lt;/D&gt;&lt;/FQL&gt;&lt;FQL&gt;&lt;Q&gt;EWI^P_PRICE_RETURNS_PR('52W',2,-10AY,0,AM)&lt;/Q&gt;&lt;R&gt;121&lt;/R&gt;&lt;C&gt;1&lt;/C&gt;&lt;D xsi:type="xsd:double"&gt;39.32881&lt;/D&gt;&lt;D xsi:type="xsd:double"&gt;55.81771&lt;/D&gt;&lt;D xsi:type="xsd:double"&gt;41.68253&lt;/D&gt;&lt;D xsi:type="xsd:double"&gt;34.76175&lt;/D&gt;&lt;D xsi:type="xsd:double"&gt;53.476418&lt;/D&gt;&lt;D xsi:type="xsd:double"&gt;26.17147&lt;/D&gt;&lt;D xsi:type="xsd:double"&gt;26.818525&lt;/D&gt;&lt;D xsi:type="xsd:double"&gt;5.481267&lt;/D&gt;&lt;D xsi:type="xsd:double"&gt;-6.1238647&lt;/D&gt;&lt;D xsi:type="xsd:double"&gt;0.1275301&lt;/D&gt;&lt;D xsi:type="xsd:double"&gt;-9.217387&lt;/D&gt;&lt;D xsi:type="xsd:double"&gt;-6.697893&lt;/D&gt;&lt;D xsi:type="xsd:double"&gt;-10.019177&lt;/D&gt;&lt;D xsi:type="xsd:double"&gt;-12.893075&lt;/D&gt;&lt;D xsi:type="xsd:double"&gt;-12.277985&lt;/D&gt;&lt;D xsi:type="xsd:double"&gt;-9.284555&lt;/D&gt;&lt;D xsi:type="xsd:double"&gt;-13.228625&lt;/D&gt;&lt;D xsi:type="xsd:double"&gt;-4.391372&lt;/D&gt;&lt;D xsi:type="xsd:double"&gt;-10.47247&lt;/D&gt;&lt;D xsi:type="xsd:double"&gt;-0.4489839&lt;/D&gt;&lt;D xsi:type="xsd:double"&gt;4.185164&lt;/D&gt;&lt;D xsi:type="xsd:double"&gt;2.4690032&lt;/D&gt;&lt;D xsi:type="xsd:double"&gt;1.395297&lt;/D&gt;&lt;D xsi:type="xsd:double"&gt;-14.200526&lt;/D&gt;&lt;D xsi:type="xsd:double"&gt;-16.57129&lt;/D&gt;&lt;D xsi:type="xsd:double"&gt;-19.696499&lt;/D&gt;&lt;D xsi:type="xsd:double"&gt;-18.966389&lt;/D&gt;&lt;D xsi:type="xsd:double"&gt;-22.936417&lt;/D&gt;&lt;D xsi:type="xsd:double"&gt;-26.031101&lt;/D&gt;&lt;D xsi:type="xsd:double"&gt;-27.525585&lt;/D&gt;&lt;D xsi:type="xsd:double"&gt;-19.122028&lt;/D&gt;&lt;D xsi:type="xsd:double"&gt;-23.70242&lt;/D&gt;&lt;D xsi:type="xsd:double"&gt;-23.391169&lt;/D&gt;&lt;D xsi:type="xsd:double"&gt;-19.61515&lt;/D&gt;&lt;D xsi:type="xsd:double"&gt;-5.4777265&lt;/D&gt;&lt;D xsi:type="xsd:double"&gt;8.532524&lt;/D&gt;&lt;D xsi:type="xsd:double"&gt;5.9138775&lt;/D&gt;&lt;D xsi:type="xsd:double"&gt;11.443257&lt;/D&gt;&lt;D xsi:type="xsd:double"&gt;16.126871&lt;/D&gt;&lt;D xsi:type="xsd:double"&gt;22.102844&lt;/D&gt;&lt;D xsi:type="xsd:double"&gt;33.198082&lt;/D&gt;&lt;D xsi:type="xsd:double"&gt;44.502686&lt;/D&gt;&lt;D xsi:type="xsd:double"&gt;37.509872&lt;/D&gt;&lt;D xsi:type="xsd:double"&gt;45.804977&lt;/D&gt;&lt;D xsi:type="xsd:double"&gt;46.491074&lt;/D&gt;&lt;D xsi:type="xsd:double"&gt;43.20407&lt;/D&gt;&lt;D xsi:type="xsd:double"&gt;30.90427&lt;/D&gt;&lt;D xsi:type="xsd:double"&gt;41.68725&lt;/D&gt;&lt;D xsi:type="xsd:double"&gt;34.418823&lt;/D&gt;&lt;D xsi:type="xsd:double"&gt;29.672956&lt;/D&gt;&lt;D xsi:type="xsd:double"&gt;26.959455&lt;/D&gt;&lt;D xsi:type="xsd:double"&gt;9.460079&lt;/D&gt;&lt;D xsi:type="xsd:double"&gt;6.759715&lt;/D&gt;&lt;D xsi:type="xsd:double"&gt;-1.3479054&lt;/D&gt;&lt;D xsi:type="xsd:double"&gt;-6.5837326&lt;/D&gt;&lt;D xsi:type="xsd:double"&gt;-8.246696&lt;/D&gt;&lt;D xsi:type="xsd:double"&gt;-15.278572&lt;/D&gt;&lt;D xsi:type="xsd:double"&gt;-15.735883&lt;/D&gt;&lt;D xsi:type="xsd:double"&gt;-17.777222&lt;/D&gt;&lt;D xsi:type="xsd:double"&gt;-18.024467&lt;/D&gt;&lt;D xsi:type="xsd:double"&gt;-10.422718&lt;/D&gt;&lt;D xsi:type="xsd:double"&gt;-9.192699&lt;/D&gt;&lt;D xsi:type="xsd:double"&gt;-13.267631&lt;/D&gt;&lt;D xsi:type="xsd:double"&gt;-7.769382&lt;/D&gt;&lt;D xsi:type="xsd:double"&gt;2.306068&lt;/D&gt;&lt;D xsi:type="xsd:double"&gt;-2.3326337&lt;/D&gt;&lt;D xsi:type="xsd:double"&gt;4.764104&lt;/D&gt;&lt;D xsi:type="xsd:double"&gt;3.3450484&lt;/D&gt;&lt;D xsi:type="xsd:double"&gt;20.05875&lt;/D&gt;&lt;D xsi:type="xsd:double"&gt;20.518387&lt;/D&gt;&lt;D xsi:type="xsd:double"&gt;27.929592&lt;/D&gt;&lt;D xsi:type="xsd:double"&gt;17.27525&lt;/D&gt;&lt;D xsi:type="xsd:double"&gt;6.275916&lt;/D&gt;&lt;D xsi:type="xsd:double"&gt;-27.81877&lt;/D&gt;&lt;D xsi:type="xsd:double"&gt;-23.867815&lt;/D&gt;&lt;D xsi:type="xsd:double"&gt;-4.415083&lt;/D&gt;&lt;D xsi:type="xsd:double"&gt;-9.31806&lt;/D&gt;&lt;D xsi:type="xsd:double"&gt;-3.1424582&lt;/D&gt;&lt;D xsi:type="xsd:double"&gt;-5.4678917&lt;/D&gt;&lt;D xsi:type="xsd:double"&gt;-6.538457&lt;/D&gt;&lt;D xsi:type="xsd:double"&gt;-15.317756&lt;/D&gt;&lt;D xsi:type="xsd:double"&gt;2.946353&lt;/D&gt;&lt;D xsi:type="xsd:double"&gt;2.5026321&lt;/D&gt;&lt;D xsi:type="xsd:double"&gt;3.6468983&lt;/D&gt;&lt;D xsi:type="xsd:double"&gt;10.134411&lt;/D&gt;&lt;D xsi:type="xsd:double"&gt;63.152813&lt;/D&gt;&lt;D xsi:type="xsd:double"&gt;56.04212&lt;/D&gt;&lt;D xsi:type="xsd:double"&gt;41.094337&lt;/D&gt;&lt;D xsi:type="xsd:double"&gt;35.063396&lt;/D&gt;&lt;D xsi:type="xsd:double"&gt;30.02659&lt;/D&gt;&lt;D xsi:type="xsd:double"&gt;33.085884&lt;/D&gt;&lt;D xsi:type="xsd:double"&gt;32.25064&lt;/D&gt;&lt;D xsi:type="xsd:double"&gt;41.57263&lt;/D&gt;&lt;D xsi:type="xsd:double"&gt;11.24661&lt;/D&gt;&lt;D xsi:type="xsd:double"&gt;15.947235&lt;/D&gt;&lt;D xsi:type="xsd:double"&gt;12.1616955&lt;/D&gt;&lt;D xsi:type="xsd:double"&gt;-8.70803&lt;/D&gt;&lt;D xsi:type="xsd:double"&gt;-3.8243115&lt;/D&gt;&lt;D xsi:type="xsd:double"&gt;-7.9673886&lt;/D&gt;&lt;D xsi:type="xsd:double"&gt;-13.688433&lt;/D&gt;&lt;D xsi:type="xsd:double"&gt;-22.247553&lt;/D&gt;&lt;D xsi:type="xsd:double"&gt;-20.681625&lt;/D&gt;&lt;D xsi:type="xsd:double"&gt;-28.350645&lt;/D&gt;&lt;D xsi:type="xsd:double"&gt;-23.583435&lt;/D&gt;&lt;D xsi:type="xsd:double"&gt;-23.29244&lt;/D&gt;&lt;D xsi:type="xsd:double"&gt;-7.941538&lt;/D&gt;&lt;D xsi:type="xsd:double"&gt;-12.614316&lt;/D&gt;&lt;D xsi:type="xsd:double"&gt;-4.617417&lt;/D&gt;&lt;D xsi:type="xsd:double"&gt;13.257933&lt;/D&gt;&lt;D xsi:type="xsd:double"&gt;7.532215&lt;/D&gt;&lt;D xsi:type="xsd:double"&gt;15.663063&lt;/D&gt;&lt;D xsi:type="xsd:double"&gt;11.502159&lt;/D&gt;&lt;D xsi:type="xsd:double"&gt;37.198627&lt;/D&gt;&lt;D xsi:type="xsd:double"&gt;35.33162&lt;/D&gt;&lt;D xsi:type="xsd:double"&gt;44.340862&lt;/D&gt;&lt;D xsi:type="xsd:double"&gt;32.213654&lt;/D&gt;&lt;D xsi:type="xsd:double"&gt;37.17097&lt;/D&gt;&lt;D xsi:type="xsd:double"&gt;22.851658&lt;/D&gt;&lt;D xsi:type="xsd:double"&gt;24.354696&lt;/D&gt;&lt;D xsi:type="xsd:double"&gt;13.907539&lt;/D&gt;&lt;D xsi:type="xsd:double"&gt;20.953156&lt;/D&gt;&lt;/FQL&gt;&lt;FQL&gt;&lt;Q&gt;EWN^FG_TOTAL_RETURNC(-10AY,0,AM)&lt;/Q&gt;&lt;R&gt;121&lt;/R&gt;&lt;C&gt;1&lt;/C&gt;&lt;D xsi:type="xsd:double"&gt;5.9455037&lt;/D&gt;&lt;D xsi:type="xsd:double"&gt;1.3639927&lt;/D&gt;&lt;D xsi:type="xsd:double"&gt;-1.7301083&lt;/D&gt;&lt;D xsi:type="xsd:double"&gt;1.3302088&lt;/D&gt;&lt;D xsi:type="xsd:double"&gt;1.8771529&lt;/D&gt;&lt;D xsi:type="xsd:double"&gt;-7.873404&lt;/D&gt;&lt;D xsi:type="xsd:double"&gt;3.5609484&lt;/D&gt;&lt;D xsi:type="xsd:double"&gt;-4.7330084&lt;/D&gt;&lt;D xsi:type="xsd:double"&gt;0.0849247&lt;/D&gt;&lt;D xsi:type="xsd:double"&gt;5.2609205&lt;/D&gt;&lt;D xsi:type="xsd:double"&gt;-3.7427902&lt;/D&gt;&lt;D xsi:type="xsd:double"&gt;0.9243727&lt;/D&gt;&lt;D xsi:type="xsd:double"&gt;6.3280582&lt;/D&gt;&lt;D xsi:type="xsd:double"&gt;1.4487028&lt;/D&gt;&lt;D xsi:type="xsd:double"&gt;1.42802&lt;/D&gt;&lt;D xsi:type="xsd:double"&gt;1.255703&lt;/D&gt;&lt;D xsi:type="xsd:double"&gt;-2.2060692&lt;/D&gt;&lt;D xsi:type="xsd:double"&gt;3.4603477&lt;/D&gt;&lt;D xsi:type="xsd:double"&gt;-10.747844&lt;/D&gt;&lt;D xsi:type="xsd:double"&gt;-0.04210472&lt;/D&gt;&lt;D xsi:type="xsd:double"&gt;5.560231&lt;/D&gt;&lt;D xsi:type="xsd:double"&gt;-2.0351171&lt;/D&gt;&lt;D xsi:type="xsd:double"&gt;-3.8932085&lt;/D&gt;&lt;D xsi:type="xsd:double"&gt;-0.7675946&lt;/D&gt;&lt;D xsi:type="xsd:double"&gt;1.6330004&lt;/D&gt;&lt;D xsi:type="xsd:double"&gt;3.551793&lt;/D&gt;&lt;D xsi:type="xsd:double"&gt;-0.69416165&lt;/D&gt;&lt;D xsi:type="xsd:double"&gt;3.7006617&lt;/D&gt;&lt;D xsi:type="xsd:double"&gt;-7.0414543&lt;/D&gt;&lt;D xsi:type="xsd:double"&gt;3.1155348&lt;/D&gt;&lt;D xsi:type="xsd:double"&gt;6.420481&lt;/D&gt;&lt;D xsi:type="xsd:double"&gt;-0.94637275&lt;/D&gt;&lt;D xsi:type="xsd:double"&gt;-4.697454&lt;/D&gt;&lt;D xsi:type="xsd:double"&gt;-3.216374&lt;/D&gt;&lt;D xsi:type="xsd:double"&gt;6.3158274&lt;/D&gt;&lt;D xsi:type="xsd:double"&gt;3.3305883&lt;/D&gt;&lt;D xsi:type="xsd:double"&gt;3.5415888&lt;/D&gt;&lt;D xsi:type="xsd:double"&gt;2.9976845&lt;/D&gt;&lt;D xsi:type="xsd:double"&gt;7.873142&lt;/D&gt;&lt;D xsi:type="xsd:double"&gt;3.3206582&lt;/D&gt;&lt;D xsi:type="xsd:double"&gt;-2.1290183&lt;/D&gt;&lt;D xsi:type="xsd:double"&gt;7.20222&lt;/D&gt;&lt;D xsi:type="xsd:double"&gt;-0.90438724&lt;/D&gt;&lt;D xsi:type="xsd:double"&gt;2.4445891&lt;/D&gt;&lt;D xsi:type="xsd:double"&gt;0.63632727&lt;/D&gt;&lt;D xsi:type="xsd:double"&gt;-0.91685057&lt;/D&gt;&lt;D xsi:type="xsd:double"&gt;3.7106276&lt;/D&gt;&lt;D xsi:type="xsd:double"&gt;2.0730257&lt;/D&gt;&lt;D xsi:type="xsd:double"&gt;-4.1830897&lt;/D&gt;&lt;D xsi:type="xsd:double"&gt;0.79089403&lt;/D&gt;&lt;D xsi:type="xsd:double"&gt;0.31386614&lt;/D&gt;&lt;D xsi:type="xsd:double"&gt;-0.40675402&lt;/D&gt;&lt;D xsi:type="xsd:double"&gt;-3.035146&lt;/D&gt;&lt;D xsi:type="xsd:double"&gt;4.21468&lt;/D&gt;&lt;D xsi:type="xsd:double"&gt;-2.7804077&lt;/D&gt;&lt;D xsi:type="xsd:double"&gt;-3.8349032&lt;/D&gt;&lt;D xsi:type="xsd:double"&gt;-3.345722&lt;/D&gt;&lt;D xsi:type="xsd:double"&gt;-1.7482519&lt;/D&gt;&lt;D xsi:type="xsd:double"&gt;-5.311304&lt;/D&gt;&lt;D xsi:type="xsd:double"&gt;7.9682827&lt;/D&gt;&lt;D xsi:type="xsd:double"&gt;3.8824797&lt;/D&gt;&lt;D xsi:type="xsd:double"&gt;3.0976415&lt;/D&gt;&lt;D xsi:type="xsd:double"&gt;3.200519&lt;/D&gt;&lt;D xsi:type="xsd:double"&gt;-4.5253158&lt;/D&gt;&lt;D xsi:type="xsd:double"&gt;6.4683676&lt;/D&gt;&lt;D xsi:type="xsd:double"&gt;-2.8070211&lt;/D&gt;&lt;D xsi:type="xsd:double"&gt;1.6409636&lt;/D&gt;&lt;D xsi:type="xsd:double"&gt;0.16144514&lt;/D&gt;&lt;D xsi:type="xsd:double"&gt;4.287553&lt;/D&gt;&lt;D xsi:type="xsd:double"&gt;0.71098804&lt;/D&gt;&lt;D xsi:type="xsd:double"&gt;4.2016625&lt;/D&gt;&lt;D xsi:type="xsd:double"&gt;-0.50281286&lt;/D&gt;&lt;D xsi:type="xsd:double"&gt;-4.5481563&lt;/D&gt;&lt;D xsi:type="xsd:double"&gt;-22.734356&lt;/D&gt;&lt;D xsi:type="xsd:double"&gt;12.132204&lt;/D&gt;&lt;D xsi:type="xsd:double"&gt;17.361618&lt;/D&gt;&lt;D xsi:type="xsd:double"&gt;2.2644043&lt;/D&gt;&lt;D xsi:type="xsd:double"&gt;4.971385&lt;/D&gt;&lt;D xsi:type="xsd:double"&gt;0.08610487&lt;/D&gt;&lt;D xsi:type="xsd:double"&gt;1.4625788&lt;/D&gt;&lt;D xsi:type="xsd:double"&gt;1.4414907&lt;/D&gt;&lt;D xsi:type="xsd:double"&gt;12.705493&lt;/D&gt;&lt;D xsi:type="xsd:double"&gt;4.1217566&lt;/D&gt;&lt;D xsi:type="xsd:double"&gt;3.9542675&lt;/D&gt;&lt;D xsi:type="xsd:double"&gt;-1.5811145&lt;/D&gt;&lt;D xsi:type="xsd:double"&gt;10.291028&lt;/D&gt;&lt;D xsi:type="xsd:double"&gt;-0.12665987&lt;/D&gt;&lt;D xsi:type="xsd:double"&gt;5.6013465&lt;/D&gt;&lt;D xsi:type="xsd:double"&gt;-2.4406314&lt;/D&gt;&lt;D xsi:type="xsd:double"&gt;4.4196725&lt;/D&gt;&lt;D xsi:type="xsd:double"&gt;6.151104&lt;/D&gt;&lt;D xsi:type="xsd:double"&gt;-9.260291&lt;/D&gt;&lt;D xsi:type="xsd:double"&gt;9.178638&lt;/D&gt;&lt;D xsi:type="xsd:double"&gt;-9.2345295&lt;/D&gt;&lt;D xsi:type="xsd:double"&gt;4.4487476&lt;/D&gt;&lt;D xsi:type="xsd:double"&gt;-8.084429&lt;/D&gt;&lt;D xsi:type="xsd:double"&gt;-16.269493&lt;/D&gt;&lt;D xsi:type="xsd:double"&gt;11.642944&lt;/D&gt;&lt;D xsi:type="xsd:double"&gt;-8.458864&lt;/D&gt;&lt;D xsi:type="xsd:double"&gt;-1.3924003&lt;/D&gt;&lt;D xsi:type="xsd:double"&gt;-9.641087&lt;/D&gt;&lt;D xsi:type="xsd:double"&gt;10.103619&lt;/D&gt;&lt;D xsi:type="xsd:double"&gt;-13.411766&lt;/D&gt;&lt;D xsi:type="xsd:double"&gt;0.12077093&lt;/D&gt;&lt;D xsi:type="xsd:double"&gt;0.46743155&lt;/D&gt;&lt;D xsi:type="xsd:double"&gt;18.267155&lt;/D&gt;&lt;D xsi:type="xsd:double"&gt;-0.42783022&lt;/D&gt;&lt;D xsi:type="xsd:double"&gt;9.823025&lt;/D&gt;&lt;D xsi:type="xsd:double"&gt;-2.428776&lt;/D&gt;&lt;D xsi:type="xsd:double"&gt;1.5557766&lt;/D&gt;&lt;D xsi:type="xsd:double"&gt;-2.0504355&lt;/D&gt;&lt;D xsi:type="xsd:double"&gt;2.694893&lt;/D&gt;&lt;D xsi:type="xsd:double"&gt;2.7551532&lt;/D&gt;&lt;D xsi:type="xsd:double"&gt;-0.09222031&lt;/D&gt;&lt;D xsi:type="xsd:double"&gt;-5.123472&lt;/D&gt;&lt;D xsi:type="xsd:double"&gt;-8.708345&lt;/D&gt;&lt;D xsi:type="xsd:double"&gt;5.2491426&lt;/D&gt;&lt;D xsi:type="xsd:double"&gt;7.0886016&lt;/D&gt;&lt;D xsi:type="xsd:double"&gt;2.2312522&lt;/D&gt;&lt;D xsi:type="xsd:double"&gt;6.7567587&lt;/D&gt;&lt;D xsi:type="xsd:double"&gt;5.7180285&lt;/D&gt;&lt;/FQL&gt;&lt;FQL&gt;&lt;Q&gt;SPY^FMA_DIV_YLD(NTMA,-10AY,0,AM,"PORTAGG","MEANR")&lt;/Q&gt;&lt;R&gt;121&lt;/R&gt;&lt;C&gt;1&lt;/C&gt;&lt;D xsi:type="xsd:double"&gt;2.15372065918412&lt;/D&gt;&lt;D xsi:type="xsd:double"&gt;2.17111710463843&lt;/D&gt;&lt;D xsi:type="xsd:double"&gt;2.15691568432852&lt;/D&gt;&lt;D xsi:type="xsd:double"&gt;2.12122842767783&lt;/D&gt;&lt;D xsi:type="xsd:double"&gt;2.07287838127132&lt;/D&gt;&lt;D xsi:type="xsd:double"&gt;2.14124597507789&lt;/D&gt;&lt;D xsi:type="xsd:double"&gt;2.09213857096733&lt;/D&gt;&lt;D xsi:type="xsd:double"&gt;2.13837907315852&lt;/D&gt;&lt;D xsi:type="xsd:double"&gt;2.1157293271773&lt;/D&gt;&lt;D xsi:type="xsd:double"&gt;2.07346328990957&lt;/D&gt;&lt;D xsi:type="xsd:double"&gt;2.10229323424265&lt;/D&gt;&lt;D xsi:type="xsd:double"&gt;2.15496677264422&lt;/D&gt;&lt;D xsi:type="xsd:double"&gt;2.13522159200013&lt;/D&gt;&lt;D xsi:type="xsd:double"&gt;2.18037388974949&lt;/D&gt;&lt;D xsi:type="xsd:double"&gt;2.1441308405287&lt;/D&gt;&lt;D xsi:type="xsd:double"&gt;2.17384316086199&lt;/D&gt;&lt;D xsi:type="xsd:double"&gt;2.19149921343609&lt;/D&gt;&lt;D xsi:type="xsd:double"&gt;2.2034946792876&lt;/D&gt;&lt;D xsi:type="xsd:double"&gt;2.41531906080632&lt;/D&gt;&lt;D xsi:type="xsd:double"&gt;2.38199274009803&lt;/D&gt;&lt;D xsi:type="xsd:double"&gt;2.22650609517358&lt;/D&gt;&lt;D xsi:type="xsd:double"&gt;2.2641211874548&lt;/D&gt;&lt;D xsi:type="xsd:double"&gt;2.35278634248131&lt;/D&gt;&lt;D xsi:type="xsd:double"&gt;2.45182025901469&lt;/D&gt;&lt;D xsi:type="xsd:double"&gt;2.47519773454617&lt;/D&gt;&lt;D xsi:type="xsd:double"&gt;2.29179874134034&lt;/D&gt;&lt;D xsi:type="xsd:double"&gt;2.29270141173246&lt;/D&gt;&lt;D xsi:type="xsd:double"&gt;2.27208474723715&lt;/D&gt;&lt;D xsi:type="xsd:double"&gt;2.27675912156177&lt;/D&gt;&lt;D xsi:type="xsd:double"&gt;2.22069278453994&lt;/D&gt;&lt;D xsi:type="xsd:double"&gt;2.21341278146833&lt;/D&gt;&lt;D xsi:type="xsd:double"&gt;2.24008268571098&lt;/D&gt;&lt;D xsi:type="xsd:double"&gt;2.32384116037786&lt;/D&gt;&lt;D xsi:type="xsd:double"&gt;2.22327630646496&lt;/D&gt;&lt;D xsi:type="xsd:double"&gt;2.15928731863829&lt;/D&gt;&lt;D xsi:type="xsd:double"&gt;2.15382596381122&lt;/D&gt;&lt;D xsi:type="xsd:double"&gt;2.08878190762007&lt;/D&gt;&lt;D xsi:type="xsd:double"&gt;2.12061673233943&lt;/D&gt;&lt;D xsi:type="xsd:double"&gt;2.10670285008389&lt;/D&gt;&lt;D xsi:type="xsd:double"&gt;2.07494532252397&lt;/D&gt;&lt;D xsi:type="xsd:double"&gt;2.10129944099141&lt;/D&gt;&lt;D xsi:type="xsd:double"&gt;2.08220043472711&lt;/D&gt;&lt;D xsi:type="xsd:double"&gt;2.09267262525336&lt;/D&gt;&lt;D xsi:type="xsd:double"&gt;2.04738760963883&lt;/D&gt;&lt;D xsi:type="xsd:double"&gt;2.02482466402925&lt;/D&gt;&lt;D xsi:type="xsd:double"&gt;1.97766788669361&lt;/D&gt;&lt;D xsi:type="xsd:double"&gt;1.92854772449522&lt;/D&gt;&lt;D xsi:type="xsd:double"&gt;1.92807790157411&lt;/D&gt;&lt;D xsi:type="xsd:double"&gt;2.00588531378872&lt;/D&gt;&lt;D xsi:type="xsd:double"&gt;2.05719532124281&lt;/D&gt;&lt;D xsi:type="xsd:double"&gt;2.06639210659848&lt;/D&gt;&lt;D xsi:type="xsd:double"&gt;2.01453535126737&lt;/D&gt;&lt;D xsi:type="xsd:double"&gt;2.05879959204646&lt;/D&gt;&lt;D xsi:type="xsd:double"&gt;1.98851052453935&lt;/D&gt;&lt;D xsi:type="xsd:double"&gt;1.95979248615028&lt;/D&gt;&lt;D xsi:type="xsd:double"&gt;1.96901131289838&lt;/D&gt;&lt;D xsi:type="xsd:double"&gt;2.10136678168294&lt;/D&gt;&lt;D xsi:type="xsd:double"&gt;2.13463124877442&lt;/D&gt;&lt;D xsi:type="xsd:double"&gt;2.29908188709377&lt;/D&gt;&lt;D xsi:type="xsd:double"&gt;2.14757291179803&lt;/D&gt;&lt;D xsi:type="xsd:double"&gt;2.10346520893783&lt;/D&gt;&lt;D xsi:type="xsd:double"&gt;2.06007761212581&lt;/D&gt;&lt;D xsi:type="xsd:double"&gt;2.02383841914468&lt;/D&gt;&lt;D xsi:type="xsd:double"&gt;2.13909420065111&lt;/D&gt;&lt;D xsi:type="xsd:double"&gt;2.01162769265154&lt;/D&gt;&lt;D xsi:type="xsd:double"&gt;2.06527222288341&lt;/D&gt;&lt;D xsi:type="xsd:double"&gt;2.07376501398621&lt;/D&gt;&lt;D xsi:type="xsd:double"&gt;2.07326521084106&lt;/D&gt;&lt;D xsi:type="xsd:double"&gt;2.00438008006279&lt;/D&gt;&lt;D xsi:type="xsd:double"&gt;1.99520521291437&lt;/D&gt;&lt;D xsi:type="xsd:double"&gt;1.93167258024595&lt;/D&gt;&lt;D xsi:type="xsd:double"&gt;1.91164951739893&lt;/D&gt;&lt;D xsi:type="xsd:double"&gt;2.02654271019938&lt;/D&gt;&lt;D xsi:type="xsd:double"&gt;2.51742983242672&lt;/D&gt;&lt;D xsi:type="xsd:double"&gt;2.14222008863301&lt;/D&gt;&lt;D xsi:type="xsd:double"&gt;1.93870554355714&lt;/D&gt;&lt;D xsi:type="xsd:double"&gt;1.91411502535144&lt;/D&gt;&lt;D xsi:type="xsd:double"&gt;1.79970339487916&lt;/D&gt;&lt;D xsi:type="xsd:double"&gt;1.74173338241266&lt;/D&gt;&lt;D xsi:type="xsd:double"&gt;1.78152900019557&lt;/D&gt;&lt;D xsi:type="xsd:double"&gt;1.74115688804745&lt;/D&gt;&lt;D xsi:type="xsd:double"&gt;1.62208323961021&lt;/D&gt;&lt;D xsi:type="xsd:double"&gt;1.60126083660986&lt;/D&gt;&lt;D xsi:type="xsd:double"&gt;1.54787035764092&lt;/D&gt;&lt;D xsi:type="xsd:double"&gt;1.59896473146645&lt;/D&gt;&lt;D xsi:type="xsd:double"&gt;1.50646577000424&lt;/D&gt;&lt;D xsi:type="xsd:double"&gt;1.46696350678992&lt;/D&gt;&lt;D xsi:type="xsd:double"&gt;1.45319438385991&lt;/D&gt;&lt;D xsi:type="xsd:double"&gt;1.42593221304371&lt;/D&gt;&lt;D xsi:type="xsd:double"&gt;1.4286963669732&lt;/D&gt;&lt;D xsi:type="xsd:double"&gt;1.39709799515581&lt;/D&gt;&lt;D xsi:t</t>
        </r>
      </text>
    </comment>
    <comment ref="A4" authorId="0" shapeId="0" xr:uid="{45AA8A5A-5E81-4A2D-AEB0-13C33C149AB0}">
      <text>
        <r>
          <rPr>
            <b/>
            <sz val="9"/>
            <color indexed="81"/>
            <rFont val="Tahoma"/>
            <family val="2"/>
          </rPr>
          <t>ype="xsd:double"&gt;1.47924110718746&lt;/D&gt;&lt;D xsi:type="xsd:double"&gt;1.37371930415087&lt;/D&gt;&lt;D xsi:type="xsd:double"&gt;1.41997314229704&lt;/D&gt;&lt;D xsi:type="xsd:double"&gt;1.34876972215271&lt;/D&gt;&lt;D xsi:type="xsd:double"&gt;1.45574455054108&lt;/D&gt;&lt;D xsi:type="xsd:double"&gt;1.52745698222879&lt;/D&gt;&lt;D xsi:type="xsd:double"&gt;1.43910421886212&lt;/D&gt;&lt;D xsi:type="xsd:double"&gt;1.53843923385629&lt;/D&gt;&lt;D xsi:type="xsd:double"&gt;1.61778691786345&lt;/D&gt;&lt;D xsi:type="xsd:double"&gt;1.75495806578475&lt;/D&gt;&lt;D xsi:type="xsd:double"&gt;1.62471426805953&lt;/D&gt;&lt;D xsi:type="xsd:double"&gt;1.74076258550845&lt;/D&gt;&lt;D xsi:type="xsd:double"&gt;1.8087295803524&lt;/D&gt;&lt;D xsi:type="xsd:double"&gt;1.83328458418493&lt;/D&gt;&lt;D xsi:type="xsd:double"&gt;1.69919760724794&lt;/D&gt;&lt;D xsi:type="xsd:double"&gt;1.80505656755424&lt;/D&gt;&lt;D xsi:type="xsd:double"&gt;1.69153170106217&lt;/D&gt;&lt;D xsi:type="xsd:double"&gt;1.73637928130525&lt;/D&gt;&lt;D xsi:type="xsd:double"&gt;1.72036477191471&lt;/D&gt;&lt;D xsi:type="xsd:double"&gt;1.73832392291671&lt;/D&gt;&lt;D xsi:type="xsd:double"&gt;1.65608094383121&lt;/D&gt;&lt;D xsi:type="xsd:double"&gt;1.59507351737119&lt;/D&gt;&lt;D xsi:type="xsd:double"&gt;1.59905272211324&lt;/D&gt;&lt;D xsi:type="xsd:double"&gt;1.59248821145404&lt;/D&gt;&lt;D xsi:type="xsd:double"&gt;1.70035947326065&lt;/D&gt;&lt;D xsi:type="xsd:double"&gt;1.66926217162396&lt;/D&gt;&lt;D xsi:type="xsd:double"&gt;1.59614951267697&lt;/D&gt;&lt;D xsi:type="xsd:double"&gt;1.57140933050948&lt;/D&gt;&lt;D xsi:type="xsd:double"&gt;1.49287155309226&lt;/D&gt;&lt;D xsi:type="xsd:double"&gt;1.38453031564009&lt;/D&gt;&lt;/FQL&gt;&lt;FQL&gt;&lt;Q&gt;EWU^FMA_PE(NTMA,-10AY,0,AM,"PORTAGG","MEANR")&lt;/Q&gt;&lt;R&gt;121&lt;/R&gt;&lt;C&gt;1&lt;/C&gt;&lt;D xsi:type="xsd:double"&gt;13.3879048451949&lt;/D&gt;&lt;D xsi:type="xsd:double"&gt;13.2462677818169&lt;/D&gt;&lt;D xsi:type="xsd:double"&gt;13.6001519615146&lt;/D&gt;&lt;D xsi:type="xsd:double"&gt;13.6100937018736&lt;/D&gt;&lt;D xsi:type="xsd:double"&gt;13.8295425863518&lt;/D&gt;&lt;D xsi:type="xsd:double"&gt;13.4148105526652&lt;/D&gt;&lt;D xsi:type="xsd:double"&gt;13.6038106516154&lt;/D&gt;&lt;D xsi:type="xsd:double"&gt;12.8099544815321&lt;/D&gt;&lt;D xsi:type="xsd:double"&gt;12.9963935824226&lt;/D&gt;&lt;D xsi:type="xsd:double"&gt;13.6789152635189&lt;/D&gt;&lt;D xsi:type="xsd:double"&gt;13.7274018826704&lt;/D&gt;&lt;D xsi:type="xsd:double"&gt;15.3846640106728&lt;/D&gt;&lt;D xsi:type="xsd:double"&gt;15.6543691368025&lt;/D&gt;&lt;D xsi:type="xsd:double"&gt;15.4774161276279&lt;/D&gt;&lt;D xsi:type="xsd:double"&gt;15.9728384666756&lt;/D&gt;&lt;D xsi:type="xsd:double"&gt;15.7411798929428&lt;/D&gt;&lt;D xsi:type="xsd:double"&gt;15.1399987260779&lt;/D&gt;&lt;D xsi:type="xsd:double"&gt;15.3639445839631&lt;/D&gt;&lt;D xsi:type="xsd:double"&gt;13.8779037354283&lt;/D&gt;&lt;D xsi:type="xsd:double"&gt;14.4814131553931&lt;/D&gt;&lt;D xsi:type="xsd:double"&gt;15.5046791699104&lt;/D&gt;&lt;D xsi:type="xsd:double"&gt;15.088114860838&lt;/D&gt;&lt;D xsi:type="xsd:double"&gt;14.8304301394075&lt;/D&gt;&lt;D xsi:type="xsd:double"&gt;15.262644725388&lt;/D&gt;&lt;D xsi:type="xsd:double"&gt;16.0190635420138&lt;/D&gt;&lt;D xsi:type="xsd:double"&gt;16.0702575697847&lt;/D&gt;&lt;D xsi:type="xsd:double"&gt;15.7056058055815&lt;/D&gt;&lt;D xsi:type="xsd:double"&gt;15.774831287018&lt;/D&gt;&lt;D xsi:type="xsd:double"&gt;16.1076551566143&lt;/D&gt;&lt;D xsi:type="xsd:double"&gt;16.0987715731599&lt;/D&gt;&lt;D xsi:type="xsd:double"&gt;16.2733929134538&lt;/D&gt;&lt;D xsi:type="xsd:double"&gt;15.9883278598237&lt;/D&gt;&lt;D xsi:type="xsd:double"&gt;14.3522619546099&lt;/D&gt;&lt;D xsi:type="xsd:double"&gt;14.1545278968975&lt;/D&gt;&lt;D xsi:type="xsd:double"&gt;14.4727634305462&lt;/D&gt;&lt;D xsi:type="xsd:double"&gt;14.3236830243526&lt;/D&gt;&lt;D xsi:type="xsd:double"&gt;14.4688844653649&lt;/D&gt;&lt;D xsi:type="xsd:double"&gt;14.3794981910232&lt;/D&gt;&lt;D xsi:type="xsd:double"&gt;14.3534165237601&lt;/D&gt;&lt;D xsi:type="xsd:double"&gt;14.8416697673004&lt;/D&gt;&lt;D xsi:type="xsd:double"&gt;14.5138786965978&lt;/D&gt;&lt;D xsi:type="xsd:double"&gt;14.8909741982064&lt;/D&gt;&lt;D xsi:type="xsd:double"&gt;14.6286836464253&lt;/D&gt;&lt;D xsi:type="xsd:double"&gt;14.6082211437204&lt;/D&gt;&lt;D xsi:type="xsd:double"&gt;14.5461107053146&lt;/D&gt;&lt;D xsi:type="xsd:double"&gt;14.1862749629472&lt;/D&gt;&lt;D xsi:type="xsd:double"&gt;14.7463424033308&lt;/D&gt;&lt;D xsi:type="xsd:double"&gt;14.145621020314&lt;/D&gt;&lt;D xsi:type="xsd:double"&gt;12.8099255289285&lt;/D&gt;&lt;D xsi:type="xsd:double"&gt;13.192603523636&lt;/D&gt;&lt;D xsi:type="xsd:double"&gt;13.7275503828248&lt;/D&gt;&lt;D xsi:type="xsd:double"&gt;13.6961076997536&lt;/D&gt;&lt;D xsi:type="xsd:double"&gt;13.1907166661787&lt;/D&gt;&lt;D xsi:type="xsd:double"&gt;13.1626874798717&lt;/D&gt;&lt;D xsi:type="xsd:double"&gt;12.5945186291056&lt;/D&gt;&lt;D xsi:type="xsd:double"&gt;12.6032580337546&lt;/D&gt;&lt;D xsi:type="xsd:double"&gt;11.8665666456458&lt;/D&gt;&lt;D xsi:type="xsd:double"&gt;11.7678812089743&lt;/D&gt;&lt;D xsi:type="xsd:double"&gt;11.5835868385297&lt;/D&gt;&lt;D xsi:type="xsd:double"&gt;12.2645564537277&lt;/D&gt;&lt;D xsi:type="xsd:double"&gt;12.4337731467761&lt;/D&gt;&lt;D xsi:type="xsd:double"&gt;12.7530921919556&lt;/D&gt;&lt;D xsi:type="xsd:double"&gt;12.648113795473&lt;/D&gt;&lt;D xsi:type="xsd:double"&gt;12.2178714222664&lt;/D&gt;&lt;D xsi:type="xsd:double"&gt;12.8024057061399&lt;/D&gt;&lt;D xsi:type="xsd:double"&gt;12.3144106681021&lt;/D&gt;&lt;D xsi:type="xsd:double"&gt;12.2317498539917&lt;/D&gt;&lt;D xsi:type="xsd:double"&gt;12.0724415820169&lt;/D&gt;&lt;D xsi:type="xsd:double"&gt;12.8145261214582&lt;/D&gt;&lt;D xsi:type="xsd:double"&gt;12.7884759306998&lt;/D&gt;&lt;D xsi:type="xsd:double"&gt;13.5189396280604&lt;/D&gt;&lt;D xsi:type="xsd:double"&gt;13.3256748785742&lt;/D&gt;&lt;D xsi:type="xsd:double"&gt;12.3464043302818&lt;/D&gt;&lt;D xsi:type="xsd:double"&gt;11.7545987704441&lt;/D&gt;&lt;D xsi:type="xsd:double"&gt;14.5577964264644&lt;/D&gt;&lt;D xsi:type="xsd:double"&gt;16.5052472874318&lt;/D&gt;&lt;D xsi:type="xsd:double"&gt;16.0111734699685&lt;/D&gt;&lt;D xsi:type="xsd:double"&gt;15.4915860201669&lt;/D&gt;&lt;D xsi:type="xsd:double"&gt;14.8264427530483&lt;/D&gt;&lt;D xsi:type="xsd:double"&gt;14.3894354453942&lt;/D&gt;&lt;D xsi:type="xsd:double"&gt;13.6807907956907&lt;/D&gt;&lt;D xsi:type="xsd:double"&gt;15.2025518390619&lt;/D&gt;&lt;D xsi:type="xsd:double"&gt;14.5169040764201&lt;/D&gt;&lt;D xsi:type="xsd:double"&gt;13.8398320638319&lt;/D&gt;&lt;D xsi:type="xsd:double"&gt;14.10661778962&lt;/D&gt;&lt;D xsi:type="xsd:double"&gt;13.431647037593&lt;/D&gt;&lt;D xsi:type="xsd:double"&gt;13.1300775520798&lt;/D&gt;&lt;D xsi:type="xsd:double"&gt;13.1803681263489&lt;/D&gt;&lt;D xsi:type="xsd:double"&gt;12.6943475296701&lt;/D&gt;&lt;D xsi:type="xsd:double"&gt;12.3712007275688&lt;/D&gt;&lt;D xsi:type="xsd:double"&gt;12.2419563162777&lt;/D&gt;&lt;D xsi:type="xsd:double"&gt;11.7776619527926&lt;/D&gt;&lt;D xsi:type="xsd:double"&gt;12.1260170097143&lt;/D&gt;&lt;D xsi:type="xsd:double"&gt;11.7320197099531&lt;/D&gt;&lt;D xsi:type="xsd:double"&gt;12.4070713543889&lt;/D&gt;&lt;D xsi:type="xsd:double"&gt;12.2266360997776&lt;/D&gt;&lt;D xsi:type="xsd:double"&gt;11.1822219456422&lt;/D&gt;&lt;D xsi:type="xsd:double"&gt;11.1939891562853&lt;/D&gt;&lt;D xsi:type="xsd:double"&gt;10.5465951320364&lt;/D&gt;&lt;D xsi:type="xsd:double"&gt;10.4172119471055&lt;/D&gt;&lt;D xsi:type="xsd:double"&gt;9.53875295596883&lt;/D&gt;&lt;D xsi:type="xsd:double"&gt;9.80405474421118&lt;/D&gt;&lt;D xsi:type="xsd:double"&gt;9.22014653941107&lt;/D&gt;&lt;D xsi:type="xsd:double"&gt;8.92090452824406&lt;/D&gt;&lt;D xsi:type="xsd:double"&gt;9.21074653826894&lt;/D&gt;&lt;D xsi:type="xsd:double"&gt;9.93161236465625&lt;/D&gt;&lt;D xsi:type="xsd:double"&gt;9.99167607243254&lt;/D&gt;&lt;D xsi:type="xsd:double"&gt;10.4981612295588&lt;/D&gt;&lt;D xsi:type="xsd:double"&gt;10.5444445177739&lt;/D&gt;&lt;D xsi:type="xsd:double"&gt;10.4446007269048&lt;/D&gt;&lt;D xsi:type="xsd:double"&gt;10.4980841749776&lt;/D&gt;&lt;D xsi:type="xsd:double"&gt;10.3040301855153&lt;/D&gt;&lt;D xsi:type="xsd:double"&gt;10.3552482902038&lt;/D&gt;&lt;D xsi:type="xsd:double"&gt;10.5697624650676&lt;/D&gt;&lt;D xsi:type="xsd:double"&gt;10.371577213373&lt;/D&gt;&lt;D xsi:type="xsd:double"&gt;10.1128989178502&lt;/D&gt;&lt;D xsi:type="xsd:double"&gt;10.2453737443902&lt;/D&gt;&lt;D xsi:type="xsd:double"&gt;10.5474355489927&lt;/D&gt;&lt;D xsi:type="xsd:double"&gt;11.0234643386872&lt;/D&gt;&lt;D xsi:type="xsd:double"&gt;11.0586568213896&lt;/D&gt;&lt;D xsi:type="xsd:double"&gt;11.4247590287301&lt;/D&gt;&lt;/FQL&gt;&lt;FQL&gt;&lt;Q&gt;EWJ^FMA_PE(LTMA,-10AY,0,AM,"PORTAGG","MEANR")&lt;/Q&gt;&lt;R&gt;121&lt;/R&gt;&lt;C&gt;1&lt;/C&gt;&lt;D xsi:type="xsd:double"&gt;15.7615597836134&lt;/D&gt;&lt;D xsi:type="xsd:double"&gt;15.5796693322523&lt;/D&gt;&lt;D xsi:type="xsd:double"&gt;15.2812199500938&lt;/D&gt;&lt;D xsi:type="xsd:double"&gt;15.3222103260505&lt;/D&gt;&lt;D xsi:type="xsd:double"&gt;15.3810728766151&lt;/D&gt;&lt;D xsi:type="xsd:double"&gt;15.170494544131&lt;/D&gt;&lt;D xsi:type="xsd:double"&gt;15.1377345144367&lt;/D&gt;&lt;D xsi:type="xsd:double"&gt;15.069695567942&lt;/D&gt;&lt;D xsi:type="xsd:double"&gt;15.7358656321379&lt;/D&gt;&lt;D xsi:type="xsd:double"&gt;16.1705128083748&lt;/D&gt;&lt;D xsi:type="xsd:double"&gt;15.885694894027&lt;/D&gt;&lt;D xsi:type="xsd:double"&gt;15.6108181727555&lt;/D&gt;&lt;D xsi:type="xsd:double"&gt;16.8997025629588&lt;/D&gt;&lt;D xsi:type="xsd:double"&gt;16.846137982127&lt;/D&gt;&lt;D xsi:type="xsd:double"&gt;16.874282906575&lt;/D&gt;&lt;D xsi:type="xsd:double"&gt;17.1444175773998&lt;/D&gt;&lt;D xsi:type="xsd:double"&gt;16.8303581367694&lt;/D&gt;&lt;D xsi:type="xsd:double"&gt;16.8289068810816&lt;/D&gt;&lt;D xsi:type="xsd:double"&gt;15.2574437940338&lt;/D&gt;&lt;D xsi:type="xsd:double"&gt;15.0560339317944&lt;/D&gt;&lt;D xsi:type="xsd:double"&gt;15.7240535231229&lt;/D&gt;&lt;D xsi:type="xsd:double"&gt;16.0308345788856&lt;/D&gt;&lt;D xsi:type="xsd:double"&gt;15.3296470119823&lt;/D&gt;&lt;D xsi:type="xsd:double"&gt;14.2759044732099&lt;/D&gt;&lt;D xsi:type="xsd:double"&gt;13.9379006042755&lt;/D&gt;&lt;D xsi:type="xsd:double"&gt;13.7142439212548&lt;/D&gt;&lt;D xsi:type="xsd:double"&gt;13.6427150737928&lt;/D&gt;&lt;D xsi:type="xsd:double"&gt;14.0461427162594&lt;/D&gt;&lt;D xsi:type="xsd:double"&gt;13.7030448296098&lt;/D&gt;&lt;D xsi:type="xsd:double"&gt;13.8376662261681&lt;/D&gt;&lt;D xsi:type="xsd:double"&gt;14.381164911327&lt;/D&gt;&lt;D xsi:type="xsd:double"&gt;14.2740130702519&lt;/D&gt;&lt;D xsi:type="xsd:double"&gt;14.347881767995&lt;/D&gt;&lt;D xsi:type="xsd:double"&gt;15.8579848447712&lt;/D&gt;&lt;D xsi:type="xsd:double"&gt;16.7273383672959&lt;/D&gt;&lt;D xsi:type="xsd:double"&gt;16.1498012859615&lt;/D&gt;&lt;D xsi:type="xsd:double"&gt;15.9673059796334&lt;/D&gt;&lt;D xsi:type="xsd:double"&gt;15.6747169931823&lt;/D&gt;&lt;D xsi:type="xsd:double"&gt;15.6297819494284&lt;/D&gt;&lt;D xsi:type="xsd:double"&gt;15.7743482115011&lt;/D&gt;&lt;D xsi:type="xsd:double"&gt;15.5137692104781&lt;/D&gt;&lt;D xsi:type="xsd:double"&gt;15.4156211265165&lt;/D&gt;&lt;D xsi:type="xsd:double"&gt;14.9719992262634&lt;/D&gt;&lt;D xsi:type="xsd:double"&gt;15.0895942063543&lt;/D&gt;&lt;D xsi:type="xsd:double"&gt;15.6429949377032&lt;/D&gt;&lt;D xsi:type="xsd:double"&gt;16.0097052154613&lt;/D&gt;&lt;D xsi:type="xsd:double"&gt;16.7749196023938&lt;/D&gt;&lt;D xsi:type="xsd:double"&gt;16.4463583995679&lt;/D&gt;&lt;D xsi:type="xsd:double"&gt;14.4091154825721&lt;/D&gt;&lt;D xsi:type="xsd:double"&gt;14.2276811637025&lt;/D&gt;&lt;D xsi:type="xsd:double"&gt;14.2649089849868&lt;/D&gt;&lt;D xsi:type="xsd:double"&gt;14.1618130030585&lt;/D&gt;&lt;D xsi:type="xsd:double"&gt;13.8338121460953&lt;/D&gt;&lt;D xsi:type="xsd:double"&gt;13.8175423610797&lt;/D&gt;&lt;D xsi:type="xsd:double"&gt;13.5376714590235&lt;/D&gt;&lt;D xsi:type="xsd:double"&gt;13.8677022586385&lt;/D&gt;&lt;D xsi:type="xsd:double"&gt;12.9119129900646&lt;/D&gt;&lt;D xsi:type="xsd:double"&gt;12.7275447401481&lt;/D&gt;&lt;D xsi:type="xsd:double"&gt;11.2917931477768&lt;/D&gt;&lt;D xsi:type="xsd:double"&gt;12.3089033612762&lt;/D&gt;&lt;D xsi:type="xsd:double"&gt;12.7194867487574&lt;/D&gt;&lt;D xsi:type="xsd:double"&gt;12.7457422370866&lt;/D&gt;&lt;D xsi:type="xsd:double"&gt;12.7922780444517&lt;/D&gt;&lt;D xsi:type="xsd:double"&gt;12.5674540425596&lt;/D&gt;&lt;D xsi:type="xsd:double"&gt;12.9714094912651&lt;/D&gt;&lt;D xsi:type="xsd:double"&gt;12.8584561076127&lt;/D&gt;&lt;D xsi:type="xsd:double"&gt;12.8611007221642&lt;/D&gt;&lt;D xsi:type="xsd:double"&gt;13.3349986283198&lt;/D&gt;&lt;D xsi:type="xsd:double"&gt;14.0758523432005&lt;/D&gt;&lt;D xsi:type="xsd:double"&gt;14.8787139469747&lt;/D&gt;&lt;D xsi:type="xsd:double"&gt;15.3089020661004&lt;/D&gt;&lt;D xsi:type="xsd:double"&gt;15.0493900130324&lt;/D&gt;&lt;D xsi:type="xsd:double"&gt;13.9535479450476&lt;/D&gt;&lt;D xsi:type="xsd:double"&gt;13.5911688308657&lt;/D&gt;&lt;D xsi:type="xsd:double"&gt;14.2459514808588&lt;/D&gt;&lt;D xsi:type="xsd:double"&gt;16.0435333314606&lt;/D&gt;&lt;D xsi:type="xsd:double"&gt;16.8997739670232&lt;/D&gt;&lt;D xsi:type="xsd:double"&gt;17.9045275335366&lt;/D&gt;&lt;D xsi:type="xsd:double"&gt;19.1827591958888&lt;/D&gt;&lt;D xsi:type="xsd:double"&gt;19.8984994373596&lt;/D&gt;&lt;D xsi:type="xsd:double"&gt;20.6308280718334&lt;/D&gt;&lt;D xsi:type="xsd:double"&gt;22.4630212974669&lt;/D&gt;&lt;D xsi:type="xsd:double"&gt;23.438364386591&lt;/D&gt;&lt;D xsi:type="xsd:double"&gt;23.4346973337913&lt;/D&gt;&lt;D xsi:type="xsd:double"&gt;21.5984985867663&lt;/D&gt;&lt;D xsi:type="xsd:double"&gt;21.3136894322823&lt;/D&gt;&lt;D xsi:type="xsd:double"&gt;20.6594665688145&lt;/D&gt;&lt;D xsi:type="xsd:double"&gt;20.2703450739014&lt;/D&gt;&lt;D xsi:type="xsd:double"&gt;19.79434050789&lt;/D&gt;&lt;D xsi:type="xsd:double"&gt;18.9888233780414&lt;/D&gt;&lt;D xsi:type="xsd:double"&gt;18.6774614729861&lt;/D&gt;&lt;D xsi:type="xsd:double"&gt;17.7287903314365&lt;/D&gt;&lt;D xsi:type="xsd:double"&gt;17.7591616545139&lt;/D&gt;&lt;D xsi:type="xsd:double"&gt;16.5263883330143&lt;/D&gt;&lt;D xsi:type="xsd:double"&gt;16.3946338706925&lt;/D&gt;&lt;D xsi:type="xsd:double"&gt;15.2522255173373&lt;/D&gt;&lt;D xsi:type="xsd:double"&gt;14.6403461710943&lt;/D&gt;&lt;D xsi:type="xsd:double"&gt;14.6116925315626&lt;/D&gt;&lt;D xsi:type="xsd:double"&gt;14.334825468141&lt;/D&gt;&lt;D xsi:type="xsd:double"&gt;14.2543532999978&lt;/D&gt;&lt;D xsi:type="xsd:double"&gt;13.7562362835689&lt;/D&gt;&lt;D xsi:type="xsd:double"&gt;13.8873632728917&lt;/D&gt;&lt;D xsi:type="xsd:double"&gt;13.6686077879221&lt;/D&gt;&lt;D xsi:type="xsd:double"&gt;13.2875522969825&lt;/D&gt;&lt;D xsi:type="xsd:double"&gt;13.1728814638025&lt;/D&gt;&lt;D xsi:type="xsd:double"&gt;13.3674585326689&lt;/D&gt;&lt;D xsi:type="xsd:double"&gt;12.5921996315016&lt;/D&gt;&lt;D xsi:type="xsd:double"&gt;13.3921599950951&lt;/D&gt;&lt;D xsi:type="xsd:double"&gt;13.6918334760373&lt;/D&gt;&lt;D xsi:type="xsd:double"&gt;13.6890040241088&lt;/D&gt;&lt;D xsi:type="xsd:double"&gt;13.819139565127&lt;/D&gt;&lt;D xsi:type="xsd:double"&gt;14.1522161462409&lt;/D&gt;&lt;D xsi:type="xsd:double"&gt;14.7090818256062&lt;/D&gt;&lt;D xsi:type="xsd:double"&gt;14.5578975443107&lt;/D&gt;&lt;D xsi:type="xsd:double"&gt;14.8741794062796&lt;/D&gt;&lt;D xsi:type="xsd:double"&gt;14.3173366875637&lt;/D&gt;&lt;D xsi:type="xsd:double"&gt;14.8536727885133&lt;/D&gt;&lt;D xsi:type="xsd:double"&gt;15.1415704234524&lt;/D&gt;&lt;D xsi:type="xsd:double"&gt;15.3450379691819&lt;/D&gt;&lt;D xsi:type="xsd:double"&gt;16.4037625286871&lt;/D&gt;&lt;D xsi:type="xsd:double"&gt;17.2800687460852&lt;/D&gt;&lt;/FQL&gt;&lt;FQL&gt;&lt;Q&gt;WL-FDS^FG_PRICE_CHANGE(0,-1AY)&lt;/Q&gt;&lt;R&gt;1&lt;/R&gt;&lt;C&gt;1&lt;/C&gt;&lt;D xsi:type="xsd:double"&gt;0.781781101291634&lt;/D&gt;&lt;/FQL&gt;&lt;FQL&gt;&lt;Q&gt;NI-FDS^FG_PRICE_CHANGE(0,-1AY)&lt;/Q&gt;&lt;R&gt;1&lt;/R&gt;&lt;C&gt;1&lt;/C&gt;&lt;D xsi:type="xsd:double"&gt;-27.9860684286007&lt;/D&gt;&lt;/FQL&gt;&lt;FQL&gt;&lt;Q&gt;CPALM-FDS^FG_PRICE_CHANGE(0,-1AY)&lt;/Q&gt;&lt;R&gt;1&lt;/R&gt;&lt;C&gt;1&lt;/C&gt;&lt;D xsi:type="xsd:double"&gt;-6.97081982399259&lt;/D&gt;&lt;/FQL&gt;&lt;FQL&gt;&lt;Q&gt;BRENT-FDS^FG_PRICE_CHANGE(0,-1AY)&lt;/Q&gt;&lt;R&gt;1&lt;/R&gt;&lt;C&gt;1&lt;/C&gt;&lt;D xsi:type="xsd:double"&gt;-1.57056058695404&lt;/D&gt;&lt;/FQL&gt;&lt;FQL&gt;&lt;Q&gt;QQQ^FMA_ROE(NTMA,-20AY,NOW,FY,"PORTAGG","MEANR")&lt;/Q&gt;&lt;R&gt;20&lt;/R&gt;&lt;C&gt;1&lt;/C&gt;&lt;D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xsi:type="xsd:double"&gt;25.2987617146125&lt;/D&gt;&lt;/FQL&gt;&lt;FQL&gt;&lt;Q&gt;TRYMY10Y-FDS^FG_YIELD(-10AY,0,Y,,"YTM")&lt;/Q&gt;&lt;R&gt;10&lt;/R&gt;&lt;C&gt;1&lt;/C&gt;&lt;D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xsi:type="xsd:double"&gt;14.170921&lt;/D&gt;&lt;D xsi:type="xsd:double"&gt;16.902506&lt;/D&gt;&lt;D xsi:type="xsd:double"&gt;16.818226&lt;/D&gt;&lt;D xsi:type="xsd:double"&gt;16.5339&lt;/D&gt;&lt;D xsi:type="xsd:double"&gt;21.768236&lt;/D&gt;&lt;D xsi:type="xsd:double"&gt;6.3534617&lt;/D&gt;&lt;D xsi:type="xsd:double"&gt;5.917549&lt;/D&gt;&lt;D xsi:type="xsd:double"&gt;-3.1404912&lt;/D&gt;&lt;D xsi:type="xsd:double"&gt;-0.8678138&lt;/D&gt;&lt;D xsi:type="xsd:double"&gt;1.4593124&lt;/D&gt;&lt;D xsi:type="xsd:double"&gt;-6.5948305&lt;/D&gt;&lt;D xsi:type="xsd:double"&gt;-0.58133006&lt;/D&gt;&lt;D xsi:type="xsd:double"&gt;-1.7913342&lt;/D&gt;&lt;D xsi:type="xsd:double"&gt;-5.072558&lt;/D&gt;&lt;D xsi:type="xsd:double"&gt;-3.7364483&lt;/D&gt;&lt;D xsi:type="xsd:double"&gt;-3.4291625&lt;/D&gt;&lt;D xsi:type="xsd:double"&gt;-7.0961833&lt;/D&gt;&lt;D xsi:type="xsd:double"&gt;-2.9003441&lt;/D&gt;&lt;D xsi:type="xsd:double"&gt;-8.794773&lt;/D&gt;&lt;D xsi:type="xsd:double"&gt;-4.9015403&lt;/D&gt;&lt;D xsi:type="xsd:double"&gt;-2.656275&lt;/D&gt;&lt;D xsi:type="xsd:double"&gt;-4.1704836&lt;/D&gt;&lt;D xsi:type="xsd:double"&gt;-5.874687&lt;/D&gt;&lt;D xsi:type="xsd:double"&gt;-12.683648&lt;/D&gt;&lt;D xsi:type="xsd:double"&gt;-13.995302&lt;/D&gt;&lt;D xsi:type="xsd:double"&gt;-9.621114&lt;/D&gt;&lt;D xsi:type="xsd:double"&gt;-11.373162&lt;/D&gt;&lt;D xsi:type="xsd:double"&gt;-11.648297&lt;/D&gt;&lt;D xsi:type="xsd:double"&gt;-11.095184&lt;/D&gt;&lt;D xsi:type="xsd:double"&gt;-8.704406&lt;/D&gt;&lt;D xsi:type="xsd:double"&gt;0.40832758&lt;/D&gt;&lt;D xsi:type="xsd:double"&gt;3.0256748&lt;/D&gt;&lt;D xsi:type="xsd:double"&gt;-8.109623&lt;/D&gt;&lt;D xsi:type="xsd:double"&gt;-5.738908&lt;/D&gt;&lt;D xsi:type="xsd:double"&gt;5.832231&lt;/D&gt;&lt;D xsi:type="xsd:double"&gt;19.782507&lt;/D&gt;&lt;D xsi:type="xsd:double"&gt;13.188065&lt;/D&gt;&lt;D xsi:type="xsd:double"&gt;9.8042965&lt;/D&gt;&lt;D xsi:type="xsd:double"&gt;19.954073&lt;/D&gt;&lt;D xsi:type="xsd:double"&gt;21.91596&lt;/D&gt;&lt;D xsi:type="xsd:double"&gt;26.529562&lt;/D&gt;&lt;D xsi:type="xsd:double"&gt;26.857018&lt;/D&gt;&lt;D xsi:type="xsd:double"&gt;23.978651&lt;/D&gt;&lt;D xsi:type="xsd:double"&gt;27.184809&lt;/D&gt;&lt;D xsi:type="xsd:double"&gt;33.935917&lt;/D&gt;&lt;D xsi:type="xsd:double"&gt;27.189754&lt;/D&gt;&lt;D xsi:type="xsd:double"&gt;23.641384&lt;/D&gt;&lt;D xsi:type="xsd:double"&gt;18.54335&lt;/D&gt;&lt;D xsi:type="xsd:double"&gt;13.205481&lt;/D&gt;&lt;D xsi:type="xsd:double"&gt;8.345008&lt;/D&gt;&lt;D xsi:type="xsd:double"&gt;0.7822275&lt;/D&gt;&lt;D xsi:type="xsd:double"&gt;-2.0099223&lt;/D&gt;&lt;D xsi:type="xsd:double"&gt;-4.620737&lt;/D&gt;&lt;D xsi:type="xsd:double"&gt;-1.6008794&lt;/D&gt;&lt;D xsi:type="xsd:double"&gt;-3.3723652&lt;/D&gt;&lt;D xsi:type="xsd:double"&gt;-6.4627113&lt;/D&gt;&lt;D xsi:type="xsd:double"&gt;-11.0989275&lt;/D&gt;&lt;D xsi:type="xsd:double"&gt;-10.247892&lt;/D&gt;&lt;D xsi:type="xsd:double"&gt;-14.315426&lt;/D&gt;&lt;D xsi:type="xsd:double"&gt;-11.259347&lt;/D&gt;&lt;D xsi:type="xsd:double"&gt;-4.9812675&lt;/D&gt;&lt;D xsi:type="xsd:double"&gt;1.1255264&lt;/D&gt;&lt;D xsi:type="xsd:double"&gt;2.4505496&lt;/D&gt;&lt;D xsi:type="xsd:double"&gt;-5.214894&lt;/D&gt;&lt;D xsi:type="xsd:double"&gt;5.6881666&lt;/D&gt;&lt;D xsi:type="xsd:double"&gt;-6.9919467&lt;/D&gt;&lt;D xsi:type="xsd:double"&gt;-7.251346&lt;/D&gt;&lt;D xsi:type="xsd:double"&gt;-7.7558336&lt;/D&gt;&lt;D xsi:type="xsd:double"&gt;11.299383&lt;/D&gt;&lt;D xsi:type="xsd:double"&gt;14.027953&lt;/D&gt;&lt;D xsi:type="xsd:double"&gt;25.684393&lt;/D&gt;&lt;D xsi:type="xsd:double"&gt;14.617753&lt;/D&gt;&lt;D xsi:type="xsd:double"&gt;9.865475&lt;/D&gt;&lt;D xsi:type="xsd:double"&gt;-21.123827&lt;/D&gt;&lt;D xsi:type="xsd:double"&gt;-13.159985&lt;/D&gt;&lt;D xsi:type="xsd:double"&gt;13.097799&lt;/D&gt;&lt;D xsi:type="xsd:double"&gt;2.711296&lt;/D&gt;&lt;D xsi:type="xsd:double"&gt;22.840141&lt;/D&gt;&lt;D xsi:type="xsd:double"&gt;26.378452&lt;/D&gt;&lt;D xsi:type="xsd:double"&gt;27.00975&lt;/D&gt;&lt;D xsi:type="xsd:double"&gt;12.305069&lt;/D&gt;&lt;D xsi:type="xsd:double"&gt;26.56002&lt;/D&gt;&lt;D xsi:type="xsd:double"&gt;23.721958&lt;/D&gt;&lt;D xsi:type="xsd:double"&gt;28.45552&lt;/D&gt;&lt;D xsi:type="xsd:double"&gt;36.028446&lt;/D&gt;&lt;D xsi:type="xsd:double"&gt;89.20971&lt;/D&gt;&lt;D xsi:type="xsd:double"&gt;74.82262&lt;/D&gt;&lt;D xsi:type="xsd:double"&gt;54.751133&lt;/D&gt;&lt;D xsi:type="xsd:double"&gt;53.677845&lt;/D&gt;&lt;D xsi:type="xsd:double"&gt;44.96093&lt;/D&gt;&lt;D xsi:type="xsd:double"&gt;43.636013&lt;/D&gt;&lt;D xsi:type="xsd:double"&gt;30.800283&lt;/D&gt;&lt;D xsi:type="xsd:double"&gt;40.859257&lt;/D&gt;&lt;D xsi:type="xsd:double"&gt;15.61371&lt;/D&gt;&lt;D xsi:type="xsd:double"&gt;23.067225&lt;/D&gt;&lt;D xsi:type="xsd:double"&gt;6.6045284&lt;/D&gt;&lt;D xsi:type="xsd:double"&gt;-14.979535&lt;/D&gt;&lt;D xsi:type="xsd:double"&gt;-6.9562016&lt;/D&gt;&lt;D xsi:type="xsd:double"&gt;-16.397804&lt;/D&gt;&lt;D xsi:type="xsd:double"&gt;-20.30549&lt;/D&gt;&lt;D xsi:type="xsd:double"&gt;-30.431414&lt;/D&gt;&lt;D xsi:type="xsd:double"&gt;-26.801126&lt;/D&gt;&lt;D xsi:type="xsd:double"&gt;-36.70828&lt;/D&gt;&lt;D xsi:type="xsd:double"&gt;-30.501032&lt;/D&gt;&lt;D xsi:type="xsd:double"&gt;-33.687996&lt;/D&gt;&lt;D xsi:type="xsd:double"&gt;-19.806374&lt;/D&gt;&lt;D xsi:type="xsd:double"&gt;-26.665741&lt;/D&gt;&lt;D xsi:type="xsd:double"&gt;-12.105489&lt;/D&gt;&lt;D xsi:type="xsd:double"&gt;4.7614336&lt;/D&gt;&lt;D xsi:type="xsd:double"&gt;-7.1274996&lt;/D&gt;&lt;D xsi:type="xsd:double"&gt;3.8233995&lt;/D&gt;&lt;D xsi:type="xsd:double"&gt;-2.9057205&lt;/D&gt;&lt;D xsi:type="xsd:double"&gt;15.950537&lt;/D&gt;&lt;D xsi:type="xsd:double"&gt;3.5244346&lt;/D&gt;&lt;D xsi:type="xsd:double"&gt;13.63163&lt;/D&gt;&lt;D xsi:type="xsd:double"&gt;10.091257&lt;/D&gt;&lt;D xsi:type="xsd:double"&gt;15.557898&lt;/D&gt;&lt;D xsi:type="xsd:double"&gt;7.1415663&lt;/D&gt;&lt;D xsi:type="xsd:double"&gt;16.962862&lt;/D&gt;&lt;D xsi:type="xsd:double"&gt;4.618156&lt;/D&gt;&lt;D xsi:type="xsd:double"&gt;12.332654&lt;/D&gt;&lt;/FQL&gt;&lt;FQL&gt;&lt;Q&gt;EWQ^FG_TOTAL_RETURNC(-10AY,0,AM)&lt;/Q&gt;&lt;R&gt;121&lt;/R&gt;&lt;C&gt;1&lt;/C&gt;&lt;D xsi:type="xsd:double"&gt;8.068728&lt;/D&gt;&lt;D xsi:type="xsd:double"&gt;1.6591787&lt;/D&gt;&lt;D xsi:type="xsd:double"&gt;1.8361092&lt;/D&gt;&lt;D xsi:type="xsd:double"&gt;0.16694069&lt;/D&gt;&lt;D xsi:type="xsd:double"&gt;-0.11857748&lt;/D&gt;&lt;D xsi:type="xsd:double"&gt;-6.9846687&lt;/D&gt;&lt;D xsi:type="xsd:double"&gt;1.8315077&lt;/D&gt;&lt;D xsi:type="xsd:double"&gt;-7.5899243&lt;/D&gt;&lt;D xsi:type="xsd:double"&gt;-2.3355424&lt;/D&gt;&lt;D xsi:type="xsd:double"&gt;3.7863731&lt;/D&gt;&lt;D xsi:type="xsd:double"&gt;-5.0007286&lt;/D&gt;&lt;D xsi:type="xsd:double"&gt;3.8336039&lt;/D&gt;&lt;D xsi:type="xsd:double"&gt;2.7494192&lt;/D&gt;&lt;D xsi:type="xsd:double"&gt;1.5290499&lt;/D&gt;&lt;D xsi:type="xsd:double"&gt;2.9367447&lt;/D&gt;&lt;D xsi:type="xsd:double"&gt;-0.658375&lt;/D&gt;&lt;D xsi:type="xsd:double"&gt;-3.437686&lt;/D&gt;&lt;D xsi:type="xsd:double"&gt;3.7999153&lt;/D&gt;&lt;D xsi:type="xsd:double"&gt;-9.637653&lt;/D&gt;&lt;D xsi:type="xsd:double"&gt;1.2401819&lt;/D&gt;&lt;D xsi:type="xsd:double"&gt;5.553293&lt;/D&gt;&lt;D xsi:type="xsd:double"&gt;-2.9400408&lt;/D&gt;&lt;D xsi:type="xsd:double"&gt;-4.716933&lt;/D&gt;&lt;D xsi:type="xsd:double"&gt;-3.1066298&lt;/D&gt;&lt;D xsi:type="xsd:double"&gt;2.3830175&lt;/D&gt;&lt;D xsi:type="xsd:double"&gt;1.4811754&lt;/D&gt;&lt;D xsi:type="xsd:double"&gt;1.2927532&lt;/D&gt;&lt;D xsi:type="xsd:double"&gt;2.3466468&lt;/D&gt;&lt;D xsi:type="xsd:double"&gt;-5.5503902&lt;/D&gt;&lt;D xsi:type="xsd:double"&gt;2.359116&lt;/D&gt;&lt;D xsi:type="xsd:double"&gt;4.438746&lt;/D&gt;&lt;D xsi:type="xsd:double"&gt;-1.3485909&lt;/D&gt;&lt;D xsi:type="xsd:double"&gt;-2.526921&lt;/D&gt;&lt;D xsi:type="xsd:double"&gt;-0.59499145&lt;/D&gt;&lt;D xsi:type="xsd:double"&gt;6.5380216&lt;/D&gt;&lt;D xsi:type="xsd:double"&gt;1.5706778&lt;/D&gt;&lt;D xsi:type="xsd:double"&gt;1.5860438&lt;/D&gt;&lt;D xsi:type="xsd:double"&gt;3.3177137&lt;/D&gt;&lt;D xsi:type="xsd:double"&gt;9.406877&lt;/D&gt;&lt;D xsi:type="xsd:double"&gt;3.2458544&lt;/D&gt;&lt;D xsi:type="xsd:double"&gt;-2.1837354&lt;/D&gt;&lt;D xsi:type="xsd:double"&gt;4.1391373&lt;/D&gt;&lt;D xsi:type="xsd:double"&gt;-0.4676044&lt;/D&gt;&lt;D xsi:type="xsd:double"&gt;3.7248373&lt;/D&gt;&lt;D xsi:type="xsd:double"&gt;1.42349&lt;/D&gt;&lt;D xsi:type="xsd:double"&gt;-0.31898022&lt;/D&gt;&lt;D xsi:type="xsd:double"&gt;2.5507927&lt;/D&gt;&lt;D xsi:type="xsd:double"&gt;1.9405246&lt;/D&gt;&lt;D xsi:type="xsd:double"&gt;-3.6843657&lt;/D&gt;&lt;D xsi:type="xsd:double"&gt;0.12750626&lt;/D&gt;&lt;D xsi:type="xsd:double"&gt;4.043305&lt;/D&gt;&lt;D xsi:type="xsd:double"&gt;-1.5605927&lt;/D&gt;&lt;D xsi:type="xsd:double"&gt;-3.2740653&lt;/D&gt;&lt;D xsi:type="xsd:double"&gt;2.985561&lt;/D&gt;&lt;D xsi:type="xsd:double"&gt;-2.3574352&lt;/D&gt;&lt;D xsi:type="xsd:double"&gt;0.26100874&lt;/D&gt;&lt;D xsi:type="xsd:double"&gt;-6.3130436&lt;/D&gt;&lt;D xsi:type="xsd:double"&gt;-3.9597154&lt;/D&gt;&lt;D xsi:type="xsd:double"&gt;-3.318715&lt;/D&gt;&lt;D xsi:type="xsd:double"&gt;6.1255097&lt;/D&gt;&lt;D xsi:type="xsd:double"&gt;4.4971704&lt;/D&gt;&lt;D xsi:type="xsd:double"&gt;2.2704124&lt;/D&gt;&lt;D xsi:type="xsd:double"&gt;1.7892599&lt;/D&gt;&lt;D xsi:type="xsd:double"&gt;-3.6783814&lt;/D&gt;&lt;D xsi:type="xsd:double"&gt;7.2589397&lt;/D&gt;&lt;D xsi:type="xsd:double"&gt;-5.779785&lt;/D&gt;&lt;D xsi:type="xsd:double"&gt;2.193284&lt;/D&gt;&lt;D xsi:type="xsd:double"&gt;-1.0731041&lt;/D&gt;&lt;D xsi:type="xsd:double"&gt;7.1525455&lt;/D&gt;&lt;D xsi:type="xsd:double"&gt;-0.6643474&lt;/D&gt;&lt;D xsi:type="xsd:double"&gt;4.0427566&lt;/D&gt;&lt;D xsi:type="xsd:double"&gt;-1.9018352&lt;/D&gt;&lt;D xsi:type="xsd:double"&gt;-5.4409027&lt;/D&gt;&lt;D xsi:type="xsd:double"&gt;-27.744705&lt;/D&gt;&lt;D xsi:type="xsd:double"&gt;8.787191&lt;/D&gt;&lt;D xsi:type="xsd:double"&gt;18.300379&lt;/D&gt;&lt;D xsi:type="xsd:double"&gt;-0.34888387&lt;/D&gt;&lt;D xsi:type="xsd:double"&gt;2.8735638&lt;/D&gt;&lt;D xsi:type="xsd:double"&gt;2.339387&lt;/D&gt;&lt;D xsi:type="xsd:double"&gt;-4.1282835&lt;/D&gt;&lt;D xsi:type="xsd:double"&gt;1.2099624&lt;/D&gt;&lt;D xsi:type="xsd:double"&gt;18.389584&lt;/D&gt;&lt;D xsi:type="xsd:double"&gt;0.37561655&lt;/D&gt;&lt;D xsi:type="xsd:double"&gt;-1.2191474&lt;/D&gt;&lt;D xsi:type="xsd:double"&gt;2.5888085&lt;/D&gt;&lt;D xsi:type="xsd:double"&gt;3.8438916&lt;/D&gt;&lt;D xsi:type="xsd:double"&gt;4.4927955&lt;/D&gt;&lt;D xsi:type="xsd:double"&gt;6.0302854&lt;/D&gt;&lt;D xsi:type="xsd:double"&gt;-1.822859&lt;/D&gt;&lt;D xsi:type="xsd:double"&gt;2.04885&lt;/D&gt;&lt;D xsi:type="xsd:double"&gt;0.46331882&lt;/D&gt;&lt;D xsi:type="xsd:double"&gt;-4.2018948&lt;/D&gt;&lt;D xsi:type="xsd:double"&gt;7.247925&lt;/D&gt;&lt;D xsi:type="xsd:double"&gt;-5.7107153&lt;/D&gt;&lt;D xsi:type="xsd:double"&gt;7.3325515&lt;/D&gt;&lt;D xsi:type="xsd:double"&gt;-3.2160044&lt;/D&gt;&lt;D xsi:type="xsd:double"&gt;-16.457355&lt;/D&gt;&lt;D xsi:type="xsd:double"&gt;11.713112&lt;/D&gt;&lt;D xsi:type="xsd:double"&gt;-5.270529&lt;/D&gt;&lt;D xsi:type="xsd:double"&gt;1.6572833&lt;/D&gt;&lt;D xsi:type="xsd:double"&gt;-9.757966&lt;/D&gt;&lt;D xsi:type="xsd:double"&gt;6.5426826&lt;/D&gt;&lt;D xsi:type="xsd:double"&gt;-9.756863&lt;/D&gt;&lt;D xsi:type="xsd:double"&gt;-0.13816953&lt;/D&gt;&lt;D xsi:type="xsd:double"&gt;6.2608123&lt;/D&gt;&lt;D xsi:type="xsd:double"&gt;10.937511&lt;/D&gt;&lt;D xsi:type="xsd:double"&gt;1.1557937&lt;/D&gt;&lt;D xsi:type="xsd:double"&gt;8.151388&lt;/D&gt;&lt;D xsi:type="xsd:double"&gt;0.43069124&lt;/D&gt;&lt;D xsi:type="xsd:double"&gt;2.5194287&lt;/D&gt;&lt;D xsi:type="xsd:double"&gt;1.6209126&lt;/D&gt;&lt;D xsi:type="xsd:double"&gt;-2.752763&lt;/D&gt;&lt;D xsi:type="xsd:double"&gt;3.8854837&lt;/D&gt;&lt;D xsi:type="xsd:double"&gt;-0.8851886&lt;/D&gt;&lt;D xsi:type="xsd:double"&gt;-1.6811132&lt;/D&gt;&lt;D xsi:type="xsd:double"&gt;-6.9195805&lt;/D&gt;&lt;D xsi:type="xsd:double"&gt;2.324915&lt;/D&gt;&lt;D xsi:type="xsd:double"&gt;5.329585&lt;/D&gt;&lt;D xsi:type="xsd:double"&gt;2.4472237&lt;/D&gt;&lt;D xsi:type="xsd:double"&gt;0.99424124&lt;/D&gt;&lt;D xsi:type="xsd:double"&gt;4.5854926&lt;/D&gt;&lt;/FQL&gt;&lt;FQL&gt;&lt;Q&gt;QQQ^FMA_DIV_YLD(NTMA,-10AY,0,AM,"PORTAGG","MEANR")&lt;/Q&gt;&lt;R&gt;121&lt;/R&gt;&lt;C&gt;1&lt;/C&gt;&lt;D xsi:type="xsd:double"&gt;1.375940969169&lt;/D&gt;&lt;D xsi:type="xsd:double"&gt;1.42203366990281&lt;/D&gt;&lt;D xsi:type="xsd:double"&gt;1.35765022006343&lt;/D&gt;&lt;D xsi:type="xsd:double"&gt;1.31085769127697&lt;/D&gt;&lt;D xsi:type="xsd:double"&gt;1.24295239364795&lt;/D&gt;&lt;D xsi:type="xsd:double"&gt;1.26009035450258&lt;/D&gt;&lt;D xsi:type="xsd:double"&gt;1.21679091316816&lt;/D&gt;&lt;D xsi:type="xsd:double"&gt;1.24654883397084&lt;/D&gt;&lt;D xsi:type="xsd:double"&gt;1.22815233439533&lt;/D&gt;&lt;D xsi:type="xsd:double"&gt;1.19860449424864&lt;/D&gt;&lt;D xsi:type="xsd:double"&gt;1.20789072103969&lt;/D&gt;&lt;D xsi:type="xsd:double"&gt;1.26336058111876&lt;/D&gt;&lt;D xsi:type="xsd:double"&gt;1.21014085450188&lt;/D&gt;&lt;D xsi:type="xsd:double"&gt;1.28225423001148&lt;/D&gt;&lt;D xsi:type="xsd:double"&gt;1.23725505667508&lt;/D&gt;&lt;D xsi:type="xsd:double"&gt;1.24566531612437&lt;/D&gt;&lt;D xsi:type="xsd:double"&gt;1.26122092774196&lt;/D&gt;&lt;D xsi:type="xsd:double"&gt;1.26898564208871&lt;/D&gt;&lt;D xsi:type="xsd:double"&gt;1.39250307387024&lt;/D&gt;&lt;D xsi:type="xsd:double"&gt;1.36720016176551&lt;/D&gt;&lt;D xsi:type="xsd:double"&gt;1.2500149945807&lt;/D&gt;&lt;D xsi:type="xsd:double"&gt;1.2594201906243&lt;/D&gt;&lt;D xsi:type="xsd:double"&gt;1.28751040267954&lt;/D&gt;&lt;D xsi:type="xsd:double"&gt;1.3984289379076&lt;/D&gt;&lt;D xsi:type="xsd:double"&gt;1.37525834454113&lt;/D&gt;&lt;D xsi:type="xsd:double"&gt;1.32570560832186&lt;/D&gt;&lt;D xsi:type="xsd:double"&gt;1.40017082717854&lt;/D&gt;&lt;D xsi:type="xsd:double"&gt;1.34556864664874&lt;/D&gt;&lt;D xsi:type="xsd:double"&gt;1.35862473258535&lt;/D&gt;&lt;D xsi:type="xsd:double"&gt;1.28814138671485&lt;/D&gt;&lt;D xsi:type="xsd:double"&gt;1.28338731892531&lt;/D&gt;&lt;D xsi:type="xsd:double"&gt;1.26517421884498&lt;/D&gt;&lt;D xsi:type="xsd:double"&gt;1.33313270243846&lt;/D&gt;&lt;D xsi:type="xsd:double"&gt;1.31592340023061&lt;/D&gt;&lt;D xsi:type="xsd:double"&gt;1.28306640940629&lt;/D&gt;&lt;D xsi:type="xsd:double"&gt;1.23899425993883&lt;/D&gt;&lt;D xsi:type="xsd:double"&gt;1.21595978537277&lt;/D&gt;&lt;D xsi:type="xsd:double"&gt;1.20686559068748&lt;/D&gt;&lt;D xsi:type="xsd:double"&gt;1.18304033513769&lt;/D&gt;&lt;D xsi:type="xsd:double"&gt;1.14103212413917&lt;/D&gt;&lt;D xsi:type="xsd:double"&gt;1.21065328104709&lt;/D&gt;&lt;D xsi:type="xsd:double"&gt;1.1733588326675&lt;/D&gt;&lt;D xsi:type="xsd:double"&gt;1.16027732463639&lt;/D&gt;&lt;D xsi:type="xsd:double"&gt;1.16023455436958&lt;/D&gt;&lt;D xsi:type="xsd:double"&gt;1.11336772703611&lt;/D&gt;&lt;D xsi:type="xsd:double"&gt;1.12220869816426&lt;/D&gt;&lt;D xsi:type="xsd:double"&gt;1.07132887243851&lt;/D&gt;&lt;D xsi:type="xsd:double"&gt;1.0631498940693&lt;/D&gt;&lt;D xsi:type="xsd:double"&gt;1.07210358135772&lt;/D&gt;&lt;D xsi:type="xsd:double"&gt;1.12858728074745&lt;/D&gt;&lt;D xsi:type="xsd:double"&gt;1.11070277517455&lt;/D&gt;&lt;D xsi:type="xsd:double"&gt;1.05666052867409&lt;/D&gt;&lt;D xsi:type="xsd:double"&gt;1.08105015398593&lt;/D&gt;&lt;D xsi:type="xsd:double"&gt;1.07950353871957&lt;/D&gt;&lt;D xsi:type="xsd:double"&gt;1.05488183500922&lt;/D&gt;&lt;D xsi:type="xsd:double"&gt;1.08265742986666&lt;/D&gt;&lt;D xsi:type="xsd:double"&gt;1.18219257849352&lt;/D&gt;&lt;D xsi:type="xsd:double"&gt;1.21844131815612&lt;/D&gt;&lt;D xsi:type="xsd:double"&gt;1.30354729744351&lt;/D&gt;&lt;D xsi:type="xsd:double"&gt;1.21144853677109&lt;/D&gt;&lt;D xsi:type="xsd:double"&gt;1.1703388748799&lt;/D&gt;&lt;D xsi:type="xsd:double"&gt;1.11521314586928&lt;/D&gt;&lt;D xsi:type="xsd:double"&gt;1.08025528401419&lt;/D&gt;&lt;D xsi:type="xsd:double"&gt;1.1946491609796&lt;/D&gt;&lt;D xsi:type="xsd:double"&gt;1.08864064799322&lt;/D&gt;&lt;D xsi:type="xsd:double"&gt;1.11621918955703&lt;/D&gt;&lt;D xsi:type="xsd:double"&gt;1.11438660086899&lt;/D&gt;&lt;D xsi:type="xsd:double"&gt;1.11610304227057&lt;/D&gt;&lt;D xsi:type="xsd:double"&gt;1.06797775553727&lt;/D&gt;&lt;D xsi:type="xsd:double"&gt;1.08654061774371&lt;/D&gt;&lt;D xsi:type="xsd:double"&gt;1.0411164867807&lt;/D&gt;&lt;D xsi:type="xsd:double"&gt;0.986578331159224&lt;/D&gt;&lt;D xsi:type="xsd:double"&gt;1.03562781397979&lt;/D&gt;&lt;D xsi:type="xsd:double"&gt;1.23145700730043&lt;/D&gt;&lt;D xsi:type="xsd:double"&gt;1.03156441466986&lt;/D&gt;&lt;D xsi:type="xsd:double"&gt;0.943908619191668&lt;/D&gt;&lt;D xsi:type="xsd:double"&gt;0.879624694337777&lt;/D&gt;&lt;D xsi:type="xsd:double"&gt;0.821397782995049&lt;/D&gt;&lt;D xsi:type="xsd:double"&gt;0.786850768282955&lt;/D&gt;&lt;D xsi:type="xsd:double"&gt;0.812639713215828&lt;/D&gt;&lt;D xsi:type="xsd:double"&gt;0.786855619736535&lt;/D&gt;&lt;D xsi:type="xsd:double"&gt;0.741361956033625&lt;/D&gt;&lt;D xsi:type="xsd:double"&gt;0.775334098941024&lt;/D&gt;&lt;D xsi:type="xsd:double"&gt;0.732022435790007&lt;/D&gt;&lt;D xsi:type="xsd:double"&gt;0.803269981864908&lt;/D&gt;&lt;D xsi:type="xsd:double"&gt;0.754172587513757&lt;/D&gt;&lt;D xsi:type="xsd:double"&gt;0.748040551902438&lt;/D&gt;&lt;D xsi:type="xsd:double"&gt;0.739173930389873&lt;/D&gt;&lt;D xsi:type="xsd:double"&gt;0.696209342838354&lt;/D&gt;&lt;D xsi:type="xsd:double"&gt;0.699840125221088&lt;/D&gt;&lt;D xsi:type="xsd:double"&gt;0.67707934468187&lt;/D&gt;&lt;D xsi:type="xsd:double"&gt;0.739660766413022&lt;/D&gt;&lt;D xsi:type="xsd:double"&gt;0.658299003650074&lt;/D&gt;&lt;D xsi:type="xsd:double"&gt;0.690278907072366&lt;/D&gt;&lt;D xsi:type="xsd:double"&gt;0.671727645812504&lt;/D&gt;&lt;D xsi:type="xsd:double"&gt;0.753438942757188&lt;/D&gt;&lt;D xsi:type="xsd:double"&gt;0.811285753970716&lt;/D&gt;&lt;D xsi:type="xsd:double"&gt;0.743208204830712&lt;/D&gt;&lt;D xsi:type="xsd:double"&gt;0.835415605013489&lt;/D&gt;&lt;D xsi:type="xsd:double"&gt;0.908852628367175&lt;/D&gt;&lt;D xsi:type="xsd:double"&gt;0.992342144236491&lt;/D&gt;&lt;D xsi:type="xsd:double"&gt;0.869655966499269&lt;/D&gt;&lt;D xsi:type="xsd:double"&gt;0.962519191385244&lt;/D&gt;&lt;D xsi:type="xsd:double"&gt;1.01424016343692&lt;/D&gt;&lt;D xsi:type="xsd:double"&gt;1.0907144875189&lt;/D&gt;&lt;D xsi:type="xsd:double"&gt;0.987037692848049&lt;/D&gt;&lt;D xsi:type="xsd:double"&gt;1.04194380046685&lt;/D&gt;&lt;D xsi:type="xsd:double"&gt;0.914671698673555&lt;/D&gt;&lt;D xsi:type="xsd:double"&gt;0.942461039726818&lt;/D&gt;&lt;D xsi:type="xsd:double"&gt;0.889252043063212&lt;/D&gt;&lt;D xsi:type="xsd:double"&gt;0.882071549299479&lt;/D&gt;&lt;D xsi:type="xsd:double"&gt;0.791607043449002&lt;/D&gt;&lt;D xsi:type="xsd:double"&gt;0.761387572994137&lt;/D&gt;&lt;D xsi:type="xsd:double"&gt;0.88268287994045&lt;/D&gt;&lt;D xsi:type="xsd:double"&gt;0.874044954162833&lt;/D&gt;&lt;D xsi:type="xsd:double"&gt;0.942568075471403&lt;/D&gt;&lt;D xsi:type="xsd:double"&gt;0.92832005586592&lt;/D&gt;&lt;D xsi:type="xsd:double"&gt;0.893336434269433&lt;/D&gt;&lt;D xsi:type="xsd:double"&gt;0.950690160515164&lt;/D&gt;&lt;D xsi:type="xsd:double"&gt;0.875945757098651&lt;/D&gt;&lt;D xsi:type="xsd:double"&gt;0.861223620576085&lt;/D&gt;&lt;/FQL&gt;&lt;FQL&gt;&lt;Q&gt;EWL^FMA_PE(NTMA,-10AY,0,AM,"PORTAGG","MEANR")&lt;/Q&gt;&lt;R&gt;121&lt;/R&gt;&lt;C&gt;1&lt;/C&gt;&lt;D xsi:type="xsd:double"&gt;16.0014798676247&lt;/D&gt;&lt;D xsi:type="xsd:double"&gt;16.0827295839487&lt;/D&gt;&lt;D xsi:type="xsd:double"&gt;16.1890176135056&lt;/D&gt;&lt;D xsi:type="xsd:double"&gt;16.3312494359756&lt;/D&gt;&lt;D xsi:type="xsd:double"&gt;16.2902501563557&lt;/D&gt;&lt;D xsi:type="xsd:double"&gt;15.6444494198816&lt;/D&gt;&lt;D xsi:type="xsd:double"&gt;16.3233933019232&lt;/D&gt;&lt;D xsi:type="xsd:double"&gt;15.6369396707244&lt;/D&gt;&lt;D xsi:type="xsd:double"&gt;15.7499686745611&lt;/D&gt;&lt;D xsi:type="xsd:double"&gt;16.1132691477113&lt;/D&gt;&lt;D xsi:type="xsd:double"&gt;15.6550501907529&lt;/D&gt;&lt;D xsi:type="xsd:double"&gt;16.7774126146497&lt;/D&gt;&lt;D xsi:type="xsd:double"&gt;17.4604084112256&lt;/D&gt;&lt;D xsi:type="xsd:double"&gt;17.7000054458579&lt;/D&gt;&lt;D xsi:type="xsd:double"&gt;17.7629766214139&lt;/D&gt;&lt;D xsi:type="xsd:double"&gt;17.6709799497337&lt;/D&gt;&lt;D xsi:type="xsd:double"&gt;17.041634530551&lt;/D&gt;&lt;D xsi:type="xsd:double"&gt;17.8002882082395&lt;/D&gt;&lt;D xsi:type="xsd:double"&gt;16.2301395906278&lt;/D&gt;&lt;D xsi:type="xsd:double"&gt;16.0054315414928&lt;/D&gt;&lt;D xsi:type="xsd:double"&gt;17.0623573243898&lt;/D&gt;&lt;D xsi:type="xsd:double"&gt;16.8326321726504&lt;/D&gt;&lt;D xsi:type="xsd:double"&gt;16.5045089315243&lt;/D&gt;&lt;D xsi:type="xsd:double"&gt;16.1298041746557&lt;/D&gt;&lt;D xsi:type="xsd:double"&gt;16.5832884320209&lt;/D&gt;&lt;D xsi:type="xsd:double"&gt;16.3183453931268&lt;/D&gt;&lt;D xsi:type="xsd:double"&gt;16.3721829444146&lt;/D&gt;&lt;D xsi:type="xsd:double"&gt;17.0576555536762&lt;/D&gt;&lt;D xsi:type="xsd:double"&gt;16.895370900135&lt;/D&gt;&lt;D xsi:type="xsd:double"&gt;17.1290550773822&lt;/D&gt;&lt;D xsi:type="xsd:double"&gt;17.4419500342325&lt;/D&gt;&lt;D xsi:type="xsd:double"&gt;17.2311139046871&lt;/D&gt;&lt;D xsi:type="xsd:double"&gt;16.0822832120136&lt;/D&gt;&lt;D xsi:type="xsd:double"&gt;16.1562192824815&lt;/D&gt;&lt;D xsi:type="xsd:double"&gt;17.0152818502574&lt;/D&gt;&lt;D xsi:type="xsd:double"&gt;17.2049004017712&lt;/D&gt;&lt;D xsi:type="xsd:double"&gt;17.6434894956563&lt;/D&gt;&lt;D xsi:type="xsd:double"&gt;17.3673328520791&lt;/D&gt;&lt;D xsi:type="xsd:double"&gt;17.9660531629&lt;/D&gt;&lt;D xsi:type="xsd:double"&gt;18.2644958815692&lt;/D&gt;&lt;D xsi:type="xsd:double"&gt;17.8769566416458&lt;/D&gt;&lt;D xsi:type="xsd:double"&gt;17.9831562785605&lt;/D&gt;&lt;D xsi:type="xsd:double"&gt;17.4885502054535&lt;/D&gt;&lt;D xsi:type="xsd:double"&gt;17.9580905644998&lt;/D&gt;&lt;D xsi:type="xsd:double"&gt;17.9836230246756&lt;/D&gt;&lt;D xsi:type="xsd:double"&gt;17.6681605636221&lt;/D&gt;&lt;D xsi:type="xsd:double"&gt;17.8750241144717&lt;/D&gt;&lt;D xsi:type="xsd:double"&gt;17.3427588214935&lt;/D&gt;&lt;D xsi:</t>
        </r>
      </text>
    </comment>
    <comment ref="A5" authorId="0" shapeId="0" xr:uid="{AFFD2870-2965-4FCE-A848-CA5BD0790F1E}">
      <text>
        <r>
          <rPr>
            <b/>
            <sz val="9"/>
            <color indexed="81"/>
            <rFont val="Tahoma"/>
            <family val="2"/>
          </rPr>
          <t>type="xsd:double"&gt;16.0124396473691&lt;/D&gt;&lt;D xsi:type="xsd:double"&gt;15.7126215540154&lt;/D&gt;&lt;D xsi:type="xsd:double"&gt;16.1413610611255&lt;/D&gt;&lt;D xsi:type="xsd:double"&gt;15.7186109707989&lt;/D&gt;&lt;D xsi:type="xsd:double"&gt;15.6242358668332&lt;/D&gt;&lt;D xsi:type="xsd:double"&gt;16.3074694348589&lt;/D&gt;&lt;D xsi:type="xsd:double"&gt;15.9472185740361&lt;/D&gt;&lt;D xsi:type="xsd:double"&gt;15.9296578655331&lt;/D&gt;&lt;D xsi:type="xsd:double"&gt;15.7177625033584&lt;/D&gt;&lt;D xsi:type="xsd:double"&gt;15.6831125774657&lt;/D&gt;&lt;D xsi:type="xsd:double"&gt;14.7844400374552&lt;/D&gt;&lt;D xsi:type="xsd:double"&gt;15.5676157277344&lt;/D&gt;&lt;D xsi:type="xsd:double"&gt;16.3684196160835&lt;/D&gt;&lt;D xsi:type="xsd:double"&gt;16.7523047309905&lt;/D&gt;&lt;D xsi:type="xsd:double"&gt;16.8970832968054&lt;/D&gt;&lt;D xsi:type="xsd:double"&gt;16.6122526382002&lt;/D&gt;&lt;D xsi:type="xsd:double"&gt;17.3769096483735&lt;/D&gt;&lt;D xsi:type="xsd:double"&gt;16.9283003434567&lt;/D&gt;&lt;D xsi:type="xsd:double"&gt;17.0460625788036&lt;/D&gt;&lt;D xsi:type="xsd:double"&gt;16.7562358891189&lt;/D&gt;&lt;D xsi:type="xsd:double"&gt;17.5006364491964&lt;/D&gt;&lt;D xsi:type="xsd:double"&gt;17.3159466403618&lt;/D&gt;&lt;D xsi:type="xsd:double"&gt;17.9126715110934&lt;/D&gt;&lt;D xsi:type="xsd:double"&gt;18.0730501131879&lt;/D&gt;&lt;D xsi:type="xsd:double"&gt;17.2539239163538&lt;/D&gt;&lt;D xsi:type="xsd:double"&gt;16.0439215372656&lt;/D&gt;&lt;D xsi:type="xsd:double"&gt;17.8995360238307&lt;/D&gt;&lt;D xsi:type="xsd:double"&gt;19.3919641829221&lt;/D&gt;&lt;D xsi:type="xsd:double"&gt;19.5197212042751&lt;/D&gt;&lt;D xsi:type="xsd:double"&gt;19.4673536016794&lt;/D&gt;&lt;D xsi:type="xsd:double"&gt;19.1309374611738&lt;/D&gt;&lt;D xsi:type="xsd:double"&gt;19.0512570908496&lt;/D&gt;&lt;D xsi:type="xsd:double"&gt;18.7378126342856&lt;/D&gt;&lt;D xsi:type="xsd:double"&gt;18.3906129479302&lt;/D&gt;&lt;D xsi:type="xsd:double"&gt;18.9411516777064&lt;/D&gt;&lt;D xsi:type="xsd:double"&gt;18.8034266989157&lt;/D&gt;&lt;D xsi:type="xsd:double"&gt;18.3547780215432&lt;/D&gt;&lt;D xsi:type="xsd:double"&gt;18.814076523045&lt;/D&gt;&lt;D xsi:type="xsd:double"&gt;18.7506297023134&lt;/D&gt;&lt;D xsi:type="xsd:double"&gt;19.6130224461203&lt;/D&gt;&lt;D xsi:type="xsd:double"&gt;19.751334170712&lt;/D&gt;&lt;D xsi:type="xsd:double"&gt;19.8377151239441&lt;/D&gt;&lt;D xsi:type="xsd:double"&gt;19.7512107895055&lt;/D&gt;&lt;D xsi:type="xsd:double"&gt;18.2211928143975&lt;/D&gt;&lt;D xsi:type="xsd:double"&gt;19.4097627127289&lt;/D&gt;&lt;D xsi:type="xsd:double"&gt;18.6773071446453&lt;/D&gt;&lt;D xsi:type="xsd:double"&gt;19.7856136131679&lt;/D&gt;&lt;D xsi:type="xsd:double"&gt;18.0722229904065&lt;/D&gt;&lt;D xsi:type="xsd:double"&gt;17.0992650655098&lt;/D&gt;&lt;D xsi:type="xsd:double"&gt;18.5606498338934&lt;/D&gt;&lt;D xsi:type="xsd:double"&gt;17.4354113924282&lt;/D&gt;&lt;D xsi:type="xsd:double"&gt;16.848724453765&lt;/D&gt;&lt;D xsi:type="xsd:double"&gt;15.7364674893585&lt;/D&gt;&lt;D xsi:type="xsd:double"&gt;16.9290751793585&lt;/D&gt;&lt;D xsi:type="xsd:double"&gt;16.1352721568786&lt;/D&gt;&lt;D xsi:type="xsd:double"&gt;15.441984771414&lt;/D&gt;&lt;D xsi:type="xsd:double"&gt;15.9973445308328&lt;/D&gt;&lt;D xsi:type="xsd:double"&gt;16.9119655449688&lt;/D&gt;&lt;D xsi:type="xsd:double"&gt;16.8370173497963&lt;/D&gt;&lt;D xsi:type="xsd:double"&gt;17.4210693655025&lt;/D&gt;&lt;D xsi:type="xsd:double"&gt;17.1481760416522&lt;/D&gt;&lt;D xsi:type="xsd:double"&gt;17.0963726143083&lt;/D&gt;&lt;D xsi:type="xsd:double"&gt;17.5724704530227&lt;/D&gt;&lt;D xsi:type="xsd:double"&gt;16.7779876862957&lt;/D&gt;&lt;D xsi:type="xsd:double"&gt;16.4135475059141&lt;/D&gt;&lt;D xsi:type="xsd:double"&gt;16.6322527288404&lt;/D&gt;&lt;D xsi:type="xsd:double"&gt;16.6087456617472&lt;/D&gt;&lt;D xsi:type="xsd:double"&gt;15.7902835833192&lt;/D&gt;&lt;D xsi:type="xsd:double"&gt;15.7743932145795&lt;/D&gt;&lt;D xsi:type="xsd:double"&gt;16.3987377982896&lt;/D&gt;&lt;D xsi:type="xsd:double"&gt;16.9225962370184&lt;/D&gt;&lt;D xsi:type="xsd:double"&gt;17.1132112155278&lt;/D&gt;&lt;D xsi:type="xsd:double"&gt;19.1591141359456&lt;/D&gt;&lt;/FQL&gt;&lt;FQL&gt;&lt;Q&gt;EWG^FMA_PE(LTMA,-10AY,0,AM,"PORTAGG","MEANR")&lt;/Q&gt;&lt;R&gt;121&lt;/R&gt;&lt;C&gt;1&lt;/C&gt;&lt;D xsi:type="xsd:double"&gt;14.877929508675&lt;/D&gt;&lt;D xsi:type="xsd:double"&gt;14.7775784949163&lt;/D&gt;&lt;D xsi:type="xsd:double"&gt;14.6330415699914&lt;/D&gt;&lt;D xsi:type="xsd:double"&gt;14.6863869111369&lt;/D&gt;&lt;D xsi:type="xsd:double"&gt;14.7021212436149&lt;/D&gt;&lt;D xsi:type="xsd:double"&gt;14.0045679406956&lt;/D&gt;&lt;D xsi:type="xsd:double"&gt;14.3741780433513&lt;/D&gt;&lt;D xsi:type="xsd:double"&gt;13.7374051362458&lt;/D&gt;&lt;D xsi:type="xsd:double"&gt;13.5698955378554&lt;/D&gt;&lt;D xsi:type="xsd:double"&gt;14.4128656326982&lt;/D&gt;&lt;D xsi:type="xsd:double"&gt;14.2318596028789&lt;/D&gt;&lt;D xsi:type="xsd:double"&gt;15.7488294396175&lt;/D&gt;&lt;D xsi:type="xsd:double"&gt;16.4661045406859&lt;/D&gt;&lt;D xsi:type="xsd:double"&gt;16.5142576521012&lt;/D&gt;&lt;D xsi:type="xsd:double"&gt;16.2530129504283&lt;/D&gt;&lt;D xsi:type="xsd:double"&gt;15.8445817965042&lt;/D&gt;&lt;D xsi:type="xsd:double"&gt;15.471700557444&lt;/D&gt;&lt;D xsi:type="xsd:double"&gt;15.5201783458508&lt;/D&gt;&lt;D xsi:type="xsd:double"&gt;14.1915337180314&lt;/D&gt;&lt;D xsi:type="xsd:double"&gt;13.6947369017506&lt;/D&gt;&lt;D xsi:type="xsd:double"&gt;14.5168016929855&lt;/D&gt;&lt;D xsi:type="xsd:double"&gt;14.2539952798487&lt;/D&gt;&lt;D xsi:type="xsd:double"&gt;13.4391708993985&lt;/D&gt;&lt;D xsi:type="xsd:double"&gt;12.4680152645594&lt;/D&gt;&lt;D xsi:type="xsd:double"&gt;12.7186772140856&lt;/D&gt;&lt;D xsi:type="xsd:double"&gt;12.7465334367849&lt;/D&gt;&lt;D xsi:type="xsd:double"&gt;12.7583590087865&lt;/D&gt;&lt;D xsi:type="xsd:double"&gt;12.8653974745486&lt;/D&gt;&lt;D xsi:type="xsd:double"&gt;12.705984699086&lt;/D&gt;&lt;D xsi:type="xsd:double"&gt;13.0409808881388&lt;/D&gt;&lt;D xsi:type="xsd:double"&gt;13.4928239289522&lt;/D&gt;&lt;D xsi:type="xsd:double"&gt;13.7048395117176&lt;/D&gt;&lt;D xsi:type="xsd:double"&gt;13.3256283544746&lt;/D&gt;&lt;D xsi:type="xsd:double"&gt;13.5491630343979&lt;/D&gt;&lt;D xsi:type="xsd:double"&gt;14.915703331865&lt;/D&gt;&lt;D xsi:type="xsd:double"&gt;14.8545220186501&lt;/D&gt;&lt;D xsi:type="xsd:double"&gt;15.0052215600377&lt;/D&gt;&lt;D xsi:type="xsd:double"&gt;14.9546190854403&lt;/D&gt;&lt;D xsi:type="xsd:double"&gt;14.9225134133883&lt;/D&gt;&lt;D xsi:type="xsd:double"&gt;14.8415014924809&lt;/D&gt;&lt;D xsi:type="xsd:double"&gt;14.5588854078196&lt;/D&gt;&lt;D xsi:type="xsd:double"&gt;14.3844621450596&lt;/D&gt;&lt;D xsi:type="xsd:double"&gt;14.1350471384664&lt;/D&gt;&lt;D xsi:type="xsd:double"&gt;14.7434266607106&lt;/D&gt;&lt;D xsi:type="xsd:double"&gt;15.4846925731171&lt;/D&gt;&lt;D xsi:type="xsd:double"&gt;15.380714612053&lt;/D&gt;&lt;D xsi:type="xsd:double"&gt;15.5347598394883&lt;/D&gt;&lt;D xsi:type="xsd:double"&gt;14.7787830038189&lt;/D&gt;&lt;D xsi:type="xsd:double"&gt;14.1641193569388&lt;/D&gt;&lt;D xsi:type="xsd:double"&gt;14.0466151081835&lt;/D&gt;&lt;D xsi:type="xsd:double"&gt;14.2092224463604&lt;/D&gt;&lt;D xsi:type="xsd:double"&gt;14.107956356755&lt;/D&gt;&lt;D xsi:type="xsd:double"&gt;13.9157714629475&lt;/D&gt;&lt;D xsi:type="xsd:double"&gt;14.1001856742959&lt;/D&gt;&lt;D xsi:type="xsd:double"&gt;13.9060439563188&lt;/D&gt;&lt;D xsi:type="xsd:double"&gt;13.8898834325162&lt;/D&gt;&lt;D xsi:type="xsd:double"&gt;13.1625388688089&lt;/D&gt;&lt;D xsi:type="xsd:double"&gt;12.9514167121362&lt;/D&gt;&lt;D xsi:type="xsd:double"&gt;12.2768786939817&lt;/D&gt;&lt;D xsi:type="xsd:double"&gt;12.8443176067473&lt;/D&gt;&lt;D xsi:type="xsd:double"&gt;13.2311540599575&lt;/D&gt;&lt;D xsi:type="xsd:double"&gt;13.2761737802864&lt;/D&gt;&lt;D xsi:type="xsd:double"&gt;13.427236034518&lt;/D&gt;&lt;D xsi:type="xsd:double"&gt;13.1871173560361&lt;/D&gt;&lt;D xsi:type="xsd:double"&gt;13.5682138672204&lt;/D&gt;&lt;D xsi:type="xsd:double"&gt;13.4258317322727&lt;/D&gt;&lt;D xsi:type="xsd:double"&gt;13.639682675254&lt;/D&gt;&lt;D xsi:type="xsd:double"&gt;13.8112607171591&lt;/D&gt;&lt;D xsi:type="xsd:double"&gt;14.9957795340311&lt;/D&gt;&lt;D xsi:type="xsd:double"&gt;15.1701462453498&lt;/D&gt;&lt;D xsi:type="xsd:double"&gt;15.4651787096354&lt;/D&gt;&lt;D xsi:type="xsd:double"&gt;15.3264041990838&lt;/D&gt;&lt;D xsi:type="xsd:double"&gt;14.0643708168197&lt;/D&gt;&lt;D xsi:type="xsd:double"&gt;13.8058123764859&lt;/D&gt;&lt;D xsi:type="xsd:double"&gt;14.8896869073947&lt;/D&gt;&lt;D xsi:type="xsd:double"&gt;16.9735183280288&lt;/D&gt;&lt;D xsi:type="xsd:double"&gt;17.9694938279274&lt;/D&gt;&lt;D xsi:type="xsd:double"&gt;18.8977148289078&lt;/D&gt;&lt;D xsi:type="xsd:double"&gt;19.8788908704134&lt;/D&gt;&lt;D xsi:type="xsd:double"&gt;20.332643214517&lt;/D&gt;&lt;D xsi:type="xsd:double"&gt;19.4196131907557&lt;/D&gt;&lt;D xsi:type="xsd:double"&gt;20.9037215886831&lt;/D&gt;&lt;D xsi:type="xsd:double"&gt;22.0574672671701&lt;/D&gt;&lt;D xsi:type="xsd:double"&gt;21.5115225621764&lt;/D&gt;&lt;D xsi:type="xsd:double"&gt;20.2511777517591&lt;/D&gt;&lt;D xsi:type="xsd:double"&gt;20.0777812245172&lt;/D&gt;&lt;D xsi:type="xsd:double"&gt;19.1916274922274&lt;/D&gt;&lt;D xsi:type="xsd:double"&gt;18.8450824567692&lt;/D&gt;&lt;D xsi:type="xsd:double"&gt;18.3270679384091&lt;/D&gt;&lt;D xsi:type="xsd:double"&gt;17.5127282866019&lt;/D&gt;&lt;D xsi:type="xsd:double"&gt;16.8385122702839&lt;/D&gt;&lt;D xsi:type="xsd:double"&gt;15.6985740723827&lt;/D&gt;&lt;D xsi:type="xsd:double"&gt;15.7226497506559&lt;/D&gt;&lt;D xsi:type="xsd:double"&gt;14.0789510487142&lt;/D&gt;&lt;D xsi:type="xsd:double"&gt;14.3631212304081&lt;/D&gt;&lt;D xsi:type="xsd:double"&gt;13.2834752552484&lt;/D&gt;&lt;D xsi:type="xsd:double"&gt;12.3151823487368&lt;/D&gt;&lt;D xsi:type="xsd:double"&gt;12.4656035369232&lt;/D&gt;&lt;D xsi:type="xsd:double"&gt;12.1852535335843&lt;/D&gt;&lt;D xsi:type="xsd:double"&gt;12.1395736694844&lt;/D&gt;&lt;D xsi:type="xsd:double"&gt;11.3778626798294&lt;/D&gt;&lt;D xsi:type="xsd:double"&gt;11.5256193945889&lt;/D&gt;&lt;D xsi:type="xsd:double"&gt;10.7948767853942&lt;/D&gt;&lt;D xsi:type="xsd:double"&gt;10.4084659110535&lt;/D&gt;&lt;D xsi:type="xsd:double"&gt;10.5726579554231&lt;/D&gt;&lt;D xsi:type="xsd:double"&gt;11.0712193373567&lt;/D&gt;&lt;D xsi:type="xsd:double"&gt;10.9082701398918&lt;/D&gt;&lt;D xsi:type="xsd:double"&gt;11.759315906175&lt;/D&gt;&lt;D xsi:type="xsd:double"&gt;11.3760445136602&lt;/D&gt;&lt;D xsi:type="xsd:double"&gt;11.3793677064243&lt;/D&gt;&lt;D xsi:type="xsd:double"&gt;11.3485968599654&lt;/D&gt;&lt;D xsi:type="xsd:double"&gt;11.2754704877331&lt;/D&gt;&lt;D xsi:type="xsd:double"&gt;11.273303724595&lt;/D&gt;&lt;D xsi:type="xsd:double"&gt;11.2131397350068&lt;/D&gt;&lt;D xsi:type="xsd:double"&gt;11.2536888534903&lt;/D&gt;&lt;D xsi:type="xsd:double"&gt;10.8990254830743&lt;/D&gt;&lt;D xsi:type="xsd:double"&gt;10.9117388915196&lt;/D&gt;&lt;D xsi:type="xsd:double"&gt;11.7001414582429&lt;/D&gt;&lt;D xsi:type="xsd:double"&gt;11.8457155388963&lt;/D&gt;&lt;D xsi:type="xsd:double"&gt;12.0554418597325&lt;/D&gt;&lt;D xsi:type="xsd:double"&gt;12.5233385398671&lt;/D&gt;&lt;/FQL&gt;&lt;FQL&gt;&lt;Q&gt;WL-FDS^FG_PRICE_CHANGE(0,-6AM)&lt;/Q&gt;&lt;R&gt;1&lt;/R&gt;&lt;C&gt;1&lt;/C&gt;&lt;D xsi:type="xsd:double"&gt;-18.543956043956&lt;/D&gt;&lt;/FQL&gt;&lt;FQL&gt;&lt;Q&gt;NI-FDS^FG_PRICE_CHANGE(0,-6AM)&lt;/Q&gt;&lt;R&gt;1&lt;/R&gt;&lt;C&gt;1&lt;/C&gt;&lt;D xsi:type="xsd:double"&gt;-14.1636141636142&lt;/D&gt;&lt;/FQL&gt;&lt;FQL&gt;&lt;Q&gt;CPALM-FDS^FG_PRICE_CHANGE(0,-6AM)&lt;/Q&gt;&lt;R&gt;1&lt;/R&gt;&lt;C&gt;1&lt;/C&gt;&lt;D xsi:type="xsd:double"&gt;2.73657289002558&lt;/D&gt;&lt;/FQL&gt;&lt;FQL&gt;&lt;Q&gt;BRENT-FDS^FG_PRICE_CHANGE(0,-6AM)&lt;/Q&gt;&lt;R&gt;1&lt;/R&gt;&lt;C&gt;1&lt;/C&gt;&lt;D xsi:type="xsd:double"&gt;-4.75873544093178&lt;/D&gt;&lt;/FQL&gt;&lt;FQL&gt;&lt;Q&gt;TIOS-FDS^FG_PRICE_CHANGE(0,-6AM)&lt;/Q&gt;&lt;R&gt;1&lt;/R&gt;&lt;C&gt;1&lt;/C&gt;&lt;D xsi:type="xsd:double"&gt;-1.0576190879093&lt;/D&gt;&lt;/FQL&gt;&lt;FQL&gt;&lt;Q&gt;USDSEK^STD(FG_PRICE_CHANGE(0,-3AY,M))&lt;/Q&gt;&lt;R&gt;1&lt;/R&gt;&lt;C&gt;1&lt;/C&gt;&lt;D xsi:type="xsd:double"&gt;2.97429494344496&lt;/D&gt;&lt;/FQL&gt;&lt;FQL&gt;&lt;Q&gt;USDCHF^STD(FG_PRICE_CHANGE(0,-3AY,M))&lt;/Q&gt;&lt;R&gt;1&lt;/R&gt;&lt;C&gt;1&lt;/C&gt;&lt;D xsi:type="xsd:double"&gt;2.55066207178098&lt;/D&gt;&lt;/FQL&gt;&lt;FQL&gt;&lt;Q&gt;USDUSD^STD(FG_PRICE_CHANGE(0,-3AY,M))&lt;/Q&gt;&lt;R&gt;1&lt;/R&gt;&lt;C&gt;1&lt;/C&gt;&lt;D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xsi:type="xsd:double"&gt;2.27878581990319&lt;/D&gt;&lt;/FQL&gt;&lt;FQL&gt;&lt;Q&gt;USDAUD^STD(FG_PRICE_CHANGE(0,-3AY,M))&lt;/Q&gt;&lt;R&gt;1&lt;/R&gt;&lt;C&gt;1&lt;/C&gt;&lt;D xsi:type="xsd:double"&gt;3.07648357729992&lt;/D&gt;&lt;/FQL&gt;&lt;FQL&gt;&lt;Q&gt;EWI^FMA_EPS(NTMA,-20AY,0,CY,,"PORTAGG","MEANR")&lt;/Q&gt;&lt;R&gt;20&lt;/R&gt;&lt;C&gt;1&lt;/C&gt;&lt;D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xsi:type="xsd:double"&gt;3.81180346997282&lt;/D&gt;&lt;/FQL&gt;&lt;FQL&gt;&lt;Q&gt;EWN^P_PRICE_RETURNS_PR('52W',2,-10AY,0,AM)&lt;/Q&gt;&lt;R&gt;121&lt;/R&gt;&lt;C&gt;1&lt;/C&gt;&lt;D xsi:type="xsd:double"&gt;28.943825&lt;/D&gt;&lt;D xsi:type="xsd:double"&gt;27.92437&lt;/D&gt;&lt;D xsi:type="xsd:double"&gt;22.22736&lt;/D&gt;&lt;D xsi:type="xsd:double"&gt;20.678986&lt;/D&gt;&lt;D xsi:type="xsd:double"&gt;26.24979&lt;/D&gt;&lt;D xsi:type="xsd:double"&gt;4.994118&lt;/D&gt;&lt;D xsi:type="xsd:double"&gt;10.203528&lt;/D&gt;&lt;D xsi:type="xsd:double"&gt;0.2631545&lt;/D&gt;&lt;D xsi:type="xsd:double"&gt;-3.7041426&lt;/D&gt;&lt;D xsi:type="xsd:double"&gt;2.476406&lt;/D&gt;&lt;D xsi:type="xsd:double"&gt;-4.6979666&lt;/D&gt;&lt;D xsi:type="xsd:double"&gt;1.342392&lt;/D&gt;&lt;D xsi:type="xsd:double"&gt;1.7083287&lt;/D&gt;&lt;D xsi:type="xsd:double"&gt;0.709188&lt;/D&gt;&lt;D xsi:type="xsd:double"&gt;5.064702&lt;/D&gt;&lt;D xsi:type="xsd:double"&gt;4.9874544&lt;/D&gt;&lt;D xsi:type="xsd:double"&gt;1.3664007&lt;/D&gt;&lt;D xsi:type="xsd:double"&gt;13.177835&lt;/D&gt;&lt;D xsi:type="xsd:double"&gt;-2.459693&lt;/D&gt;&lt;D xsi:type="xsd:double"&gt;2.34313&lt;/D&gt;&lt;D xsi:type="xsd:double"&gt;7.941985&lt;/D&gt;&lt;D xsi:type="xsd:double"&gt;0.4601121&lt;/D&gt;&lt;D xsi:type="xsd:double"&gt;0.30311346&lt;/D&gt;&lt;D xsi:type="xsd:double"&gt;-1.3784349&lt;/D&gt;&lt;D xsi:type="xsd:double"&gt;-5.7332096&lt;/D&gt;&lt;D xsi:type="xsd:double"&gt;-3.7789881&lt;/D&gt;&lt;D xsi:type="xsd:double"&gt;-5.7922306&lt;/D&gt;&lt;D xsi:type="xsd:double"&gt;-4.4510484&lt;/D&gt;&lt;D xsi:type="xsd:double"&gt;-9.170872&lt;/D&gt;&lt;D xsi:type="xsd:double"&gt;-8.593673&lt;/D&gt;&lt;D xsi:type="xsd:double"&gt;7.4507833&lt;/D&gt;&lt;D xsi:type="xsd:double"&gt;8.003056&lt;/D&gt;&lt;D xsi:type="xsd:double"&gt;-2.4919987&lt;/D&gt;&lt;D xsi:type="xsd:double"&gt;-3.5498977&lt;/D&gt;&lt;D xsi:type="xsd:double"&gt;6.565237&lt;/D&gt;&lt;D xsi:type="xsd:double"&gt;11.445177&lt;/D&gt;&lt;D xsi:type="xsd:double"&gt;13.771713&lt;/D&gt;&lt;D xsi:type="xsd:double"&gt;12.445175&lt;/D&gt;&lt;D xsi:type="xsd:double"&gt;22.146046&lt;/D&gt;&lt;D xsi:type="xsd:double"&gt;22.377777&lt;/D&gt;&lt;D xsi:type="xsd:double"&gt;28.12965&lt;/D&gt;&lt;D xsi:type="xsd:double"&gt;33.207703&lt;/D&gt;&lt;D xsi:type="xsd:double"&gt;25.774944&lt;/D&gt;&lt;D xsi:type="xsd:double"&gt;28.285385&lt;/D&gt;&lt;D xsi:type="xsd:double"&gt;34.78948&lt;/D&gt;&lt;D xsi:type="xsd:double"&gt;38.68369&lt;/D&gt;&lt;D xsi:type="xsd:double"&gt;35.28533&lt;/D&gt;&lt;D xsi:type="xsd:double"&gt;34.76502&lt;/D&gt;&lt;D xsi:type="xsd:double"&gt;25.550604&lt;/D&gt;&lt;D xsi:type="xsd:double"&gt;21.0191&lt;/D&gt;&lt;D xsi:type="xsd:double"&gt;12.538612&lt;/D&gt;&lt;D xsi:type="xsd:double"&gt;8.478653&lt;/D&gt;&lt;D xsi:type="xsd:double"&gt;7.474327&lt;/D&gt;&lt;D xsi:type="xsd:double"&gt;4.682076&lt;/D&gt;&lt;D xsi:type="xsd:double"&gt;2.5012612&lt;/D&gt;&lt;D xsi:type="xsd:double"&gt;-3.7817001&lt;/D&gt;&lt;D xsi:type="xsd:double"&gt;-7.9382124&lt;/D&gt;&lt;D xsi:type="xsd:double"&gt;-8.364355&lt;/D&gt;&lt;D xsi:type="xsd:double"&gt;-16.335875&lt;/D&gt;&lt;D xsi:type="xsd:double"&gt;-11.503821&lt;/D&gt;&lt;D xsi:type="xsd:double"&gt;-4.0544987&lt;/D&gt;&lt;D xsi:type="xsd:double"&gt;-1.8586397&lt;/D&gt;&lt;D xsi:type="xsd:double"&gt;1.6332984&lt;/D&gt;&lt;D xsi:type="xsd:double"&gt;-3.2098114&lt;/D&gt;&lt;D xsi:type="xsd:double"&gt;6.2765837&lt;/D&gt;&lt;D xsi:type="xsd:double"&gt;-0.85271&lt;/D&gt;&lt;D xsi:type="xsd:double"&gt;3.623569&lt;/D&gt;&lt;D xsi:type="xsd:double"&gt;7.9298854&lt;/D&gt;&lt;D xsi:type="xsd:double"&gt;16.453648&lt;/D&gt;&lt;D xsi:type="xsd:double"&gt;19.36847&lt;/D&gt;&lt;D xsi:type="xsd:double"&gt;34.875416&lt;/D&gt;&lt;D xsi:type="xsd:double"&gt;21.054459&lt;/D&gt;&lt;D xsi:type="xsd:double"&gt;11.23023&lt;/D&gt;&lt;D xsi:type="xsd:double"&gt;-16.571337&lt;/D&gt;&lt;D xsi:type="xsd:double"&gt;-9.424866&lt;/D&gt;&lt;D xsi:type="xsd:double"&gt;11.338878&lt;/D&gt;&lt;D xsi:type="xsd:double"&gt;7.836938&lt;/D&gt;&lt;D xsi:type="xsd:double"&gt;15.501261&lt;/D&gt;&lt;D xsi:type="xsd:double"&gt;13.734388&lt;/D&gt;&lt;D xsi:type="xsd:double"&gt;17.484247&lt;/D&gt;&lt;D xsi:type="xsd:double"&gt;12.067628&lt;/D&gt;&lt;D xsi:type="xsd:double"&gt;25.414694&lt;/D&gt;&lt;D xsi:type="xsd:double"&gt;25.318527&lt;/D&gt;&lt;D xsi:type="xsd:double"&gt;30.932283&lt;/D&gt;&lt;D xsi:type="xsd:double"&gt;35.00221&lt;/D&gt;&lt;D xsi:type="xsd:double"&gt;92.31813&lt;/D&gt;&lt;D xsi:type="xsd:double"&gt;71.63815&lt;/D&gt;&lt;D xsi:type="xsd:double"&gt;54.43909&lt;/D&gt;&lt;D xsi:type="xsd:double"&gt;47.33356&lt;/D&gt;&lt;D xsi:type="xsd:double"&gt;46.559216&lt;/D&gt;&lt;D xsi:type="xsd:double"&gt;54.730392&lt;/D&gt;&lt;D xsi:type="xsd:double"&gt;39.01297&lt;/D&gt;&lt;D xsi:type="xsd:double"&gt;49.615776&lt;/D&gt;&lt;D xsi:type="xsd:double"&gt;21.602844&lt;/D&gt;&lt;D xsi:type="xsd:double"&gt;20.868946&lt;/D&gt;&lt;D xsi:type="xsd:double"&gt;6.8714023&lt;/D&gt;&lt;D xsi:type="xsd:double"&gt;-9.078466&lt;/D&gt;&lt;D xsi:type="xsd:double"&gt;-7.963973&lt;/D&gt;&lt;D xsi:type="xsd:double"&gt;-15.642333&lt;/D&gt;&lt;D xsi:type="xsd:double"&gt;-20.368444&lt;/D&gt;&lt;D xsi:type="xsd:double"&gt;-26.87679&lt;/D&gt;&lt;D xsi:type="xsd:double"&gt;-23.07158&lt;/D&gt;&lt;D xsi:type="xsd:double"&gt;-37.342323&lt;/D&gt;&lt;D xsi:type="xsd:double"&gt;-30.761444&lt;/D&gt;&lt;D xsi:type="xsd:double"&gt;-36.28589&lt;/D&gt;&lt;D xsi:type="xsd:double"&gt;-18.317812&lt;/D&gt;&lt;D xsi:type="xsd:double"&gt;-20.856768&lt;/D&gt;&lt;D xsi:type="xsd:double"&gt;-4.7567725&lt;/D&gt;&lt;D xsi:type="xsd:double"&gt;4.335642&lt;/D&gt;&lt;D xsi:type="xsd:double"&gt;0.23733377&lt;/D&gt;&lt;D xsi:type="xsd:double"&gt;7.254553&lt;/D&gt;&lt;D xsi:type="xsd:double"&gt;9.672952&lt;/D&gt;&lt;D xsi:type="xsd:double"&gt;27.024292&lt;/D&gt;&lt;D xsi:type="xsd:double"&gt;15.261555&lt;/D&gt;&lt;D xsi:type="xsd:double"&gt;25.123346&lt;/D&gt;&lt;D xsi:type="xsd:double"&gt;15.157234&lt;/D&gt;&lt;D xsi:type="xsd:double"&gt;27.185404&lt;/D&gt;&lt;D xsi:type="xsd:double"&gt;9.235466&lt;/D&gt;&lt;D xsi:type="xsd:double"&gt;12.152613&lt;/D&gt;&lt;D xsi:type="xsd:double"&gt;7.292402&lt;/D&gt;&lt;D xsi:type="xsd:double"&gt;18.12414&lt;/D&gt;&lt;/FQL&gt;&lt;FQL&gt;&lt;Q&gt;SPY^FG_TOTAL_RETURNC(-10AY,0,AM)&lt;/Q&gt;&lt;R&gt;121&lt;/R&gt;&lt;C&gt;1&lt;/C&gt;&lt;D xsi:type="xsd:double"&gt;6.953275&lt;/D&gt;&lt;D xsi:type="xsd:double"&gt;-0.18899441&lt;/D&gt;&lt;D xsi:type="xsd:double"&gt;0.8905649&lt;/D&gt;&lt;D xsi:type="xsd:double"&gt;2.7278543&lt;/D&gt;&lt;D xsi:type="xsd:double"&gt;3.0837417&lt;/D&gt;&lt;D xsi:type="xsd:double"&gt;-2.1745682&lt;/D&gt;&lt;D xsi:type="xsd:double"&gt;3.259635&lt;/D&gt;&lt;D xsi:type="xsd:double"&gt;-1.3837814&lt;/D&gt;&lt;D xsi:type="xsd:double"&gt;2.3152828&lt;/D&gt;&lt;D xsi:type="xsd:double"&gt;3.2774687&lt;/D&gt;&lt;D xsi:type="xsd:double"&gt;-0.53023696&lt;/D&gt;&lt;D xsi:type="xsd:double"&gt;-0.6668925&lt;/D&gt;&lt;D xsi:type="xsd:double"&gt;3.023672&lt;/D&gt;&lt;D xsi:type="xsd:double"&gt;-1.3708234&lt;/D&gt;&lt;D xsi:type="xsd:double"&gt;2.366364&lt;/D&gt;&lt;D xsi:type="xsd:double"&gt;-0.5635083&lt;/D&gt;&lt;D xsi:type="xsd:double"&gt;-0.8595884&lt;/D&gt;&lt;D xsi:type="xsd:double"&gt;0.99850893&lt;/D&gt;&lt;D xsi:type="xsd:double"&gt;-8.018917&lt;/D&gt;&lt;D xsi:type="xsd:double"&gt;1.7867327&lt;/D&gt;&lt;D xsi:type="xsd:double"&gt;7.8769207&lt;/D&gt;&lt;D xsi:type="xsd:double"&gt;-0.35178065&lt;/D&gt;&lt;D xsi:type="xsd:double"&gt;-3.5221934&lt;/D&gt;&lt;D xsi:type="xsd:double"&gt;-4.6857176&lt;/D&gt;&lt;D xsi:type="xsd:double"&gt;4.6085477&lt;/D&gt;&lt;D xsi:type="xsd:double"&gt;3.4322262&lt;/D&gt;&lt;D xsi:type="xsd:double"&gt;-0.6012142&lt;/D&gt;&lt;D xsi:type="xsd:double"&gt;2.5706053&lt;/D&gt;&lt;D xsi:type="xsd:double"&gt;0.35048723&lt;/D&gt;&lt;D xsi:type="xsd:double"&gt;3.0911088&lt;/D&gt;&lt;D xsi:type="xsd:double"&gt;0.9058237&lt;/D&gt;&lt;D xsi:type="xsd:double"&gt;-1.1912405&lt;/D&gt;&lt;D xsi:type="xsd:double"&gt;-2.8554082&lt;/D&gt;&lt;D xsi:type="xsd:double"&gt;5.336845&lt;/D&gt;&lt;D xsi:type="xsd:double"&gt;3.7500143&lt;/D&gt;&lt;D xsi:type="xsd:double"&gt;1.2181163&lt;/D&gt;&lt;D xsi:type="xsd:double"&gt;3.9591908&lt;/D&gt;&lt;D xsi:type="xsd:double"&gt;-0.80263615&lt;/D&gt;&lt;D xsi:type="xsd:double"&gt;1.392901&lt;/D&gt;&lt;D xsi:type="xsd:double"&gt;2.2658706&lt;/D&gt;&lt;D xsi:type="xsd:double"&gt;-0.31903386&lt;/D&gt;&lt;D xsi:type="xsd:double"&gt;2.1468997&lt;/D&gt;&lt;D xsi:type="xsd:double"&gt;0.17379522&lt;/D&gt;&lt;D xsi:type="xsd:double"&gt;2.6526093&lt;/D&gt;&lt;D xsi:type="xsd:double"&gt;2.0895958&lt;/D&gt;&lt;D xsi:type="xsd:double"&gt;2.201593&lt;/D&gt;&lt;D xsi:type="xsd:double"&gt;3.3494234&lt;/D&gt;&lt;D xsi:type="xsd:double"&gt;1.4137983&lt;/D&gt;&lt;D xsi:type="xsd:double"&gt;-2.3125887&lt;/D&gt;&lt;D xsi:type="xsd:double"&gt;-1.6596377&lt;/D&gt;&lt;D xsi:type="xsd:double"&gt;0.933373&lt;/D&gt;&lt;D xsi:type="xsd:double"&gt;3.3380985&lt;/D&gt;&lt;D xsi:type="xsd:double"&gt;-1.0121644&lt;/D&gt;&lt;D xsi:type="xsd:double"&gt;4.688084&lt;/D&gt;&lt;D xsi:type="xsd:double"&gt;2.1896958&lt;/D&gt;&lt;D xsi:type="xsd:double"&gt;0.32471418&lt;/D&gt;&lt;D xsi:type="xsd:double"&gt;-6.0634317&lt;/D&gt;&lt;D xsi:type="xsd:double"&gt;-0.60319304&lt;/D&gt;&lt;D xsi:type="xsd:double"&gt;-6.051755&lt;/D&gt;&lt;D xsi:type="xsd:double"&gt;7.753873&lt;/D&gt;&lt;D xsi:type="xsd:double"&gt;2.7356982&lt;/D&gt;&lt;D xsi:type="xsd:double"&gt;3.2350898&lt;/D&gt;&lt;D xsi:type="xsd:double"&gt;2.3852706&lt;/D&gt;&lt;D xsi:type="xsd:double"&gt;-4.5913696&lt;/D&gt;&lt;D xsi:type="xsd:double"&gt;7.0313454&lt;/D&gt;&lt;D xsi:type="xsd:double"&gt;-2.0682693&lt;/D&gt;&lt;D xsi:type="xsd:double"&gt;0.48527718&lt;/D&gt;&lt;D xsi:type="xsd:double"&gt;0.56978464&lt;/D&gt;&lt;D xsi:type="xsd:double"&gt;4.4232965&lt;/D&gt;&lt;D xsi:type="xsd:double"&gt;1.3306379&lt;/D&gt;&lt;D xsi:type="xsd:double"&gt;4.0224195&lt;/D&gt;&lt;D xsi:type="xsd:double"&gt;2.062595&lt;/D&gt;&lt;D xsi:type="xsd:double"&gt;-4.923117&lt;/D&gt;&lt;D xsi:type="xsd:double"&gt;-20.183247&lt;/D&gt;&lt;D xsi:type="xsd:double"&gt;14.255214&lt;/D&gt;&lt;D xsi:type="xsd:double"&gt;9.800041&lt;/D&gt;&lt;D xsi:type="xsd:double"&gt;0.7233262&lt;/D&gt;&lt;D xsi:type="xsd:double"&gt;5.7105303&lt;/D&gt;&lt;D xsi:type="xsd:double"&gt;3.7902236&lt;/D&gt;&lt;D xsi:type="xsd:double"&gt;-2.1536767&lt;/D&gt;&lt;D xsi:type="xsd:double"&gt;2.9055834&lt;/D&gt;&lt;D xsi:type="xsd:double"&gt;7.6584935&lt;/D&gt;&lt;D xsi:type="xsd:double"&gt;0.14014244&lt;/D&gt;&lt;D xsi:type="xsd:double"&gt;4.718125&lt;/D&gt;&lt;D xsi:type="xsd:double"&gt;-2.4573386&lt;/D&gt;&lt;D xsi:type="xsd:double"&gt;6.696129&lt;/D&gt;&lt;D xsi:type="xsd:double"&gt;3.7467837&lt;/D&gt;&lt;D xsi:type="xsd:double"&gt;1.6794205&lt;/D&gt;&lt;D xsi:type="xsd:double"&gt;2.9716492&lt;/D&gt;&lt;D xsi:type="xsd:double"&gt;1.2127638&lt;/D&gt;&lt;D xsi:type="xsd:double"&gt;3.211987&lt;/D&gt;&lt;D xsi:type="xsd:double"&gt;-5.088091&lt;/D&gt;&lt;D xsi:type="xsd:double"&gt;8.92824&lt;/D&gt;&lt;D xsi:type="xsd:double"&gt;-2.889204&lt;/D&gt;&lt;D xsi:type="xsd:double"&gt;5.696547&lt;/D&gt;&lt;D xsi:type="xsd:double"&gt;-6.0412464&lt;/D&gt;&lt;D xsi:type="xsd:double"&gt;-3.6839783&lt;/D&gt;&lt;D xsi:type="xsd:double"&gt;6.0239553&lt;/D&gt;&lt;D xsi:type="xsd:double"&gt;-6.072676&lt;/D&gt;&lt;D xsi:type="xsd:double"&gt;-4.316407&lt;/D&gt;&lt;D xsi:type="xsd:double"&gt;-6.736702&lt;/D&gt;&lt;D xsi:type="xsd:double"&gt;8.637608&lt;/D&gt;&lt;D xsi:type="xsd:double"&gt;-5.294931&lt;/D&gt;&lt;D xsi:type="xsd:double"&gt;-3.2390893&lt;/D&gt;&lt;D xsi:type="xsd:double"&gt;-0.42860508&lt;/D&gt;&lt;D xsi:type="xsd:double"&gt;8.120096&lt;/D&gt;&lt;D xsi:type="xsd:double"&gt;-5.250871&lt;/D&gt;&lt;D xsi:type="xsd:double"&gt;7.4499726&lt;/D&gt;&lt;D xsi:type="xsd:double"&gt;-1.978904&lt;/D&gt;&lt;D xsi:type="xsd:double"&gt;1.4988899&lt;/D&gt;&lt;D xsi:type="xsd:double"&gt;-0.86622834&lt;/D&gt;&lt;D xsi:type="xsd:double"&gt;5.6253552&lt;/D&gt;&lt;D xsi:type="xsd:double"&gt;4.09528&lt;/D&gt;&lt;D xsi:type="xsd:double"&gt;0.6804943&lt;/D&gt;&lt;D xsi:type="xsd:double"&gt;0.98028183&lt;/D&gt;&lt;D xsi:type="xsd:double"&gt;-5.5439234&lt;/D&gt;&lt;D xsi:type="xsd:double"&gt;2.3618937&lt;/D&gt;&lt;D xsi:type="xsd:double"&gt;5.061078&lt;/D&gt;&lt;D xsi:type="xsd:double"&gt;2.7344108&lt;/D&gt;&lt;D xsi:type="xsd:double"&gt;5.7931066&lt;/D&gt;&lt;D xsi:type="xsd:double"&gt;3.6310315&lt;/D&gt;&lt;/FQL&gt;&lt;FQL&gt;&lt;Q&gt;EWU^FMA_DIV_YLD(NTMA,-10AY,0,AM,"PORTAGG","MEANR")&lt;/Q&gt;&lt;R&gt;121&lt;/R&gt;&lt;C&gt;1&lt;/C&gt;&lt;D xsi:type="xsd:double"&gt;3.82148258982574&lt;/D&gt;&lt;D xsi:type="xsd:double"&gt;3.90077181712625&lt;/D&gt;&lt;D xsi:type="xsd:double"&gt;3.819658860763&lt;/D&gt;&lt;D xsi:type="xsd:double"&gt;3.85749807500437&lt;/D&gt;&lt;D xsi:type="xsd:double"&gt;3.80061627739297&lt;/D&gt;&lt;D xsi:type="xsd:double"&gt;3.94260197358662&lt;/D&gt;&lt;D xsi:type="xsd:double"&gt;3.86572502422569&lt;/D&gt;&lt;D xsi:type="xsd:double"&gt;4.13435088218619&lt;/D&gt;&lt;D xsi:type="xsd:double"&gt;4.15355496762398&lt;/D&gt;&lt;D xsi:type="xsd:double"&gt;4.05245671817782&lt;/D&gt;&lt;D xsi:type="xsd:double"&gt;4.17006326625388&lt;/D&gt;&lt;D xsi:type="xsd:double"&gt;3.99893939948763&lt;/D&gt;&lt;D xsi:type="xsd:double"&gt;3.90998484833266&lt;/D&gt;&lt;D xsi:type="xsd:double"&gt;4.0204209325582&lt;/D&gt;&lt;D xsi:type="xsd:double"&gt;3.92039493495095&lt;/D&gt;&lt;D xsi:type="xsd:double"&gt;3.98969611277483&lt;/D&gt;&lt;D xsi:type="xsd:double"&gt;4.14420467296905&lt;/D&gt;&lt;D xsi:type="xsd:double"&gt;4.10175004844712&lt;/D&gt;&lt;D xsi:type="xsd:double"&gt;4.57520747761562&lt;/D&gt;&lt;D xsi:type="xsd:double"&gt;4.42968318466133&lt;/D&gt;&lt;D xsi:type="xsd:double"&gt;4.18908634474801&lt;/D&gt;&lt;D xsi:type="xsd:double"&gt;4.28635507854789&lt;/D&gt;&lt;D xsi:type="xsd:double"&gt;4.41464729620799&lt;/D&gt;&lt;D xsi:type="xsd:double"&gt;4.52779959067797&lt;/D&gt;&lt;D xsi:type="xsd:double"&gt;4.3451297176959&lt;/D&gt;&lt;D xsi:type="xsd:double"&gt;4.36717341094044&lt;/D&gt;&lt;D xsi:type="xsd:double"&gt;4.38409084760517&lt;/D&gt;&lt;D xsi:type="xsd:double"&gt;4.29394929485512&lt;/D&gt;&lt;D xsi:type="xsd:double"&gt;4.18327853364226&lt;/D&gt;&lt;D xsi:type="xsd:double"&gt;4.13391166742302&lt;/D&gt;&lt;D xsi:type="xsd:double"&gt;4.0356491162387&lt;/D&gt;&lt;D xsi:type="xsd:double"&gt;4.09277718252304&lt;/D&gt;&lt;D xsi:type="xsd:double"&gt;4.47265640204697&lt;/D&gt;&lt;D xsi:type="xsd:double"&gt;4.43792867253151&lt;/D&gt;&lt;D xsi:type="xsd:double"&gt;4.25376568923103&lt;/D&gt;&lt;D xsi:type="xsd:double"&gt;4.29250413560299&lt;/D&gt;&lt;D xsi:type="xsd:double"&gt;4.28452968118164&lt;/D&gt;&lt;D xsi:type="xsd:double"&gt;4.34618311197861&lt;/D&gt;&lt;D xsi:type="xsd:double"&gt;4.3640763639265&lt;/D&gt;&lt;D xsi:type="xsd:double"&gt;4.22036612470311&lt;/D&gt;&lt;D xsi:type="xsd:double"&gt;4.32356898553152&lt;/D&gt;&lt;D xsi:type="xsd:double"&gt;4.22797446184224&lt;/D&gt;&lt;D xsi:type="xsd:double"&gt;4.31442701168876&lt;/D&gt;&lt;D xsi:type="xsd:double"&gt;4.27151857857211&lt;/D&gt;&lt;D xsi:type="xsd:double"&gt;4.28615202258082&lt;/D&gt;&lt;D xsi:type="xsd:double"&gt;4.38672582669859&lt;/D&gt;&lt;D xsi:type="xsd:double"&gt;4.1881788415494&lt;/D&gt;&lt;D xsi:type="xsd:double"&gt;4.2797272394745&lt;/D&gt;&lt;D xsi:type="xsd:double"&gt;4.72587456316156&lt;/D&gt;&lt;D xsi:type="xsd:double"&gt;4.57461271827341&lt;/D&gt;&lt;D xsi:type="xsd:double"&gt;4.35461890472312&lt;/D&gt;&lt;D xsi:type="xsd:double"&gt;4.30985817033822&lt;/D&gt;&lt;D xsi:type="xsd:double"&gt;4.43552806190112&lt;/D&gt;&lt;D xsi:type="xsd:double"&gt;4.42349679681116&lt;/D&gt;&lt;D xsi:type="xsd:double"&gt;4.59321053842405&lt;/D&gt;&lt;D xsi:type="xsd:double"&gt;4.57233674344269&lt;/D&gt;&lt;D xsi:type="xsd:double"&gt;4.85250651158737&lt;/D&gt;&lt;D xsi:type="xsd:double"&gt;4.96104958244948&lt;/D&gt;&lt;D xsi:type="xsd:double"&gt;5.25680202750783&lt;/D&gt;&lt;D xsi:type="xsd:double"&gt;5.03469624008848&lt;/D&gt;&lt;D xsi:type="xsd:double"&gt;4.96630991752441&lt;/D&gt;&lt;D xsi:type="xsd:double"&gt;4.82567439292089&lt;/D&gt;&lt;D xsi:type="xsd:double"&gt;4.85246839573992&lt;/D&gt;&lt;D xsi:type="xsd:double"&gt;4.91482807960819&lt;/D&gt;&lt;D xsi:type="xsd:double"&gt;4.69962676327542&lt;/D&gt;&lt;D xsi:type="xsd:double"&gt;4.95575843656519&lt;/D&gt;&lt;D xsi:type="xsd:double"&gt;4.99293477458189&lt;/D&gt;&lt;D xsi:type="xsd:double"&gt;5.05931907495121&lt;/D&gt;&lt;D xsi:type="xsd:double"&gt;4.7724929510349&lt;/D&gt;&lt;D xsi:type="xsd:double"&gt;4.8193758926881&lt;/D&gt;&lt;D xsi:type="xsd:double"&gt;4.55360358543114&lt;/D&gt;&lt;D xsi:type="xsd:double"&gt;4.6823403143571&lt;/D&gt;&lt;D xsi:type="xsd:double"&gt;5.14502978546598&lt;/D&gt;&lt;D xsi:type="xsd:double"&gt;6.38007018563759&lt;/D&gt;&lt;D xsi:type="xsd:double"&gt;4.836052495283&lt;/D&gt;&lt;D xsi:type="xsd:double"&gt;3.95289395542081&lt;/D&gt;&lt;D xsi:type="xsd:double"&gt;4.08392480355766&lt;/D&gt;&lt;D xsi:type="xsd:double"&gt;4.00030602573784&lt;/D&gt;&lt;D xsi:type="xsd:double"&gt;4.18449642725712&lt;/D&gt;&lt;D xsi:type="xsd:double"&gt;4.23416743952931&lt;/D&gt;&lt;D xsi:type="xsd:double"&gt;4.37432164492106&lt;/D&gt;&lt;D xsi:type="xsd:double"&gt;3.84858808246676&lt;/D&gt;&lt;D xsi:type="xsd:double"&gt;3.9001017601378&lt;/D&gt;&lt;D xsi:type="xsd:double"&gt;4.06154833504394&lt;/D&gt;&lt;D xsi:type="xsd:double"&gt;3.96711984776389&lt;/D&gt;&lt;D xsi:type="xsd:double"&gt;4.04903206083814&lt;/D&gt;&lt;D xsi:type="xsd:double"&gt;3.98548356842936&lt;/D&gt;&lt;D xsi:type="xsd:double"&gt;3.88651397325149&lt;/D&gt;&lt;D xsi:type="xsd:double"&gt;3.99409262579473&lt;/D&gt;&lt;D xsi:type="xsd:double"&gt;4.1323998057081&lt;/D&gt;&lt;D xsi:type="xsd:double"&gt;4.16450288818054&lt;/D&gt;&lt;D xsi:type="xsd:double"&gt;4.21209675981142&lt;/D&gt;&lt;D xsi:type="xsd:double"&gt;4.05006875327363&lt;/D&gt;&lt;D xsi:type="xsd:double"&gt;4.10772782546683&lt;/D&gt;&lt;D xsi:type="xsd:double"&gt;3.83605265456243&lt;/D&gt;&lt;D xsi:type="xsd:double"&gt;3.83763462893458&lt;/D&gt;&lt;D xsi:type="xsd:double"&gt;4.18269312612693&lt;/D&gt;&lt;D xsi:type="xsd:double"&gt;3.97153726089232&lt;/D&gt;&lt;D xsi:type="xsd:double"&gt;4.10815404555977&lt;/D&gt;&lt;D xsi:type="xsd:double"&gt;4.06982315491196&lt;/D&gt;&lt;D xsi:type="xsd:double"&gt;4.32321531067159&lt;/D&gt;&lt;D xsi:type="xsd:double"&gt;4.18959639611317&lt;/D&gt;&lt;D xsi:type="xsd:double"&gt;4.43846751558151&lt;/D&gt;&lt;D xsi:type="xsd:double"&gt;4.52851526739591&lt;/D&gt;&lt;D xsi:type="xsd:double"&gt;4.44385866981687&lt;/D&gt;&lt;D xsi:type="xsd:double"&gt;4.21216748233736&lt;/D&gt;&lt;D xsi:type="xsd:double"&gt;4.22842057180156&lt;/D&gt;&lt;D xsi:type="xsd:double"&gt;4.09465231371573&lt;/D&gt;&lt;D xsi:type="xsd:double"&gt;4.12584156741685&lt;/D&gt;&lt;D xsi:type="xsd:double"&gt;4.20269967839824&lt;/D&gt;&lt;D xsi:type="xsd:double"&gt;4.24838601694528&lt;/D&gt;&lt;D xsi:type="xsd:double"&gt;4.35294126696343&lt;/D&gt;&lt;D xsi:type="xsd:double"&gt;4.38194774822776&lt;/D&gt;&lt;D xsi:type="xsd:double"&gt;4.38686255269952&lt;/D&gt;&lt;D xsi:type="xsd:double"&gt;4.47431798630873&lt;/D&gt;&lt;D xsi:type="xsd:double"&gt;4.60593921415223&lt;/D&gt;&lt;D xsi:type="xsd:double"&gt;4.56371042774103&lt;/D&gt;&lt;D xsi:type="xsd:double"&gt;4.42303827012522&lt;/D&gt;&lt;D xsi:type="xsd:double"&gt;4.26815275829855&lt;/D&gt;&lt;D xsi:type="xsd:double"&gt;4.29795264424164&lt;/D&gt;&lt;D xsi:type="xsd:double"&gt;4.08430426912935&lt;/D&gt;&lt;/FQL&gt;&lt;FQL&gt;&lt;Q&gt;EWG^FG_COMPANY_NAME&lt;/Q&gt;&lt;R&gt;1&lt;/R&gt;&lt;C&gt;1&lt;/C&gt;&lt;D xsi:type="xsd:string"&gt;iShares MSCI Germany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xsi:type="xsd:double"&gt;14.732463877154&lt;/D&gt;&lt;/FQL&gt;&lt;FQL&gt;&lt;Q&gt;TRYMX10Y-FDS^FG_YIELD(-10AY,0,Y,,"YTM")&lt;/Q&gt;&lt;R&gt;10&lt;/R&gt;&lt;C&gt;1&lt;/C&gt;&lt;D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xsi:type="xsd:double"&gt;6.6087&lt;/D&gt;&lt;/FQL&gt;&lt;FQL&gt;&lt;Q&gt;EWC^FG_COMPANY_NAME&lt;/Q&gt;&lt;R&gt;1&lt;/R&gt;&lt;C&gt;1&lt;/C&gt;&lt;D xsi:type="xsd:string"&gt;iShares MSCI Canada ETF&lt;/D&gt;&lt;/FQL&gt;&lt;FQL&gt;&lt;Q&gt;EWL^FMA_ROE(NTMA,-20AY,NOW,FY,"PORTAGG","MEANR")&lt;/Q&gt;&lt;R&gt;20&lt;/R&gt;&lt;C&gt;1&lt;/C&gt;&lt;D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xsi:type="xsd:double"&gt;19.2851129323613&lt;/D&gt;&lt;/FQL&gt;&lt;FQL&gt;&lt;Q&gt;TRYIN10Y-FDS^FG_YIELD(-10AY,0,Y,,"YTM")&lt;/Q&gt;&lt;R&gt;10&lt;/R&gt;&lt;C&gt;1&lt;/C&gt;&lt;D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xsi:type="xsd:double"&gt;7.4903&lt;/D&gt;&lt;D xsi:type="xsd:double"&gt;7.35&lt;/D&gt;&lt;D xsi:type="xsd:double"&gt;6.55&lt;/D&gt;&lt;D xsi:type="xsd:double"&gt;5.9&lt;/D&gt;&lt;D xsi:type="xsd:double"&gt;6.4688&lt;/D&gt;&lt;D xsi:type="xsd:double"&gt;7.3388&lt;/D&gt;&lt;D xsi:type="xsd:double"&gt;7.2&lt;/D&gt;&lt;/FQL&gt;&lt;FQL&gt;&lt;Q&gt;TRYGR10Y-FDS^FG_YIELD(-10AY,0,Y,,"YTM")&lt;/Q&gt;&lt;R&gt;10&lt;/R&gt;&lt;C&gt;1&lt;/C&gt;&lt;D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xsi:type="xsd:double"&gt;3.099&lt;/D&gt;&lt;/FQL&gt;&lt;FQL&gt;&lt;Q&gt;CAGDPY@GB^EE_ACTUAL_ANNUAL(MED,+1)&lt;/Q&gt;&lt;R&gt;1&lt;/R&gt;&lt;C&gt;1&lt;/C&gt;&lt;D xsi:type="xsd:double"&gt;-3.15&lt;/D&gt;&lt;/FQL&gt;&lt;FQL&gt;&lt;Q&gt;CC_GB^FG_COMPANY_NAME&lt;/Q&gt;&lt;R&gt;1&lt;/R&gt;&lt;C&gt;1&lt;/C&gt;&lt;D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xsi:type="xsd:double"&gt;2.70633316263621&lt;/D&gt;&lt;/FQL&gt;&lt;FQL&gt;&lt;Q&gt;USDCHF^STD(FG_PRICE_CHANGE(0,-1AY,AM))&lt;/Q&gt;&lt;R&gt;1&lt;/R&gt;&lt;C&gt;1&lt;/C&gt;&lt;D xsi:type="xsd:double"&gt;2.56205710853396&lt;/D&gt;&lt;/FQL&gt;&lt;FQL&gt;&lt;Q&gt;USDUSD^STD(FG_PRICE_CHANGE(0,-1AY,AM))&lt;/Q&gt;&lt;R&gt;1&lt;/R&gt;&lt;C&gt;1&lt;/C&gt;&lt;D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xsi:type="xsd:double"&gt;2.04597175672263&lt;/D&gt;&lt;/FQL&gt;&lt;FQL&gt;&lt;Q&gt;USDAUD^STD(FG_PRICE_CHANGE(0,-1AY,AM))&lt;/Q&gt;&lt;R&gt;1&lt;/R&gt;&lt;C&gt;1&lt;/C&gt;&lt;D xsi:type="xsd:double"&gt;1.97436131947902&lt;/D&gt;&lt;/FQL&gt;&lt;FQL&gt;&lt;Q&gt;EWD^FMA_EPS(NTMA,-20AY,0,CY,,"PORTAGG","MEANR")&lt;/Q&gt;&lt;R&gt;20&lt;/R&gt;&lt;C&gt;1&lt;/C&gt;&lt;D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xsi:type="xsd:double"&gt;2.04500090470961&lt;/D&gt;&lt;D xsi:type="xsd:double"&gt;2.21381527836792&lt;/D&gt;&lt;D xsi:type="xsd:double"&gt;2.4898156587914&lt;/D&gt;&lt;D xsi:type="xsd:double"&gt;2.56419575016557&lt;/D&gt;&lt;D xsi:type="xsd:double"&gt;2.5100925842499&lt;/D&gt;&lt;/FQL&gt;&lt;FQL&gt;&lt;Q&gt;EWQ^P_PRICE_RETURNS_PR('52W',2,-10AY,0,AM)&lt;/Q&gt;&lt;R&gt;121&lt;/R&gt;&lt;C&gt;1&lt;/C&gt;&lt;D xsi:type="xsd:double"&gt;26.487434&lt;/D&gt;&lt;D xsi:type="xsd:double"&gt;29.35574&lt;/D&gt;&lt;D xsi:type="xsd:double"&gt;25.71131&lt;/D&gt;&lt;D xsi:type="xsd:double"&gt;23.059332&lt;/D&gt;&lt;D xsi:type="xsd:double"&gt;29.733551&lt;/D&gt;&lt;D xsi:type="xsd:double"&gt;8.09238&lt;/D&gt;&lt;D xsi:type="xsd:double"&gt;12.995148&lt;/D&gt;&lt;D xsi:type="xsd:double"&gt;-2.1363854&lt;/D&gt;&lt;D xsi:type="xsd:double"&gt;-7.5140533&lt;/D&gt;&lt;D xsi:type="xsd:double"&gt;-1.3891876&lt;/D&gt;&lt;D xsi:type="xsd:double"&gt;-9.054065&lt;/D&gt;&lt;D xsi:type="xsd:double"&gt;-2.0400107&lt;/D&gt;&lt;D xsi:type="xsd:double"&gt;-6.861758&lt;/D&gt;&lt;D xsi:type="xsd:double"&gt;-7.0757685&lt;/D&gt;&lt;D xsi:type="xsd:double"&gt;-5.97564&lt;/D&gt;&lt;D xsi:type="xsd:double"&gt;-6.750351&lt;/D&gt;&lt;D xsi:type="xsd:double"&gt;-9.478974&lt;/D&gt;&lt;D xsi:type="xsd:double"&gt;0.60340166&lt;/D&gt;&lt;D xsi:type="xsd:double"&gt;-10.727442&lt;/D&gt;&lt;D xsi:type="xsd:double"&gt;-2.8776407&lt;/D&gt;&lt;D xsi:type="xsd:double"&gt;5.702877&lt;/D&gt;&lt;D xsi:type="xsd:double"&gt;-1.147747&lt;/D&gt;&lt;D xsi:type="xsd:double"&gt;-0.8524418&lt;/D&gt;&lt;D xsi:type="xsd:double"&gt;-7.479465&lt;/D&gt;&lt;D xsi:type="xsd:double"&gt;-7.8093886&lt;/D&gt;&lt;D xsi:type="xsd:double"&gt;-7.8528643&lt;/D&gt;&lt;D xsi:type="xsd:double"&gt;-9.324545&lt;/D&gt;&lt;D xsi:type="xsd:double"&gt;-8.10424&lt;/D&gt;&lt;D xsi:type="xsd:double"&gt;-9.083867&lt;/D&gt;&lt;D xsi:type="xsd:double"&gt;-9.89393&lt;/D&gt;&lt;D xsi:type="xsd:double"&gt;1.7862082&lt;/D&gt;&lt;D xsi:type="xsd:double"&gt;1.479578&lt;/D&gt;&lt;D xsi:type="xsd:double"&gt;-6.288785&lt;/D&gt;&lt;D xsi:type="xsd:double"&gt;-3.5247684&lt;/D&gt;&lt;D xsi:type="xsd:double"&gt;7.3120832&lt;</t>
        </r>
      </text>
    </comment>
    <comment ref="A6" authorId="0" shapeId="0" xr:uid="{3FBFF7ED-BF28-43FF-B1EF-E1D454726840}">
      <text>
        <r>
          <rPr>
            <b/>
            <sz val="9"/>
            <color indexed="81"/>
            <rFont val="Tahoma"/>
            <family val="2"/>
          </rPr>
          <t>/D&gt;&lt;D xsi:type="xsd:double"&gt;12.883604&lt;/D&gt;&lt;D xsi:type="xsd:double"&gt;12.234127&lt;/D&gt;&lt;D xsi:type="xsd:double"&gt;13.636648&lt;/D&gt;&lt;D xsi:type="xsd:double"&gt;22.73959&lt;/D&gt;&lt;D xsi:type="xsd:double"&gt;24.418545&lt;/D&gt;&lt;D xsi:type="xsd:double"&gt;28.231466&lt;/D&gt;&lt;D xsi:type="xsd:double"&gt;30.461407&lt;/D&gt;&lt;D xsi:type="xsd:double"&gt;26.241386&lt;/D&gt;&lt;D xsi:type="xsd:double"&gt;30.726696&lt;/D&gt;&lt;D xsi:type="xsd:double"&gt;34.48168&lt;/D&gt;&lt;D xsi:type="xsd:double"&gt;36.40249&lt;/D&gt;&lt;D xsi:type="xsd:double"&gt;31.297577&lt;/D&gt;&lt;D xsi:type="xsd:double"&gt;32.40565&lt;/D&gt;&lt;D xsi:type="xsd:double"&gt;27.122175&lt;/D&gt;&lt;D xsi:type="xsd:double"&gt;21.08115&lt;/D&gt;&lt;D xsi:type="xsd:double"&gt;15.145254&lt;/D&gt;&lt;D xsi:type="xsd:double"&gt;9.784842&lt;/D&gt;&lt;D xsi:type="xsd:double"&gt;8.5611105&lt;/D&gt;&lt;D xsi:type="xsd:double"&gt;7.935357&lt;/D&gt;&lt;D xsi:type="xsd:double"&gt;5.320132&lt;/D&gt;&lt;D xsi:type="xsd:double"&gt;1.8030286&lt;/D&gt;&lt;D xsi:type="xsd:double"&gt;-6.3210306&lt;/D&gt;&lt;D xsi:type="xsd:double"&gt;-9.397066&lt;/D&gt;&lt;D xsi:type="xsd:double"&gt;-14.582729&lt;/D&gt;&lt;D xsi:type="xsd:double"&gt;-11.076069&lt;/D&gt;&lt;D xsi:type="xsd:double"&gt;-3.522426&lt;/D&gt;&lt;D xsi:type="xsd:double"&gt;-1.4576316&lt;/D&gt;&lt;D xsi:type="xsd:double"&gt;-3.7103534&lt;/D&gt;&lt;D xsi:type="xsd:double"&gt;-5.666566&lt;/D&gt;&lt;D xsi:type="xsd:double"&gt;4.6059012&lt;/D&gt;&lt;D xsi:type="xsd:double"&gt;-4.175252&lt;/D&gt;&lt;D xsi:type="xsd:double"&gt;0.16294718&lt;/D&gt;&lt;D xsi:type="xsd:double"&gt;-1.1698604&lt;/D&gt;&lt;D xsi:type="xsd:double"&gt;13.034964&lt;/D&gt;&lt;D xsi:type="xsd:double"&gt;16.91345&lt;/D&gt;&lt;D xsi:type="xsd:double"&gt;29.214525&lt;/D&gt;&lt;D xsi:type="xsd:double"&gt;16.298723&lt;/D&gt;&lt;D xsi:type="xsd:double"&gt;5.2382827&lt;/D&gt;&lt;D xsi:type="xsd:double"&gt;-25.598568&lt;/D&gt;&lt;D xsi:type="xsd:double"&gt;-20.536226&lt;/D&gt;&lt;D xsi:type="xsd:double"&gt;-2.4041057&lt;/D&gt;&lt;D xsi:type="xsd:double"&gt;-8.499283&lt;/D&gt;&lt;D xsi:type="xsd:double"&gt;-0.9989321&lt;/D&gt;&lt;D xsi:type="xsd:double"&gt;-0.85739493&lt;/D&gt;&lt;D xsi:type="xsd:double"&gt;-2.1952093&lt;/D&gt;&lt;D xsi:type="xsd:double"&gt;-9.24778&lt;/D&gt;&lt;D xsi:type="xsd:double"&gt;8.159744&lt;/D&gt;&lt;D xsi:type="xsd:double"&gt;4.347503&lt;/D&gt;&lt;D xsi:type="xsd:double"&gt;5.0736666&lt;/D&gt;&lt;D xsi:type="xsd:double"&gt;13.9962435&lt;/D&gt;&lt;D xsi:type="xsd:double"&gt;61.32288&lt;/D&gt;&lt;D xsi:type="xsd:double"&gt;57.365833&lt;/D&gt;&lt;D xsi:type="xsd:double"&gt;41.043877&lt;/D&gt;&lt;D xsi:type="xsd:double"&gt;38.95763&lt;/D&gt;&lt;D xsi:type="xsd:double"&gt;37.843643&lt;/D&gt;&lt;D xsi:type="xsd:double"&gt;35.594296&lt;/D&gt;&lt;D xsi:type="xsd:double"&gt;35.212837&lt;/D&gt;&lt;D xsi:type="xsd:double"&gt;43.279312&lt;/D&gt;&lt;D xsi:type="xsd:double"&gt;15.138161&lt;/D&gt;&lt;D xsi:type="xsd:double"&gt;22.021294&lt;/D&gt;&lt;D xsi:type="xsd:double"&gt;19.554626&lt;/D&gt;&lt;D xsi:type="xsd:double"&gt;-2.6413262&lt;/D&gt;&lt;D xsi:type="xsd:double"&gt;4.7364473&lt;/D&gt;&lt;D xsi:type="xsd:double"&gt;-5.049634&lt;/D&gt;&lt;D xsi:type="xsd:double"&gt;-8.334457&lt;/D&gt;&lt;D xsi:type="xsd:double"&gt;-16.32346&lt;/D&gt;&lt;D xsi:type="xsd:double"&gt;-12.638676&lt;/D&gt;&lt;D xsi:type="xsd:double"&gt;-22.38112&lt;/D&gt;&lt;D xsi:type="xsd:double"&gt;-18.197144&lt;/D&gt;&lt;D xsi:type="xsd:double"&gt;-18.950064&lt;/D&gt;&lt;D xsi:type="xsd:double"&gt;-5.1412106&lt;/D&gt;&lt;D xsi:type="xsd:double"&gt;-10.12724&lt;/D&gt;&lt;D xsi:type="xsd:double"&gt;0.6918669&lt;/D&gt;&lt;D xsi:type="xsd:double"&gt;14.388884&lt;/D&gt;&lt;D xsi:type="xsd:double"&gt;10.794163&lt;/D&gt;&lt;D xsi:type="xsd:double"&gt;18.854273&lt;/D&gt;&lt;D xsi:type="xsd:double"&gt;12.324774&lt;/D&gt;&lt;D xsi:type="xsd:double"&gt;30.88789&lt;/D&gt;&lt;D xsi:type="xsd:double"&gt;21.762753&lt;/D&gt;&lt;D xsi:type="xsd:double"&gt;31.38839&lt;/D&gt;&lt;D xsi:type="xsd:double"&gt;23.65054&lt;/D&gt;&lt;D xsi:type="xsd:double"&gt;25.699211&lt;/D&gt;&lt;D xsi:type="xsd:double"&gt;13.051486&lt;/D&gt;&lt;D xsi:type="xsd:double"&gt;14.494777&lt;/D&gt;&lt;D xsi:type="xsd:double"&gt;6.203139&lt;/D&gt;&lt;D xsi:type="xsd:double"&gt;11.341023&lt;/D&gt;&lt;/FQL&gt;&lt;FQL&gt;&lt;Q&gt;QQQ^FG_TOTAL_RETURNC(-10AY,0,AM)&lt;/Q&gt;&lt;R&gt;121&lt;/R&gt;&lt;C&gt;1&lt;/C&gt;&lt;D xsi:type="xsd:double"&gt;7.38976&lt;/D&gt;&lt;D xsi:type="xsd:double"&gt;-4.669118&lt;/D&gt;&lt;D xsi:type="xsd:double"&gt;1.2967467&lt;/D&gt;&lt;D xsi:type="xsd:double"&gt;4.606235&lt;/D&gt;&lt;D xsi:type="xsd:double"&gt;4.848087&lt;/D&gt;&lt;D xsi:type="xsd:double"&gt;-0.39707422&lt;/D&gt;&lt;D xsi:type="xsd:double"&gt;4.2698264&lt;/D&gt;&lt;D xsi:type="xsd:double"&gt;-0.9925604&lt;/D&gt;&lt;D xsi:type="xsd:double"&gt;3.2494664&lt;/D&gt;&lt;D xsi:type="xsd:double"&gt;3.9561987&lt;/D&gt;&lt;D xsi:type="xsd:double"&gt;-1.9439161&lt;/D&gt;&lt;D xsi:type="xsd:double"&gt;-0.06800294&lt;/D&gt;&lt;D xsi:type="xsd:double"&gt;5.4243207&lt;/D&gt;&lt;D xsi:type="xsd:double"&gt;-2.8489947&lt;/D&gt;&lt;D xsi:type="xsd:double"&gt;3.9098144&lt;/D&gt;&lt;D xsi:type="xsd:double"&gt;0.3021121&lt;/D&gt;&lt;D xsi:type="xsd:double"&gt;-1.2416303&lt;/D&gt;&lt;D xsi:type="xsd:double"&gt;3.186667&lt;/D&gt;&lt;D xsi:type="xsd:double"&gt;-8.286196&lt;/D&gt;&lt;D xsi:type="xsd:double"&gt;2.0621657&lt;/D&gt;&lt;D xsi:type="xsd:double"&gt;10.58551&lt;/D&gt;&lt;D xsi:type="xsd:double"&gt;0.10433197&lt;/D&gt;&lt;D xsi:type="xsd:double"&gt;-4.601961&lt;/D&gt;&lt;D xsi:type="xsd:double"&gt;-7.1689487&lt;/D&gt;&lt;D xsi:type="xsd:double"&gt;3.9547443&lt;/D&gt;&lt;D xsi:type="xsd:double"&gt;4.3488383&lt;/D&gt;&lt;D xsi:type="xsd:double"&gt;-4.4478774&lt;/D&gt;&lt;D xsi:type="xsd:double"&gt;4.7691464&lt;/D&gt;&lt;D xsi:type="xsd:double"&gt;-1.5346825&lt;/D&gt;&lt;D xsi:type="xsd:double"&gt;7.0225716&lt;/D&gt;&lt;D xsi:type="xsd:double"&gt;1.2535691&lt;/D&gt;&lt;D xsi:type="xsd:double"&gt;1.3205051&lt;/D&gt;&lt;D xsi:type="xsd:double"&gt;-3.987497&lt;/D&gt;&lt;D xsi:type="xsd:double"&gt;1.8037796&lt;/D&gt;&lt;D xsi:type="xsd:double"&gt;4.1890144&lt;/D&gt;&lt;D xsi:type="xsd:double"&gt;4.567766&lt;/D&gt;&lt;D xsi:type="xsd:double"&gt;4.2488933&lt;/D&gt;&lt;D xsi:type="xsd:double"&gt;1.3477683&lt;/D&gt;&lt;D xsi:type="xsd:double"&gt;3.4186125&lt;/D&gt;&lt;D xsi:type="xsd:double"&gt;4.68477&lt;/D&gt;&lt;D xsi:type="xsd:double"&gt;-4.8075795&lt;/D&gt;&lt;D xsi:type="xsd:double"&gt;5.477631&lt;/D&gt;&lt;D xsi:type="xsd:double"&gt;1.635921&lt;/D&gt;&lt;D xsi:type="xsd:double"&gt;0.2400279&lt;/D&gt;&lt;D xsi:type="xsd:double"&gt;4.9578905&lt;/D&gt;&lt;D xsi:type="xsd:double"&gt;-0.36536455&lt;/D&gt;&lt;D xsi:type="xsd:double"&gt;5.1947355&lt;/D&gt;&lt;D xsi:type="xsd:double"&gt;2.6823044&lt;/D&gt;&lt;D xsi:type="xsd:double"&gt;0.83835125&lt;/D&gt;&lt;D xsi:type="xsd:double"&gt;-3.6060214&lt;/D&gt;&lt;D xsi:type="xsd:double"&gt;3.2114625&lt;/D&gt;&lt;D xsi:type="xsd:double"&gt;5.7196617&lt;/D&gt;&lt;D xsi:type="xsd:double"&gt;-1.7979622&lt;/D&gt;&lt;D xsi:type="xsd:double"&gt;5.4332495&lt;/D&gt;&lt;D xsi:type="xsd:double"&gt;3.2041311&lt;/D&gt;&lt;D xsi:type="xsd:double"&gt;-1.6911209&lt;/D&gt;&lt;D xsi:type="xsd:double"&gt;-7.1279764&lt;/D&gt;&lt;D xsi:type="xsd:double"&gt;-2.1608233&lt;/D&gt;&lt;D xsi:type="xsd:double"&gt;-5.4502068&lt;/D&gt;&lt;D xsi:type="xsd:double"&gt;8.513093&lt;/D&gt;&lt;D xsi:type="xsd:double"&gt;2.8844476&lt;/D&gt;&lt;D xsi:type="xsd:double"&gt;5.517578&lt;/D&gt;&lt;D xsi:type="xsd:double"&gt;4.028082&lt;/D&gt;&lt;D xsi:type="xsd:double"&gt;-8.476793&lt;/D&gt;&lt;D xsi:type="xsd:double"&gt;9.692311&lt;/D&gt;&lt;D xsi:type="xsd:double"&gt;-2.136439&lt;/D&gt;&lt;D xsi:type="xsd:double"&gt;0.52307844&lt;/D&gt;&lt;D xsi:type="xsd:double"&gt;0.4570365&lt;/D&gt;&lt;D xsi:type="xsd:double"&gt;5.979562&lt;/D&gt;&lt;D xsi:type="xsd:double"&gt;1.1644125&lt;/D&gt;&lt;D xsi:type="xsd:double"&gt;6.033075&lt;/D&gt;&lt;D xsi:type="xsd:double"&gt;6.20507&lt;/D&gt;&lt;D xsi:type="xsd:double"&gt;-4.066473&lt;/D&gt;&lt;D xsi:type="xsd:double"&gt;-15.791339&lt;/D&gt;&lt;D xsi:type="xsd:double"&gt;17.369259&lt;/D&gt;&lt;D xsi:type="xsd:double"&gt;9.204531&lt;/D&gt;&lt;D xsi:type="xsd:double"&gt;7.4856997&lt;/D&gt;&lt;D xsi:type="xsd:double"&gt;7.2128177&lt;/D&gt;&lt;D xsi:type="xsd:double"&gt;4.882014&lt;/D&gt;&lt;D xsi:type="xsd:double"&gt;-3.1285226&lt;/D&gt;&lt;D xsi:type="xsd:double"&gt;4.5933485&lt;/D&gt;&lt;D xsi:type="xsd:double"&gt;6.4863443&lt;/D&gt;&lt;D xsi:type="xsd:double"&gt;1.4244795&lt;/D&gt;&lt;D xsi:type="xsd:double"&gt;6.766677&lt;/D&gt;&lt;D xsi:type="xsd:double"&gt;-7.915449&lt;/D&gt;&lt;D xsi:type="xsd:double"&gt;6.8635464&lt;/D&gt;&lt;D xsi:type="xsd:double"&gt;1.7161131&lt;/D&gt;&lt;D xsi:type="xsd:double"&gt;1.6538382&lt;/D&gt;&lt;D xsi:type="xsd:double"&gt;6.988442&lt;/D&gt;&lt;D xsi:type="xsd:double"&gt;2.4258256&lt;/D&gt;&lt;D xsi:type="xsd:double"&gt;3.8738012&lt;/D&gt;&lt;D xsi:type="xsd:double"&gt;-7.482481&lt;/D&gt;&lt;D xsi:type="xsd:double"&gt;12.931765&lt;/D&gt;&lt;D xsi:type="xsd:double"&gt;-3.7893593&lt;/D&gt;&lt;D xsi:type="xsd:double"&gt;3.615427&lt;/D&gt;&lt;D xsi:type="xsd:double"&gt;-9.700608&lt;/D&gt;&lt;D xsi:type="xsd:double"&gt;-5.784762&lt;/D&gt;&lt;D xsi:type="xsd:double"&gt;9.622741&lt;/D&gt;&lt;D xsi:type="xsd:double"&gt;-10.750061&lt;/D&gt;&lt;D xsi:type="xsd:double"&gt;-7.099515&lt;/D&gt;&lt;D xsi:type="xsd:double"&gt;-7.687998&lt;/D&gt;&lt;D xsi:type="xsd:double"&gt;14.9824505&lt;/D&gt;&lt;D xsi:type="xsd:double"&gt;-9.010476&lt;/D&gt;&lt;D xsi:type="xsd:double"&gt;-4.2474985&lt;/D&gt;&lt;D xsi:type="xsd:double"&gt;-6.1850967&lt;/D&gt;&lt;D xsi:type="xsd:double"&gt;10.529697&lt;/D&gt;&lt;D xsi:type="xsd:double"&gt;-8.94354&lt;/D&gt;&lt;D xsi:type="xsd:double"&gt;15.217888&lt;/D&gt;&lt;D xsi:type="xsd:double"&gt;-2.1229327&lt;/D&gt;&lt;D xsi:type="xsd:double"&gt;6.634569&lt;/D&gt;&lt;D xsi:type="xsd:double"&gt;-0.9088874&lt;/D&gt;&lt;D xsi:type="xsd:double"&gt;12.17066&lt;/D&gt;&lt;D xsi:type="xsd:double"&gt;4.5534015&lt;/D&gt;&lt;D xsi:type="xsd:double"&gt;0.47260523&lt;/D&gt;&lt;D xsi:type="xsd:double"&gt;1.4917731&lt;/D&gt;&lt;D xsi:type="xsd:double"&gt;-4.587036&lt;/D&gt;&lt;D xsi:type="xsd:double"&gt;2.2126436&lt;/D&gt;&lt;D xsi:type="xsd:double"&gt;5.061054&lt;/D&gt;&lt;D xsi:type="xsd:double"&gt;2.8357506&lt;/D&gt;&lt;D xsi:type="xsd:double"&gt;8.25932&lt;/D&gt;&lt;D xsi:type="xsd:double"&gt;3.498745&lt;/D&gt;&lt;/FQL&gt;&lt;FQL&gt;&lt;Q&gt;EWL^FMA_DIV_YLD(NTMA,-10AY,0,AM,"PORTAGG","MEANR")&lt;/Q&gt;&lt;R&gt;121&lt;/R&gt;&lt;C&gt;1&lt;/C&gt;&lt;D xsi:type="xsd:double"&gt;3.19573279031993&lt;/D&gt;&lt;D xsi:type="xsd:double"&gt;3.19572123841158&lt;/D&gt;&lt;D xsi:type="xsd:double"&gt;3.19941486500802&lt;/D&gt;&lt;D xsi:type="xsd:double"&gt;3.2162066224983&lt;/D&gt;&lt;D xsi:type="xsd:double"&gt;3.27782530149552&lt;/D&gt;&lt;D xsi:type="xsd:double"&gt;3.43736141420564&lt;/D&gt;&lt;D xsi:type="xsd:double"&gt;3.26249795499245&lt;/D&gt;&lt;D xsi:type="xsd:double"&gt;3.39975935487568&lt;/D&gt;&lt;D xsi:type="xsd:double"&gt;3.36082915990139&lt;/D&gt;&lt;D xsi:type="xsd:double"&gt;3.23825157535935&lt;/D&gt;&lt;D xsi:type="xsd:double"&gt;3.31217177074199&lt;/D&gt;&lt;D xsi:type="xsd:double"&gt;3.2918169317798&lt;/D&gt;&lt;D xsi:type="xsd:double"&gt;3.17900037170843&lt;/D&gt;&lt;D xsi:type="xsd:double"&gt;3.13109479757595&lt;/D&gt;&lt;D xsi:type="xsd:double"&gt;3.09711685790773&lt;/D&gt;&lt;D xsi:type="xsd:double"&gt;3.12051496896827&lt;/D&gt;&lt;D xsi:type="xsd:double"&gt;3.23806260266242&lt;/D&gt;&lt;D xsi:type="xsd:double"&gt;3.09443255101963&lt;/D&gt;&lt;D xsi:type="xsd:double"&gt;3.39346671177993&lt;/D&gt;&lt;D xsi:type="xsd:double"&gt;3.43939997398871&lt;/D&gt;&lt;D xsi:type="xsd:double"&gt;3.2441379162591&lt;/D&gt;&lt;D xsi:type="xsd:double"&gt;3.28451161991089&lt;/D&gt;&lt;D xsi:type="xsd:double"&gt;3.34225149233076&lt;/D&gt;&lt;D xsi:type="xsd:double"&gt;3.51354674088293&lt;/D&gt;&lt;D xsi:type="xsd:double"&gt;3.48595322964661&lt;/D&gt;&lt;D xsi:type="xsd:double"&gt;3.57207045754521&lt;/D&gt;&lt;D xsi:type="xsd:double"&gt;3.58214448087616&lt;/D&gt;&lt;D xsi:type="xsd:double"&gt;3.47111952779416&lt;/D&gt;&lt;D xsi:type="xsd:double"&gt;3.5203014955333&lt;/D&gt;&lt;D xsi:type="xsd:double"&gt;3.51180091645715&lt;/D&gt;&lt;D xsi:type="xsd:double"&gt;3.42822070948567&lt;/D&gt;&lt;D xsi:type="xsd:double"&gt;3.46932621259989&lt;/D&gt;&lt;D xsi:type="xsd:double"&gt;3.71827232610039&lt;/D&gt;&lt;D xsi:type="xsd:double"&gt;3.71630699819162&lt;/D&gt;&lt;D xsi:type="xsd:double"&gt;3.51228643851784&lt;/D&gt;&lt;D xsi:type="xsd:double"&gt;3.44727006785641&lt;/D&gt;&lt;D xsi:type="xsd:double"&gt;3.34966278776583&lt;/D&gt;&lt;D xsi:type="xsd:double"&gt;3.42314894457319&lt;/D&gt;&lt;D xsi:type="xsd:double"&gt;3.32117754356481&lt;/D&gt;&lt;D xsi:type="xsd:double"&gt;3.26916377488315&lt;/D&gt;&lt;D xsi:type="xsd:double"&gt;3.26305177639174&lt;/D&gt;&lt;D xsi:type="xsd:double"&gt;3.23855101744722&lt;/D&gt;&lt;D xsi:type="xsd:double"&gt;3.31966903233124&lt;/D&gt;&lt;D xsi:type="xsd:double"&gt;3.2319141752183&lt;/D&gt;&lt;D xsi:type="xsd:double"&gt;3.22632650051147&lt;/D&gt;&lt;D xsi:type="xsd:double"&gt;3.23359095534239&lt;/D&gt;&lt;D xsi:type="xsd:double"&gt;3.17900439832344&lt;/D&gt;&lt;D xsi:type="xsd:double"&gt;3.23399277619482&lt;/D&gt;&lt;D xsi:type="xsd:double"&gt;3.52843856823392&lt;/D&gt;&lt;D xsi:type="xsd:double"&gt;3.57282311344333&lt;/D&gt;&lt;D xsi:type="xsd:double"&gt;3.471129052571&lt;/D&gt;&lt;D xsi:type="xsd:double"&gt;3.54595543988521&lt;/D&gt;&lt;D xsi:type="xsd:double"&gt;3.55226520638505&lt;/D&gt;&lt;D xsi:type="xsd:double"&gt;3.37459045442245&lt;/D&gt;&lt;D xsi:type="xsd:double"&gt;3.42509276169003&lt;/D&gt;&lt;D xsi:type="xsd:double"&gt;3.44208170336103&lt;/D&gt;&lt;D xsi:type="xsd:double"&gt;3.50453699075546&lt;/D&gt;&lt;D xsi:type="xsd:double"&gt;3.50676905467239&lt;/D&gt;&lt;D xsi:type="xsd:double"&gt;3.636441554693&lt;/D&gt;&lt;D xsi:type="xsd:double"&gt;3.46538605148667&lt;/D&gt;&lt;D xsi:type="xsd:double"&gt;3.34341838671519&lt;/D&gt;&lt;D xsi:type="xsd:double"&gt;3.29634248551682&lt;/D&gt;&lt;D xsi:type="xsd:double"&gt;3.26136714678486&lt;/D&gt;&lt;D xsi:type="xsd:double"&gt;3.3148319930864&lt;/D&gt;&lt;D xsi:type="xsd:double"&gt;3.17912848944572&lt;/D&gt;&lt;D xsi:type="xsd:double"&gt;3.25367930914858&lt;/D&gt;&lt;D xsi:type="xsd:double"&gt;3.21701929673944&lt;/D&gt;&lt;D xsi:type="xsd:double"&gt;3.27933245349102&lt;/D&gt;&lt;D xsi:type="xsd:double"&gt;3.12204452727722&lt;/D&gt;&lt;D xsi:type="xsd:double"&gt;3.13528360812671&lt;/D&gt;&lt;D xsi:type="xsd:double"&gt;3.02261710479137&lt;/D&gt;&lt;D xsi:type="xsd:double"&gt;2.99210895299057&lt;/D&gt;&lt;D xsi:type="xsd:double"&gt;3.14814554220313&lt;/D&gt;&lt;D xsi:type="xsd:double"&gt;3.53310306749487&lt;/D&gt;&lt;D xsi:type="xsd:double"&gt;3.3777186414414&lt;/D&gt;&lt;D xsi:type="xsd:double"&gt;3.08730933611866&lt;/D&gt;&lt;D xsi:type="xsd:double"&gt;3.04301857241544&lt;/D&gt;&lt;D xsi:type="xsd:double"&gt;2.96687242714275&lt;/D&gt;&lt;D xsi:type="xsd:double"&gt;2.9828708778369&lt;/D&gt;&lt;D xsi:type="xsd:double"&gt;2.95441049049601&lt;/D&gt;&lt;D xsi:type="xsd:double"&gt;2.94633738698622&lt;/D&gt;&lt;D xsi:type="xsd:double"&gt;2.92200975373758&lt;/D&gt;&lt;D xsi:type="xsd:double"&gt;2.8078468389217&lt;/D&gt;&lt;D xsi:type="xsd:double"&gt;2.81970230852534&lt;/D&gt;&lt;D xsi:type="xsd:double"&gt;2.88971322424031&lt;/D&gt;&lt;D xsi:type="xsd:double"&gt;2.7935006971028&lt;/D&gt;&lt;D xsi:type="xsd:double"&gt;2.79526396273171&lt;/D&gt;&lt;D xsi:type="xsd:double"&gt;2.67233855706077&lt;/D&gt;&lt;D xsi:type="xsd:double"&gt;2.63100633268272&lt;/D&gt;&lt;D xsi:type="xsd:double"&gt;2.57991988242635&lt;/D&gt;&lt;D xsi:type="xsd:double"&gt;2.57558710680237&lt;/D&gt;&lt;D xsi:type="xsd:double"&gt;2.77835028702106&lt;/D&gt;&lt;D xsi:type="xsd:double"&gt;2.57713944366403&lt;/D&gt;&lt;D xsi:type="xsd:double"&gt;2.67077607471837&lt;/D&gt;&lt;D xsi:type="xsd:double"&gt;2.52804890555209&lt;/D&gt;&lt;D xsi:type="xsd:double"&gt;2.77485801484989&lt;/D&gt;&lt;D xsi:type="xsd:double"&gt;2.96721915724644&lt;/D&gt;&lt;D xsi:type="xsd:double"&gt;2.74864770252585&lt;/D&gt;&lt;D xsi:type="xsd:double"&gt;2.91146949328081&lt;/D&gt;&lt;D xsi:type="xsd:double"&gt;2.97445030051647&lt;/D&gt;&lt;D xsi:type="xsd:double"&gt;3.1965228343549&lt;/D&gt;&lt;D xsi:type="xsd:double"&gt;3.05614856348982&lt;/D&gt;&lt;D xsi:type="xsd:double"&gt;3.19651035851543&lt;/D&gt;&lt;D xsi:type="xsd:double"&gt;3.32284461872628&lt;/D&gt;&lt;D xsi:type="xsd:double"&gt;3.28862045797891&lt;/D&gt;&lt;D xsi:type="xsd:double"&gt;3.08467540089239&lt;/D&gt;&lt;D xsi:type="xsd:double"&gt;3.11095957628547&lt;/D&gt;&lt;D xsi:type="xsd:double"&gt;3.02739493184441&lt;/D&gt;&lt;D xsi:type="xsd:double"&gt;3.13397406883025&lt;/D&gt;&lt;D xsi:type="xsd:double"&gt;3.17036582606292&lt;/D&gt;&lt;D xsi:type="xsd:double"&gt;3.06556095825257&lt;/D&gt;&lt;D xsi:type="xsd:double"&gt;3.12627979885354&lt;/D&gt;&lt;D xsi:type="xsd:double"&gt;3.18555114093357&lt;/D&gt;&lt;D xsi:type="xsd:double"&gt;3.2027226644569&lt;/D&gt;&lt;D xsi:type="xsd:double"&gt;3.24519618034505&lt;/D&gt;&lt;D xsi:type="xsd:double"&gt;3.4195311978305&lt;/D&gt;&lt;D xsi:type="xsd:double"&gt;3.46257959576952&lt;/D&gt;&lt;D xsi:type="xsd:double"&gt;3.35570980213868&lt;/D&gt;&lt;D xsi:type="xsd:double"&gt;3.27032077187097&lt;/D&gt;&lt;D xsi:type="xsd:double"&gt;3.31201043509744&lt;/D&gt;&lt;D xsi:type="xsd:double"&gt;3.14415904303386&lt;/D&gt;&lt;/FQL&gt;&lt;FQL&gt;&lt;Q&gt;EWG^FMA_PE(NTMA,-10AY,0,AM,"PORTAGG","MEANR")&lt;/Q&gt;&lt;R&gt;121&lt;/R&gt;&lt;C&gt;1&lt;/C&gt;&lt;D xsi:type="xsd:double"&gt;13.1975915295114&lt;/D&gt;&lt;D xsi:type="xsd:double"&gt;13.2413961484875&lt;/D&gt;&lt;D xsi:type="xsd:double"&gt;13.0187563084919&lt;/D&gt;&lt;D xsi:type="xsd:double"&gt;13.3042799490309&lt;/D&gt;&lt;D xsi:type="xsd:double"&gt;13.3314700479341&lt;/D&gt;&lt;D xsi:type="xsd:double"&gt;12.2512251442898&lt;/D&gt;&lt;D xsi:type="xsd:double"&gt;12.8815938738595&lt;/D&gt;&lt;D xsi:type="xsd:double"&gt;12.1334345673536&lt;/D&gt;&lt;D xsi:type="xsd:double"&gt;12.101190478682&lt;/D&gt;&lt;D xsi:type="xsd:double"&gt;12.9784780253541&lt;/D&gt;&lt;D xsi:type="xsd:double"&gt;12.7825272234926&lt;/D&gt;&lt;D xsi:type="xsd:double"&gt;14.2377605787583&lt;/D&gt;&lt;D xsi:type="xsd:double"&gt;14.810235578269&lt;/D&gt;&lt;D xsi:type="xsd:double"&gt;15.401928977175&lt;/D&gt;&lt;D xsi:type="xsd:double"&gt;14.7151395759407&lt;/D&gt;&lt;D xsi:type="xsd:double"&gt;13.9827588432228&lt;/D&gt;&lt;D xsi:type="xsd:double"&gt;13.5190984789168&lt;/D&gt;&lt;D xsi:type="xsd:double"&gt;13.9089478768916&lt;/D&gt;&lt;D xsi:type="xsd:double"&gt;12.1909707472067&lt;/D&gt;&lt;D xsi:type="xsd:double"&gt;11.7567898125376&lt;/D&gt;&lt;D xsi:type="xsd:double"&gt;13.4401656904912&lt;/D&gt;&lt;D xsi:type="xsd:double"&gt;13.4161150303784&lt;/D&gt;&lt;D xsi:type="xsd:double"&gt;12.7697353207234&lt;/D&gt;&lt;D xsi:type="xsd:double"&gt;11.8890557245468&lt;/D&gt;&lt;D xsi:type="xsd:double"&gt;12.5663689423759&lt;/D&gt;&lt;D xsi:type="xsd:double"&gt;12.5463292772496&lt;/D&gt;&lt;D xsi:type="xsd:double"&gt;12.401739073545&lt;/D&gt;&lt;D xsi:type="xsd:double"&gt;12.5002303711458&lt;/D&gt;&lt;D xsi:type="xsd:double"&gt;12.0769572673331&lt;/D&gt;&lt;D xsi:type="xsd:double"&gt;12.590894229682&lt;/D&gt;&lt;D xsi:type="xsd:double"&gt;13.0598123735016&lt;/D&gt;&lt;D xsi:type="xsd:double"&gt;13.0103594007285&lt;/D&gt;&lt;D xsi:type="xsd:double"&gt;12.4291032450206&lt;/D&gt;&lt;D xsi:type="xsd:double"&gt;12.6282640722403&lt;/D&gt;&lt;D xsi:type="xsd:double"&gt;13.7314763481099&lt;/D&gt;&lt;D xsi:type="xsd:double"&gt;13.6655992190853&lt;/D&gt;&lt;D xsi:type="xsd:double"&gt;13.9620892654792&lt;/D&gt;&lt;D xsi:type="xsd:double"&gt;14.0249595864931&lt;/D&gt;&lt;D xsi:type="xsd:double"&gt;14.045779537743&lt;/D&gt;&lt;D xsi:type="xsd:double"&gt;13.929161446858&lt;/D&gt;&lt;D xsi:type="xsd:double"&gt;13.4368981466052&lt;/D&gt;&lt;D xsi:type="xsd:double"&gt;13.2515016007289&lt;/D&gt;&lt;D xsi:type="xsd:double"&gt;13.0136614052677&lt;/D&gt;&lt;D xsi:type="xsd:double"&gt;13.7876379682505&lt;/D&gt;&lt;D xsi:type="xsd:double"&gt;14.2955132092919&lt;/D&gt;&lt;D xsi:type="xsd:double"&gt;13.9253981602684&lt;/D&gt;&lt;D xsi:type="xsd:double"&gt;13.9911735223173&lt;/D&gt;&lt;D xsi:type="xsd:double"&gt;13.4818469676368&lt;/D&gt;&lt;D xsi:type="xsd:double"&gt;12.601035925087&lt;/D&gt;&lt;D xsi:type="xsd:double"&gt;12.6242031190502&lt;/D&gt;&lt;D xsi:type="xsd:double"&gt;13.3662469696264&lt;/D&gt;&lt;D xsi:type="xsd:double"&gt;13.209537663508&lt;/D&gt;&lt;D xsi:type="xsd:double"&gt;12.7784281918763&lt;/D&gt;&lt;D xsi:type="xsd:double"&gt;13.0651007580992&lt;/D&gt;&lt;D xsi:type="xsd:double"&gt;12.6765171973692&lt;/D&gt;&lt;D xsi:type="xsd:double"&gt;12.6362335473084&lt;/D&gt;&lt;D xsi:type="xsd:double"&gt;11.8116826163144&lt;/D&gt;&lt;D xsi:type="xsd:double"&gt;11.6322565141869&lt;/D&gt;&lt;D xsi:type="xsd:double"&gt;11.1728077094826&lt;/D&gt;&lt;D xsi:type="xsd:double"&gt;11.7270152049537&lt;/D&gt;&lt;D xsi:type="xsd:double"&gt;12.232740516931&lt;/D&gt;&lt;D xsi:type="xsd:double"&gt;12.6070055297435&lt;/D&gt;&lt;D xsi:type="xsd:double"&gt;13.0365111748838&lt;/D&gt;&lt;D xsi:type="xsd:double"&gt;12.3318167274905&lt;/D&gt;&lt;D xsi:type="xsd:double"&gt;12.9923530179425&lt;/D&gt;&lt;D xsi:type="xsd:double"&gt;12.5713738736076&lt;/D&gt;&lt;D xsi:type="xsd:double"&gt;12.6986006824782&lt;/D&gt;&lt;D xsi:type="xsd:double"&gt;12.6712000276239&lt;/D&gt;&lt;D xsi:type="xsd:double"&gt;13.8267810209526&lt;/D&gt;&lt;D xsi:type="xsd:double"&gt;13.9969288593227&lt;/D&gt;&lt;D xsi:type="xsd:double"&gt;14.1093670463904&lt;/D&gt;&lt;D xsi:type="xsd:double"&gt;14.1141569148674&lt;/D&gt;&lt;D xsi:type="xsd:double"&gt;12.919097108791&lt;/D&gt;&lt;D xsi:type="xsd:double"&gt;11.8796957350468&lt;/D&gt;&lt;D xsi:type="xsd:double"&gt;14.6090337711871&lt;/D&gt;&lt;D xsi:type="xsd:double"&gt;17.9922801294651&lt;/D&gt;&lt;D xsi:type="xsd:double"&gt;18.1529602694738&lt;/D&gt;&lt;D xsi:type="xsd:double"&gt;17.7619537747632&lt;/D&gt;&lt;D xsi:type="xsd:double"&gt;17.4459240305987&lt;/D&gt;&lt;D xsi:type="xsd:double"&gt;16.7635121324661&lt;/D&gt;&lt;D xsi:type="xsd:double"&gt;15.3608367393602&lt;/D&gt;&lt;D xsi:type="xsd:double"&gt;16.020263008207&lt;/D&gt;&lt;D xsi:type="xsd:double"&gt;16.0453152241385&lt;/D&gt;&lt;D xsi:type="xsd:double"&gt;15.8699070910335&lt;/D&gt;&lt;D xsi:type="xsd:double"&gt;15.5363241990428&lt;/D&gt;&lt;D xsi:type="xsd:double"&gt;16.2350761603233&lt;/D&gt;&lt;D xsi:type="xsd:double"&gt;14.7992419570136&lt;/D&gt;&lt;D xsi:type="xsd:double"&gt;15.0243898816647&lt;/D&gt;&lt;D xsi:type="xsd:double"&gt;14.7441992827428&lt;/D&gt;&lt;D xsi:type="xsd:double"&gt;14.3549178194486&lt;/D&gt;&lt;D xsi:type="xsd:double"&gt;14.1712702010605&lt;/D&gt;&lt;D xsi:type="xsd:double"&gt;13.3514167342625&lt;/D&gt;&lt;D xsi:type="xsd:double"&gt;13.9447910877576&lt;/D&gt;&lt;D xsi:type="xsd:double"&gt;12.8624432491174&lt;/D&gt;&lt;D xsi:type="xsd:double"&gt;13.6012592582598&lt;/D&gt;&lt;D xsi:type="xsd:double"&gt;12.6296505986975&lt;/D&gt;&lt;D xsi:type="xsd:double"&gt;10.6510278899585&lt;/D&gt;&lt;D xsi:type="xsd:double"&gt;11.7069187401926&lt;/D&gt;&lt;D xsi:type="xsd:double"&gt;10.955653702074&lt;/D&gt;&lt;D xsi:type="xsd:double"&gt;11.0353529815604&lt;/D&gt;&lt;D xsi:type="xsd:double"&gt;9.7040564377485&lt;/D&gt;&lt;D xsi:type="xsd:double"&gt;10.408843997469&lt;/D&gt;&lt;D xsi:type="xsd:double"&gt;9.72516268418167&lt;/D&gt;&lt;D xsi:type="xsd:double"&gt;9.403421722456&lt;/D&gt;&lt;D xsi:type="xsd:double"&gt;10.0330089952636&lt;/D&gt;&lt;D xsi:type="xsd:double"&gt;10.8692756991826&lt;/D&gt;&lt;D xsi:type="xsd:double"&gt;10.9618174906824&lt;/D&gt;&lt;D xsi:type="xsd:double"&gt;11.7707473031541&lt;/D&gt;&lt;D xsi:type="xsd:double"&gt;11.6753014994328&lt;/D&gt;&lt;D xsi:type="xsd:double"&gt;11.3763071093856&lt;/D&gt;&lt;D xsi:type="xsd:double"&gt;11.121368268906&lt;/D&gt;&lt;D xsi:type="xsd:double"&gt;10.8628061218602&lt;/D&gt;&lt;D xsi:type="xsd:double"&gt;10.7944403863895&lt;/D&gt;&lt;D xsi:type="xsd:double"&gt;10.6652363383554&lt;/D&gt;&lt;D xsi:type="xsd:double"&gt;10.6456785236529&lt;/D&gt;&lt;D xsi:type="xsd:double"&gt;10.1314261612947&lt;/D&gt;&lt;D xsi:type="xsd:double"&gt;10.1543236777341&lt;/D&gt;&lt;D xsi:type="xsd:double"&gt;11.0589471980188&lt;/D&gt;&lt;D xsi:type="xsd:double"&gt;11.0643972329554&lt;/D&gt;&lt;D xsi:type="xsd:double"&gt;11.532266769186&lt;/D&gt;&lt;D xsi:type="xsd:double"&gt;12.4635893194836&lt;/D&gt;&lt;/FQL&gt;&lt;FQL&gt;&lt;Q&gt;EWA^FMA_PE(LTMA,-10AY,0,AM,"PORTAGG","MEANR")&lt;/Q&gt;&lt;R&gt;121&lt;/R&gt;&lt;C&gt;1&lt;/C&gt;&lt;D xsi:type="xsd:double"&gt;15.3246156768242&lt;/D&gt;&lt;D xsi:type="xsd:double"&gt;15.294188005753&lt;/D&gt;&lt;D xsi:type="xsd:double"&gt;15.2316930508121&lt;/D&gt;&lt;D xsi:type="xsd:double"&gt;15.1288926344598&lt;/D&gt;&lt;D xsi:type="xsd:double"&gt;15.2291980254451&lt;/D&gt;&lt;D xsi:type="xsd:double"&gt;15.3878410811146&lt;/D&gt;&lt;D xsi:type="xsd:double"&gt;15.4910241359794&lt;/D&gt;&lt;D xsi:type="xsd:double"&gt;14.7038804114428&lt;/D&gt;&lt;D xsi:type="xsd:double"&gt;15.2981878829492&lt;/D&gt;&lt;D xsi:type="xsd:double"&gt;14.6237053007784&lt;/D&gt;&lt;D xsi:type="xsd:double"&gt;14.8442549418679&lt;/D&gt;&lt;D xsi:type="xsd:double"&gt;15.7133709573477&lt;/D&gt;&lt;D xsi:type="xsd:double"&gt;16.2069644305237&lt;/D&gt;&lt;D xsi:type="xsd:double"&gt;16.2644675273386&lt;/D&gt;&lt;D xsi:type="xsd:double"&gt;16.3503942993752&lt;/D&gt;&lt;D xsi:type="xsd:double"&gt;15.9186154793625&lt;/D&gt;&lt;D xsi:type="xsd:double"&gt;16.0606296735918&lt;/D&gt;&lt;D xsi:type="xsd:double"&gt;16.2098313362095&lt;/D&gt;&lt;D xsi:type="xsd:double"&gt;15.0967343099177&lt;/D&gt;&lt;D xsi:type="xsd:double"&gt;15.12316260996&lt;/D&gt;&lt;D xsi:type="xsd:double"&gt;15.6471240042565&lt;/D&gt;&lt;D xsi:type="xsd:double"&gt;15.5206311202538&lt;/D&gt;&lt;D xsi:type="xsd:double"&gt;15.9365299791085&lt;/D&gt;&lt;D xsi:type="xsd:double"&gt;15.2788830878205&lt;/D&gt;&lt;D xsi:type="xsd:double"&gt;15.0670649567759&lt;/D&gt;&lt;D xsi:type="xsd:double"&gt;15.0971914368699&lt;/D&gt;&lt;D xsi:type="xsd:double"&gt;15.5431425345065&lt;/D&gt;&lt;D xsi:type="xsd:double"&gt;15.7232898649166&lt;/D&gt;&lt;D xsi:type="xsd:double"&gt;15.7835404267062&lt;/D&gt;&lt;D xsi:type="xsd:double"&gt;16.3289112045486&lt;/D&gt;&lt;D xsi:type="xsd:double"&gt;16.3823856602455&lt;/D&gt;&lt;D xsi:type="xsd:double"&gt;16.8355205006416&lt;/D&gt;&lt;D xsi:type="xsd:double"&gt;16.4497033585976&lt;/D&gt;&lt;D xsi:type="xsd:double"&gt;17.0762607591871&lt;/D&gt;&lt;D xsi:type="xsd:double"&gt;17.9408769730061&lt;/D&gt;&lt;D xsi:type="xsd:double"&gt;17.4936874239121&lt;/D&gt;&lt;D xsi:type="xsd:double"&gt;17.502128523886&lt;/D&gt;&lt;D xsi:type="xsd:double"&gt;17.3523722157325&lt;/D&gt;&lt;D xsi:type="xsd:double"&gt;17.2187550700021&lt;/D&gt;&lt;D xsi:type="xsd:double"&gt;16.9218107992119&lt;/D&gt;&lt;D xsi:type="xsd:double"&gt;16.7188263193845&lt;/D&gt;&lt;D xsi:type="xsd:double"&gt;16.7726012076477&lt;/D&gt;&lt;D xsi:type="xsd:double"&gt;16.621429923767&lt;/D&gt;&lt;D xsi:type="xsd:double"&gt;16.2813124381971&lt;/D&gt;&lt;D xsi:type="xsd:double"&gt;16.7574925946574&lt;/D&gt;&lt;D xsi:type="xsd:double"&gt;16.6197478273123&lt;/D&gt;&lt;D xsi:type="xsd:double"&gt;16.8120552642681&lt;/D&gt;&lt;D xsi:type="xsd:double"&gt;16.9208824259969&lt;/D&gt;&lt;D xsi:type="xsd:double"&gt;16.5093584074697&lt;/D&gt;&lt;D xsi:type="xsd:double"&gt;16.263254373172&lt;/D&gt;&lt;D xsi:type="xsd:double"&gt;16.3189205214321&lt;/D&gt;&lt;D xsi:type="xsd:double"&gt;16.1729502161788&lt;/D&gt;&lt;D xsi:type="xsd:double"&gt;16.2822757692091&lt;/D&gt;&lt;D xsi:type="xsd:double"&gt;16.2757098476572&lt;/D&gt;&lt;D xsi:type="xsd:double"&gt;16.2725413133912&lt;/D&gt;&lt;D xsi:type="xsd:double"&gt;15.9215921867009&lt;/D&gt;&lt;D xsi:type="xsd:double"&gt;15.3092180816754&lt;/D&gt;&lt;D xsi:type="xsd:double"&gt;14.9693648605516&lt;/D&gt;&lt;D xsi:type="xsd:double"&gt;14.6043015986726&lt;/D&gt;&lt;D xsi:type="xsd:double"&gt;15.3136873266965&lt;/D&gt;&lt;D xsi:type="xsd:double"&gt;15.9249658654693&lt;/D&gt;&lt;D xsi:type="xsd:double"&gt;15.884850484402&lt;/D&gt;&lt;D xsi:type="xsd:double"&gt;15.8676886818646&lt;/D&gt;&lt;D xsi:type="xsd:double"&gt;15.8757552666789&lt;/D&gt;&lt;D xsi:type="xsd:double"&gt;16.321577945621&lt;/D&gt;&lt;D xsi:type="xsd:double"&gt;16.4440725633018&lt;/D&gt;&lt;D xsi:type="xsd:double"&gt;16.3845871089203&lt;/D&gt;&lt;D xsi:type="xsd:double"&gt;16.5624234257992&lt;/D&gt;&lt;D xsi:type="xsd:double"&gt;17.3242851775187&lt;/D&gt;&lt;D xsi:type="xsd:double"&gt;17.2674378259464&lt;/D&gt;&lt;D xsi:type="xsd:double"&gt;17.8281025477692&lt;/D&gt;&lt;D xsi:type="xsd:double"&gt;18.2955494232032&lt;/D&gt;&lt;D xsi:type="xsd:double"&gt;16.905160296356&lt;/D&gt;&lt;D xsi:type="xsd:double"&gt;16.3629183863297&lt;/D&gt;&lt;D xsi:type="xsd:double"&gt;17.1507159323664&lt;/D&gt;&lt;D xsi:type="xsd:double"&gt;18.5355421378509&lt;/D&gt;&lt;D xsi:type="xsd:double"&gt;18.6698985511773&lt;/D&gt;&lt;D xsi:type="xsd:double"&gt;19.1666102091716&lt;/D&gt;&lt;D xsi:type="xsd:double"&gt;19.4760473060604&lt;/D&gt;&lt;D xsi:type="xsd:double"&gt;19.0311669054241&lt;/D&gt;&lt;D xsi:type="xsd:double"&gt;20.036351622814&lt;/D&gt;&lt;D xsi:type="xsd:double"&gt;22.732353364669&lt;/D&gt;&lt;D xsi:type="xsd:double"&gt;23.2673194440571&lt;/D&gt;&lt;D xsi:type="xsd:double"&gt;22.8185401629995&lt;/D&gt;&lt;D xsi:type="xsd:double"&gt;21.777351709278&lt;/D&gt;&lt;D xsi:type="xsd:double"&gt;21.3012038672565&lt;/D&gt;&lt;D xsi:type="xsd:double"&gt;20.9978108534606&lt;/D&gt;&lt;D xsi:type="xsd:double"&gt;20.7909363987482&lt;/D&gt;&lt;D xsi:type="xsd:double"&gt;19.8750088460077&lt;/D&gt;&lt;D xsi:type="xsd:double"&gt;19.3326600132356&lt;/D&gt;&lt;D xsi:type="xsd:double"&gt;19.1294168598438&lt;/D&gt;&lt;D xsi:type="xsd:double"&gt;18.4512431976666&lt;/D&gt;&lt;D xsi:type="xsd:double"&gt;22.5574507257018&lt;/D&gt;&lt;D xsi:type="xsd:double"&gt;17.5754168615788&lt;/D&gt;&lt;D xsi:type="xsd:double"&gt;18.093680554187&lt;/D&gt;&lt;D xsi:type="xsd:double"&gt;16.0393361768342&lt;/D&gt;&lt;D xsi:type="xsd:double"&gt;15.704104198327&lt;/D&gt;&lt;D xsi:type="xsd:double"&gt;15.7811301819717&lt;/D&gt;&lt;D xsi:type="xsd:double"&gt;15.342430660064&lt;/D&gt;&lt;D xsi:type="xsd:double"&gt;15.0184661914859&lt;/D&gt;&lt;D xsi:type="xsd:double"&gt;13.9861244999995&lt;/D&gt;&lt;D xsi:type="xsd:double"&gt;14.4611487327522&lt;/D&gt;&lt;D xsi:type="xsd:double"&gt;14.130471376196&lt;/D&gt;&lt;D xsi:type="xsd:double"&gt;13.5754002565179&lt;/D&gt;&lt;D xsi:type="xsd:double"&gt;13.5207993888735&lt;/D&gt;&lt;D xsi:type="xsd:double"&gt;14.4123445577826&lt;/D&gt;&lt;D xsi:type="xsd:double"&gt;13.9057949481175&lt;/D&gt;&lt;D xsi:type="xsd:double"&gt;14.9855807887684&lt;/D&gt;&lt;D xsi:type="xsd:double"&gt;14.2712508232755&lt;/D&gt;&lt;D xsi:type="xsd:double"&gt;14.2847651333206&lt;/D&gt;&lt;D xsi:type="xsd:double"&gt;14.2765913754311&lt;/D&gt;&lt;D xsi:type="xsd:double"&gt;14.3006014082232&lt;/D&gt;&lt;D xsi:type="xsd:double"&gt;14.6558819543819&lt;/D&gt;&lt;D xsi:type="xsd:double"&gt;14.978178529504&lt;/D&gt;&lt;D xsi:type="xsd:double"&gt;15.1076587386803&lt;/D&gt;&lt;D xsi:type="xsd:double"&gt;14.4201193452215&lt;/D&gt;&lt;D xsi:type="xsd:double"&gt;14.8805678458168&lt;/D&gt;&lt;D xsi:type="xsd:double"&gt;15.3458330215684&lt;/D&gt;&lt;D xsi:type="xsd:double"&gt;16.2812780263075&lt;/D&gt;&lt;D xsi:type="xsd:double"&gt;16.6427168933941&lt;/D&gt;&lt;D xsi:type="xsd:double"&gt;16.6107201547759&lt;/D&gt;&lt;/FQL&gt;&lt;FQL&gt;&lt;Q&gt;WL-FDS^FG_PRICE_CHANGE(0,-1AM)&lt;/Q&gt;&lt;R&gt;1&lt;/R&gt;&lt;C&gt;1&lt;/C&gt;&lt;D xsi:type="xsd:double"&gt;-10.2467080369305&lt;/D&gt;&lt;/FQL&gt;&lt;FQL&gt;&lt;Q&gt;NI-FDS^FG_PRICE_CHANGE(0,-1AM)&lt;/Q&gt;&lt;R&gt;1&lt;/R&gt;&lt;C&gt;1&lt;/C&gt;&lt;D xsi:type="xsd:double"&gt;8.99224806201551&lt;/D&gt;&lt;/FQL&gt;&lt;FQL&gt;&lt;Q&gt;CPALM-FDS^FG_PRICE_CHANGE(0,-1AM)&lt;/Q&gt;&lt;R&gt;1&lt;/R&gt;&lt;C&gt;1&lt;/C&gt;&lt;D xsi:type="xsd:double"&gt;6.04540654699051&lt;/D&gt;&lt;/FQL&gt;&lt;FQL&gt;&lt;Q&gt;BRENT-FDS^FG_PRICE_CHANGE(0,-1AM)&lt;/Q&gt;&lt;R&gt;1&lt;/R&gt;&lt;C&gt;1&lt;/C&gt;&lt;D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xsi:type="xsd:double"&gt;-9.08808209593407&lt;/D&gt;&lt;/FQL&gt;&lt;FQL&gt;&lt;Q&gt;FC0000CH^FG_PRICE(0)&lt;/Q&gt;&lt;R&gt;1&lt;/R&gt;&lt;C&gt;1&lt;/C&gt;&lt;D xsi:type="xsd:double"&gt;323.625&lt;/D&gt;&lt;/FQL&gt;&lt;FQL&gt;&lt;Q&gt;FC0000AU^FG_PRICE(0)&lt;/Q&gt;&lt;R&gt;1&lt;/R&gt;&lt;C&gt;1&lt;/C&gt;&lt;D xsi:type="xsd:double"&gt;353.35425&lt;/D&gt;&lt;/FQL&gt;&lt;FQL&gt;&lt;Q&gt;EWN^FG_PRICE_MAVG(0,,,,60)&lt;/Q&gt;&lt;R&gt;1&lt;/R&gt;&lt;C&gt;1&lt;/C&gt;&lt;D xsi:type="xsd:double"&gt;45.166866&lt;/D&gt;&lt;/FQL&gt;&lt;FQL&gt;&lt;Q&gt;EWU^FG_PRICE_MAVG(0,,,,60)&lt;/Q&gt;&lt;R&gt;1&lt;/R&gt;&lt;C&gt;1&lt;/C&gt;&lt;D xsi:type="xsd:double"&gt;32.622334&lt;/D&gt;&lt;/FQL&gt;&lt;FQL&gt;&lt;Q&gt;EWC^FG_PRICE_MAVG(0,,,,60)&lt;/Q&gt;&lt;R&gt;1&lt;/R&gt;&lt;C&gt;1&lt;/C&gt;&lt;D xsi:type="xsd:double"&gt;36.249&lt;/D&gt;&lt;/FQL&gt;&lt;FQL&gt;&lt;Q&gt;SPY^FG_TOTAL_RETURNC(0,-3AM)&lt;/Q&gt;&lt;R&gt;1&lt;/R&gt;&lt;C&gt;1&lt;/C&gt;&lt;D xsi:type="xsd:double"&gt;12.632334&lt;/D&gt;&lt;/FQL&gt;&lt;FQL&gt;&lt;Q&gt;VGK^FG_TOTAL_RETURNC(0,-3AM)&lt;/Q&gt;&lt;R&gt;1&lt;/R&gt;&lt;C&gt;1&lt;/C&gt;&lt;D xsi:type="xsd:double"&gt;6.92575&lt;/D&gt;&lt;/FQL&gt;&lt;FQL&gt;&lt;Q&gt;EWQ^FG_TOTAL_RETURNC(0,-3AM)&lt;/Q&gt;&lt;R&gt;1&lt;/R&gt;&lt;C&gt;1&lt;/C&gt;&lt;D xsi:type="xsd:double"&gt;8.210194&lt;/D&gt;&lt;/FQL&gt;&lt;FQL&gt;&lt;Q&gt;EWJ^FMA_ROE(NTMA,-20AY,NOW,FY,"PORTAGG","MEANR")&lt;/Q&gt;&lt;R&gt;20&lt;/R&gt;&lt;C&gt;1&lt;/C&gt;&lt;D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xsi:type="xsd:double"&gt;8.35596284306888&lt;/D&gt;&lt;D xsi:type="xsd:double"&gt;7.43859940178972&lt;/D&gt;&lt;D xsi:type="xsd:double"&gt;9.2207657607753&lt;/D&gt;&lt;D xsi:type="xsd:double"&gt;9.22544562724396&lt;/D&gt;&lt;D xsi:type="xsd:double"&gt;9.28649544454112&lt;/D&gt;&lt;/FQL&gt;&lt;FQL&gt;&lt;Q&gt;TRYQA10Y-FDS^FG_YIELD(-10AY,0,Y,,"YTM")&lt;/Q&gt;&lt;R&gt;10&lt;/R&gt;&lt;C&gt;1&lt;/C&gt;&lt;D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xsi:type="xsd:double"&gt;0.703&lt;/D&gt;&lt;/FQL&gt;&lt;FQL&gt;&lt;Q&gt;CAGDPY@GB^EE_ACTUAL_ANNUAL(MED,0)&lt;/Q&gt;&lt;R&gt;1&lt;/R&gt;&lt;C&gt;1&lt;/C&gt;&lt;D xsi:type="xsd:double"&gt;-3.1&lt;/D&gt;&lt;/FQL&gt;&lt;FQL&gt;&lt;Q&gt;CC_CH^FG_COMPANY_NAME&lt;/Q&gt;&lt;R&gt;1&lt;/R&gt;&lt;C&gt;1&lt;/C&gt;&lt;D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xsi:type="xsd:double"&gt;-6.0696125&lt;/D&gt;&lt;/FQL&gt;&lt;FQL&gt;&lt;Q&gt;USDCHF^FG_PRICE_CHANGE(0,-6AM)&lt;/Q&gt;&lt;R&gt;1&lt;/R&gt;&lt;C&gt;1&lt;/C&gt;&lt;D xsi:type="xsd:double"&gt;-0.02259612&lt;/D&gt;&lt;/FQL&gt;&lt;FQL&gt;&lt;Q&gt;USDUSD^FG_PRICE_CHANGE(0,-6AM)&lt;/Q&gt;&lt;R&gt;1&lt;/R&gt;&lt;C&gt;1&lt;/C&gt;&lt;D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xsi:type="xsd:double"&gt;-0.7180035&lt;/D&gt;&lt;/FQL&gt;&lt;FQL&gt;&lt;Q&gt;USDAUD^FG_PRICE_CHANGE(0,-6AM)&lt;/Q&gt;&lt;R&gt;1&lt;/R&gt;&lt;C&gt;1&lt;/C&gt;&lt;D xsi:type="xsd:double"&gt;-0.9433985&lt;/D&gt;&lt;/FQL&gt;&lt;FQL&gt;&lt;Q&gt;EWN^FMA_EPS(NTMA,-20AY,0,CY,,"PORTAGG","MEANR")&lt;/Q&gt;&lt;R&gt;20&lt;/R&gt;&lt;C&gt;1&lt;/C&gt;&lt;D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xsi:type="xsd:double"&gt;2.95463317178549&lt;/D&gt;&lt;/FQL&gt;&lt;FQL&gt;&lt;Q&gt;SPY^P_PRICE_RETURNS_PR('52W',2,-10AY,0,AM)&lt;/Q&gt;&lt;R&gt;121&lt;/R&gt;&lt;C&gt;1&lt;/C&gt;&lt;D xsi:type="xsd:double"&gt;25.141453&lt;/D&gt;&lt;D xsi:type="xsd:double"&gt;22.005713&lt;/D&gt;&lt;D xsi:type="xsd:double"&gt;20.094883&lt;/D&gt;&lt;D xsi:type="xsd:double"&gt;20.497072&lt;/D&gt;&lt;D xsi:type="xsd:double"&gt;25.307869&lt;/D&gt;&lt;D xsi:type="xsd:double"&gt;15.648901&lt;/D&gt;&lt;D xsi:type="xsd:double"&gt;23.165108&lt;/D&gt;&lt;D xsi:type="xsd:double"&gt;19.51909&lt;/D&gt;&lt;D xsi:type="xsd:double"&gt;15.917134&lt;/D&gt;&lt;D xsi:type="xsd:double"&gt;17.784632&lt;/D&gt;&lt;D xsi:type="xsd:double"&gt;14.498711&lt;/D&gt;&lt;D xsi:type="xsd:double"&gt;18.621492&lt;/D&gt;&lt;D xsi:type="xsd:double"&gt;14.263177&lt;/D&gt;&lt;D xsi:type="xsd:double"&gt;11.4277&lt;/D&gt;&lt;D xsi:type="xsd:double"&gt;14.561844&lt;/D&gt;&lt;D xsi:type="xsd:double"&gt;10.891318&lt;/D&gt;&lt;D xsi:type="xsd:double"&gt;7.173836&lt;/D&gt;&lt;D xsi:type="xsd:double"&gt;10.108625&lt;/D&gt;&lt;D xsi:type="xsd:double"&gt;-1.918006&lt;/D&gt;&lt;D xsi:type="xsd:double"&gt;2.3498535&lt;/D&gt;&lt;D xsi:type="xsd:double"&gt;6.7382574&lt;/D&gt;&lt;D xsi:type="xsd:double"&gt;2.9873967&lt;/D&gt;&lt;D xsi:type="xsd:double"&gt;-0.11036396&lt;/D&gt;&lt;D xsi:type="xsd:double"&gt;-4.1517076&lt;/D&gt;&lt;D xsi:type="xsd:double"&gt;-2.6772082&lt;/D&gt;&lt;D xsi:type="xsd:double"&gt;2.0622253&lt;/D&gt;&lt;D xsi:type="xsd:double"&gt;-0.8965492&lt;/D&gt;&lt;D xsi:type="xsd:double"&gt;1.3632178&lt;/D&gt;&lt;D xsi:type="xsd:double"&gt;3.380084&lt;/D&gt;&lt;D xsi:type="xsd:double"&gt;5.618739&lt;/D&gt;&lt;D xsi:type="xsd:double"&gt;14.194632&lt;/D&gt;&lt;D xsi:type="xsd:double"&gt;12.476826&lt;/D&gt;&lt;D xsi:type="xsd:double"&gt;1.2868762&lt;/D&gt;&lt;D xsi:type="xsd:double"&gt;7.6292157&lt;/D&gt;&lt;D xsi:type="xsd:double"&gt;15.13958&lt;/D&gt;&lt;D xsi:type="xsd:double"&gt;22.463142&lt;/D&gt;&lt;D xsi:type="xsd:double"&gt;21.910799&lt;/D&gt;&lt;D xsi:type="xsd:double"&gt;16.537262&lt;/D&gt;&lt;D xsi:type="xsd:double"&gt;18.875206&lt;/D&gt;&lt;D xsi:type="xsd:double"&gt;18.167995&lt;/D&gt;&lt;D xsi:type="xsd:double"&gt;17.731262&lt;/D&gt;&lt;D xsi:type="xsd:double"&gt;16.652966&lt;/D&gt;&lt;D xsi:type="xsd:double"&gt;16.328764&lt;/D&gt;&lt;D xsi:type="xsd:double"&gt;20.311785&lt;/D&gt;&lt;D xsi:type="xsd:double"&gt;26.296795&lt;/D&gt;&lt;D xsi:type="xsd:double"&gt;22.672832&lt;/D&gt;&lt;D xsi:type="xsd:double"&gt;22.199177&lt;/D&gt;&lt;D xsi:type="xsd:double"&gt;23.279358&lt;/D&gt;&lt;D xsi:type="xsd:double"&gt;15.121424&lt;/D&gt;&lt;D xsi:type="xsd:double"&gt;14.0550375&lt;/D&gt;&lt;D xsi:type="xsd:double"&gt;13.538122&lt;/D&gt;&lt;D xsi:type="xsd:double"&gt;14.728535&lt;/D&gt;&lt;D xsi:type="xsd:double"&gt;13.93075&lt;/D&gt;&lt;D xsi:type="xsd:double"&gt;16.97786&lt;/D&gt;&lt;D xsi:type="xsd:double"&gt;19.114887&lt;/D&gt;&lt;D xsi:type="xsd:double"&gt;16.413652&lt;/D&gt;&lt;D xsi:type="xsd:double"&gt;7.474339&lt;/D&gt;&lt;D xsi:type="xsd:double"&gt;4.177046&lt;/D&gt;&lt;D xsi:type="xsd:double"&gt;-5.299425&lt;/D&gt;&lt;D xsi:type="xsd:double"&gt;0.62094927&lt;/D&gt;&lt;D xsi:type="xsd:double"&gt;5.8208466&lt;/D&gt;&lt;D xsi:type="xsd:double"&gt;11.087906&lt;/D&gt;&lt;D xsi:type="xsd:double"&gt;14.144754&lt;/D&gt;&lt;D xsi:type="xsd:double"&gt;4.0391207&lt;/D&gt;&lt;D xsi:type="xsd:double"&gt;12.493086&lt;/D&gt;&lt;D xsi:type="xsd:double"&gt;5.683923&lt;/D&gt;&lt;D xsi:type="xsd:double"&gt;3.4778237&lt;/D&gt;&lt;D xsi:type="xsd:double"&gt;3.730595&lt;/D&gt;&lt;D xsi:type="xsd:double"&gt;15.31068&lt;/D&gt;&lt;D xsi:type="xsd:double"&gt;17.554129&lt;/D&gt;&lt;D xsi:type="xsd:double"&gt;34.519398&lt;/D&gt;&lt;D xsi:type="xsd:double"&gt;23.284912&lt;/D&gt;&lt;D xsi:type="xsd:double"&gt;14.094173&lt;/D&gt;&lt;D xsi:type="xsd:double"&gt;-11.553431&lt;/D&gt;&lt;D xsi:type="xsd:double"&gt;-1.5606523&lt;/D&gt;&lt;D xsi:type="xsd:double"&gt;13.287914&lt;/D&gt;&lt;D xsi:type="xsd:double"&gt;7.4635267&lt;/D&gt;&lt;D xsi:type="xsd:double"&gt;15.079379&lt;/D&gt;&lt;D xsi:type="xsd:double"&gt;18.864323&lt;/D&gt;&lt;D xsi:type="xsd:double"&gt;18.170643&lt;/D&gt;&lt;D xsi:type="xsd:double"&gt;13.964617&lt;/D&gt;&lt;D xsi:type="xsd:double"&gt;21.081425&lt;/D&gt;&lt;D xsi:type="xsd:double"&gt;16.562485&lt;/D&gt;&lt;D xsi:type="xsd:double"&gt;19.5953&lt;/D&gt;&lt;D xsi:type="xsd:double"&gt;22.69696&lt;/D&gt;&lt;D xsi:type="xsd:double"&gt;65.37613&lt;/D&gt;&lt;D xsi:type="xsd:double"&gt;48.93165&lt;/D&gt;&lt;D xsi:type="xsd:double"&gt;37.916924&lt;/D&gt;&lt;D xsi:type="xsd:double"&gt;40.99548&lt;/D&gt;&lt;D xsi:type="xsd:double"&gt;34.996426&lt;/D&gt;&lt;D xsi:type="xsd:double"&gt;33.1</t>
        </r>
      </text>
    </comment>
    <comment ref="A7" authorId="0" shapeId="0" xr:uid="{853A6F21-FD0B-4B6D-8046-7B9C3C5A3499}">
      <text>
        <r>
          <rPr>
            <b/>
            <sz val="9"/>
            <color indexed="81"/>
            <rFont val="Tahoma"/>
            <family val="2"/>
          </rPr>
          <t>48266&lt;/D&gt;&lt;D xsi:type="xsd:double"&gt;30.218351&lt;/D&gt;&lt;D xsi:type="xsd:double"&gt;37.839508&lt;/D&gt;&lt;D xsi:type="xsd:double"&gt;25.406324&lt;/D&gt;&lt;D xsi:type="xsd:double"&gt;31.233728&lt;/D&gt;&lt;D xsi:type="xsd:double"&gt;17.749989&lt;/D&gt;&lt;D xsi:type="xsd:double"&gt;16.26923&lt;/D&gt;&lt;D xsi:type="xsd:double"&gt;15.536749&lt;/D&gt;&lt;D xsi:type="xsd:double"&gt;4.601383&lt;/D&gt;&lt;D xsi:type="xsd:double"&gt;-0.6664932&lt;/D&gt;&lt;D xsi:type="xsd:double"&gt;-10.165781&lt;/D&gt;&lt;D xsi:type="xsd:double"&gt;-4.307085&lt;/D&gt;&lt;D xsi:type="xsd:double"&gt;-12.215585&lt;/D&gt;&lt;D xsi:type="xsd:double"&gt;-10.4837&lt;/D&gt;&lt;D xsi:type="xsd:double"&gt;-18.17308&lt;/D&gt;&lt;D xsi:type="xsd:double"&gt;-9.689199&lt;/D&gt;&lt;D xsi:type="xsd:double"&gt;-18.33244&lt;/D&gt;&lt;D xsi:type="xsd:double"&gt;-6.166917&lt;/D&gt;&lt;D xsi:type="xsd:double"&gt;-5.724949&lt;/D&gt;&lt;D xsi:type="xsd:double"&gt;-9.009319&lt;/D&gt;&lt;D xsi:type="xsd:double"&gt;-3.965646&lt;/D&gt;&lt;D xsi:type="xsd:double"&gt;4.272735&lt;/D&gt;&lt;D xsi:type="xsd:double"&gt;18.325293&lt;/D&gt;&lt;D xsi:type="xsd:double"&gt;9.658611&lt;/D&gt;&lt;D xsi:type="xsd:double"&gt;15.691757&lt;/D&gt;&lt;D xsi:type="xsd:double"&gt;14.139533&lt;/D&gt;&lt;D xsi:type="xsd:double"&gt;19.02715&lt;/D&gt;&lt;D xsi:type="xsd:double"&gt;14.018464&lt;/D&gt;&lt;D xsi:type="xsd:double"&gt;23.627722&lt;/D&gt;&lt;D xsi:type="xsd:double"&gt;20.427608&lt;/D&gt;&lt;D xsi:type="xsd:double"&gt;28.68774&lt;/D&gt;&lt;/FQL&gt;&lt;FQL&gt;&lt;Q&gt;EWU^FG_TOTAL_RETURNC(-10AY,0,AM)&lt;/Q&gt;&lt;R&gt;121&lt;/R&gt;&lt;C&gt;1&lt;/C&gt;&lt;D xsi:type="xsd:double"&gt;7.676661&lt;/D&gt;&lt;D xsi:type="xsd:double"&gt;-2.8328657&lt;/D&gt;&lt;D xsi:type="xsd:double"&gt;4.9562693&lt;/D&gt;&lt;D xsi:type="xsd:double"&gt;0.18517971&lt;/D&gt;&lt;D xsi:type="xsd:double"&gt;3.2214642&lt;/D&gt;&lt;D xsi:type="xsd:double"&gt;-4.321277&lt;/D&gt;&lt;D xsi:type="xsd:double"&gt;0.14727116&lt;/D&gt;&lt;D xsi:type="xsd:double"&gt;-7.3529425&lt;/D&gt;&lt;D xsi:type="xsd:double"&gt;-0.63491464&lt;/D&gt;&lt;D xsi:type="xsd:double"&gt;1.4376879&lt;/D&gt;&lt;D xsi:type="xsd:double"&gt;-4.396248&lt;/D&gt;&lt;D xsi:type="xsd:double"&gt;3.471434&lt;/D&gt;&lt;D xsi:type="xsd:double"&gt;2.0562887&lt;/D&gt;&lt;D xsi:type="xsd:double"&gt;-3.3934295&lt;/D&gt;&lt;D xsi:type="xsd:double"&gt;5.762899&lt;/D&gt;&lt;D xsi:type="xsd:double"&gt;-1.2454569&lt;/D&gt;&lt;D xsi:type="xsd:double"&gt;-1.6553998&lt;/D&gt;&lt;D xsi:type="xsd:double"&gt;0.70729256&lt;/D&gt;&lt;D xsi:type="xsd:double"&gt;-11.669368&lt;/D&gt;&lt;D xsi:type="xsd:double"&gt;3.302741&lt;/D&gt;&lt;D xsi:type="xsd:double"&gt;4.4997096&lt;/D&gt;&lt;D xsi:type="xsd:double"&gt;-3.6260605&lt;/D&gt;&lt;D xsi:type="xsd:double"&gt;-4.779011&lt;/D&gt;&lt;D xsi:type="xsd:double"&gt;-4.471034&lt;/D&gt;&lt;D xsi:type="xsd:double"&gt;2.6367784&lt;/D&gt;&lt;D xsi:type="xsd:double"&gt;0.064229965&lt;/D&gt;&lt;D xsi:type="xsd:double"&gt;1.4120698&lt;/D&gt;&lt;D xsi:type="xsd:double"&gt;2.974689&lt;/D&gt;&lt;D xsi:type="xsd:double"&gt;-3.200543&lt;/D&gt;&lt;D xsi:type="xsd:double"&gt;1.301229&lt;/D&gt;&lt;D xsi:type="xsd:double"&gt;4.0462494&lt;/D&gt;&lt;D xsi:type="xsd:double"&gt;-1.9753098&lt;/D&gt;&lt;D xsi:type="xsd:double"&gt;-7.2418156&lt;/D&gt;&lt;D xsi:type="xsd:double"&gt;3.0210495&lt;/D&gt;&lt;D xsi:type="xsd:double"&gt;3.9235473&lt;/D&gt;&lt;D xsi:type="xsd:double"&gt;1.2536168&lt;/D&gt;&lt;D xsi:type="xsd:double"&gt;1.6825318&lt;/D&gt;&lt;D xsi:type="xsd:double"&gt;1.1551738&lt;/D&gt;&lt;D xsi:type="xsd:double"&gt;2.7160406&lt;/D&gt;&lt;D xsi:type="xsd:double"&gt;4.567313&lt;/D&gt;&lt;D xsi:type="xsd:double"&gt;-2.075845&lt;/D&gt;&lt;D xsi:type="xsd:double"&gt;3.1503081&lt;/D&gt;&lt;D xsi:type="xsd:double"&gt;-1.1343777&lt;/D&gt;&lt;D xsi:type="xsd:double"&gt;2.6184201&lt;/D&gt;&lt;D xsi:type="xsd:double"&gt;-0.08601546&lt;/D&gt;&lt;D xsi:type="xsd:double"&gt;-0.08608103&lt;/D&gt;&lt;D xsi:type="xsd:double"&gt;6.015444&lt;/D&gt;&lt;D xsi:type="xsd:double"&gt;0.110411644&lt;/D&gt;&lt;D xsi:type="xsd:double"&gt;-5.238491&lt;/D&gt;&lt;D xsi:type="xsd:double"&gt;1.9202828&lt;/D&gt;&lt;D xsi:type="xsd:double"&gt;2.9688835&lt;/D&gt;&lt;D xsi:type="xsd:double"&gt;0.49903393&lt;/D&gt;&lt;D xsi:type="xsd:double"&gt;-2.6203156&lt;/D&gt;&lt;D xsi:type="xsd:double"&gt;0.02900362&lt;/D&gt;&lt;D xsi:type="xsd:double"&gt;-3.3343017&lt;/D&gt;&lt;D xsi:type="xsd:double"&gt;1.2297511&lt;/D&gt;&lt;D xsi:type="xsd:double"&gt;-4.4148207&lt;/D&gt;&lt;D xsi:type="xsd:double"&gt;-3.7507713&lt;/D&gt;&lt;D xsi:type="xsd:double"&gt;-1.4011145&lt;/D&gt;&lt;D xsi:type="xsd:double"&gt;5.774367&lt;/D&gt;&lt;D xsi:type="xsd:double"&gt;2.7137876&lt;/D&gt;&lt;D xsi:type="xsd:double"&gt;3.594482&lt;/D&gt;&lt;D xsi:type="xsd:double"&gt;0.44482946&lt;/D&gt;&lt;D xsi:type="xsd:double"&gt;-5.1372824&lt;/D&gt;&lt;D xsi:type="xsd:double"&gt;4.641199&lt;/D&gt;&lt;D xsi:type="xsd:double"&gt;-6.314826&lt;/D&gt;&lt;D xsi:type="xsd:double"&gt;0.39075613&lt;/D&gt;&lt;D xsi:type="xsd:double"&gt;-0.7784605&lt;/D&gt;&lt;D xsi:type="xsd:double"&gt;7.289958&lt;/D&gt;&lt;D xsi:type="xsd:double"&gt;-0.5484462&lt;/D&gt;&lt;D xsi:type="xsd:double"&gt;5.4916263&lt;/D&gt;&lt;D xsi:type="xsd:double"&gt;-2.7777731&lt;/D&gt;&lt;D xsi:type="xsd:double"&gt;-7.811552&lt;/D&gt;&lt;D xsi:type="xsd:double"&gt;-25.651175&lt;/D&gt;&lt;D xsi:type="xsd:double"&gt;9.578716&lt;/D&gt;&lt;D xsi:type="xsd:double"&gt;10.360182&lt;/D&gt;&lt;D xsi:type="xsd:double"&gt;-2.6907444&lt;/D&gt;&lt;D xsi:type="xsd:double"&gt;1.4154553&lt;/D&gt;&lt;D xsi:type="xsd:double"&gt;-1.3202608&lt;/D&gt;&lt;D xsi:type="xsd:double"&gt;-1.6055048&lt;/D&gt;&lt;D xsi:type="xsd:double"&gt;-0.7769942&lt;/D&gt;&lt;D xsi:type="xsd:double"&gt;16.87548&lt;/D&gt;&lt;D xsi:type="xsd:double"&gt;0.5697131&lt;/D&gt;&lt;D xsi:type="xsd:double"&gt;-0.06738901&lt;/D&gt;&lt;D xsi:type="xsd:double"&gt;4.113281&lt;/D&gt;&lt;D xsi:type="xsd:double"&gt;2.558291&lt;/D&gt;&lt;D xsi:type="xsd:double"&gt;3.1259894&lt;/D&gt;&lt;D xsi:type="xsd:double"&gt;4.4396877&lt;/D&gt;&lt;D xsi:type="xsd:double"&gt;-1.500231&lt;/D&gt;&lt;D xsi:type="xsd:double"&gt;0.4842639&lt;/D&gt;&lt;D xsi:type="xsd:double"&gt;0.8132577&lt;/D&gt;&lt;D xsi:type="xsd:double"&gt;-3.047508&lt;/D&gt;&lt;D xsi:type="xsd:double"&gt;2.896762&lt;/D&gt;&lt;D xsi:type="xsd:double"&gt;-3.4141958&lt;/D&gt;&lt;D xsi:type="xsd:double"&gt;7.532108&lt;/D&gt;&lt;D xsi:type="xsd:double"&gt;1.1851907&lt;/D&gt;&lt;D xsi:type="xsd:double"&gt;-8.023429&lt;/D&gt;&lt;D xsi:type="xsd:double"&gt;7.9274178&lt;/D&gt;&lt;D xsi:type="xsd:double"&gt;-2.536875&lt;/D&gt;&lt;D xsi:type="xsd:double"&gt;-0.4842639&lt;/D&gt;&lt;D xsi:type="xsd:double"&gt;-7.4246764&lt;/D&gt;&lt;D xsi:type="xsd:double"&gt;3.077948&lt;/D&gt;&lt;D xsi:type="xsd:double"&gt;-7.7896776&lt;/D&gt;&lt;D xsi:type="xsd:double"&gt;-1.8303454&lt;/D&gt;&lt;D xsi:type="xsd:double"&gt;3.298676&lt;/D&gt;&lt;D xsi:type="xsd:double"&gt;10.725439&lt;/D&gt;&lt;D xsi:type="xsd:double"&gt;-0.98543763&lt;/D&gt;&lt;D xsi:type="xsd:double"&gt;3.5347104&lt;/D&gt;&lt;D xsi:type="xsd:double"&gt;1.5518308&lt;/D&gt;&lt;D xsi:type="xsd:double"&gt;-0.091695786&lt;/D&gt;&lt;D xsi:type="xsd:double"&gt;1.8966079&lt;/D&gt;&lt;D xsi:type="xsd:double"&gt;-2.0414293&lt;/D&gt;&lt;D xsi:type="xsd:double"&gt;0.6303668&lt;/D&gt;&lt;D xsi:type="xsd:double"&gt;0.434649&lt;/D&gt;&lt;D xsi:type="xsd:double"&gt;-0.896436&lt;/D&gt;&lt;D xsi:type="xsd:double"&gt;-3.742987&lt;/D&gt;&lt;D xsi:type="xsd:double"&gt;1.523006&lt;/D&gt;&lt;D xsi:type="xsd:double"&gt;4.085541&lt;/D&gt;&lt;D xsi:type="xsd:double"&gt;3.023696&lt;/D&gt;&lt;D xsi:type="xsd:double"&gt;-1.1571288&lt;/D&gt;&lt;D xsi:type="xsd:double"&gt;1.1090636&lt;/D&gt;&lt;/FQL&gt;&lt;FQL&gt;&lt;Q&gt;EWJ^FMA_DIV_YLD(NTMA,-10AY,0,AM,"PORTAGG","MEANR")&lt;/Q&gt;&lt;R&gt;121&lt;/R&gt;&lt;C&gt;1&lt;/C&gt;&lt;D xsi:type="xsd:double"&gt;2.08339852522123&lt;/D&gt;&lt;D xsi:type="xsd:double"&gt;2.07970729032275&lt;/D&gt;&lt;D xsi:type="xsd:double"&gt;2.15781029827312&lt;/D&gt;&lt;D xsi:type="xsd:double"&gt;2.10484082061671&lt;/D&gt;&lt;D xsi:type="xsd:double"&gt;2.04869438770492&lt;/D&gt;&lt;D xsi:type="xsd:double"&gt;2.06843942639792&lt;/D&gt;&lt;D xsi:type="xsd:double"&gt;2.057172969887&lt;/D&gt;&lt;D xsi:type="xsd:double"&gt;2.09508174668382&lt;/D&gt;&lt;D xsi:type="xsd:double"&gt;1.96728082235104&lt;/D&gt;&lt;D xsi:type="xsd:double"&gt;1.91677458682577&lt;/D&gt;&lt;D xsi:type="xsd:double"&gt;1.98232280512474&lt;/D&gt;&lt;D xsi:type="xsd:double"&gt;2.00289422428968&lt;/D&gt;&lt;D xsi:type="xsd:double"&gt;1.89459024986066&lt;/D&gt;&lt;D xsi:type="xsd:double"&gt;1.87306489716522&lt;/D&gt;&lt;D xsi:type="xsd:double"&gt;1.86418460797726&lt;/D&gt;&lt;D xsi:type="xsd:double"&gt;1.84707965442335&lt;/D&gt;&lt;D xsi:type="xsd:double"&gt;1.90159297065694&lt;/D&gt;&lt;D xsi:type="xsd:double"&gt;1.90297415196875&lt;/D&gt;&lt;D xsi:type="xsd:double"&gt;2.20556783206123&lt;/D&gt;&lt;D xsi:type="xsd:double"&gt;2.21331368535566&lt;/D&gt;&lt;D xsi:type="xsd:double"&gt;2.07951746947237&lt;/D&gt;&lt;D xsi:type="xsd:double"&gt;2.0516927131749&lt;/D&gt;&lt;D xsi:type="xsd:double"&gt;2.1509945239934&lt;/D&gt;&lt;D xsi:type="xsd:double"&gt;2.34772702152295&lt;/D&gt;&lt;D xsi:type="xsd:double"&gt;2.33487126205417&lt;/D&gt;&lt;D xsi:type="xsd:double"&gt;2.48265173385914&lt;/D&gt;&lt;D xsi:type="xsd:double"&gt;2.46637665648089&lt;/D&gt;&lt;D xsi:type="xsd:double"&gt;2.36457455130072&lt;/D&gt;&lt;D xsi:type="xsd:double"&gt;2.5223679725129&lt;/D&gt;&lt;D xsi:type="xsd:double"&gt;2.45553763808727&lt;/D&gt;&lt;D xsi:type="xsd:double"&gt;2.34100500255819&lt;/D&gt;&lt;D xsi:type="xsd:double"&gt;2.37951887948945&lt;/D&gt;&lt;D xsi:type="xsd:double"&gt;2.39090100670584&lt;/D&gt;&lt;D xsi:type="xsd:double"&gt;2.16760263994861&lt;/D&gt;&lt;D xsi:type="xsd:double"&gt;2.07756850463772&lt;/D&gt;&lt;D xsi:type="xsd:double"&gt;2.1650400585983&lt;/D&gt;&lt;D xsi:type="xsd:double"&gt;2.13338853949562&lt;/D&gt;&lt;D xsi:type="xsd:double"&gt;2.23494128939627&lt;/D&gt;&lt;D xsi:type="xsd:double"&gt;2.18964645830292&lt;/D&gt;&lt;D xsi:type="xsd:double"&gt;2.13768306048346&lt;/D&gt;&lt;D xsi:type="xsd:double"&gt;2.16770465963382&lt;/D&gt;&lt;D xsi:type="xsd:double"&gt;2.16454066370686&lt;/D&gt;&lt;D xsi:type="xsd:double"&gt;2.20887719488853&lt;/D&gt;&lt;D xsi:type="xsd:double"&gt;2.15428033916332&lt;/D&gt;&lt;D xsi:type="xsd:double"&gt;2.03622719983469&lt;/D&gt;&lt;D xsi:type="xsd:double"&gt;2.0835876942962&lt;/D&gt;&lt;D xsi:type="xsd:double"&gt;2.00737359003685&lt;/D&gt;&lt;D xsi:type="xsd:double"&gt;2.03511276396523&lt;/D&gt;&lt;D xsi:type="xsd:double"&gt;2.26918251959667&lt;/D&gt;&lt;D xsi:type="xsd:double"&gt;2.28997008252972&lt;/D&gt;&lt;D xsi:type="xsd:double"&gt;2.21512025713478&lt;/D&gt;&lt;D xsi:type="xsd:double"&gt;2.24059387981884&lt;/D&gt;&lt;D xsi:type="xsd:double"&gt;2.35153795733357&lt;/D&gt;&lt;D xsi:type="xsd:double"&gt;2.29282134765729&lt;/D&gt;&lt;D xsi:type="xsd:double"&gt;2.33894835363632&lt;/D&gt;&lt;D xsi:type="xsd:double"&gt;2.24149155717657&lt;/D&gt;&lt;D xsi:type="xsd:double"&gt;2.44503711950436&lt;/D&gt;&lt;D xsi:type="xsd:double"&gt;2.48288692648824&lt;/D&gt;&lt;D xsi:type="xsd:double"&gt;2.79422796757495&lt;/D&gt;&lt;D xsi:type="xsd:double"&gt;2.61340798807015&lt;/D&gt;&lt;D xsi:type="xsd:double"&gt;2.53641864317608&lt;/D&gt;&lt;D xsi:type="xsd:double"&gt;2.56043296409997&lt;/D&gt;&lt;D xsi:type="xsd:double"&gt;2.56792597104037&lt;/D&gt;&lt;D xsi:type="xsd:double"&gt;2.77816451313793&lt;/D&gt;&lt;D xsi:type="xsd:double"&gt;2.64058832841297&lt;/D&gt;&lt;D xsi:type="xsd:double"&gt;2.71605042498039&lt;/D&gt;&lt;D xsi:type="xsd:double"&gt;2.75643933610654&lt;/D&gt;&lt;D xsi:type="xsd:double"&gt;2.65087036868837&lt;/D&gt;&lt;D xsi:type="xsd:double"&gt;2.51645454006131&lt;/D&gt;&lt;D xsi:type="xsd:double"&gt;2.46255614710075&lt;/D&gt;&lt;D xsi:type="xsd:double"&gt;2.44710562557018&lt;/D&gt;&lt;D xsi:type="xsd:double"&gt;2.50239547267093&lt;/D&gt;&lt;D xsi:type="xsd:double"&gt;2.77954222126291&lt;/D&gt;&lt;D xsi:type="xsd:double"&gt;3.14215693544466&lt;/D&gt;&lt;D xsi:type="xsd:double"&gt;2.86509612106247&lt;/D&gt;&lt;D xsi:type="xsd:double"&gt;2.47321109300713&lt;/D&gt;&lt;D xsi:type="xsd:double"&gt;2.53322652572026&lt;/D&gt;&lt;D xsi:type="xsd:double"&gt;2.50800129282067&lt;/D&gt;&lt;D xsi:type="xsd:double"&gt;2.38062225314233&lt;/D&gt;&lt;D xsi:type="xsd:double"&gt;2.41898949885205&lt;/D&gt;&lt;D xsi:type="xsd:double"&gt;2.39042496579895&lt;/D&gt;&lt;D xsi:type="xsd:double"&gt;2.16331502509081&lt;/D&gt;&lt;D xsi:type="xsd:double"&gt;2.15155377649523&lt;/D&gt;&lt;D xsi:type="xsd:double"&gt;2.09717196542287&lt;/D&gt;&lt;D xsi:type="xsd:double"&gt;2.1147546480725&lt;/D&gt;&lt;D xsi:type="xsd:double"&gt;2.06397654210626&lt;/D&gt;&lt;D xsi:type="xsd:double"&gt;2.16458536319394&lt;/D&gt;&lt;D xsi:type="xsd:double"&gt;2.14244306939426&lt;/D&gt;&lt;D xsi:type="xsd:double"&gt;2.18215088173115&lt;/D&gt;&lt;D xsi:type="xsd:double"&gt;2.25394519597973&lt;/D&gt;&lt;D xsi:type="xsd:double"&gt;2.19252576635571&lt;/D&gt;&lt;D xsi:type="xsd:double"&gt;2.27127912035627&lt;/D&gt;&lt;D xsi:type="xsd:double"&gt;2.1979804224428&lt;/D&gt;&lt;D xsi:type="xsd:double"&gt;2.33627409612125&lt;/D&gt;&lt;D xsi:type="xsd:double"&gt;2.27370879705805&lt;/D&gt;&lt;D xsi:type="xsd:double"&gt;2.43842927613891&lt;/D&gt;&lt;D xsi:type="xsd:double"&gt;2.62267961552555&lt;/D&gt;&lt;D xsi:type="xsd:double"&gt;2.5026446282151&lt;/D&gt;&lt;D xsi:type="xsd:double"&gt;2.58721575039502&lt;/D&gt;&lt;D xsi:type="xsd:double"&gt;2.58205840001682&lt;/D&gt;&lt;D xsi:type="xsd:double"&gt;2.74049656446848&lt;/D&gt;&lt;D xsi:type="xsd:double"&gt;2.62380900179969&lt;/D&gt;&lt;D xsi:type="xsd:double"&gt;2.64148441307765&lt;/D&gt;&lt;D xsi:type="xsd:double"&gt;2.70498625975606&lt;/D&gt;&lt;D xsi:type="xsd:double"&gt;2.69459013598373&lt;/D&gt;&lt;D xsi:type="xsd:double"&gt;2.64007884930232&lt;/D&gt;&lt;D xsi:type="xsd:double"&gt;2.79411792692299&lt;/D&gt;&lt;D xsi:type="xsd:double"&gt;2.63319218785222&lt;/D&gt;&lt;D xsi:type="xsd:double"&gt;2.57739602983709&lt;/D&gt;&lt;D xsi:type="xsd:double"&gt;2.5997998117192&lt;/D&gt;&lt;D xsi:type="xsd:double"&gt;2.53593251292447&lt;/D&gt;&lt;D xsi:type="xsd:double"&gt;2.42131978097059&lt;/D&gt;&lt;D xsi:type="xsd:double"&gt;2.30002870820223&lt;/D&gt;&lt;D xsi:type="xsd:double"&gt;2.38120643485238&lt;/D&gt;&lt;D xsi:type="xsd:double"&gt;2.33552592922455&lt;/D&gt;&lt;D xsi:type="xsd:double"&gt;2.49993678128239&lt;/D&gt;&lt;D xsi:type="xsd:double"&gt;2.40763477672035&lt;/D&gt;&lt;D xsi:type="xsd:double"&gt;2.41367930190169&lt;/D&gt;&lt;D xsi:type="xsd:double"&gt;2.42177360152177&lt;/D&gt;&lt;D xsi:type="xsd:double"&gt;2.2780490696722&lt;/D&gt;&lt;D xsi:type="xsd:double"&gt;2.05263837552871&lt;/D&gt;&lt;/FQL&gt;&lt;FQL&gt;&lt;Q&gt;EWC^FMA_PE(NTMA,-10AY,0,AM,"PORTAGG","MEANR")&lt;/Q&gt;&lt;R&gt;121&lt;/R&gt;&lt;C&gt;1&lt;/C&gt;&lt;D xsi:type="xsd:double"&gt;15.1848495345244&lt;/D&gt;&lt;D xsi:type="xsd:double"&gt;14.9846123671528&lt;/D&gt;&lt;D xsi:type="xsd:double"&gt;15.0417313150279&lt;/D&gt;&lt;D xsi:type="xsd:double"&gt;14.7787197898888&lt;/D&gt;&lt;D xsi:type="xsd:double"&gt;15.1112937218677&lt;/D&gt;&lt;D xsi:type="xsd:double"&gt;14.9547521407861&lt;/D&gt;&lt;D xsi:type="xsd:double"&gt;15.1977636872839&lt;/D&gt;&lt;D xsi:type="xsd:double"&gt;14.3135030463203&lt;/D&gt;&lt;D xsi:type="xsd:double"&gt;14.1297543353851&lt;/D&gt;&lt;D xsi:type="xsd:double"&gt;14.6430750037249&lt;/D&gt;&lt;D xsi:type="xsd:double"&gt;15.6006677092602&lt;/D&gt;&lt;D xsi:type="xsd:double"&gt;16.8850031164959&lt;/D&gt;&lt;D xsi:type="xsd:double"&gt;17.2751521607715&lt;/D&gt;&lt;D xsi:type="xsd:double"&gt;17.0975978273143&lt;/D&gt;&lt;D xsi:type="xsd:double"&gt;17.3665064837995&lt;/D&gt;&lt;D xsi:type="xsd:double"&gt;16.5459355844555&lt;/D&gt;&lt;D xsi:type="xsd:double"&gt;15.9393195822104&lt;/D&gt;&lt;D xsi:type="xsd:double"&gt;15.6649943094328&lt;/D&gt;&lt;D xsi:type="xsd:double"&gt;14.501702845761&lt;/D&gt;&lt;D xsi:type="xsd:double"&gt;14.4606031738619&lt;/D&gt;&lt;D xsi:type="xsd:double"&gt;14.882950130352&lt;/D&gt;&lt;D xsi:type="xsd:double"&gt;14.5116256698864&lt;/D&gt;&lt;D xsi:type="xsd:double"&gt;14.0062456600066&lt;/D&gt;&lt;D xsi:type="xsd:double"&gt;14.5140403358736&lt;/D&gt;&lt;D xsi:type="xsd:double"&gt;15.3121315579067&lt;/D&gt;&lt;D xsi:type="xsd:double"&gt;15.7518323302095&lt;/D&gt;&lt;D xsi:type="xsd:double"&gt;16.2645752310764&lt;/D&gt;&lt;D xsi:type="xsd:double"&gt;16.7267394913414&lt;/D&gt;&lt;D xsi:type="xsd:double"&gt;16.292351603394&lt;/D&gt;&lt;D xsi:type="xsd:double"&gt;16.3018438352894&lt;/D&gt;&lt;D xsi:type="xsd:double"&gt;16.4424361334629&lt;/D&gt;&lt;D xsi:type="xsd:double"&gt;15.8886293433516&lt;/D&gt;&lt;D xsi:type="xsd:double"&gt;15.4998692488029&lt;/D&gt;&lt;D xsi:type="xsd:double"&gt;15.8701628570013&lt;/D&gt;&lt;D xsi:type="xsd:double"&gt;15.9547997177573&lt;/D&gt;&lt;D xsi:type="xsd:double"&gt;16.0332923907167&lt;/D&gt;&lt;D xsi:type="xsd:double"&gt;16.0771331126213&lt;/D&gt;&lt;D xsi:type="xsd:double"&gt;15.9550378675498&lt;/D&gt;&lt;D xsi:type="xsd:double"&gt;15.4897636098004&lt;/D&gt;&lt;D xsi:type="xsd:double"&gt;15.5123585292512&lt;/D&gt;&lt;D xsi:type="xsd:double"&gt;15.2185526976216&lt;/D&gt;&lt;D xsi:type="xsd:double"&gt;15.7243994529745&lt;/D&gt;&lt;D xsi:type="xsd:double"&gt;15.3768543989389&lt;/D&gt;&lt;D xsi:type="xsd:double"&gt;15.8511428543261&lt;/D&gt;&lt;D xsi:type="xsd:double"&gt;15.921295855547&lt;/D&gt;&lt;D xsi:type="xsd:double"&gt;15.8382446814193&lt;/D&gt;&lt;D xsi:type="xsd:double"&gt;16.0791846298192&lt;/D&gt;&lt;D xsi:type="xsd:double"&gt;14.9050084693492&lt;/D&gt;&lt;D xsi:type="xsd:double"&gt;14.2838736765197&lt;/D&gt;&lt;D xsi:type="xsd:double"&gt;13.9735501295852&lt;/D&gt;&lt;D xsi:type="xsd:double"&gt;14.1585075546921&lt;/D&gt;&lt;D xsi:type="xsd:double"&gt;14.2003078226727&lt;/D&gt;&lt;D xsi:type="xsd:double"&gt;14.1973164222681&lt;/D&gt;&lt;D xsi:type="xsd:double"&gt;14.1594270157489&lt;/D&gt;&lt;D xsi:type="xsd:double"&gt;13.6919237725263&lt;/D&gt;&lt;D xsi:type="xsd:double"&gt;13.5010383248819&lt;/D&gt;&lt;D xsi:type="xsd:double"&gt;12.6295019222956&lt;/D&gt;&lt;D xsi:type="xsd:double"&gt;12.6354155946312&lt;/D&gt;&lt;D xsi:type="xsd:double"&gt;12.3790409167286&lt;/D&gt;&lt;D xsi:type="xsd:double"&gt;13.7308784390358&lt;/D&gt;&lt;D xsi:type="xsd:double"&gt;14.1545357718798&lt;/D&gt;&lt;D xsi:type="xsd:double"&gt;14.2317421817862&lt;/D&gt;&lt;D xsi:type="xsd:double"&gt;13.8350180935099&lt;/D&gt;&lt;D xsi:type="xsd:double"&gt;13.4487434329986&lt;/D&gt;&lt;D xsi:type="xsd:double"&gt;13.7908806569724&lt;/D&gt;&lt;D xsi:type="xsd:double"&gt;13.5458192811406&lt;/D&gt;&lt;D xsi:type="xsd:double"&gt;13.6654973070392&lt;/D&gt;&lt;D xsi:type="xsd:double"&gt;13.7403541728782&lt;/D&gt;&lt;D xsi:type="xsd:double"&gt;14.1303704379164&lt;/D&gt;&lt;D xsi:type="xsd:double"&gt;14.2308828658196&lt;/D&gt;&lt;D xsi:type="xsd:double"&gt;14.3988359334841&lt;/D&gt;&lt;D xsi:type="xsd:double"&gt;14.6033053504242&lt;/D&gt;&lt;D xsi:type="xsd:double"&gt;14.4021458250937&lt;/D&gt;&lt;D xsi:type="xsd:double"&gt;12.9230124190845&lt;/D&gt;&lt;D xsi:type="xsd:double"&gt;16.5662214265009&lt;/D&gt;&lt;D xsi:type="xsd:double"&gt;18.2367431192798&lt;/D&gt;&lt;D xsi:type="xsd:double"&gt;17.7111157880514&lt;/D&gt;&lt;D xsi:type="xsd:double"&gt;17.7556204851878&lt;/D&gt;&lt;D xsi:type="xsd:double"&gt;16.7949894250864&lt;/D&gt;&lt;D xsi:type="xsd:double"&gt;16.2219449389062&lt;/D&gt;&lt;D xsi:type="xsd:double"&gt;15.4977333972154&lt;/D&gt;&lt;D xsi:type="xsd:double"&gt;16.2812045631427&lt;/D&gt;&lt;D xsi:type="xsd:double"&gt;15.8363864674998&lt;/D&gt;&lt;D xsi:type="xsd:double"&gt;15.9589835060613&lt;/D&gt;&lt;D xsi:type="xsd:double"&gt;15.1903969819962&lt;/D&gt;&lt;D xsi:type="xsd:double"&gt;15.5223416392423&lt;/D&gt;&lt;D xsi:type="xsd:double"&gt;15.4359678041476&lt;/D&gt;&lt;D xsi:type="xsd:double"&gt;15.5890171863838&lt;/D&gt;&lt;D xsi:type="xsd:double"&gt;15.5841026701326&lt;/D&gt;&lt;D xsi:type="xsd:double"&gt;15.1172621070101&lt;/D&gt;&lt;D xsi:type="xsd:double"&gt;15.0059607722278&lt;/D&gt;&lt;D xsi:type="xsd:double"&gt;14.3422087655881&lt;/D&gt;&lt;D xsi:type="xsd:double"&gt;14.925291514468&lt;/D&gt;&lt;D xsi:type="xsd:double"&gt;14.0775350596005&lt;/D&gt;&lt;D xsi:type="xsd:double"&gt;14.4135665598288&lt;/D&gt;&lt;D xsi:type="xsd:double"&gt;14.1827105139414&lt;/D&gt;&lt;D xsi:type="xsd:double"&gt;13.9791952098913&lt;/D&gt;&lt;D xsi:type="xsd:double"&gt;13.6700244452683&lt;/D&gt;&lt;D xsi:type="xsd:double"&gt;12.7675803875727&lt;/D&gt;&lt;D xsi:type="xsd:double"&gt;12.4319886314992&lt;/D&gt;&lt;D xsi:type="xsd:double"&gt;11.2255879530961&lt;/D&gt;&lt;D xsi:type="xsd:double"&gt;11.4747062697648&lt;/D&gt;&lt;D xsi:type="xsd:double"&gt;11.2982604285122&lt;/D&gt;&lt;D xsi:type="xsd:double"&gt;11.3148012604548&lt;/D&gt;&lt;D xsi:type="xsd:double"&gt;11.5186146675421&lt;/D&gt;&lt;D xsi:type="xsd:double"&gt;12.4490725801399&lt;/D&gt;&lt;D xsi:type="xsd:double"&gt;12.0384878604288&lt;/D&gt;&lt;D xsi:type="xsd:double"&gt;13.068455910617&lt;/D&gt;&lt;D xsi:type="xsd:double"&gt;12.9699924818043&lt;/D&gt;&lt;D xsi:type="xsd:double"&gt;12.8861702480357&lt;/D&gt;&lt;D xsi:type="xsd:double"&gt;12.800130474759&lt;/D&gt;&lt;D xsi:type="xsd:double"&gt;12.9375850240642&lt;/D&gt;&lt;D xsi:type="xsd:double"&gt;13.00512848392&lt;/D&gt;&lt;D xsi:type="xsd:double"&gt;13.2089591843777&lt;/D&gt;&lt;D xsi:type="xsd:double"&gt;13.354403091929&lt;/D&gt;&lt;D xsi:type="xsd:double"&gt;12.2386242350722&lt;/D&gt;&lt;D xsi:type="xsd:double"&gt;12.6045907623818&lt;/D&gt;&lt;D xsi:type="xsd:double"&gt;13.0872355892043&lt;/D&gt;&lt;D xsi:type="xsd:double"&gt;13.5840027109724&lt;/D&gt;&lt;D xsi:type="xsd:double"&gt;13.8596449074863&lt;/D&gt;&lt;D xsi:type="xsd:double"&gt;14.8629000203024&lt;/D&gt;&lt;/FQL&gt;&lt;FQL&gt;&lt;Q&gt;ENZL^FMA_PE(LTMA,-10AY,0,AM,"PORTAGG","MEANR")&lt;/Q&gt;&lt;R&gt;121&lt;/R&gt;&lt;C&gt;1&lt;/C&gt;&lt;D xsi:type="xsd:double"&gt;17.9573725821049&lt;/D&gt;&lt;D xsi:type="xsd:double"&gt;17.9531960853795&lt;/D&gt;&lt;D xsi:type="xsd:double"&gt;18.1081302909899&lt;/D&gt;&lt;D xsi:type="xsd:double"&gt;17.9438382345737&lt;/D&gt;&lt;D xsi:type="xsd:double"&gt;18.0160973330219&lt;/D&gt;&lt;D xsi:type="xsd:double"&gt;17.8773236106286&lt;/D&gt;&lt;D xsi:type="xsd:double"&gt;17.9058782108598&lt;/D&gt;&lt;D xsi:type="xsd:double"&gt;17.8726778206679&lt;/D&gt;&lt;D xsi:type="xsd:double"&gt;18.5091483805311&lt;/D&gt;&lt;D xsi:type="xsd:double"&gt;18.9501389366444&lt;/D&gt;&lt;D xsi:type="xsd:double"&gt;19.2341389813833&lt;/D&gt;&lt;D xsi:type="xsd:double"&gt;20.0151700555164&lt;/D&gt;&lt;D xsi:type="xsd:double"&gt;20.5075127779875&lt;/D&gt;&lt;D xsi:type="xsd:double"&gt;20.2701126972107&lt;/D&gt;&lt;D xsi:type="xsd:double"&gt;20.0596567372419&lt;/D&gt;&lt;D xsi:type="xsd:double"&gt;20.0272275996383&lt;/D&gt;&lt;D xsi:type="xsd:double"&gt;19.8755888358466&lt;/D&gt;&lt;D xsi:type="xsd:double"&gt;19.8764203176493&lt;/D&gt;&lt;D xsi:type="xsd:double"&gt;18.960416878999&lt;/D&gt;&lt;D xsi:type="xsd:double"&gt;18.6100967787143&lt;/D&gt;&lt;D xsi:type="xsd:double"&gt;19.6937155792538&lt;/D&gt;&lt;D xsi:type="xsd:double"&gt;19.5659708040725&lt;/D&gt;&lt;D xsi:type="xsd:double"&gt;19.8420519527744&lt;/D&gt;&lt;D xsi:type="xsd:double"&gt;19.0315333903199&lt;/D&gt;&lt;D xsi:type="xsd:double"&gt;19.3301639469493&lt;/D&gt;&lt;D xsi:type="xsd:double"&gt;19.3533326936641&lt;/D&gt;&lt;D xsi:type="xsd:double"&gt;19.4656168983397&lt;/D&gt;&lt;D xsi:type="xsd:double"&gt;19.8165848770946&lt;/D&gt;&lt;D xsi:type="xsd:double"&gt;19.7077987621199&lt;/D&gt;&lt;D xsi:type="xsd:double"&gt;20.4763043308048&lt;/D&gt;&lt;D xsi:type="xsd:double"&gt;20.963367602413&lt;/D&gt;&lt;D xsi:type="xsd:double"&gt;20.962838625226&lt;/D&gt;&lt;D xsi:type="xsd:double"&gt;19.476175382873&lt;/D&gt;&lt;D xsi:type="xsd:double"&gt;20.0199524674571&lt;/D&gt;&lt;D xsi:type="xsd:double"&gt;20.2433333891742&lt;/D&gt;&lt;D xsi:type="xsd:double"&gt;20.5408386654425&lt;/D&gt;&lt;D xsi:type="xsd:double"&gt;19.8138835774319&lt;/D&gt;&lt;D xsi:type="xsd:double"&gt;19.8144190932246&lt;/D&gt;&lt;D xsi:type="xsd:double"&gt;19.9320225867068&lt;/D&gt;&lt;D xsi:type="xsd:double"&gt;20.0034945545716&lt;/D&gt;&lt;D xsi:type="xsd:double"&gt;20.0780043061073&lt;/D&gt;&lt;D xsi:type="xsd:double"&gt;20.4993157209764&lt;/D&gt;&lt;D xsi:type="xsd:double"&gt;20.6091379600415&lt;/D&gt;&lt;D xsi:type="xsd:double"&gt;20.6527194006466&lt;/D&gt;&lt;D xsi:type="xsd:double"&gt;21.2244259438749&lt;/D&gt;&lt;D xsi:type="xsd:double"&gt;21.6356077480455&lt;/D&gt;&lt;D xsi:type="xsd:double"&gt;22.4773959158251&lt;/D&gt;&lt;D xsi:type="xsd:double"&gt;22.4628391333142&lt;/D&gt;&lt;D xsi:type="xsd:double"&gt;22.5797765761439&lt;/D&gt;&lt;D xsi:type="xsd:double"&gt;22.4108138365989&lt;/D&gt;&lt;D xsi:type="xsd:double"&gt;22.4001870149689&lt;/D&gt;&lt;D xsi:type="xsd:double"&gt;22.4383592604618&lt;/D&gt;&lt;D xsi:type="xsd:double"&gt;22.978318263358&lt;/D&gt;&lt;D xsi:type="xsd:double"&gt;22.8067158433713&lt;/D&gt;&lt;D xsi:type="xsd:double"&gt;23.7001632473935&lt;/D&gt;&lt;D xsi:type="xsd:double"&gt;23.5291948131134&lt;/D&gt;&lt;D xsi:type="xsd:double"&gt;22.824232228699&lt;/D&gt;&lt;D xsi:type="xsd:double"&gt;23.0470691600501&lt;/D&gt;&lt;D xsi:type="xsd:double"&gt;22.7918941770155&lt;/D&gt;&lt;D xsi:type="xsd:double"&gt;23.2090272685318&lt;/D&gt;&lt;D xsi:type="xsd:double"&gt;24.1863572809716&lt;/D&gt;&lt;D xsi:type="xsd:double"&gt;24.16641206837&lt;/D&gt;&lt;D xsi:type="xsd:double"&gt;24.2577298861835&lt;/D&gt;&lt;D xsi:type="xsd:double"&gt;24.0671117381986&lt;/D&gt;&lt;D xsi:type="xsd:double"&gt;24.7717361132745&lt;/D&gt;&lt;D xsi:type="xsd:double"&gt;25.4183300791344&lt;/D&gt;&lt;D xsi:type="xsd:double"&gt;28.4433515640345&lt;/D&gt;&lt;D xsi:type="xsd:double"&gt;28.5934771235445&lt;/D&gt;&lt;D xsi:type="xsd:double"&gt;28.9666531689243&lt;/D&gt;&lt;D xsi:type="xsd:double"&gt;30.9828801801464&lt;/D&gt;&lt;D xsi:type="xsd:double"&gt;32.5714799457538&lt;/D&gt;&lt;D xsi:type="xsd:double"&gt;32.0618391243391&lt;/D&gt;&lt;D xsi:type="xsd:double"&gt;31.0717366497581&lt;/D&gt;&lt;D xsi:type="xsd:double"&gt;30.5732842905042&lt;/D&gt;&lt;D xsi:type="xsd:double"&gt;31.5268187530596&lt;/D&gt;&lt;D xsi:type="xsd:double"&gt;32.3038767122595&lt;/D&gt;&lt;D xsi:type="xsd:double"&gt;32.8069384123573&lt;/D&gt;&lt;D xsi:type="xsd:double"&gt;33.8701526852545&lt;/D&gt;&lt;D xsi:type="xsd:double"&gt;33.6290782545707&lt;/D&gt;&lt;D xsi:type="xsd:double"&gt;33.9186217581934&lt;/D&gt;&lt;D xsi:type="xsd:double"&gt;35.3499943924885&lt;/D&gt;&lt;D xsi:type="xsd:double"&gt;35.8585888067486&lt;/D&gt;&lt;D xsi:type="xsd:double"&gt;37.9245480693812&lt;/D&gt;&lt;D xsi:type="xsd:double"&gt;36.2976019608396&lt;/D&gt;&lt;D xsi:type="xsd:double"&gt;34.3658406711408&lt;/D&gt;&lt;D xsi:type="xsd:double"&gt;34.4420911347834&lt;/D&gt;&lt;D xsi:type="xsd:double"&gt;34.7577051084026&lt;/D&gt;&lt;D xsi:type="xsd:double"&gt;35.2895620560326&lt;/D&gt;&lt;D xsi:type="xsd:double"&gt;36.2748853413342&lt;/D&gt;&lt;D xsi:type="xsd:double"&gt;36.9974288902002&lt;/D&gt;&lt;D xsi:type="xsd:double"&gt;38.5269567438967&lt;/D&gt;&lt;D xsi:type="xsd:double"&gt;39.0411942993966&lt;/D&gt;&lt;D xsi:type="xsd:double"&gt;39.0731124763799&lt;/D&gt;&lt;D xsi:type="xsd:double"&gt;37.4885668597757&lt;/D&gt;&lt;D xsi:type="xsd:double"&gt;39.3110919887851&lt;/D&gt;&lt;D xsi:type="xsd:double"&gt;37.1552301371641&lt;/D&gt;&lt;D xsi:type="xsd:double"&gt;35.3194494266873&lt;/D&gt;&lt;D xsi:type="xsd:double"&gt;34.7419258748085&lt;/D&gt;&lt;D xsi:type="xsd:double"&gt;34.7500012453184&lt;/D&gt;&lt;D xsi:type="xsd:double"&gt;33.6799153487891&lt;/D&gt;&lt;D xsi:type="xsd:double"&gt;32.7706817688362&lt;/D&gt;&lt;D xsi:type="xsd:double"&gt;33.5775303159554&lt;/D&gt;&lt;D xsi:type="xsd:double"&gt;34.2725599613364&lt;/D&gt;&lt;D xsi:type="xsd:double"&gt;31.7837562402721&lt;/D&gt;&lt;D xsi:type="xsd:double"&gt;31.2708705353861&lt;/D&gt;&lt;D xsi:type="xsd:double"&gt;29.9399648504985&lt;/D&gt;&lt;D xsi:type="xsd:double"&gt;29.3527122128299&lt;/D&gt;&lt;D xsi:type="xsd:double"&gt;30.2234108820395&lt;/D&gt;&lt;D xsi:type="xsd:double"&gt;29.4854173541615&lt;/D&gt;&lt;D xsi:type="xsd:double"&gt;28.8686253101725&lt;/D&gt;&lt;D xsi:type="xsd:double"&gt;28.4258991596622&lt;/D&gt;&lt;D xsi:type="xsd:double"&gt;26.8703611716475&lt;/D&gt;&lt;D xsi:type="xsd:double"&gt;26.0517820790492&lt;/D&gt;&lt;D xsi:type="xsd:double"&gt;25.1971049821125&lt;/D&gt;&lt;D xsi:type="xsd:double"&gt;24.8184061430677&lt;/D&gt;&lt;D xsi:type="xsd:double"&gt;23.6101776165776&lt;/D&gt;&lt;D xsi:type="xsd:double"&gt;22.8144918329742&lt;/D&gt;&lt;D xsi:type="xsd:double"&gt;23.3584069441211&lt;/D&gt;&lt;D xsi:type="xsd:double"&gt;23.9134298258823&lt;/D&gt;&lt;D xsi:type="xsd:double"&gt;23.416418503694&lt;/D&gt;&lt;D xsi:type="xsd:double"&gt;23.459614811881&lt;/D&gt;&lt;/FQL&gt;&lt;FQL&gt;&lt;Q&gt;WL-FDS^FG_PRICE_MAVG(0,,,,30)&lt;/Q&gt;&lt;R&gt;1&lt;/R&gt;&lt;C&gt;1&lt;/C&gt;&lt;D xsi:type="xsd:double"&gt;646.01666&lt;/D&gt;&lt;/FQL&gt;&lt;FQL&gt;&lt;Q&gt;NI-FDS^FG_PRICE_MAVG(0,,,,30)&lt;/Q&gt;&lt;R&gt;1&lt;/R&gt;&lt;C&gt;1&lt;/C&gt;&lt;D xsi:type="xsd:double"&gt;16349&lt;/D&gt;&lt;/FQL&gt;&lt;FQL&gt;&lt;Q&gt;CPALM-FDS^FG_PRICE_MAVG(0,,,,30)&lt;/Q&gt;&lt;R&gt;1&lt;/R&gt;&lt;C&gt;1&lt;/C&gt;&lt;D xsi:type="xsd:double"&gt;3942.3333&lt;/D&gt;&lt;/FQL&gt;&lt;FQL&gt;&lt;Q&gt;BRENT-FDS^FG_PRICE_MAVG(0,,,,30)&lt;/Q&gt;&lt;R&gt;1&lt;/R&gt;&lt;C&gt;1&lt;/C&gt;&lt;D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xsi:type="xsd:double"&gt;129.153&lt;/D&gt;&lt;/FQL&gt;&lt;FQL&gt;&lt;Q&gt;DUMMY^ECON_EXPR_DATA('FDS_ECON[NTCPMIMFGSA@EME]',,,M)&lt;/Q&gt;&lt;R&gt;1&lt;/R&gt;&lt;C&gt;1&lt;/C&gt;&lt;D xsi:type="xsd:double"&gt;51.4475&lt;/D&gt;&lt;/FQL&gt;&lt;FQL&gt;&lt;Q&gt;EWI^FG_COMPANY_NAME&lt;/Q&gt;&lt;R&gt;1&lt;/R&gt;&lt;C&gt;1&lt;/C&gt;&lt;D xsi:type="xsd:string"&gt;iShares MSCI Italy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xsi:type="xsd:double"&gt;9.71407742399289&lt;/D&gt;&lt;D xsi:type="xsd:double"&gt;12.1999545354885&lt;/D&gt;&lt;D xsi:type="xsd:double"&gt;11.8188093455252&lt;/D&gt;&lt;D xsi:type="xsd:double"&gt;11.9307551850311&lt;/D&gt;&lt;/FQL&gt;&lt;FQL&gt;&lt;Q&gt;TRYUS10Y-FDS^FG_YIELD(-10AY,0,Y,,"YTM")&lt;/Q&gt;&lt;R&gt;10&lt;/R&gt;&lt;C&gt;1&lt;/C&gt;&lt;D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xsi:type="xsd:double"&gt;3.8791&lt;/D&gt;&lt;/FQL&gt;&lt;FQL&gt;&lt;Q&gt;EWN^FG_COMPANY_NAME&lt;/Q&gt;&lt;R&gt;1&lt;/R&gt;&lt;C&gt;1&lt;/C&gt;&lt;D xsi:type="xsd:string"&gt;iShares MSCI Netherlands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xsi:type="xsd:double"&gt;13.1440312273413&lt;/D&gt;&lt;/FQL&gt;&lt;FQL&gt;&lt;Q&gt;TIPSCL10Y-FDS^FG_YIELD(-10AY,0,Y,,"YTM")&lt;/Q&gt;&lt;R&gt;10&lt;/R&gt;&lt;C&gt;1&lt;/C&gt;&lt;D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xsi:type="xsd:long"&gt;45289&lt;/D&gt;&lt;/FQL&gt;&lt;FQL&gt;&lt;Q&gt;CAGDPY@CH^EE_ACTUAL_ANNUAL(MED,0)&lt;/Q&gt;&lt;R&gt;0&lt;/R&gt;&lt;C&gt;0&lt;/C&gt;&lt;/FQL&gt;&lt;FQL&gt;&lt;Q&gt;CC_DE^FG_COMPANY_NAME&lt;/Q&gt;&lt;R&gt;1&lt;/R&gt;&lt;C&gt;1&lt;/C&gt;&lt;D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xsi:type="xsd:double"&gt;-1.270318&lt;/D&gt;&lt;/FQL&gt;&lt;FQL&gt;&lt;Q&gt;USDCHF^FG_PRICE_CHANGE(0,-1AM)&lt;/Q&gt;&lt;R&gt;1&lt;/R&gt;&lt;C&gt;1&lt;/C&gt;&lt;D xsi:type="xsd:double"&gt;2.2123456&lt;/D&gt;&lt;/FQL&gt;&lt;FQL&gt;&lt;Q&gt;USDEUR^FG_PRICE_CHANGE(0,-1AM)&lt;/Q&gt;&lt;R&gt;1&lt;/R&gt;&lt;C&gt;1&lt;/C&gt;&lt;D xsi:type="xsd:double"&gt;-0.56611896&lt;/D&gt;&lt;/FQL&gt;&lt;FQL&gt;&lt;Q&gt;USDAUD^FG_PRICE_CHANGE(0,-1AM)&lt;/Q&gt;&lt;R&gt;1&lt;/R&gt;&lt;C&gt;1&lt;/C&gt;&lt;D xsi:type="xsd:double"&gt;0&lt;/D&gt;&lt;/FQL&gt;&lt;FQL&gt;&lt;Q&gt;SPY^FMA_EPS(NTMA,-20AY,0,CY,,"PORTAGG","MEANR")&lt;/Q&gt;&lt;R&gt;20&lt;/R&gt;&lt;C&gt;1&lt;/C&gt;&lt;D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xsi:type="xsd:double"&gt;22.2768073991295&lt;/D&gt;&lt;D xsi:type="xsd:double"&gt;22.9690023603335&lt;/D&gt;&lt;D xsi:type="xsd:double"&gt;24.3479837603906&lt;/D&gt;&lt;/FQL&gt;&lt;FQL&gt;&lt;Q&gt;EWU^P_PRICE_RETURNS_PR('52W',2,-10AY,0,AM)&lt;/Q&gt;&lt;R&gt;121&lt;/R&gt;&lt;C&gt;1&lt;/C&gt;&lt;D xsi:type="xsd:double"&gt;21.152317&lt;/D&gt;&lt;D xsi:type="xsd:double"&gt;16.230942&lt;/D&gt;&lt;D xsi:type="xsd:double"&gt;17.843163&lt;/D&gt;&lt;D xsi:type="xsd:double"&gt;17.62389&lt;/D&gt;&lt;D xsi:type="xsd:double"&gt;26.970911&lt;/D&gt;&lt;D xsi:type="xsd:double"&gt;13.572359&lt;/D&gt;&lt;D xsi:type="xsd:double"&gt;13.650095&lt;/D&gt;&lt;D xsi:type="xsd:double"&gt;2.785194&lt;/D&gt;&lt;D xsi:type="xsd:double"&gt;-2.4166286&lt;/D&gt;&lt;D xsi:type="xsd:double"&gt;0.66155195&lt;/D&gt;&lt;D xsi:type="xsd:double"&gt;-7.331353&lt;/D&gt;&lt;D xsi:type="xsd:double"&gt;0.5165577&lt;/D&gt;&lt;D xsi:type="xsd:double"&gt;-4.7300816&lt;/D&gt;&lt;D xsi:type="xsd:double"&gt;-5.8742704&lt;/D&gt;&lt;D xsi:type="xsd:double"&gt;-4.5517445&lt;/D&gt;&lt;D xsi:type="xsd:double"&gt;-5.914736&lt;/D&gt;&lt;D xsi:type="xsd:double"&gt;-9.894401&lt;/D&gt;&lt;D xsi:type="xsd:double"&gt;-5.6487503&lt;/D&gt;&lt;D xsi:type="xsd:double"&gt;-16.781504&lt;/D&gt;&lt;D xsi:type="xsd:double"&gt;-7.308316&lt;/D&gt;&lt;D xsi:type="xsd:double"&gt;-2.4153829&lt;/D&gt;&lt;D xsi:type="xsd:double"&gt;-7.2867928&lt;/D&gt;&lt;D xsi:type="xsd:double"&gt;-7.657981&lt;/D&gt;&lt;D xsi:type="xsd:double"&gt;-14.74616&lt;/D&gt;&lt;D xsi:type="xsd:double"&gt;-14.261234&lt;/D&gt;&lt;D xsi:type="xsd:double"&gt;-11.192542&lt;/D&gt;&lt;D xsi:type="xsd:double"&gt;-14.845878&lt;/D&gt;&lt;D xsi:type="xsd:double"&gt;-12.084693&lt;/D&gt;&lt;D xsi:type="xsd:double"&gt;-12.171942&lt;/D&gt;&lt;D xsi:type="xsd:double"&gt;-12.086546&lt;/D&gt;&lt;D xsi:type="xsd:double"&gt;1.2027383&lt;/D&gt;&lt;D xsi:type="xsd:double"&gt;-1.7360866&lt;/D&gt;&lt;D xsi:type="xsd:double"&gt;-12.776971&lt;/D&gt;&lt;D xsi:type="xsd:double"&gt;-7.2517514&lt;/D&gt;&lt;D xsi:type="xsd:double"&gt;1.7604113&lt;/D&gt;&lt;D xsi:type="xsd:double"&gt;8.14364&lt;/D&gt;&lt;D xsi:type="xsd:double"&gt;7.546413&lt;/D&gt;&lt;D xsi:type="xsd:double"&gt;8.020676&lt;/D&gt;&lt;D xsi:type="xsd:double"&gt;9.40963&lt;/D&gt;&lt;D xsi:type="xsd:double"&gt;12.274897&lt;/D&gt;&lt;D xsi:type="xsd:double"&gt;12.39264&lt;/D&gt;&lt;D xsi:type="xsd:double"&gt;14.444172&lt;/D&gt;&lt;D xsi:type="xsd:double"&gt;11.007082&lt;/D&gt;&lt;D xsi:type="xsd:double"&gt;13.841963&lt;/D&gt;&lt;D xsi:type="xsd:double"&gt;21.388126&lt;/D&gt;&lt;D xsi:type="xsd:double"&gt;18.925894&lt;/D&gt;&lt;D xsi:type="xsd:double"&gt;21.31977&lt;/D&gt;&lt;D xsi:type="xsd:double"&gt;20.064354&lt;/D&gt;&lt;D xsi:type="xsd:double"&gt;11.925364&lt;/D&gt;&lt;D xsi:type="xsd:double"&gt;12.631106&lt;/D&gt;&lt;D xsi:type="xsd:double"&gt;12.908363&lt;/D&gt;&lt;D xsi:type="xsd:double"&gt;8.51556&lt;/D&gt;&lt;D xsi:type="xsd:double"&gt;7.9122066&lt;/D&gt;&lt;D xsi:type="xsd:double"&gt;4.6163917&lt;/D&gt;&lt;D xsi:type="xsd:double"&gt;2.3182392&lt;/D&gt;&lt;D xsi:type="xsd:double"&gt;0.93364716&lt;/D&gt;&lt;D xsi:type="xsd:double"&gt;-3.4116209&lt;/D&gt;&lt;D xsi:type="xsd:double"&gt;-6.9810333&lt;/D&gt;&lt;D xsi:type="xsd:double"&gt;-13.488388&lt;/D&gt;&lt;D xsi:type="xsd:double"&gt;-8.593809&lt;/D&gt;&lt;D xsi:type="xsd:double"&gt;-0.92310905&lt;/D&gt;&lt;D xsi:type="xsd:double"&gt;0.70438385&lt;/D&gt;&lt;D xsi:type="xsd:double"&gt;-1.5184402&lt;/D&gt;&lt;D xsi:type="xsd:double"&gt;-7.273543&lt;/D&gt;&lt;D xsi:type="xsd:double"&gt;-0.35901666&lt;/D&gt;&lt;D xsi:type="xsd:double"&gt;-6.133932&lt;/D&gt;&lt;D xsi:type="xsd:double"&gt;-3.082043&lt;/D&gt;&lt;D xsi:type="xsd:double"&gt;-5.0047216&lt;/D&gt;&lt;D xsi:type="xsd:double"&gt;6.627834&lt;/D&gt;&lt;D xsi:type="xsd:double"&gt;10.175467&lt;/D&gt;&lt;D xsi:type="xsd:double"&gt;21.152996&lt;/D&gt;&lt;D xsi:type="xsd:double"&gt;8.346785&lt;/D&gt;&lt;D xsi:type="xsd:double"&gt;-2.755791&lt;/D&gt;&lt;D xsi:type="xsd:double"&gt;-30.456179&lt;/D&gt;&lt;D xsi:type="xsd:double"&gt;-23.862278&lt;/D&gt;&lt;D xsi:type="xsd:double"&gt;-11.423862&lt;/D&gt;&lt;D xsi:type="xsd:double"&gt;-17.175371&lt;/D&gt;&lt;D xsi:type="xsd:double"&gt;-10.833561&lt;/D&gt;&lt;D xsi:type="xsd:double"&gt;-12.353259&lt;/D&gt;&lt;D xsi:type="xsd:double"&gt;-11.932241&lt;/D&gt;&lt;D xsi:type="xsd:double"&gt;-19.61891&lt;/D&gt;&lt;D xsi:type="xsd:double"&gt;-5.536139&lt;/D&gt;&lt;D xsi:type="xsd:double"&gt;-9.943533&lt;/D&gt;&lt;D xsi:type="xsd:double"&gt;-7.432914&lt;/D&gt;&lt;D xsi:type="xsd:double"&gt;4.5408964&lt;/D&gt;&lt;D xsi:type="xsd:double"&gt;43.06388&lt;/D&gt;&lt;D xsi:type="xsd:double"&gt;35.714054&lt;/D&gt;&lt;D xsi:type="xsd:double"&gt;28.433395&lt;/D&gt;&lt;D xsi:type="xsd:double"&gt;30.004692&lt;/D&gt;&lt;D xsi:type="xsd:double"&gt;28.810978&lt;/D&gt;&lt;D xsi:type="xsd:double"&gt;32.05025&lt;/D&gt;&lt;D xsi:type="xsd:double"&gt;29.667377&lt;/D&gt;&lt;D xsi:type="xsd:double"&gt;34.46833&lt;/D&gt;&lt;D xsi:type="xsd:double"&gt;12.290692&lt;/D&gt;&lt;D xsi:type="xsd:double"&gt;18.817627&lt;/D&gt;&lt;D xsi:type="xsd:double"&gt;20.306896&lt;/D&gt;&lt;D xsi:type="xsd:double"&gt;6.2824607&lt;/D&gt;&lt;D xsi:type="xsd:double"&gt;11.846566&lt;/D&gt;&lt;D xsi:type="xsd:double"&gt;5.704832&lt;/D&gt;&lt;D xsi:type="xsd:double"&gt;1.3152957&lt;/D&gt;&lt;D xsi:type="xsd:double"&gt;-4.9628735&lt;/D&gt;&lt;D xsi:type="xsd:double"&gt;-2.8933704&lt;/D&gt;&lt;D xsi:type="xsd:double"&gt;-11.10031&lt;/D&gt;&lt;D xsi:type="xsd:double"&gt;-10.06493&lt;/D&gt;&lt;D xsi:type="xsd:double"&gt;-9.713644&lt;/D&gt;&lt;D xsi:type="xsd:double"&gt;2.7708411&lt;/D&gt;&lt;D xsi:type="xsd:double"&gt;-4.694682&lt;/D&gt;&lt;D xsi:type="xsd:double"&gt;-2.7380228&lt;/D&gt;&lt;D xsi:type="xsd:double"&gt;3.1390548&lt;/D&gt;&lt;D xsi:type="xsd:double"&gt;-0.32954216&lt;/D&gt;&lt;D xsi:type="xsd:double"&gt;4.2043567&lt;/D&gt;&lt;D xsi:type="xsd:double"&gt;1.1889458&lt;/D&gt;&lt;D xsi:type="xsd:double"&gt;11.498857&lt;/D&gt;&lt;D xsi:type="xsd:double"&gt;8.639622&lt;/D&gt;&lt;D xsi:type="xsd:double"&gt;16.719936&lt;/D&gt;&lt;D xsi:type="xsd:double"&gt;14.486181&lt;/D&gt;&lt;D xsi:type="xsd:double"&gt;17.281092&lt;/D&gt;&lt;D xsi:type="xsd:double"&gt;5.7707906&lt;/D&gt;&lt;D xsi:type="xsd:double"&gt;10.053492&lt;/D&gt;&lt;D xsi:type="xsd:double"&gt;4.579401&lt;/D&gt;&lt;D xsi:type="xsd:double"&gt;4.6081543&lt;/D&gt;&lt;/FQL&gt;&lt;FQL&gt;&lt;Q&gt;EWJ^FG_TOTAL_RETURNC(-10AY,0,AM)&lt;/Q&gt;&lt;R&gt;121&lt;/R&gt;&lt;C&gt;1&lt;/C&gt;&lt;D xsi:type="xsd:double"&gt;4.6804</t>
        </r>
      </text>
    </comment>
    <comment ref="A8" authorId="0" shapeId="0" xr:uid="{F3A2C227-C701-4138-B976-36EE4757EA65}">
      <text>
        <r>
          <rPr>
            <b/>
            <sz val="9"/>
            <color indexed="81"/>
            <rFont val="Tahoma"/>
            <family val="2"/>
          </rPr>
          <t>667&lt;/D&gt;&lt;D xsi:type="xsd:double"&gt;-2.4075627&lt;/D&gt;&lt;D xsi:type="xsd:double"&gt;-1.32159&lt;/D&gt;&lt;D xsi:type="xsd:double"&gt;5.1785707&lt;/D&gt;&lt;D xsi:type="xsd:double"&gt;4.1032553&lt;/D&gt;&lt;D xsi:type="xsd:double"&gt;-1.3957322&lt;/D&gt;&lt;D xsi:type="xsd:double"&gt;-0.9991646&lt;/D&gt;&lt;D xsi:type="xsd:double"&gt;-3.2800674&lt;/D&gt;&lt;D xsi:type="xsd:double"&gt;2.782607&lt;/D&gt;&lt;D xsi:type="xsd:double"&gt;-0.6768167&lt;/D&gt;&lt;D xsi:type="xsd:double"&gt;-3.5241663&lt;/D&gt;&lt;D xsi:type="xsd:double"&gt;3.4635782&lt;/D&gt;&lt;D xsi:type="xsd:double"&gt;5.2360535&lt;/D&gt;&lt;D xsi:type="xsd:double"&gt;3.50734&lt;/D&gt;&lt;D xsi:type="xsd:double"&gt;3.073287&lt;/D&gt;&lt;D xsi:type="xsd:double"&gt;-0.3058076&lt;/D&gt;&lt;D xsi:type="xsd:double"&gt;-0.57451725&lt;/D&gt;&lt;D xsi:type="xsd:double"&gt;-0.31007528&lt;/D&gt;&lt;D xsi:type="xsd:double"&gt;-10.653186&lt;/D&gt;&lt;D xsi:type="xsd:double"&gt;1.3925195&lt;/D&gt;&lt;D xsi:type="xsd:double"&gt;5.9227467&lt;/D&gt;&lt;D xsi:type="xsd:double"&gt;0.6482959&lt;/D&gt;&lt;D xsi:type="xsd:double"&gt;-3.2459676&lt;/D&gt;&lt;D xsi:type="xsd:double"&gt;-6.6219625&lt;/D&gt;&lt;D xsi:type="xsd:double"&gt;3.4111261&lt;/D&gt;&lt;D xsi:type="xsd:double"&gt;-3.3854187&lt;/D&gt;&lt;D xsi:type="xsd:double"&gt;2.6055694&lt;/D&gt;&lt;D xsi:type="xsd:double"&gt;2.7145267&lt;/D&gt;&lt;D xsi:type="xsd:double"&gt;-1.3546884&lt;/D&gt;&lt;D xsi:type="xsd:double"&gt;5.0522685&lt;/D&gt;&lt;D xsi:type="xsd:double"&gt;3.3167481&lt;/D&gt;&lt;D xsi:type="xsd:double"&gt;-0.240767&lt;/D&gt;&lt;D xsi:type="xsd:double"&gt;-0.40225387&lt;/D&gt;&lt;D xsi:type="xsd:double"&gt;0.20194054&lt;/D&gt;&lt;D xsi:type="xsd:double"&gt;2.457416&lt;/D&gt;&lt;D xsi:type="xsd:double"&gt;1.5920401&lt;/D&gt;&lt;D xsi:type="xsd:double"&gt;0.6268382&lt;/D&gt;&lt;D xsi:type="xsd:double"&gt;0.40880442&lt;/D&gt;&lt;D xsi:type="xsd:double"&gt;1.7448545&lt;/D&gt;&lt;D xsi:type="xsd:double"&gt;4.6112895&lt;/D&gt;&lt;D xsi:type="xsd:double"&gt;-2.1239758&lt;/D&gt;&lt;D xsi:type="xsd:double"&gt;3.2777667&lt;/D&gt;&lt;D xsi:type="xsd:double"&gt;-1.178813&lt;/D&gt;&lt;D xsi:type="xsd:double"&gt;2.8629065&lt;/D&gt;&lt;D xsi:type="xsd:double"&gt;5.602145&lt;/D&gt;&lt;D xsi:type="xsd:double"&gt;-0.30410886&lt;/D&gt;&lt;D xsi:type="xsd:double"&gt;5.5491567&lt;/D&gt;&lt;D xsi:type="xsd:double"&gt;0.72733164&lt;/D&gt;&lt;D xsi:type="xsd:double"&gt;-3.770858&lt;/D&gt;&lt;D xsi:type="xsd:double"&gt;0.50024986&lt;/D&gt;&lt;D xsi:type="xsd:double"&gt;0.76322556&lt;/D&gt;&lt;D xsi:type="xsd:double"&gt;-0.36225915&lt;/D&gt;&lt;D xsi:type="xsd:double"&gt;-5.1962137&lt;/D&gt;&lt;D xsi:type="xsd:double"&gt;2.8988123&lt;/D&gt;&lt;D xsi:type="xsd:double"&gt;-1.8268704&lt;/D&gt;&lt;D xsi:type="xsd:double"&gt;2.886951&lt;/D&gt;&lt;D xsi:type="xsd:double"&gt;-6.9979725&lt;/D&gt;&lt;D xsi:type="xsd:double"&gt;-1.8175185&lt;/D&gt;&lt;D xsi:type="xsd:double"&gt;-2.1159828&lt;/D&gt;&lt;D xsi:type="xsd:double"&gt;3.2590032&lt;/D&gt;&lt;D xsi:type="xsd:double"&gt;0.31377077&lt;/D&gt;&lt;D xsi:type="xsd:double"&gt;1.8031359&lt;/D&gt;&lt;D xsi:type="xsd:double"&gt;1.1386156&lt;/D&gt;&lt;D xsi:type="xsd:double"&gt;-4.1458187&lt;/D&gt;&lt;D xsi:type="xsd:double"&gt;4.764414&lt;/D&gt;&lt;D xsi:type="xsd:double"&gt;-2.92691&lt;/D&gt;&lt;D xsi:type="xsd:double"&gt;0.35146475&lt;/D&gt;&lt;D xsi:type="xsd:double"&gt;4.552996&lt;/D&gt;&lt;D xsi:type="xsd:double"&gt;5.183351&lt;/D&gt;&lt;D xsi:type="xsd:double"&gt;0.9218931&lt;/D&gt;&lt;D xsi:type="xsd:double"&gt;-0.5098045&lt;/D&gt;&lt;D xsi:type="xsd:double"&gt;-0.21959543&lt;/D&gt;&lt;D xsi:type="xsd:double"&gt;-8.430677&lt;/D&gt;&lt;D xsi:type="xsd:double"&gt;-13.902754&lt;/D&gt;&lt;D xsi:type="xsd:double"&gt;8.653641&lt;/D&gt;&lt;D xsi:type="xsd:double"&gt;11.166012&lt;/D&gt;&lt;D xsi:type="xsd:double"&gt;-1.1336684&lt;/D&gt;&lt;D xsi:type="xsd:double"&gt;1.6131997&lt;/D&gt;&lt;D xsi:type="xsd:double"&gt;3.5497665&lt;/D&gt;&lt;D xsi:type="xsd:double"&gt;1.2747645&lt;/D&gt;&lt;D xsi:type="xsd:double"&gt;2.041161&lt;/D&gt;&lt;D xsi:type="xsd:double"&gt;10.118341&lt;/D&gt;&lt;D xsi:type="xsd:double"&gt;1.4556527&lt;/D&gt;&lt;D xsi:type="xsd:double"&gt;2.9209018&lt;/D&gt;&lt;D xsi:type="xsd:double"&gt;-1.6009271&lt;/D&gt;&lt;D xsi:type="xsd:double"&gt;2.2629738&lt;/D&gt;&lt;D xsi:type="xsd:double"&gt;-2.5744855&lt;/D&gt;&lt;D xsi:type="xsd:double"&gt;3.251195&lt;/D&gt;&lt;D xsi:type="xsd:double"&gt;-1.6413033&lt;/D&gt;&lt;D xsi:type="xsd:double"&gt;-0.5153954&lt;/D&gt;&lt;D xsi:type="xsd:double"&gt;6.29071&lt;/D&gt;&lt;D xsi:type="xsd:double"&gt;-5.3195953&lt;/D&gt;&lt;D xsi:type="xsd:double"&gt;3.3534288&lt;/D&gt;&lt;D xsi:type="xsd:double"&gt;-4.141164&lt;/D&gt;&lt;D xsi:type="xsd:double"&gt;2.1551132&lt;/D&gt;&lt;D xsi:type="xsd:double"&gt;-5.4336667&lt;/D&gt;&lt;D xsi:type="xsd:double"&gt;-4.7337294&lt;/D&gt;&lt;D xsi:type="xsd:double"&gt;2.0431519&lt;/D&gt;&lt;D xsi:type="xsd:double"&gt;-6.9998384&lt;/D&gt;&lt;D xsi:type="xsd:double"&gt;-1.8084764&lt;/D&gt;&lt;D xsi:type="xsd:double"&gt;-6.0357866&lt;/D&gt;&lt;D xsi:type="xsd:double"&gt;4.9010396&lt;/D&gt;&lt;D xsi:type="xsd:double"&gt;-5.8939877&lt;/D&gt;&lt;D xsi:type="xsd:double"&gt;-2.0049632&lt;/D&gt;&lt;D xsi:type="xsd:double"&gt;-0.8768499&lt;/D&gt;&lt;D xsi:type="xsd:double"&gt;9.94693&lt;/D&gt;&lt;D xsi:type="xsd:double"&gt;-2.9494584&lt;/D&gt;&lt;D xsi:type="xsd:double"&gt;7.200885&lt;/D&gt;&lt;D xsi:type="xsd:double"&gt;-1.1712015&lt;/D&gt;&lt;D xsi:type="xsd:double"&gt;2.718711&lt;/D&gt;&lt;D xsi:type="xsd:double"&gt;-0.33932328&lt;/D&gt;&lt;D xsi:type="xsd:double"&gt;5.549872&lt;/D&gt;&lt;D xsi:type="xsd:double"&gt;0.8521676&lt;/D&gt;&lt;D xsi:type="xsd:double"&gt;-0.4992783&lt;/D&gt;&lt;D xsi:type="xsd:double"&gt;0.42085648&lt;/D&gt;&lt;D xsi:type="xsd:double"&gt;-6.366861&lt;/D&gt;&lt;D xsi:type="xsd:double"&gt;6.730938&lt;/D&gt;&lt;D xsi:type="xsd:double"&gt;0.40322542&lt;/D&gt;&lt;D xsi:type="xsd:double"&gt;2.7290463&lt;/D&gt;&lt;D xsi:type="xsd:double"&gt;5.470979&lt;/D&gt;&lt;D xsi:type="xsd:double"&gt;5.1270366&lt;/D&gt;&lt;/FQL&gt;&lt;FQL&gt;&lt;Q&gt;EWJ^FG_COMPANY_NAME&lt;/Q&gt;&lt;R&gt;1&lt;/R&gt;&lt;C&gt;1&lt;/C&gt;&lt;D xsi:type="xsd:string"&gt;iShares MSCI Japan ETF&lt;/D&gt;&lt;/FQL&gt;&lt;FQL&gt;&lt;Q&gt;QQQ^FG_COMPANY_NAME&lt;/Q&gt;&lt;R&gt;1&lt;/R&gt;&lt;C&gt;1&lt;/C&gt;&lt;D xsi:type="xsd:string"&gt;Invesco QQQ Trust Series I&lt;/D&gt;&lt;/FQL&gt;&lt;FQL&gt;&lt;Q&gt;TRYCN10Y-FDS^FG_YIELD(-10AY,0,Y,,"YTM")&lt;/Q&gt;&lt;R&gt;10&lt;/R&gt;&lt;C&gt;1&lt;/C&gt;&lt;D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xsi:type="xsd:double"&gt;2.574&lt;/D&gt;&lt;/FQL&gt;&lt;FQL&gt;&lt;Q&gt;USDCHF^FG_PRICE_CHANGE(0,-3AM)&lt;/Q&gt;&lt;R&gt;1&lt;/R&gt;&lt;C&gt;1&lt;/C&gt;&lt;D xsi:type="xsd:double"&gt;1.2357712&lt;/D&gt;&lt;/FQL&gt;&lt;FQL&gt;&lt;Q&gt;ENZL^FMA_DIV_YLD(NTMA,-10AY,0,AM,"PORTAGG","MEANR")&lt;/Q&gt;&lt;R&gt;121&lt;/R&gt;&lt;C&gt;1&lt;/C&gt;&lt;D xsi:type="xsd:double"&gt;4.09484634095519&lt;/D&gt;&lt;D xsi:type="xsd:double"&gt;4.08956779228058&lt;/D&gt;&lt;D xsi:type="xsd:double"&gt;4.02334072565347&lt;/D&gt;&lt;D xsi:type="xsd:double"&gt;4.22459215842641&lt;/D&gt;&lt;D xsi:type="xsd:double"&gt;4.421391511775&lt;/D&gt;&lt;D xsi:type="xsd:double"&gt;4.52226183423207&lt;/D&gt;&lt;D xsi:type="xsd:double"&gt;4.55382978474397&lt;/D&gt;&lt;D xsi:type="xsd:double"&gt;4.6018441958213&lt;/D&gt;&lt;D xsi:type="xsd:double"&gt;4.47990058818705&lt;/D&gt;&lt;D xsi:type="xsd:double"&gt;4.50759642453152&lt;/D&gt;&lt;D xsi:type="xsd:double"&gt;4.43586796347832&lt;/D&gt;&lt;D xsi:type="xsd:double"&gt;4.29396463405057&lt;/D&gt;&lt;D xsi:type="xsd:double"&gt;4.27869395824602&lt;/D&gt;&lt;D xsi:type="xsd:double"&gt;4.4138014957123&lt;/D&gt;&lt;D xsi:type="xsd:double"&gt;4.47980108278334&lt;/D&gt;&lt;D xsi:type="xsd:double"&gt;4.42013617145957&lt;/D&gt;&lt;D xsi:type="xsd:double"&gt;4.61186719416915&lt;/D&gt;&lt;D xsi:type="xsd:double"&gt;4.53940046707195&lt;/D&gt;&lt;D xsi:type="xsd:double"&gt;5.22260074814821&lt;/D&gt;&lt;D xsi:type="xsd:double"&gt;5.29837676602734&lt;/D&gt;&lt;D xsi:type="xsd:double"&gt;4.84257685862867&lt;/D&gt;&lt;D xsi:type="xsd:double"&gt;4.78887374216258&lt;/D&gt;&lt;D xsi:type="xsd:double"&gt;4.73019526883236&lt;/D&gt;&lt;D xsi:type="xsd:double"&gt;4.88158054383727&lt;/D&gt;&lt;D xsi:type="xsd:double"&gt;4.73556904345562&lt;/D&gt;&lt;D xsi:type="xsd:double"&gt;4.55408948144109&lt;/D&gt;&lt;D xsi:type="xsd:double"&gt;4.57543464845833&lt;/D&gt;&lt;D xsi:type="xsd:double"&gt;4.32438540893238&lt;/D&gt;&lt;D xsi:type="xsd:double"&gt;4.39813902459698&lt;/D&gt;&lt;D xsi:type="xsd:double"&gt;4.17563823313295&lt;/D&gt;&lt;D xsi:type="xsd:double"&gt;4.19990245517957&lt;/D&gt;&lt;D xsi:type="xsd:double"&gt;4.31175282565325&lt;/D&gt;&lt;D xsi:type="xsd:double"&gt;4.75554800541407&lt;/D&gt;&lt;D xsi:type="xsd:double"&gt;4.57716127993359&lt;/D&gt;&lt;D xsi:type="xsd:double"&gt;4.58549512298602&lt;/D&gt;&lt;D xsi:type="xsd:double"&gt;4.48771596543018&lt;/D&gt;&lt;D xsi:type="xsd:double"&gt;4.53853881969885&lt;/D&gt;&lt;D xsi:type="xsd:double"&gt;4.54873372882403&lt;/D&gt;&lt;D xsi:type="xsd:double"&gt;4.49209203792424&lt;/D&gt;&lt;D xsi:type="xsd:double"&gt;4.41186765273181&lt;/D&gt;&lt;D xsi:type="xsd:double"&gt;4.40722247995424&lt;/D&gt;&lt;D xsi:type="xsd:double"&gt;4.36176346834037&lt;/D&gt;&lt;D xsi:type="xsd:double"&gt;4.38776912924581&lt;/D&gt;&lt;D xsi:type="xsd:double"&gt;4.41232287093179&lt;/D&gt;&lt;D xsi:type="xsd:double"&gt;4.40757024033168&lt;/D&gt;&lt;D xsi:type="xsd:double"&gt;4.34107064650019&lt;/D&gt;&lt;D xsi:type="xsd:double"&gt;4.18763419493342&lt;/D&gt;&lt;D xsi:type="xsd:double"&gt;4.19229139119894&lt;/D&gt;&lt;D xsi:type="xsd:double"&gt;4.28903646170116&lt;/D&gt;&lt;D xsi:type="xsd:double"&gt;4.27968682036714&lt;/D&gt;&lt;D xsi:type="xsd:double"&gt;4.2158892253854&lt;/D&gt;&lt;D xsi:type="xsd:double"&gt;4.17116088116122&lt;/D&gt;&lt;D xsi:type="xsd:double"&gt;4.0145683088214&lt;/D&gt;&lt;D xsi:type="xsd:double"&gt;4.14032000134658&lt;/D&gt;&lt;D xsi:type="xsd:double"&gt;3.91706862281149&lt;/D&gt;&lt;D xsi:type="xsd:double"&gt;4.03406067041509&lt;/D&gt;&lt;D xsi:type="xsd:double"&gt;4.2119740238095&lt;/D&gt;&lt;D xsi:type="xsd:double"&gt;4.11557429556026&lt;/D&gt;&lt;D xsi:type="xsd:double"&gt;4.19553378891551&lt;/D&gt;&lt;D xsi:type="xsd:double"&gt;4.10946320305568&lt;/D&gt;&lt;D xsi:type="xsd:double"&gt;3.88870717429911&lt;/D&gt;&lt;D xsi:type="xsd:double"&gt;3.74144056549263&lt;/D&gt;&lt;D xsi:type="xsd:double"&gt;3.69334715459933&lt;/D&gt;&lt;D xsi:type="xsd:double"&gt;3.77917319202755&lt;/D&gt;&lt;D xsi:type="xsd:double"&gt;3.54877451256345&lt;/D&gt;&lt;D xsi:type="xsd:double"&gt;3.4045182177879&lt;/D&gt;&lt;D xsi:type="xsd:double"&gt;3.30198876894552&lt;/D&gt;&lt;D xsi:type="xsd:double"&gt;3.34547837244413&lt;/D&gt;&lt;D xsi:type="xsd:double"&gt;3.36770191512075&lt;/D&gt;&lt;D xsi:type="xsd:double"&gt;3.26406685053044&lt;/D&gt;&lt;D xsi:type="xsd:double"&gt;3.15398807377595&lt;/D&gt;&lt;D xsi:type="xsd:double"&gt;3.15408053259321&lt;/D&gt;&lt;D xsi:type="xsd:double"&gt;3.12590309709881&lt;/D&gt;&lt;D xsi:type="xsd:double"&gt;3.19033008795888&lt;/D&gt;&lt;D xsi:type="xsd:double"&gt;2.70453711762228&lt;/D&gt;&lt;D xsi:type="xsd:double"&gt;2.53802682270805&lt;/D&gt;&lt;D xsi:type="xsd:double"&gt;2.46940634729309&lt;/D&gt;&lt;D xsi:type="xsd:double"&gt;2.36374685468661&lt;/D&gt;&lt;D xsi:type="xsd:double"&gt;2.39127378621893&lt;/D&gt;&lt;D xsi:type="xsd:double"&gt;2.45015190458803&lt;/D&gt;&lt;D xsi:type="xsd:double"&gt;2.40801741062682&lt;/D&gt;&lt;D xsi:type="xsd:double"&gt;2.41266385854858&lt;/D&gt;&lt;D xsi:type="xsd:double"&gt;2.4128274558384&lt;/D&gt;&lt;D xsi:type="xsd:double"&gt;2.50268550002555&lt;/D&gt;&lt;D xsi:type="xsd:double"&gt;2.61571444079244&lt;/D&gt;&lt;D xsi:type="xsd:double"&gt;2.59513839586018&lt;/D&gt;&lt;D xsi:type="xsd:double"&gt;2.55724370305018&lt;/D&gt;&lt;D xsi:type="xsd:double"&gt;2.68506159599807&lt;/D&gt;&lt;D xsi:type="xsd:double"&gt;2.62515177601402&lt;/D&gt;&lt;D xsi:type="xsd:double"&gt;2.61415249844945&lt;/D&gt;&lt;D xsi:type="xsd:double"&gt;2.5643717151279&lt;/D&gt;&lt;D xsi:type="xsd:double"&gt;2.60592484273509&lt;/D&gt;&lt;D xsi:type="xsd:double"&gt;2.68243680959918&lt;/D&gt;&lt;D xsi:type="xsd:double"&gt;2.79726863761521&lt;/D&gt;&lt;D xsi:type="xsd:double"&gt;2.76965352018696&lt;/D&gt;&lt;D xsi:type="xsd:double"&gt;2.94815473087788&lt;/D&gt;&lt;D xsi:type="xsd:double"&gt;3.00442008444934&lt;/D&gt;&lt;D xsi:type="xsd:double"&gt;3.08149513534464&lt;/D&gt;&lt;D xsi:type="xsd:double"&gt;3.0951189305751&lt;/D&gt;&lt;D xsi:type="xsd:double"&gt;3.20060229364261&lt;/D&gt;&lt;D xsi:type="xsd:double"&gt;3.40633923200343&lt;/D&gt;&lt;D xsi:type="xsd:double"&gt;3.18644500357618&lt;/D&gt;&lt;D xsi:type="xsd:double"&gt;3.19455867029734&lt;/D&gt;&lt;D xsi:type="xsd:double"&gt;3.41081862285077&lt;/D&gt;&lt;D xsi:type="xsd:double"&gt;3.40173226780716&lt;/D&gt;&lt;D xsi:type="xsd:double"&gt;3.38567091972028&lt;/D&gt;&lt;D xsi:type="xsd:double"&gt;3.43244128086423&lt;/D&gt;&lt;D xsi:type="xsd:double"&gt;3.27615154925685&lt;/D&gt;&lt;D xsi:type="xsd:double"&gt;3.38884001554701&lt;/D&gt;&lt;D xsi:type="xsd:double"&gt;3.39214024528718&lt;/D&gt;&lt;D xsi:type="xsd:double"&gt;3.40414705841494&lt;/D&gt;&lt;D xsi:type="xsd:double"&gt;3.41498057686381&lt;/D&gt;&lt;D xsi:type="xsd:double"&gt;3.41179855936287&lt;/D&gt;&lt;D xsi:type="xsd:double"&gt;3.44364643311656&lt;/D&gt;&lt;D xsi:type="xsd:double"&gt;3.30573007834377&lt;/D&gt;&lt;D xsi:type="xsd:double"&gt;3.44604624257507&lt;/D&gt;&lt;D xsi:type="xsd:double"&gt;3.47128414818075&lt;/D&gt;&lt;D xsi:type="xsd:double"&gt;3.13349220343913&lt;/D&gt;&lt;D xsi:type="xsd:double"&gt;2.98726754405611&lt;/D&gt;&lt;D xsi:type="xsd:double"&gt;2.98016780582514&lt;/D&gt;&lt;D xsi:type="xsd:double"&gt;2.72824082605975&lt;/D&gt;&lt;/FQL&gt;&lt;FQL&gt;&lt;Q&gt;DDR3512M-FDS^FG_PRICE_CHANGE(0,-1AM)&lt;/Q&gt;&lt;R&gt;1&lt;/R&gt;&lt;C&gt;1&lt;/C&gt;&lt;D xsi:type="xsd:double"&gt;-0.407332092765544&lt;/D&gt;&lt;/FQL&gt;&lt;FQL&gt;&lt;Q&gt;COPP-FDS^FG_PRICE_CHANGE(0,-3AM)&lt;/Q&gt;&lt;R&gt;1&lt;/R&gt;&lt;C&gt;1&lt;/C&gt;&lt;D xsi:type="xsd:double"&gt;0.824499411071855&lt;/D&gt;&lt;/FQL&gt;&lt;FQL&gt;&lt;Q&gt;EWQ^FG_PRICE_MAVG(0,,,,30)&lt;/Q&gt;&lt;R&gt;1&lt;/R&gt;&lt;C&gt;1&lt;/C&gt;&lt;D xsi:type="xsd:double"&gt;39.146&lt;/D&gt;&lt;/FQL&gt;&lt;FQL&gt;&lt;Q&gt;EWG^FG_PRICE_MAVG(0,,,,60)&lt;/Q&gt;&lt;R&gt;1&lt;/R&gt;&lt;C&gt;1&lt;/C&gt;&lt;D xsi:type="xsd:double"&gt;29.4095&lt;/D&gt;&lt;/FQL&gt;&lt;FQL&gt;&lt;Q&gt;SPY^P_PRICE(0)/P_PRICE_LOW_PR(0,,,USD,,,"PRICE","INTRA","52W")-1&lt;/Q&gt;&lt;R&gt;1&lt;/R&gt;&lt;C&gt;1&lt;/C&gt;&lt;D xsi:type="xsd:double"&gt;0.3458557&lt;/D&gt;&lt;/FQL&gt;&lt;FQL&gt;&lt;Q&gt;EWI^FG_TOTAL_RETURNC(0,-6AM)&lt;/Q&gt;&lt;R&gt;1&lt;/R&gt;&lt;C&gt;1&lt;/C&gt;&lt;D xsi:type="xsd:double"&gt;14.237345&lt;/D&gt;&lt;/FQL&gt;&lt;FQL&gt;&lt;Q&gt;QQQ^FG_TOTAL_RETURNC(0,-3AM)&lt;/Q&gt;&lt;R&gt;1&lt;/R&gt;&lt;C&gt;1&lt;/C&gt;&lt;D xsi:type="xsd:double"&gt;15.224398&lt;/D&gt;&lt;/FQL&gt;&lt;FQL&gt;&lt;Q&gt;EWA^P_PRICE(0)/P_PRICE_LOW_PR(0,,,USD,,,"PRICE","INTRA","52W")-1&lt;/Q&gt;&lt;R&gt;1&lt;/R&gt;&lt;C&gt;1&lt;/C&gt;&lt;D xsi:type="xsd:double"&gt;0.17399812&lt;/D&gt;&lt;/FQL&gt;&lt;FQL&gt;&lt;Q&gt;QQQ^PERCENT_CHANGE(FMA_EPS(+1,0,,,,"PORTAGG","MEAN"),FMA_EPS(+1,-3AM,,,,"PORTAGG","MEAN"))&lt;/Q&gt;&lt;R&gt;1&lt;/R&gt;&lt;C&gt;1&lt;/C&gt;&lt;D xsi:type="xsd:double"&gt;0.471225417335842&lt;/D&gt;&lt;/FQL&gt;&lt;FQL&gt;&lt;Q&gt;EWA^FMA_PCT_ABOVE_MAVG(200,0,,,,"PORTAGG")&lt;/Q&gt;&lt;R&gt;1&lt;/R&gt;&lt;C&gt;1&lt;/C&gt;&lt;D xsi:type="xsd:double"&gt;77.9661016949153&lt;/D&gt;&lt;/FQL&gt;&lt;FQL&gt;&lt;Q&gt;VGK^FMA_COS_UP("EPS","1M",+1,0,,,"PORTAGG","MEANR")&lt;/Q&gt;&lt;R&gt;1&lt;/R&gt;&lt;C&gt;1&lt;/C&gt;&lt;D xsi:type="xsd:double"&gt;432&lt;/D&gt;&lt;/FQL&gt;&lt;FQL&gt;&lt;Q&gt;EWU^FMA_COS_DOWN("EPS","1M",+1,0,,,"PORTAGG","MEANR")&lt;/Q&gt;&lt;R&gt;1&lt;/R&gt;&lt;C&gt;1&lt;/C&gt;&lt;D xsi:type="xsd:double"&gt;34&lt;/D&gt;&lt;/FQL&gt;&lt;FQL&gt;&lt;Q&gt;EWJ^FMA_RBICS_REV_CURRENT(30, LOC, "PORTAGG")&lt;/Q&gt;&lt;R&gt;1&lt;/R&gt;&lt;C&gt;1&lt;/C&gt;&lt;D xsi:type="xsd:double"&gt;17.6085351108136&lt;/D&gt;&lt;/FQL&gt;&lt;FQL&gt;&lt;Q&gt;TRYFR10Y-FDS^FG_YIELD_NAME&lt;/Q&gt;&lt;R&gt;1&lt;/R&gt;&lt;C&gt;1&lt;/C&gt;&lt;D xsi:type="xsd:string"&gt;France Benchmark Bond - 10 Year&lt;/D&gt;&lt;/FQL&gt;&lt;FQL&gt;&lt;Q&gt;REFFFUND-FDS^PROPER_NAME(0,,,"SECURITY","NAME")&lt;/Q&gt;&lt;R&gt;1&lt;/R&gt;&lt;C&gt;1&lt;/C&gt;&lt;D xsi:type="xsd:string"&gt;US Federal Funds Target Rate&lt;/D&gt;&lt;/FQL&gt;&lt;FQL&gt;&lt;Q&gt;REFNZOCR-FDS^PROPER_NAME(0,,,"SECURITY","NAME")&lt;/Q&gt;&lt;R&gt;1&lt;/R&gt;&lt;C&gt;1&lt;/C&gt;&lt;D xsi:type="xsd:string"&gt;New Zealand Official Cash Rate&lt;/D&gt;&lt;/FQL&gt;&lt;FQL&gt;&lt;Q&gt;TRYGB10Y-FDS^FG_YIELD(0,,,,"YTM")&lt;/Q&gt;&lt;R&gt;1&lt;/R&gt;&lt;C&gt;1&lt;/C&gt;&lt;D xsi:type="xsd:double"&gt;4.235&lt;/D&gt;&lt;/FQL&gt;&lt;FQL&gt;&lt;Q&gt;CC_GB^IMF_IFS_RCPI_Q(0)&lt;/Q&gt;&lt;R&gt;1&lt;/R&gt;&lt;C&gt;1&lt;/C&gt;&lt;D xsi:type="xsd:double"&gt;4.3536315&lt;/D&gt;&lt;/FQL&gt;&lt;FQL&gt;&lt;Q&gt;EWI^FMA_EVAL_EBIT(LTMA,NOW,NOW,M,"PORTAGG","MEANR")&lt;/Q&gt;&lt;R&gt;1&lt;/R&gt;&lt;C&gt;1&lt;/C&gt;&lt;D xsi:type="xsd:double"&gt;11.3584541812418&lt;/D&gt;&lt;/FQL&gt;&lt;FQL&gt;&lt;Q&gt;QQQ^FMA_PE(NTMA,0,,,"PORTAGG","MEANR")&lt;/Q&gt;&lt;R&gt;1&lt;/R&gt;&lt;C&gt;1&lt;/C&gt;&lt;D xsi:type="xsd:double"&gt;26.5729326491097&lt;/D&gt;&lt;/FQL&gt;&lt;FQL&gt;&lt;Q&gt;EWA^FG_FCF_YIELD_NTM(0)&lt;/Q&gt;&lt;R&gt;1&lt;/R&gt;&lt;C&gt;1&lt;/C&gt;&lt;D xsi:type="xsd:double"&gt;4.58056022006918&lt;/D&gt;&lt;/FQL&gt;&lt;FQL&gt;&lt;Q&gt;USO^FG_TOTAL_RETURNC(0,-6AM)&lt;/Q&gt;&lt;R&gt;1&lt;/R&gt;&lt;C&gt;1&lt;/C&gt;&lt;D xsi:type="xsd:double"&gt;-3.7831485&lt;/D&gt;&lt;/FQL&gt;&lt;FQL&gt;&lt;Q&gt;SPY^P_PRICE(0)/P_PRICE_HIGH_PR(0,,,USD,,,"PRICE","INTRA","52W")&lt;/Q&gt;&lt;R&gt;1&lt;/R&gt;&lt;C&gt;1&lt;/C&gt;&lt;D xsi:type="xsd:double"&gt;0.99630487&lt;/D&gt;&lt;/FQL&gt;&lt;FQL&gt;&lt;Q&gt;USDITL^FG_PRICE_CHANGE(0,-6AM)&lt;/Q&gt;&lt;R&gt;1&lt;/R&gt;&lt;C&gt;1&lt;/C&gt;&lt;D xsi:type="xsd:double"&gt;-0.7180035&lt;/D&gt;&lt;/FQL&gt;&lt;FQL&gt;&lt;Q&gt;USDCHF^FG_PRICE_CHANGE(0,-1AY)&lt;/Q&gt;&lt;R&gt;1&lt;/R&gt;&lt;C&gt;1&lt;/C&gt;&lt;D xsi:type="xsd:double"&gt;-5.8275642&lt;/D&gt;&lt;/FQL&gt;&lt;FQL&gt;&lt;Q&gt;EWU^FMA_EPS(NTMA,-20AY,0,CY,,"PORTAGG","MEANR")&lt;/Q&gt;&lt;R&gt;20&lt;/R&gt;&lt;C&gt;1&lt;/C&gt;&lt;D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xsi:type="xsd:double"&gt;3.00523278574567&lt;/D&gt;&lt;/FQL&gt;&lt;FQL&gt;&lt;Q&gt;ENZL^JULIAN(FMA_DIV_YLD(NTMA,-10AY,0,AM,"PORTAGG","MEANR").DATES)&lt;/Q&gt;&lt;R&gt;121&lt;/R&gt;&lt;C&gt;1&lt;/C&gt;&lt;D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xsi:type="xsd:long"&gt;45350&lt;/D&gt;&lt;/FQL&gt;&lt;FQL&gt;&lt;Q&gt;PLATI-FDS^FG_PRICE_MAVG(0,,,,30)&lt;/Q&gt;&lt;R&gt;1&lt;/R&gt;&lt;C&gt;1&lt;/C&gt;&lt;D xsi:type="xsd:double"&gt;902.4667&lt;/D&gt;&lt;/FQL&gt;&lt;FQL&gt;&lt;Q&gt;EWQ^FG_PRICE(0)&lt;/Q&gt;&lt;R&gt;1&lt;/R&gt;&lt;C&gt;1&lt;/C&gt;&lt;D xsi:type="xsd:double"&gt;40.37&lt;/D&gt;&lt;/FQL&gt;&lt;FQL&gt;&lt;Q&gt;EWG^FG_PRICE(0)&lt;/Q&gt;&lt;R&gt;1&lt;/R&gt;&lt;C&gt;1&lt;/C&gt;&lt;D xsi:type="xsd:double"&gt;30.73&lt;/D&gt;&lt;/FQL&gt;&lt;FQL&gt;&lt;Q&gt;EWI^FG_TOTAL_RETURNC(0,-3AM)&lt;/Q&gt;&lt;R&gt;1&lt;/R&gt;&lt;C&gt;1&lt;/C&gt;&lt;D xsi:type="xsd:double"&gt;10.12162&lt;/D&gt;&lt;/FQL&gt;&lt;FQL&gt;&lt;Q&gt;VWO^PERCENT_CHANGE(FMA_EPS(+1,0,,,,"PORTAGG","MEAN"),FMA_EPS(+1,-1AM,,,,"PORTAGG","MEAN"))&lt;/Q&gt;&lt;R&gt;1&lt;/R&gt;&lt;C&gt;1&lt;/C&gt;&lt;D xsi:type="xsd:double"&gt;-12.8544819381838&lt;/D&gt;&lt;/FQL&gt;&lt;FQL&gt;&lt;Q&gt;EWU^FMA_COS_UP("EPS","1M",+1,0,,,"PORTAGG","MEANR")&lt;/Q&gt;&lt;R&gt;1&lt;/R&gt;&lt;C&gt;1&lt;/C&gt;&lt;D xsi:type="xsd:double"&gt;39&lt;/D&gt;&lt;/FQL&gt;&lt;FQL&gt;&lt;Q&gt;EWG^FMA_RBICS_REV_CURRENT(30, LOC, "PORTAGG")&lt;/Q&gt;&lt;R&gt;1&lt;/R&gt;&lt;C&gt;1&lt;/C&gt;&lt;D xsi:type="xsd:double"&gt;22.8345937685857&lt;/D&gt;&lt;/FQL&gt;&lt;FQL&gt;&lt;Q&gt;EWA^FG_COMPANY_NAME&lt;/Q&gt;&lt;R&gt;1&lt;/R&gt;&lt;C&gt;1&lt;/C&gt;&lt;D xsi:type="xsd:string"&gt;iShares MSCI Australia ETF&lt;/D&gt;&lt;/FQL&gt;&lt;FQL&gt;&lt;Q&gt;REFGBBANK-FDS^(SUBARRAY(NOT_NA(NO_REPEAT_F(FG_YIELD(NOW,-10AY,D))),0,1)-SUBARRAY(NOT_NA(NO_REPEAT_F(FG_YIELD(NOW,-10AY,D))),1,1))*100&lt;/Q&gt;&lt;R&gt;1&lt;/R&gt;&lt;C&gt;1&lt;/C&gt;&lt;D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xsi:type="xsd:double"&gt;25&lt;/D&gt;&lt;/FQL&gt;&lt;FQL&gt;&lt;Q&gt;TRYIT10Y-FDS^PCTCHG(FG_YIELD(0,,,,"YTM"),FG_YIELD(-3AM,,,,"YTM"))&lt;/Q&gt;&lt;R&gt;1&lt;/R&gt;&lt;C&gt;1&lt;/C&gt;&lt;D xsi:type="xsd:double"&gt;-5.95005&lt;/D&gt;&lt;/FQL&gt;&lt;FQL&gt;&lt;Q&gt;TRYCA10Y-FDS^PCTCHG(FG_YIELD(0,,,,"YTM"),FG_YIELD(-3AM,,,,"YTM"))&lt;/Q&gt;&lt;R&gt;1&lt;/R&gt;&lt;C&gt;1&lt;/C&gt;&lt;D xsi:type="xsd:double"&gt;-0.8634576&lt;/D&gt;&lt;/FQL&gt;&lt;FQL&gt;&lt;Q&gt;CC_CH^IMF_IFS_RCPI_Q(0)&lt;/Q&gt;&lt;R&gt;1&lt;/R&gt;&lt;C&gt;1&lt;/C&gt;&lt;D xsi:type="xsd:double"&gt;1.6172575&lt;/D&gt;&lt;/FQL&gt;&lt;FQL&gt;&lt;Q&gt;EWI^FMA_EVAL_EBITDA(NTMA,0,,,"PORTAGG","MEANR")&lt;/Q&gt;&lt;R&gt;1&lt;/R&gt;&lt;C&gt;1&lt;/C&gt;&lt;D xsi:type="xsd:double"&gt;7.35609426549293&lt;/D&gt;&lt;/FQL&gt;&lt;FQL&gt;&lt;Q&gt;EWN^JULIAN(FMA_DIV_YLD(NTMA,NOW,NOW,M,"PORTAGG","MEANR").DATES)&lt;/Q&gt;&lt;R&gt;1&lt;/R&gt;&lt;C&gt;1&lt;/C&gt;&lt;D xsi:type="xsd:long"&gt;45351&lt;/D&gt;&lt;/FQL&gt;&lt;FQL&gt;&lt;Q&gt;EWJ^FMA_DIV_YLD(NTMA,NOW,NOW,M,"PORTAGG","MEANR")&lt;/Q&gt;&lt;R&gt;1&lt;/R&gt;&lt;C&gt;1&lt;/C&gt;&lt;D xsi:type="xsd:double"&gt;2.19808782363452&lt;/D&gt;&lt;/FQL&gt;&lt;FQL&gt;&lt;Q&gt;SPY^FG_TOTAL_RETURNC(0,-6AM)&lt;/Q&gt;&lt;R&gt;1&lt;/R&gt;&lt;C&gt;1&lt;/C&gt;&lt;D xsi:type="xsd:double"&gt;14.412403&lt;/D&gt;&lt;/FQL&gt;&lt;FQL&gt;&lt;Q&gt;EWL^FG_COMPANY_NAME&lt;/Q&gt;&lt;R&gt;1&lt;/R&gt;&lt;C&gt;1&lt;/C&gt;&lt;D xsi:type="xsd:string"&gt;iShares MSCI Switzerland ETF&lt;/D&gt;&lt;/FQL&gt;&lt;FQL&gt;&lt;Q&gt;USDSEK^FG_PRICE_CHANGE(0,-3AM)&lt;/Q&gt;&lt;R&gt;1&lt;/R&gt;&lt;C&gt;1&lt;/C&gt;&lt;D xsi:type="xsd:double"&gt;-1.0509193&lt;/D&gt;&lt;/FQL&gt;&lt;FQL&gt;&lt;Q&gt;EWL^FMA_EPS(NTMA,-20AY,0,CY,,"PORTAGG","MEANR")&lt;/Q&gt;&lt;R&gt;20&lt;/R&gt;&lt;C&gt;1&lt;/C&gt;&lt;D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xsi:type="xsd:double"&gt;2.86213322442499&lt;/D&gt;&lt;/FQL&gt;&lt;FQL&gt;&lt;Q&gt;DDR3512M-FDS^FG_PRICE_MAVG(0,,,,30)&lt;/Q&gt;&lt;R&gt;1&lt;/R&gt;&lt;C&gt;1&lt;/C&gt;&lt;D xsi:type="xsd:double"&gt;0.9721118&lt;/D&gt;&lt;/FQL&gt;&lt;FQL&gt;&lt;Q&gt;COPP-FDS^FG_PRICE_CHANGE(0,-1AM)&lt;/Q&gt;&lt;R&gt;1&lt;/R&gt;&lt;C&gt;1&lt;/C&gt;&lt;D xsi:type="xsd:double"&gt;0.798115923066867&lt;/D&gt;&lt;/FQL&gt;&lt;FQL&gt;&lt;Q&gt;EWC^FG_PRICE_MAVG(0,,,,200)&lt;/Q&gt;&lt;R&gt;1&lt;/R&gt;&lt;C&gt;1&lt;/C&gt;&lt;D xsi:type="xsd:double"&gt;34.7876&lt;/D&gt;&lt;/FQL&gt;&lt;FQL&gt;&lt;Q&gt;EWU^P_PRICE(0)/P_PRICE_LOW_PR(0,,,USD,,,"PRICE","INTRA","52W")-1&lt;/Q&gt;&lt;R&gt;1&lt;/R&gt;&lt;C&gt;1&lt;/C&gt;&lt;D xsi:type="xsd:double"&gt;0.09399998&lt;/D&gt;&lt;/FQL&gt;&lt;FQL&gt;&lt;Q&gt;EWA^P_PRICE(0)/P_PRICE_HIGH_PR(0,,,USD,,,"PRICE","INTRA","52W")&lt;/Q&gt;&lt;R&gt;1&lt;/R&gt;&lt;C&gt;1&lt;/C&gt;&lt;D xsi:type="xsd:double"&gt;0.97365224&lt;/D&gt;&lt;/FQL&gt;&lt;FQL&gt;&lt;Q&gt;QQQ^PERCENT_CHANGE(FMA_EPS(+1,0,,,,"PORTAGG","MEAN"),FMA_EPS(+1,-1AM,,,,"PORTAGG","MEAN"))&lt;/Q&gt;&lt;R&gt;1&lt;/R&gt;&lt;C&gt;1&lt;/C&gt;&lt;D xsi:type="xsd:double"&gt;0.389429801001324&lt;/D&gt;&lt;/FQL&gt;&lt;FQL&gt;&lt;Q&gt;ENZL^PERCENT_CHANGE(FMA_EPS(+1,0,,,,"PORTAGG","MEAN"),FMA_EPS(+1,-3AM,,,,"PORTAGG","MEAN"))&lt;/Q&gt;&lt;R&gt;1&lt;/R&gt;&lt;C&gt;1&lt;/C&gt;&lt;D xsi:type="xsd:double"&gt;-10.2365729312588&lt;/D&gt;&lt;/FQL&gt;&lt;FQL&gt;&lt;Q&gt;EWI^SIZE(FG_CONSTITUENTS)&lt;/Q&gt;&lt;R&gt;1&lt;/R&gt;&lt;C&gt;1&lt;/C&gt;&lt;D xsi:type="xsd:long"&gt;26&lt;/D&gt;&lt;/FQL&gt;&lt;FQL&gt;&lt;Q&gt;TRYPH10Y-FDS^FG_YIELD(-10AY,0,Y,,"YTM")&lt;/Q&gt;&lt;R&gt;10&lt;/R&gt;&lt;C&gt;1&lt;/C&gt;&lt;D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xsi:type="xsd:double"&gt;6.0028777&lt;/D&gt;&lt;/FQL&gt;&lt;FQL&gt;&lt;Q&gt;CAGDPY@DE^EE_ACTUAL_ANNUAL(MED,0)&lt;/Q&gt;&lt;R&gt;1&lt;/R&gt;&lt;C&gt;1&lt;/C&gt;&lt;D xsi:type="xsd:double"&gt;6.64867801284768&lt;/D&gt;&lt;/FQL&gt;&lt;FQL&gt;&lt;Q&gt;USDAUD^FG_PRICE_CHANGE(0,-3AM)&lt;/Q&gt;&lt;R&gt;1&lt;/R&gt;&lt;C&gt;1&lt;/C&gt;&lt;D xsi:type="xsd:double"&gt;1.4802933&lt;/D&gt;&lt;/FQL&gt;&lt;FQL&gt;&lt;Q&gt;NI-FDS^FG_PRICE_CHANGE(0,-3AM)&lt;/Q&gt;&lt;R&gt;1&lt;/R&gt;&lt;C&gt;1&lt;/C&gt;&lt;D xsi:type="xsd:double"&gt;7.49235474006116&lt;/D&gt;&lt;/FQL&gt;&lt;FQL&gt;&lt;Q&gt;FC0000JP^FG_PRICE(0)&lt;/Q&gt;&lt;R&gt;1&lt;/R&gt;&lt;C&gt;1&lt;/C&gt;&lt;D xsi:type="xsd:double"&gt;178.32797&lt;/D&gt;&lt;/FQL&gt;&lt;FQL&gt;&lt;Q&gt;EWG^P_PRICE(0)/P_PRICE_LOW_PR(0,,,USD,,,"PRICE","INTRA","52W")-1&lt;/Q&gt;&lt;R&gt;1&lt;/R&gt;&lt;C&gt;1&lt;/C&gt;&lt;D xsi:type="xsd:double"&gt;0.24387777&lt;/D&gt;&lt;/FQL&gt;&lt;FQL&gt;&lt;Q&gt;SPY^PERCENT_CHANGE(FMA_EPS(+1,0,,,,"PORTAGG","MEAN"),FMA_EPS(+1,-1AM,,,,"PORTAGG","MEAN"))&lt;/Q&gt;&lt;R&gt;1&lt;/R&gt;&lt;C&gt;1&lt;/C&gt;&lt;D xsi:type="xsd:double"&gt;-9.53125538140812&lt;/D&gt;&lt;/FQL&gt;&lt;FQL&gt;&lt;Q&gt;EWN^PERCENT_CHANGE(FMA_EPS(+1,0,,,,"PORTAGG","MEAN"),FMA_EPS(+1,-1AM,,,,"PORTAGG","MEAN"))&lt;/Q&gt;&lt;R&gt;1&lt;/R&gt;&lt;C&gt;1&lt;/C&gt;&lt;D xsi:type="xsd:double"&gt;-11.9403577354406&lt;/D&gt;&lt;/FQL&gt;&lt;FQL&gt;&lt;Q&gt;URTH^SIZE(FG_CONSTITUENTS)&lt;/Q&gt;&lt;R&gt;1&lt;/R&gt;&lt;C&gt;1&lt;/C&gt;&lt;D xsi:type="xsd:long"&gt;1469&lt;/D&gt;&lt;/FQL&gt;&lt;FQL&gt;&lt;Q&gt;EWQ^FMA_COS_UP("EPS","1M",+1,0,,,"PORTAGG","MEANR")&lt;/Q&gt;&lt;R&gt;1&lt;/R&gt;&lt;C&gt;1&lt;/C&gt;&lt;D xsi:type="xsd:double"&gt;20&lt;/D&gt;&lt;/FQL&gt;&lt;FQL&gt;&lt;Q&gt;EWC^FMA_COS_UP("EPS","1M",+1,0,,,"PORTAGG","MEANR")&lt;/Q&gt;&lt;R&gt;1&lt;/R&gt;&lt;C&gt;1&lt;/C&gt;&lt;D xsi:type="xsd:double"&gt;44&lt;/D&gt;&lt;/FQL&gt;&lt;FQL&gt;&lt;Q&gt;REFEUREFI-FDS^FG_YIELD(NOW,,,0)&lt;/Q&gt;&lt;R&gt;1&lt;/R&gt;&lt;C&gt;1&lt;/C&gt;&lt;D xsi:type="xsd:double"&gt;4.5&lt;/D&gt;&lt;/FQL&gt;&lt;FQL&gt;&lt;Q&gt;TRYNZ10Y-FDS^FG_YIELD_NAME&lt;/Q&gt;&lt;R&gt;1&lt;/R&gt;&lt;C&gt;1&lt;/C&gt;&lt;D xsi:type="xsd:string"&gt;New Zealand Benchmark Bond - 10 Year&lt;/D&gt;&lt;/FQL&gt;&lt;FQL&gt;&lt;Q&gt;VWO^JULIAN(FMA_DIV_YLD(NTMA,NOW,NOW,M,"PORTAGG","MEANR").DATES)&lt;/Q&gt;&lt;R&gt;1&lt;/R&gt;&lt;C&gt;1&lt;/C&gt;&lt;D xsi:type="xsd:long"&gt;45322&lt;/D&gt;&lt;/FQL&gt;&lt;FQL&gt;&lt;Q&gt;EWD^FMA_PE(LTM,0,,,"PORTAGG","MEANR")&lt;/Q&gt;&lt;R&gt;1&lt;/R&gt;&lt;C&gt;1&lt;/C&gt;&lt;D xsi:type="xsd:double"&gt;15.0664319828547&lt;/D&gt;&lt;/FQL&gt;&lt;FQL&gt;&lt;Q&gt;SPY^FMA_PE(NTMA,0,,,"PORTAGG","MEANR")&lt;/Q&gt;&lt;R&gt;1&lt;/R&gt;&lt;C&gt;1&lt;/C&gt;&lt;D xsi:type="xsd:double"&gt;22.7851734342265&lt;/D&gt;&lt;/FQL&gt;&lt;FQL&gt;&lt;Q&gt;EWC^FMA_EVAL_EBITDA(NTMA,0,,,"PORTAGG","MEANR")&lt;/Q&gt;&lt;R&gt;1&lt;/R&gt;&lt;C&gt;1&lt;/C&gt;&lt;D xsi:type="xsd:double"&gt;10.2918880046852&lt;/D&gt;&lt;/FQL&gt;&lt;FQL&gt;&lt;Q&gt;UUP^P_PRICE(0)/P_PRICE_HIGH_PR(0,,,USD,,,"PRICE","INTRA","52W")&lt;/Q&gt;&lt;R&gt;1&lt;/R&gt;&lt;C&gt;1&lt;/C&gt;&lt;D xsi:type="xsd:double"&gt;0.9295541&lt;/D&gt;&lt;/FQL&gt;&lt;FQL&gt;&lt;Q&gt;CAGDPY@CA^EE_ACTUAL_ANNUAL(MED,+1)&lt;/Q&gt;&lt;R&gt;1&lt;/R&gt;&lt;C&gt;1&lt;/C&gt;&lt;D xsi:type="xsd:double"&gt;-0.7&lt;/D&gt;&lt;/FQL&gt;&lt;FQL&gt;&lt;Q&gt;USDAUD^FG_PRICE_CHANGE(0,-1AY)&lt;/Q&gt;&lt;R&gt;1&lt;/R&gt;&lt;C&gt;1&lt;/C&gt;&lt;D xsi:type="xsd:double"&gt;3.4437776&lt;/D&gt;&lt;/FQL&gt;&lt;FQL&gt;&lt;Q&gt;EWC^FG_TOTAL_RETURNC(-10AY,0,AM)&lt;/Q&gt;&lt;R&gt;121&lt;/R&gt;&lt;C&gt;1&lt;/C&gt;&lt;D xsi:type="xsd:double"&gt;5.7142854&lt;/D&gt;&lt;D xsi:type="xsd:double"&gt;2.0869017&lt;/D&gt;&lt;D xsi:type="xsd:double"&gt;2.6474476&lt;/D&gt;&lt;D xsi:type="xsd:double"&gt;0.45707226&lt;/D&gt;&lt;D xsi:type="xsd:double"&gt;6.5368295&lt;/D&gt;&lt;D xsi:type="xsd:double"&gt;-1.536572&lt;/D&gt;&lt;D xsi:type="xsd:double"&gt;2.3720264&lt;/D&gt;&lt;D xsi:type="xsd:double"&gt;-7.7134132&lt;/D&gt;&lt;D xsi:type="xsd:double"&gt;-4.0634274&lt;/D&gt;&lt;D xsi:type="xsd:double"&gt;1.446271&lt;/D&gt;&lt;D xsi:type="xsd:double"&gt;-1.2688816&lt;/D&gt;&lt;D xsi:type="xsd:double"&gt;-4.67062&lt;/D&gt;&lt;D xsi:type="xsd:double"&gt;1.9744039&lt;/D&gt;&lt;D xsi:type="xsd:double"&gt;-0.9322345&lt;/D&gt;&lt;D xsi:type="xsd:double"&gt;6.152737&lt;/D&gt;&lt;D xsi:type="xsd:double"&gt;-5.727923&lt;/D&gt;&lt;D xsi:type="xsd:double"&gt;-2.6924253&lt;/D&gt;&lt;D xsi:type="xsd:double"&gt;-4.8689184&lt;/D&gt;&lt;D xsi:type="xsd:double"&gt;-7.992119&lt;/D&gt;&lt;D xsi:type="xsd:double"&gt;-0.08558035&lt;/D&gt;&lt;D xsi:type="xsd:double"&gt;2.6980639&lt;/D&gt;&lt;D xsi:type="xsd:double"&gt;-3.669721&lt;/D&gt;&lt;D xsi:type="xsd:double"&gt;-7.022542&lt;/D&gt;&lt;D xsi:type="xsd:double"&gt;0.33034086&lt;/D&gt;&lt;D xsi:type="xsd:double"&gt;6.396997&lt;/D&gt;&lt;D xsi:type="xsd:double"&gt;3.0946016&lt;/D&gt;&lt;D xsi:type="xsd:double"&gt;3.6020637&lt;/D&gt;&lt;D xsi:type="xsd:double"&gt;3.6837697&lt;/D&gt;&lt;D xsi:type="xsd:double"&gt;-0.09109974&lt;/D&gt;&lt;D xsi:type="xsd:double"&gt;1.20821&lt;/D&gt;&lt;D xsi:type="xsd:double"&gt;2.904904&lt;/D&gt;&lt;D xsi:type="xsd:double"&gt;-2.4361968&lt;/D&gt;&lt;D xsi:type="xsd:double"&gt;-1.189059&lt;/D&gt;&lt;D xsi:type="xsd:double"&gt;5.214596&lt;/D&gt;&lt;D xsi:type="xsd:double"&gt;2.962947&lt;/D&gt;&lt;D xsi:type="xsd:double"&gt;1.9820571&lt;/D&gt;&lt;D xsi:type="xsd:double"&gt;-1.576823&lt;/D&gt;&lt;D xsi:type="xsd:double"&gt;0.14902353&lt;/D&gt;&lt;D xsi:type="xsd:double"&gt;-3.9806545&lt;/D&gt;&lt;D xsi:type="xsd:double"&gt;2.0534754&lt;/D&gt;&lt;D xsi:type="xsd:double"&gt;3.1214356&lt;/D&gt;&lt;D xsi:type="xsd:double"&gt;3.0809164&lt;/D&gt;&lt;D xsi:type="xsd:double"&gt;1.224339&lt;/D&gt;&lt;D xsi:type="xsd:double"&gt;3.5574555&lt;/D&gt;&lt;D xsi:type="xsd:double"&gt;0&lt;/D&gt;&lt;D xsi:type="xsd:double"&gt;0.3435135&lt;/D&gt;&lt;D xsi:type="xsd:double"&gt;4.817426&lt;/D&gt;&lt;D xsi:type="xsd:double"&gt;-4.201126&lt;/D&gt;&lt;D xsi:type="xsd:double"&gt;-5.1104965&lt;/D&gt;&lt;D xsi:type="xsd:double"&gt;-0.18194914&lt;/D&gt;&lt;D xsi:type="xsd:double"&gt;3.2081604&lt;/D&gt;&lt;D xsi:type="xsd:double"&gt;-0.45920014&lt;/D&gt;&lt;D xsi:type="xsd:double"&gt;1.7239213&lt;/D&gt;&lt;D xsi:type="xsd:double"&gt;2.812934&lt;/D&gt;&lt;D xsi:type="xsd:double"&gt;-3.112173&lt;/D&gt;&lt;D xsi:type="xsd:double"&gt;1.3060331&lt;/D&gt;&lt;D xsi:type="xsd:double"&gt;-6.8292737&lt;/D&gt;&lt;D xsi:type="xsd:double"&gt;-1.1219144&lt;/D&gt;&lt;D xsi:type="xsd:double"&gt;-5.2090406&lt;/D&gt;&lt;D xsi:type="xsd:double"&gt;10.344828&lt;/D&gt;&lt;D xsi:type="xsd:double"&gt;1.6544104&lt;/D&gt;&lt;D xsi:type="xsd:double"&gt;1.4466524&lt;/D&gt;&lt;D xsi:type="xsd:double"&gt;1.1764646&lt;/D&gt;&lt;D xsi:type="xsd:double"&gt;-2.0436943&lt;/D&gt;&lt;D xsi:type="xsd:double"&gt;5.2643776&lt;/D&gt;&lt;D xsi:type="xsd:double"&gt;-3.241384&lt;/D&gt;&lt;D xsi:type="xsd:double"&gt;0.8909464&lt;/D&gt;&lt;D xsi:type="xsd:double"&gt;-0.070643425&lt;/D&gt;&lt;D xsi:type="xsd:double"&gt;3.358078&lt;/D&gt;&lt;D xsi:type="xsd:double"&gt;0.6497979&lt;/D&gt;&lt;D xsi:type="xsd:double"&gt;2.7121425&lt;/D&gt;&lt;D xsi:type="xsd:double"&gt;0.6034255&lt;/D&gt;&lt;D xsi:type="xsd:double"&gt;-5.5648146&lt;/D&gt;&lt;D xsi:type="xsd:double"&gt;-25.8645&lt;/D&gt;&lt;D xsi:type="xsd:double"&gt;14.040923&lt;/D&gt;&lt;D xsi:type="xsd:double"&gt;9.766281&lt;/D&gt;&lt;D xsi:type="xsd:double"&gt;0.046420097&lt;/D&gt;&lt;D xsi:type="xsd:double"&gt;6.6026926&lt;/D&gt;&lt;D xsi:type="xsd:double"&gt;1.5844345&lt;/D&gt;&lt;D xsi:type="xsd:double"&gt;-2.3750365&lt;/D&gt;&lt;D xsi:type="xsd:double"&gt;0.03629923&lt;/D&gt;&lt;D xsi:type="xsd:double"&gt;13.756811&lt;/D&gt;&lt;D xsi:type="xsd:double"&gt;-0.040763617&lt;/D&gt;&lt;D xsi:type="xsd:double"&gt;2.5210023&lt;/D&gt;&lt;D xsi:type="xsd:double"&gt;2.868855&lt;/D&gt;&lt;D xsi:type="xsd:double"&gt;6.159973&lt;/D&gt;&lt;D xsi:type="xsd:double"&gt;3.2043934&lt;/D&gt;&lt;D xsi:type="xsd:double"&gt;6.881118&lt;/D&gt;&lt;D xsi:type="xsd:double"&gt;-0.9117365&lt;/D&gt;&lt;D xsi:type="xsd:double"&gt;-1.1692882&lt;/D&gt;&lt;D xsi:type="xsd:double"&gt;2.4468899&lt;/D&gt;&lt;D xsi:type="xsd:double"&gt;-3.8057685&lt;/D&gt;&lt;D xsi:type="xsd:double"&gt;7.6398373&lt;/D&gt;&lt;D xsi:type="xsd:double"&gt;-5.804819&lt;/D&gt;&lt;D xsi:type="xsd:double"&gt;4.102075&lt;/D&gt;&lt;D xsi:type="xsd:double"&gt;0.52369833&lt;/D&gt;&lt;D xsi:type="xsd:double"&gt;0.3907323&lt;/D&gt;&lt;D xsi:type="xsd:double"&gt;5.396986&lt;/D&gt;&lt;D xsi:type="xsd:double"&gt;-5.7360888&lt;/D&gt;&lt;D xsi:type="xsd:double"&gt;-0.7051468&lt;/D&gt;&lt;D xsi:type="xsd:double"&gt;-9.800774&lt;/D&gt;&lt;D xsi:type="xsd:double"&gt;2.6439428&lt;/D&gt;&lt;D xsi:type="xsd:double"&gt;-3.6634207&lt;/D&gt;&lt;D xsi:type="xsd:double"&gt;-1.8419445&lt;/D&gt;&lt;D xsi:type="xsd:double"&gt;0.93824863&lt;/D&gt;&lt;D xsi:type="xsd:double"&gt;5.5472374&lt;/D&gt;&lt;D xsi:type="xsd:double"&gt;-4.2498293&lt;/D&gt;&lt;D xsi:type="xsd:double"&gt;6.9235325&lt;/D&gt;&lt;D xsi:type="xsd:double"&gt;-1.9144177&lt;/D&gt;&lt;D xsi:type="xsd:double"&gt;-0.3444314&lt;/D&gt;&lt;D xsi:type="xsd:double"&gt;-0.63364506&lt;/D&gt;&lt;D xsi:type="xsd:double"&gt;-0.17391443&lt;/D&gt;&lt;D xsi:type="xsd:double"&gt;3.242302&lt;/D&gt;&lt;D xsi:type="xsd:double"&gt;-1.0795474&lt;/D&gt;&lt;D xsi:type="xsd:double"&gt;0.31591654&lt;/D&gt;&lt;D xsi:type="xsd:double"&gt;-7.7870073&lt;/D&gt;&lt;D xsi:type="xsd:double"&gt;4.9363613&lt;/D&gt;&lt;D xsi:type="xsd:double"&gt;4.4674635&lt;/D&gt;&lt;D xsi:type="xsd:double"&gt;4.0322185&lt;/D&gt;&lt;D xsi:type="xsd:double"&gt;0.41390657&lt;/D&gt;&lt;D xsi:type="xsd:double"&gt;1.7312527&lt;/D&gt;&lt;/FQL&gt;&lt;FQL&gt;&lt;Q&gt;CAGDPY@SE^EE_ACTUAL_ANNUAL(MED,+1)&lt;/Q&gt;&lt;R&gt;1&lt;/R&gt;&lt;C&gt;1&lt;/C&gt;&lt;D xsi:type="xsd:double"&gt;4.8&lt;/D&gt;&lt;/FQL&gt;&lt;FQL&gt;&lt;Q&gt;ENZL^JULIAN(FG_TOTAL_RETURNC(-10AY,0,AM).DATES)&lt;/Q&gt;&lt;R&gt;121&lt;/R&gt;&lt;C&gt;1&lt;/C&gt;&lt;D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</t>
        </r>
      </text>
    </comment>
    <comment ref="A9" authorId="0" shapeId="0" xr:uid="{467968D1-AFA6-4369-B328-A2FEEC8CE7A7}">
      <text>
        <r>
          <rPr>
            <b/>
            <sz val="9"/>
            <color indexed="81"/>
            <rFont val="Tahoma"/>
            <family val="2"/>
          </rPr>
          <t>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xsi:type="xsd:long"&gt;45355&lt;/D&gt;&lt;/FQL&gt;&lt;FQL&gt;&lt;Q&gt;CPALM-FDS^FG_PRICE(0)/MAX(FG_PRICE(0,-1AY))&lt;/Q&gt;&lt;R&gt;1&lt;/R&gt;&lt;C&gt;1&lt;/C&gt;&lt;D xsi:type="xsd:double"&gt;0.928356829211925&lt;/D&gt;&lt;/FQL&gt;&lt;FQL&gt;&lt;Q&gt;TIOS-FDS^FG_PRICE(0)/MAX(FG_PRICE(0,-1AY))&lt;/Q&gt;&lt;R&gt;1&lt;/R&gt;&lt;C&gt;1&lt;/C&gt;&lt;D xsi:type="xsd:double"&gt;0.811182019977802&lt;/D&gt;&lt;/FQL&gt;&lt;FQL&gt;&lt;Q&gt;EWI^FG_PRICE_MAVG(0,,,,60)&lt;/Q&gt;&lt;R&gt;1&lt;/R&gt;&lt;C&gt;1&lt;/C&gt;&lt;D xsi:type="xsd:double"&gt;33.964333&lt;/D&gt;&lt;/FQL&gt;&lt;FQL&gt;&lt;Q&gt;EWL^FG_PRICE_MAVG(0,,,,30)&lt;/Q&gt;&lt;R&gt;1&lt;/R&gt;&lt;C&gt;1&lt;/C&gt;&lt;D xsi:type="xsd:double"&gt;47.051334&lt;/D&gt;&lt;/FQL&gt;&lt;FQL&gt;&lt;Q&gt;EWD^P_PRICE(0)/P_PRICE_HIGH_PR(0,,,USD,,,"PRICE","INTRA","52W")&lt;/Q&gt;&lt;R&gt;1&lt;/R&gt;&lt;C&gt;1&lt;/C&gt;&lt;D xsi:type="xsd:double"&gt;0.98731136&lt;/D&gt;&lt;/FQL&gt;&lt;FQL&gt;&lt;Q&gt;EWD^PERCENT_CHANGE(FMA_EPS(+1,0,,,,"PORTAGG","MEAN"),FMA_EPS(+1,-1AM,,,,"PORTAGG","MEAN"))&lt;/Q&gt;&lt;R&gt;1&lt;/R&gt;&lt;C&gt;1&lt;/C&gt;&lt;D xsi:type="xsd:double"&gt;5.21692546127759&lt;/D&gt;&lt;/FQL&gt;&lt;FQL&gt;&lt;Q&gt;EWG^PERCENT_CHANGE(FMA_EPS(+1,0,,,,"PORTAGG","MEAN"),FMA_EPS(+1,-1AM,,,,"PORTAGG","MEAN"))&lt;/Q&gt;&lt;R&gt;1&lt;/R&gt;&lt;C&gt;1&lt;/C&gt;&lt;D xsi:type="xsd:double"&gt;-3.0252270019413&lt;/D&gt;&lt;/FQL&gt;&lt;FQL&gt;&lt;Q&gt;VWO^SIZE(FG_CONSTITUENTS)&lt;/Q&gt;&lt;R&gt;1&lt;/R&gt;&lt;C&gt;1&lt;/C&gt;&lt;D xsi:type="xsd:long"&gt;4677&lt;/D&gt;&lt;/FQL&gt;&lt;FQL&gt;&lt;Q&gt;REFEUREFI-FDS^(SUBARRAY(NOT_NA(NO_REPEAT_F(FG_YIELD(NOW,-10AY,D))),0,1)-SUBARRAY(NOT_NA(NO_REPEAT_F(FG_YIELD(NOW,-10AY,D))),1,1))*100&lt;/Q&gt;&lt;R&gt;1&lt;/R&gt;&lt;C&gt;1&lt;/C&gt;&lt;D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xsi:type="xsd:double"&gt;25&lt;/D&gt;&lt;/FQL&gt;&lt;FQL&gt;&lt;Q&gt;TRYGB10Y-FDS^PCTCHG(FG_YIELD(0,,,,"YTM"),FG_YIELD(-3AM,,,,"YTM"))&lt;/Q&gt;&lt;R&gt;1&lt;/R&gt;&lt;C&gt;1&lt;/C&gt;&lt;D xsi:type="xsd:double"&gt;1.7050936&lt;/D&gt;&lt;/FQL&gt;&lt;FQL&gt;&lt;Q&gt;CC_FR^IMF_IFS_RCPI_Q(0)&lt;/Q&gt;&lt;R&gt;1&lt;/R&gt;&lt;C&gt;1&lt;/C&gt;&lt;D xsi:type="xsd:double"&gt;3.7187452&lt;/D&gt;&lt;/FQL&gt;&lt;FQL&gt;&lt;Q&gt;VGK^JULIAN(FMA_DIV_YLD(NTMA,NOW,NOW,M,"PORTAGG","MEANR").DATES)&lt;/Q&gt;&lt;R&gt;1&lt;/R&gt;&lt;C&gt;1&lt;/C&gt;&lt;D xsi:type="xsd:long"&gt;45322&lt;/D&gt;&lt;/FQL&gt;&lt;FQL&gt;&lt;Q&gt;EWQ^FMA_EVAL_EBIT(LTMA,NOW,NOW,M,"PORTAGG","MEANR")&lt;/Q&gt;&lt;R&gt;1&lt;/R&gt;&lt;C&gt;1&lt;/C&gt;&lt;D xsi:type="xsd:double"&gt;13.2540205582812&lt;/D&gt;&lt;/FQL&gt;&lt;FQL&gt;&lt;Q&gt;EWG^FG_FCF_YIELD_NTM(0)&lt;/Q&gt;&lt;R&gt;1&lt;/R&gt;&lt;C&gt;1&lt;/C&gt;&lt;D xsi:type="xsd:double"&gt;5.62129079430544&lt;/D&gt;&lt;/FQL&gt;&lt;FQL&gt;&lt;Q&gt;ENZL^FG_FCF_YIELD_NTM(0)&lt;/Q&gt;&lt;R&gt;1&lt;/R&gt;&lt;C&gt;1&lt;/C&gt;&lt;D xsi:type="xsd:double"&gt;0.468143825248781&lt;/D&gt;&lt;/FQL&gt;&lt;FQL&gt;&lt;Q&gt;UUP^FG_TOTAL_RETURNC(0,-1AM)&lt;/Q&gt;&lt;R&gt;1&lt;/R&gt;&lt;C&gt;1&lt;/C&gt;&lt;D xsi:type="xsd:double"&gt;0.35791397&lt;/D&gt;&lt;/FQL&gt;&lt;FQL&gt;&lt;Q&gt;USDCAD^FG_PRICE_CHANGE(0,-6AM)&lt;/Q&gt;&lt;R&gt;1&lt;/R&gt;&lt;C&gt;1&lt;/C&gt;&lt;D xsi:type="xsd:double"&gt;-0.26839972&lt;/D&gt;&lt;/FQL&gt;&lt;FQL&gt;&lt;Q&gt;DDR3512M-FDS^FG_PRICE_CHANGE(0,-3AM)&lt;/Q&gt;&lt;R&gt;1&lt;/R&gt;&lt;C&gt;1&lt;/C&gt;&lt;D xsi:type="xsd:double"&gt;-3.39849560506278&lt;/D&gt;&lt;/FQL&gt;&lt;FQL&gt;&lt;Q&gt;CPALM-FDS^FG_PRICE_CHANGE(0,-3AM)&lt;/Q&gt;&lt;R&gt;1&lt;/R&gt;&lt;C&gt;1&lt;/C&gt;&lt;D xsi:type="xsd:double"&gt;9.21696574225122&lt;/D&gt;&lt;/FQL&gt;&lt;FQL&gt;&lt;Q&gt;TIOS-FDS^FG_PRICE_CHANGE(0,-3AM)&lt;/Q&gt;&lt;R&gt;1&lt;/R&gt;&lt;C&gt;1&lt;/C&gt;&lt;D xsi:type="xsd:double"&gt;-10.3633297562471&lt;/D&gt;&lt;/FQL&gt;&lt;FQL&gt;&lt;Q&gt;EWL^FG_PRICE(0)&lt;/Q&gt;&lt;R&gt;1&lt;/R&gt;&lt;C&gt;1&lt;/C&gt;&lt;D xsi:type="xsd:double"&gt;46.89&lt;/D&gt;&lt;/FQL&gt;&lt;FQL&gt;&lt;Q&gt;FXI^FG_TOTAL_RETURNC(0,-6AM)&lt;/Q&gt;&lt;R&gt;1&lt;/R&gt;&lt;C&gt;1&lt;/C&gt;&lt;D xsi:type="xsd:double"&gt;-14.371729&lt;/D&gt;&lt;/FQL&gt;&lt;FQL&gt;&lt;Q&gt;EWL^P_PRICE(0)/P_PRICE_HIGH_PR(0,,,USD,,,"PRICE","INTRA","52W")&lt;/Q&gt;&lt;R&gt;1&lt;/R&gt;&lt;C&gt;1&lt;/C&gt;&lt;D xsi:type="xsd:double"&gt;0.9582098&lt;/D&gt;&lt;/FQL&gt;&lt;FQL&gt;&lt;Q&gt;FXI^PERCENT_CHANGE(FMA_EPS(+1,0,,,,"PORTAGG","MEAN"),FMA_EPS(+1,-3AM,,,,"PORTAGG","MEAN"))&lt;/Q&gt;&lt;R&gt;1&lt;/R&gt;&lt;C&gt;1&lt;/C&gt;&lt;D xsi:type="xsd:double"&gt;-15.5145575259465&lt;/D&gt;&lt;/FQL&gt;&lt;FQL&gt;&lt;Q&gt;EWD^FMA_PCT_ABOVE_MAVG(200,0,,,,"PORTAGG")&lt;/Q&gt;&lt;R&gt;1&lt;/R&gt;&lt;C&gt;1&lt;/C&gt;&lt;D xsi:type="xsd:double"&gt;74.4186046511628&lt;/D&gt;&lt;/FQL&gt;&lt;FQL&gt;&lt;Q&gt;EWG^FMA_PCT_ABOVE_MAVG(200,0,,,,"PORTAGG")&lt;/Q&gt;&lt;R&gt;1&lt;/R&gt;&lt;C&gt;1&lt;/C&gt;&lt;D xsi:type="xsd:double"&gt;69.4915254237288&lt;/D&gt;&lt;/FQL&gt;&lt;FQL&gt;&lt;Q&gt;EWU^SIZE(FG_CONSTITUENTS)&lt;/Q&gt;&lt;R&gt;1&lt;/R&gt;&lt;C&gt;1&lt;/C&gt;&lt;D xsi:type="xsd:long"&gt;85&lt;/D&gt;&lt;/FQL&gt;&lt;FQL&gt;&lt;Q&gt;EWD^FG_ROE(0)&lt;/Q&gt;&lt;R&gt;1&lt;/R&gt;&lt;C&gt;1&lt;/C&gt;&lt;D xsi:type="xsd:double"&gt;15.3257381580235&lt;/D&gt;&lt;/FQL&gt;&lt;FQL&gt;&lt;Q&gt;TRYCA10Y-FDS^FG_YIELD_NAME&lt;/Q&gt;&lt;R&gt;1&lt;/R&gt;&lt;C&gt;1&lt;/C&gt;&lt;D xsi:type="xsd:string"&gt;Canada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Rate&lt;/D&gt;&lt;/FQL&gt;&lt;FQL&gt;&lt;Q&gt;TRYGB10Y-FDS^PCTCHG(FG_YIELD(0,,,,"YTM"),FG_YIELD(-1AM,,,,"YTM"))&lt;/Q&gt;&lt;R&gt;1&lt;/R&gt;&lt;C&gt;1&lt;/C&gt;&lt;D xsi:type="xsd:double"&gt;8.645462&lt;/D&gt;&lt;/FQL&gt;&lt;FQL&gt;&lt;Q&gt;EWQ^FMA_EVAL_EBITDA(NTMA,0,,,"PORTAGG","MEANR")&lt;/Q&gt;&lt;R&gt;1&lt;/R&gt;&lt;C&gt;1&lt;/C&gt;&lt;D xsi:type="xsd:double"&gt;9.52498582233219&lt;/D&gt;&lt;/FQL&gt;&lt;FQL&gt;&lt;Q&gt;EWU^FMA_EVAL_EBITDA(NTMA,0,,,"PORTAGG","MEANR")&lt;/Q&gt;&lt;R&gt;1&lt;/R&gt;&lt;C&gt;1&lt;/C&gt;&lt;D xsi:type="xsd:double"&gt;7.35762254816328&lt;/D&gt;&lt;/FQL&gt;&lt;FQL&gt;&lt;Q&gt;ENZL^FG_COMPANY_NAME&lt;/Q&gt;&lt;R&gt;1&lt;/R&gt;&lt;C&gt;1&lt;/C&gt;&lt;D xsi:type="xsd:string"&gt;iShares MSCI New Zealand ETF&lt;/D&gt;&lt;/FQL&gt;&lt;FQL&gt;&lt;Q&gt;VGK^FG_TOTAL_RETURNC(0,-1AM)&lt;/Q&gt;&lt;R&gt;1&lt;/R&gt;&lt;C&gt;1&lt;/C&gt;&lt;D xsi:type="xsd:double"&gt;3.1083226&lt;/D&gt;&lt;/FQL&gt;&lt;FQL&gt;&lt;Q&gt;GLD^P_PRICE(0)/P_PRICE_HIGH_PR(0,,,USD,,,"PRICE","INTRA","52W")&lt;/Q&gt;&lt;R&gt;1&lt;/R&gt;&lt;C&gt;1&lt;/C&gt;&lt;D xsi:type="xsd:double"&gt;0.9983706&lt;/D&gt;&lt;/FQL&gt;&lt;FQL&gt;&lt;Q&gt;CAGDPY@SE^EE_ACTUAL_ANNUAL(MED,0)&lt;/Q&gt;&lt;R&gt;1&lt;/R&gt;&lt;C&gt;1&lt;/C&gt;&lt;D xsi:type="xsd:double"&gt;4.7&lt;/D&gt;&lt;/FQL&gt;&lt;FQL&gt;&lt;Q&gt;USDCHF^FG_PRICE(0)&lt;/Q&gt;&lt;R&gt;1&lt;/R&gt;&lt;C&gt;1&lt;/C&gt;&lt;D xsi:type="xsd:double"&gt;0.88475&lt;/D&gt;&lt;/FQL&gt;&lt;FQL&gt;&lt;Q&gt;EWI^FMA_DIV_YLD(NTMA,-10AY,0,AM,"PORTAGG","MEANR")&lt;/Q&gt;&lt;R&gt;121&lt;/R&gt;&lt;C&gt;1&lt;/C&gt;&lt;D xsi:type="xsd:double"&gt;3.53242276066425&lt;/D&gt;&lt;D xsi:type="xsd:double"&gt;3.30926893787696&lt;/D&gt;&lt;D xsi:type="xsd:double"&gt;3.39928141524999&lt;/D&gt;&lt;D xsi:type="xsd:double"&gt;3.48528032853387&lt;/D&gt;&lt;D xsi:type="xsd:double"&gt;3.27729158249929&lt;/D&gt;&lt;D xsi:type="xsd:double"&gt;3.5736755904708&lt;/D&gt;&lt;D xsi:type="xsd:double"&gt;3.45177240438227&lt;/D&gt;&lt;D xsi:type="xsd:double"&gt;3.77215895485406&lt;/D&gt;&lt;D xsi:type="xsd:double"&gt;4.04317460409273&lt;/D&gt;&lt;D xsi:type="xsd:double"&gt;3.9333828042141&lt;/D&gt;&lt;D xsi:type="xsd:double"&gt;4.06134587663002&lt;/D&gt;&lt;D xsi:type="xsd:double"&gt;3.71302426186281&lt;/D&gt;&lt;D xsi:type="xsd:double"&gt;3.4747231844366&lt;/D&gt;&lt;D xsi:type="xsd:double"&gt;3.13160358072627&lt;/D&gt;&lt;D xsi:type="xsd:double"&gt;3.17642927206668&lt;/D&gt;&lt;D xsi:type="xsd:double"&gt;3.22621512697682&lt;/D&gt;&lt;D xsi:type="xsd:double"&gt;3.32377782990653&lt;/D&gt;&lt;D xsi:type="xsd:double"&gt;3.13428444754805&lt;/D&gt;&lt;D xsi:type="xsd:double"&gt;3.44948068556542&lt;/D&gt;&lt;D xsi:type="xsd:double"&gt;3.69527891923271&lt;/D&gt;&lt;D xsi:type="xsd:double"&gt;3.58897157100036&lt;/D&gt;&lt;D xsi:type="xsd:double"&gt;3.66096458058875&lt;/D&gt;&lt;D xsi:type="xsd:double"&gt;3.98669495573291&lt;/D&gt;&lt;D xsi:type="xsd:double"&gt;4.596590763973&lt;/D&gt;&lt;D xsi:type="xsd:double"&gt;4.33356723923275&lt;/D&gt;&lt;D xsi:type="xsd:double"&gt;4.54007175959016&lt;/D&gt;&lt;D xsi:type="xsd:double"&gt;4.48137164756487&lt;/D&gt;&lt;D xsi:type="xsd:double"&gt;4.68068410809657&lt;/D&gt;&lt;D xsi:type="xsd:double"&gt;4.95911206174502&lt;/D&gt;&lt;D xsi:type="xsd:double"&gt;4.91814017915492&lt;/D&gt;&lt;D xsi:type="xsd:double"&gt;4.71141530882967&lt;/D&gt;&lt;D xsi:type="xsd:double"&gt;5.00691521203561&lt;/D&gt;&lt;D xsi:type="xsd:double"&gt;4.99690749768347&lt;/D&gt;&lt;D xsi:type="xsd:double"&gt;4.82374329909708&lt;/D&gt;&lt;D xsi:type="xsd:double"&gt;4.2301917276839&lt;/D&gt;&lt;D xsi:type="xsd:double"&gt;4.35626800212647&lt;/D&gt;&lt;D xsi:type="xsd:double"&gt;4.05990350477389&lt;/D&gt;&lt;D xsi:type="xsd:double"&gt;3.94959167643576&lt;/D&gt;&lt;D xsi:type="xsd:double"&gt;3.82008396977488&lt;/D&gt;&lt;D xsi:type="xsd:double"&gt;3.79358750966842&lt;/D&gt;&lt;D xsi:type="xsd:double"&gt;3.8099664237188&lt;/D&gt;&lt;D xsi:type="xsd:double"&gt;3.71121267419804&lt;/D&gt;&lt;D xsi:type="xsd:double"&gt;3.76365208942429&lt;/D&gt;&lt;D xsi:type="xsd:double"&gt;3.79765697442544&lt;/D&gt;&lt;D xsi:type="xsd:double"&gt;3.73841304676083&lt;/D&gt;&lt;D xsi:type="xsd:double"&gt;3.88694648558752&lt;/D&gt;&lt;D xsi:type="xsd:double"&gt;3.88799266176523&lt;/D&gt;&lt;D xsi:type="xsd:double"&gt;3.82342077337038&lt;/D&gt;&lt;D xsi:type="xsd:double"&gt;4.14334489179592&lt;/D&gt;&lt;D xsi:type="xsd:double"&gt;4.10841288033735&lt;/D&gt;&lt;D xsi:type="xsd:double"&gt;3.83974969635014&lt;/D&gt;&lt;D xsi:type="xsd:double"&gt;4.34169098146298&lt;/D&gt;&lt;D xsi:type="xsd:double"&gt;4.47343043111058&lt;/D&gt;&lt;D xsi:type="xsd:double"&gt;4.44232084193975&lt;/D&gt;&lt;D xsi:type="xsd:double"&gt;4.70037811611189&lt;/D&gt;&lt;D xsi:type="xsd:double"&gt;4.73246120410951&lt;/D&gt;&lt;D xsi:type="xsd:double"&gt;5.02846733666882&lt;/D&gt;&lt;D xsi:type="xsd:double"&gt;5.19517628278497&lt;/D&gt;&lt;D xsi:type="xsd:double"&gt;5.27869322700623&lt;/D&gt;&lt;D xsi:type="xsd:double"&gt;5.11681974427287&lt;/D&gt;&lt;D xsi:type="xsd:double"&gt;4.77931031272033&lt;/D&gt;&lt;D xsi:type="xsd:double"&gt;4.61716820005365&lt;/D&gt;&lt;D xsi:type="xsd:double"&gt;4.63412917957235&lt;/D&gt;&lt;D xsi:type="xsd:double"&gt;5.05348182511915&lt;/D&gt;&lt;D xsi:type="xsd:double"&gt;4.69711184705548&lt;/D&gt;&lt;D xsi:type="xsd:double"&gt;4.91040692672873&lt;/D&gt;&lt;D xsi:type="xsd:double"&gt;4.80096802997001&lt;/D&gt;&lt;D xsi:type="xsd:double"&gt;4.88007232021736&lt;/D&gt;&lt;D xsi:type="xsd:double"&gt;4.53844459767796&lt;/D&gt;&lt;D xsi:type="xsd:double"&gt;4.61144572897077&lt;/D&gt;&lt;D xsi:type="xsd:double"&gt;4.48424327475321&lt;/D&gt;&lt;D xsi:type="xsd:double"&gt;4.52036752261613&lt;/D&gt;&lt;D xsi:type="xsd:double"&gt;4.9629103012771&lt;/D&gt;&lt;D xsi:type="xsd:double"&gt;6.36779775197604&lt;/D&gt;&lt;D xsi:type="xsd:double"&gt;5.4635202648736&lt;/D&gt;&lt;D xsi:type="xsd:double"&gt;4.22838569929541&lt;/D&gt;&lt;D xsi:type="xsd:double"&gt;4.26315896223712&lt;/D&gt;&lt;D xsi:type="xsd:double"&gt;3.94921362535655&lt;/D&gt;&lt;D xsi:type="xsd:double"&gt;4.10458469206802&lt;/D&gt;&lt;D xsi:type="xsd:double"&gt;4.21280879446129&lt;/D&gt;&lt;D xsi:type="xsd:double"&gt;4.26945972065081&lt;/D&gt;&lt;D xsi:type="xsd:double"&gt;3.93680627810488&lt;/D&gt;&lt;D xsi:type="xsd:double"&gt;3.94015298222961&lt;/D&gt;&lt;D xsi:type="xsd:double"&gt;3.947679057397&lt;/D&gt;&lt;D xsi:type="xsd:double"&gt;4.21663810050874&lt;/D&gt;&lt;D xsi:type="xsd:double"&gt;3.99637371635555&lt;/D&gt;&lt;D xsi:type="xsd:double"&gt;4.22634899362961&lt;/D&gt;&lt;D xsi:type="xsd:double"&gt;4.0578080931421&lt;/D&gt;&lt;D xsi:type="xsd:double"&gt;4.1376130952578&lt;/D&gt;&lt;D xsi:type="xsd:double"&gt;4.36310396155263&lt;/D&gt;&lt;D xsi:type="xsd:double"&gt;4.4217926580871&lt;/D&gt;&lt;D xsi:type="xsd:double"&gt;4.58025893616935&lt;/D&gt;&lt;D xsi:type="xsd:double"&gt;4.32112627872643&lt;/D&gt;&lt;D xsi:type="xsd:double"&gt;4.75235358825797&lt;/D&gt;&lt;D xsi:type="xsd:double"&gt;4.51234283003352&lt;/D&gt;&lt;D xsi:type="xsd:double"&gt;4.8217482873472&lt;/D&gt;&lt;D xsi:type="xsd:double"&gt;5.65037610221175&lt;/D&gt;&lt;D xsi:type="xsd:double"&gt;5.00862861586388&lt;/D&gt;&lt;D xsi:type="xsd:double"&gt;5.18222279511495&lt;/D&gt;&lt;D xsi:type="xsd:double"&gt;5.26220557604744&lt;/D&gt;&lt;D xsi:type="xsd:double"&gt;5.92881946620004&lt;/D&gt;&lt;D xsi:type="xsd:double"&gt;5.77683837690013&lt;/D&gt;&lt;D xsi:type="xsd:double"&gt;5.64469696857695&lt;/D&gt;&lt;D xsi:type="xsd:double"&gt;5.91827610723365&lt;/D&gt;&lt;D xsi:type="xsd:double"&gt;5.54664553856192&lt;/D&gt;&lt;D xsi:type="xsd:double"&gt;5.67755563875915&lt;/D&gt;&lt;D xsi:type="xsd:double"&gt;5.66518302423868&lt;/D&gt;&lt;D xsi:type="xsd:double"&gt;5.43386967367618&lt;/D&gt;&lt;D xsi:type="xsd:double"&gt;5.21946125726169&lt;/D&gt;&lt;D xsi:type="xsd:double"&gt;5.45615004079078&lt;/D&gt;&lt;D xsi:type="xsd:double"&gt;5.5152293213307&lt;/D&gt;&lt;D xsi:type="xsd:double"&gt;5.43936078668085&lt;/D&gt;&lt;D xsi:type="xsd:double"&gt;5.26263674027405&lt;/D&gt;&lt;D xsi:type="xsd:double"&gt;5.46083748857183&lt;/D&gt;&lt;D xsi:type="xsd:double"&gt;5.38738414368684&lt;/D&gt;&lt;D xsi:type="xsd:double"&gt;5.70074609431894&lt;/D&gt;&lt;D xsi:type="xsd:double"&gt;5.57528462825803&lt;/D&gt;&lt;D xsi:type="xsd:double"&gt;5.44925006616883&lt;/D&gt;&lt;D xsi:type="xsd:double"&gt;5.45464598877719&lt;/D&gt;&lt;D xsi:type="xsd:double"&gt;5.37821301913924&lt;/D&gt;&lt;D xsi:type="xsd:double"&gt;4.95585597705833&lt;/D&gt;&lt;/FQL&gt;&lt;FQL&gt;&lt;Q&gt;EWI^FG_PRICE_MAVG(0,,,,30)&lt;/Q&gt;&lt;R&gt;1&lt;/R&gt;&lt;C&gt;1&lt;/C&gt;&lt;D xsi:type="xsd:double"&gt;34.294&lt;/D&gt;&lt;/FQL&gt;&lt;FQL&gt;&lt;Q&gt;FXI^FG_TOTAL_RETURNC(0,-3AM)&lt;/Q&gt;&lt;R&gt;1&lt;/R&gt;&lt;C&gt;1&lt;/C&gt;&lt;D xsi:type="xsd:double"&gt;-1.2333751&lt;/D&gt;&lt;/FQL&gt;&lt;FQL&gt;&lt;Q&gt;EWD^FG_TOTAL_RETURNC(0,-6AM)&lt;/Q&gt;&lt;R&gt;1&lt;/R&gt;&lt;C&gt;1&lt;/C&gt;&lt;D xsi:type="xsd:double"&gt;22.159636&lt;/D&gt;&lt;/FQL&gt;&lt;FQL&gt;&lt;Q&gt;EWL^FG_TOTAL_RETURNC(0,-6AM)&lt;/Q&gt;&lt;R&gt;1&lt;/R&gt;&lt;C&gt;1&lt;/C&gt;&lt;D xsi:type="xsd:double"&gt;2.0901322&lt;/D&gt;&lt;/FQL&gt;&lt;FQL&gt;&lt;Q&gt;FXI^PERCENT_CHANGE(FMA_EPS(+1,0,,,,"PORTAGG","MEAN"),FMA_EPS(+1,-1AM,,,,"PORTAGG","MEAN"))&lt;/Q&gt;&lt;R&gt;1&lt;/R&gt;&lt;C&gt;1&lt;/C&gt;&lt;D xsi:type="xsd:double"&gt;-8.72119320598067&lt;/D&gt;&lt;/FQL&gt;&lt;FQL&gt;&lt;Q&gt;EWN^PERCENT_CHANGE(FMA_EPS(+1,0,,,,"PORTAGG","MEAN"),FMA_EPS(+1,-3AM,,,,"PORTAGG","MEAN"))&lt;/Q&gt;&lt;R&gt;1&lt;/R&gt;&lt;C&gt;1&lt;/C&gt;&lt;D xsi:type="xsd:double"&gt;-13.5695809865301&lt;/D&gt;&lt;/FQL&gt;&lt;FQL&gt;&lt;Q&gt;VWO^FMA_COS_DOWN("EPS","1M",+1,0,,,"PORTAGG","MEANR")&lt;/Q&gt;&lt;R&gt;1&lt;/R&gt;&lt;C&gt;1&lt;/C&gt;&lt;D xsi:type="xsd:double"&gt;1198&lt;/D&gt;&lt;/FQL&gt;&lt;FQL&gt;&lt;Q&gt;REFCATARG-FDS^(SUBARRAY(NOT_NA(NO_REPEAT_F(FG_YIELD(NOW,-10AY,D))),0,1)-SUBARRAY(NOT_NA(NO_REPEAT_F(FG_YIELD(NOW,-10AY,D))),1,1))*100&lt;/Q&gt;&lt;R&gt;1&lt;/R&gt;&lt;C&gt;1&lt;/C&gt;&lt;D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xsi:type="xsd:double"&gt;25&lt;/D&gt;&lt;/FQL&gt;&lt;FQL&gt;&lt;Q&gt;TRYCH10Y-FDS^PCTCHG(FG_YIELD(0,,,,"YTM"),FG_YIELD(-3AM,,,,"YTM"))&lt;/Q&gt;&lt;R&gt;1&lt;/R&gt;&lt;C&gt;1&lt;/C&gt;&lt;D xsi:type="xsd:double"&gt;-2.7261407&lt;/D&gt;&lt;/FQL&gt;&lt;FQL&gt;&lt;Q&gt;TRYUS10Y-FDS^FG_YIELD(0,,,,"YTM")&lt;/Q&gt;&lt;R&gt;1&lt;/R&gt;&lt;C&gt;1&lt;/C&gt;&lt;D xsi:type="xsd:double"&gt;4.216&lt;/D&gt;&lt;/FQL&gt;&lt;FQL&gt;&lt;Q&gt;CC_US^IMF_IFS_RCPI_Q(0)&lt;/Q&gt;&lt;R&gt;1&lt;/R&gt;&lt;C&gt;1&lt;/C&gt;&lt;D xsi:type="xsd:double"&gt;3.2433991&lt;/D&gt;&lt;/FQL&gt;&lt;FQL&gt;&lt;Q&gt;EWU^FG_FCF_YIELD_NTM(0)&lt;/Q&gt;&lt;R&gt;1&lt;/R&gt;&lt;C&gt;1&lt;/C&gt;&lt;D xsi:type="xsd:double"&gt;6.33945020782743&lt;/D&gt;&lt;/FQL&gt;&lt;FQL&gt;&lt;Q&gt;EWG^FMA_DIV_YLD(NTMA,NOW,NOW,M,"PORTAGG","MEANR")&lt;/Q&gt;&lt;R&gt;1&lt;/R&gt;&lt;C&gt;1&lt;/C&gt;&lt;D xsi:type="xsd:double"&gt;3.45534580879456&lt;/D&gt;&lt;/FQL&gt;&lt;FQL&gt;&lt;Q&gt;ENZL^FMA_DIV_YLD(NTMA,NOW,NOW,M,"PORTAGG","MEANR")&lt;/Q&gt;&lt;R&gt;1&lt;/R&gt;&lt;C&gt;1&lt;/C&gt;&lt;D xsi:type="xsd:double"&gt;2.88149232887874&lt;/D&gt;&lt;/FQL&gt;&lt;FQL&gt;&lt;Q&gt;GLD^FG_TOTAL_RETURNC(0,-6AM)&lt;/Q&gt;&lt;R&gt;1&lt;/R&gt;&lt;C&gt;1&lt;/C&gt;&lt;D xsi:type="xsd:double"&gt;8.827936&lt;/D&gt;&lt;/FQL&gt;&lt;FQL&gt;&lt;Q&gt;CAGDPY@NL^EE_ACTUAL_ANNUAL(MED,+1)&lt;/Q&gt;&lt;R&gt;1&lt;/R&gt;&lt;C&gt;1&lt;/C&gt;&lt;D xsi:type="xsd:double"&gt;9&lt;/D&gt;&lt;/FQL&gt;&lt;FQL&gt;&lt;Q&gt;USDCHF^FG_COMPANY_NAME&lt;/Q&gt;&lt;R&gt;1&lt;/R&gt;&lt;C&gt;1&lt;/C&gt;&lt;D xsi:type="xsd:string"&gt;Swiss Franc per U.S. Dollar&lt;/D&gt;&lt;/FQL&gt;&lt;FQL&gt;&lt;Q&gt;USDAUD^FG_PRICE(0)&lt;/Q&gt;&lt;R&gt;1&lt;/R&gt;&lt;C&gt;1&lt;/C&gt;&lt;D xsi:type="xsd:double"&gt;1.5339776&lt;/D&gt;&lt;/FQL&gt;&lt;FQL&gt;&lt;Q&gt;EWG^FMA_DIV_YLD(NTMA,-10AY,0,AM,"PORTAGG","MEANR")&lt;/Q&gt;&lt;R&gt;121&lt;/R&gt;&lt;C&gt;1&lt;/C&gt;&lt;D xsi:type="xsd:double"&gt;2.92727923725152&lt;/D&gt;&lt;D xsi:type="xsd:double"&gt;2.92704865530614&lt;/D&gt;&lt;D xsi:type="xsd:double"&gt;3.00546613367846&lt;/D&gt;&lt;D xsi:type="xsd:double"&gt;2.97118918547174&lt;/D&gt;&lt;D xsi:type="xsd:double"&gt;2.97712171938965&lt;/D&gt;&lt;D xsi:type="xsd:double"&gt;3.27952498707205&lt;/D&gt;&lt;D xsi:type="xsd:double"&gt;3.09161741946692&lt;/D&gt;&lt;D xsi:type="xsd:double"&gt;3.29188127460621&lt;/D&gt;&lt;D xsi:type="xsd:double"&gt;3.32106449414923&lt;/D&gt;&lt;D xsi:type="xsd:double"&gt;3.1695357827974&lt;/D&gt;&lt;D xsi:type="xsd:double"&gt;3.20673972066176&lt;/D&gt;&lt;D xsi:type="xsd:double"&gt;2.89514083294979&lt;/D&gt;&lt;D xsi:type="xsd:double"&gt;2.78309024822116&lt;/D&gt;&lt;D xsi:type="xsd:double"&gt;2.68976864034982&lt;/D&gt;&lt;D xsi:type="xsd:double"&gt;2.83130527553843&lt;/D&gt;&lt;D xsi:type="xsd:double"&gt;2.96323636338921&lt;/D&gt;&lt;D xsi:type="xsd:double"&gt;3.05685616476568&lt;/D&gt;&lt;D xsi:type="xsd:double"&gt;2.97523856995384&lt;/D&gt;&lt;D xsi:type="xsd:double"&gt;3.40086124311739&lt;/D&gt;&lt;D xsi:type="xsd:double"&gt;3.51099814566017&lt;/D&gt;&lt;D xsi:type="xsd:double"&gt;2.99982875895864&lt;/D&gt;&lt;D xsi:type="xsd:double"&gt;3.02327542846115&lt;/D&gt;&lt;D xsi:type="xsd:double"&gt;3.16279181876451&lt;/D&gt;&lt;D xsi:type="xsd:double"&gt;3.48413439562242&lt;/D&gt;&lt;D xsi:type="xsd:double"&gt;3.35807651938531&lt;/D&gt;&lt;D xsi:type="xsd:double"&gt;3.33842611335442&lt;/D&gt;&lt;D xsi:type="xsd:double"&gt;3.37974929324668&lt;/D&gt;&lt;D xsi:type="xsd:double"&gt;3.32649893888525&lt;/D&gt;&lt;D xsi:type="xsd:double"&gt;3.45090564501753&lt;/D&gt;&lt;D xsi:type="xsd:double"&gt;3.29355906323087&lt;/D&gt;&lt;D xsi:type="xsd:double"&gt;3.15759180837066&lt;/D&gt;&lt;D xsi:type="xsd:double"&gt;3.13680796954181&lt;/D&gt;&lt;D xsi:type="xsd:double"&gt;3.27905138003926&lt;/D&gt;&lt;D xsi:type="xsd:double"&gt;3.22706974405052&lt;/D&gt;&lt;D xsi:type="xsd:double"&gt;2.95424520894838&lt;/D&gt;&lt;D xsi:type="xsd:double"&gt;2.96780169636894&lt;/D&gt;&lt;D xsi:type="xsd:double"&gt;2.91453132973445&lt;/D&gt;&lt;D xsi:type="xsd:double"&gt;2.918040731529&lt;/D&gt;&lt;D xsi:type="xsd:double"&gt;2.87283087342161&lt;/D&gt;&lt;D xsi:type="xsd:double"&gt;2.89345814013456&lt;/D&gt;&lt;D xsi:type="xsd:double"&gt;3.00041456595016&lt;/D&gt;&lt;D xsi:type="xsd:double"&gt;3.04664267387214&lt;/D&gt;&lt;D xsi:type="xsd:double"&gt;3.12476873166622&lt;/D&gt;&lt;D xsi:type="xsd:double"&gt;2.95776587647489&lt;/D&gt;&lt;D xsi:type="xsd:double"&gt;2.85286242267193&lt;/D&gt;&lt;D xsi:type="xsd:double"&gt;2.91142005379629&lt;/D&gt;&lt;D xsi:type="xsd:double"&gt;2.89864373468423&lt;/D&gt;&lt;D xsi:type="xsd:double"&gt;3.03486414155075&lt;/D&gt;&lt;D xsi:type="xsd:double"&gt;3.26415442174342&lt;/D&gt;&lt;D xsi:type="xsd:double"&gt;3.29106051751067&lt;/D&gt;&lt;D xsi:type="xsd:double"&gt;3.11958434234051&lt;/D&gt;&lt;D xsi:type="xsd:double"&gt;3.1477797933358&lt;/D&gt;&lt;D xsi:type="xsd:double"&gt;3.26814988784593&lt;/D&gt;&lt;D xsi:type="xsd:double"&gt;3.20173208428678&lt;/D&gt;&lt;D xsi:type="xsd:double"&gt;3.30082908432317&lt;/D&gt;&lt;D xsi:type="xsd:double"&gt;3.32760286714725&lt;/D&gt;&lt;D xsi:type="xsd:double"&gt;3.58808191674732&lt;/D&gt;&lt;D xsi:type="xsd:double"&gt;3.66129656338555&lt;/D&gt;&lt;D xsi:type="xsd:double"&gt;3.8803184061531&lt;/D&gt;&lt;D xsi:type="xsd:double"&gt;3.7173364700761&lt;/D&gt;&lt;D xsi:type="xsd:double"&gt;3.57796067458287&lt;/D&gt;&lt;D xsi:type="xsd:double"&gt;3.48588336684598&lt;/D&gt;&lt;D xsi:type="xsd:double"&gt;3.37985280098915&lt;/D&gt;&lt;D xsi:type="xsd:double"&gt;3.58751305212908&lt;/D&gt;&lt;D xsi:type="xsd:double"&gt;3.42631044972663&lt;/D&gt;&lt;D xsi:type="xsd:double"&gt;3.53950872042247&lt;/D&gt;&lt;D xsi:type="xsd:double"&gt;3.49094372410817&lt;/D&gt;&lt;D xsi:type="xsd:double"&gt;3.49708801396196&lt;/D&gt;&lt;D xsi:type="xsd:double"&gt;3.19771155499223&lt;/D&gt;&lt;D xsi:type="xsd:double"&gt;3.11783540977524&lt;/D&gt;&lt;D xsi:type="xsd:double"&gt;3.09872815389408&lt;/D&gt;&lt;D xsi:type="xsd:double"&gt;3.10255154453835&lt;/D&gt;&lt;D xsi:type="xsd:double"&gt;3.3785534524756&lt;/D&gt;&lt;D xsi:type="xsd:double"&gt;4.00760950726393&lt;/D&gt;&lt;D xsi:type="xsd:double"&gt;3.47439046850271&lt;/D&gt;&lt;D xsi:type="xsd:double"&gt;2.85983097116864&lt;/D&gt;&lt;D xsi:type="xsd:double"&gt;2.86559149083768&lt;/D&gt;&lt;D xsi:type="xsd:double"&gt;2.87070045880864&lt;/D&gt;&lt;D xsi:type="xsd:double"&gt;2.85909494160686&lt;/D&gt;&lt;D xsi:type="xsd:double"&gt;2.8779421610387&lt;/D&gt;&lt;D xsi:type="xsd:double"&gt;2.99761251650515&lt;/D&gt;&lt;D xsi:type="xsd:double"&gt;2.77886204184179&lt;/D&gt;&lt;D xsi:type="xsd:double"&gt;2.71128493244629&lt;/D&gt;&lt;D xsi:type="xsd:double"&gt;2.7203220188489&lt;/D&gt;&lt;D xsi:type="xsd:double"&gt;2.81054474086113&lt;/D&gt;&lt;D xsi:type="xsd:double"&gt;2.68998077275861&lt;/D&gt;&lt;D xsi:type="xsd:double"&gt;2.83500708303479&lt;/D&gt;&lt;D xsi:type="xsd:double"&gt;2.77784188246147&lt;/D&gt;&lt;D xsi:type="xsd:double"&gt;2.80248347192271&lt;/D&gt;&lt;D xsi:type="xsd:double"&gt;2.82459967358833&lt;/D&gt;&lt;D xsi:type="xsd:double"&gt;2.84331045133629&lt;/D&gt;&lt;D xsi:type="xsd:double"&gt;3.02504301060152&lt;/D&gt;&lt;D xsi:type="xsd:double"&gt;2.90475684317671&lt;/D&gt;&lt;D xsi:type="xsd:double"&gt;3.15433445094716&lt;/D&gt;&lt;D xsi:type="xsd:double"&gt;2.99933909828433&lt;/D&gt;&lt;D xsi:type="xsd:double"&gt;3.24223569384731&lt;/D&gt;&lt;D xsi:type="xsd:double"&gt;3.86072841516427&lt;/D&gt;&lt;D xsi:type="xsd:double"&gt;3.51401099695744&lt;/D&gt;&lt;D xsi:type="xsd:double"&gt;3.76579621029511&lt;/D&gt;&lt;D xsi:type="xsd:double"&gt;3.7266379651704&lt;/D&gt;&lt;D xsi:type="xsd:double"&gt;4.21192722787975&lt;/D&gt;&lt;D xsi:type="xsd:double"&gt;3.95548918892744&lt;/D&gt;&lt;D xsi:type="xsd:double"&gt;4.1385548345337&lt;/D&gt;&lt;D xsi:type="xsd:double"&gt;4.28060593442704&lt;/D&gt;&lt;D xsi:type="xsd:double"&gt;4.06174750648161&lt;/D&gt;&lt;D xsi:type="xsd:double"&gt;3.70988506937136&lt;/D&gt;&lt;D xsi:type="xsd:double"&gt;3.67638846109114&lt;/D&gt;&lt;D xsi:type="xsd:double"&gt;3.42585563222999&lt;/D&gt;&lt;D xsi:type="xsd:double"&gt;3.48250213639352&lt;/D&gt;&lt;D xsi:type="xsd:double"&gt;3.53662897503116&lt;/D&gt;&lt;D xsi:type="xsd:double"&gt;3.57287175517332&lt;/D&gt;&lt;D xsi:type="xsd:double"&gt;3.618187211125&lt;/D&gt;&lt;D xsi:type="xsd:double"&gt;3.64056174298984&lt;/D&gt;&lt;D xsi:type="xsd:double"&gt;3.70294816072119&lt;/D&gt;&lt;D xsi:type="xsd:double"&gt;3.71747422764835&lt;/D&gt;&lt;D xsi:type="xsd:double"&gt;3.9336181352167&lt;/D&gt;&lt;D xsi:type="xsd:double"&gt;3.93023202508458&lt;/D&gt;&lt;D xsi:type="xsd:double"&gt;3.60833686711116&lt;/D&gt;&lt;D xsi:type="xsd:double"&gt;3.59466813868487&lt;/D&gt;&lt;D xsi:type="xsd:double"&gt;3.53325407792345&lt;/D&gt;&lt;D xsi:type="xsd:double"&gt;3.27356362221263&lt;/D&gt;&lt;/FQL&gt;&lt;FQL&gt;&lt;Q&gt;CPALM-FDS^FG_PRICE(0)&lt;/Q&gt;&lt;R&gt;1&lt;/R&gt;&lt;C&gt;1&lt;/C&gt;&lt;D xsi:type="xsd:double"&gt;4017&lt;/D&gt;&lt;/FQL&gt;&lt;FQL&gt;&lt;Q&gt;TIOS-FDS^FG_PRICE(0)&lt;/Q&gt;&lt;R&gt;1&lt;/R&gt;&lt;C&gt;1&lt;/C&gt;&lt;D xsi:type="xsd:double"&gt;116.94&lt;/D&gt;&lt;/FQL&gt;&lt;FQL&gt;&lt;Q&gt;EWI^FG_PRICE(0)&lt;/Q&gt;&lt;R&gt;1&lt;/R&gt;&lt;C&gt;1&lt;/C&gt;&lt;D xsi:type="xsd:double"&gt;35.92&lt;/D&gt;&lt;/FQL&gt;&lt;FQL&gt;&lt;Q&gt;EWJ^FG_PRICE_MAVG(0,,,,200)&lt;/Q&gt;&lt;R&gt;1&lt;/R&gt;&lt;C&gt;1&lt;/C&gt;&lt;D xsi:type="xsd:double"&gt;62.5522&lt;/D&gt;&lt;/FQL&gt;&lt;FQL&gt;&lt;Q&gt;EWC^PERCENT_CHANGE(FMA_EPS(+1,0,,,,"PORTAGG","MEAN"),FMA_EPS(+1,-3AM,,,,"PORTAGG","MEAN"))&lt;/Q&gt;&lt;R&gt;1&lt;/R&gt;&lt;C&gt;1&lt;/C&gt;&lt;D xsi:type="xsd:double"&gt;-9.40902801127429&lt;/D&gt;&lt;/FQL&gt;&lt;FQL&gt;&lt;Q&gt;VWO^FMA_COS_UP("EPS","1M",+1,0,,,"PORTAGG","MEANR")&lt;/Q&gt;&lt;R&gt;1&lt;/R&gt;&lt;C&gt;1&lt;/C&gt;&lt;D xsi:type="xsd:double"&gt;773&lt;/D&gt;&lt;/FQL&gt;&lt;FQL&gt;&lt;Q&gt;EWL^SIZE(FG_CONSTITUENTS)&lt;/Q&gt;&lt;R&gt;1&lt;/R&gt;&lt;C&gt;1&lt;/C&gt;&lt;D xsi:type="xsd:long"&gt;46&lt;/D&gt;&lt;/FQL&gt;&lt;FQL&gt;&lt;Q&gt;EWN^FG_ROE(0)&lt;/Q&gt;&lt;R&gt;1&lt;/R&gt;&lt;C&gt;1&lt;/C&gt;&lt;D xsi:type="xsd:double"&gt;10.0928114052509&lt;/D&gt;&lt;/FQL&gt;&lt;FQL&gt;&lt;Q&gt;TRYAU10Y-FDS^FG_YIELD_NAME&lt;/Q&gt;&lt;R&gt;1&lt;/R&gt;&lt;C&gt;1&lt;/C&gt;&lt;D xsi:type="xsd:string"&gt;Australia Benchmark Bond - 10 Year&lt;/D&gt;&lt;/FQL&gt;&lt;FQL&gt;&lt;Q&gt;REFCATARG-FDS^FG_YIELD(NOW,,,0)&lt;/Q&gt;&lt;R&gt;1&lt;/R&gt;&lt;C&gt;1&lt;/C&gt;&lt;D xsi:type="xsd:double"&gt;5&lt;/D&gt;&lt;/FQL&gt;&lt;FQL&gt;&lt;Q&gt;TRYUS10Y-FDS^FG_YIELD_NAME&lt;/Q&gt;&lt;R&gt;1&lt;/R&gt;&lt;C&gt;1&lt;/C&gt;&lt;D xsi:type="xsd:string"&gt;US Benchmark Bond - 10 Year&lt;/D&gt;&lt;/FQL&gt;&lt;FQL&gt;&lt;Q&gt;EWI^FG_FCF_YIELD_NTM(0)&lt;/Q&gt;&lt;R&gt;1&lt;/R&gt;&lt;C&gt;1&lt;/C&gt;&lt;D xsi:type="xsd:double"&gt;5.69692578990909&lt;/D&gt;&lt;/FQL&gt;&lt;FQL&gt;&lt;Q&gt;EWQ^FG_FCF_YIELD_NTM(0)&lt;/Q&gt;&lt;R&gt;1&lt;/R&gt;&lt;C&gt;1&lt;/C&gt;&lt;D xsi:type="xsd:double"&gt;5.66373166156033&lt;/D&gt;&lt;/FQL&gt;&lt;FQL&gt;&lt;Q&gt;EWU^FMA_DIV_YLD(NTMA,NOW,NOW,M,"PORTAGG","MEANR")&lt;/Q&gt;&lt;R&gt;1&lt;/R&gt;&lt;C&gt;1&lt;/C&gt;&lt;D xsi:type="xsd:double"&gt;4.21741195829708&lt;/D&gt;&lt;/FQL&gt;&lt;FQL&gt;&lt;Q&gt;TLT^P_PRICE(0)/P_PRICE_HIGH_PR(0,,,USD,,,"PRICE","INTRA","52W")&lt;/Q&gt;&lt;R&gt;1&lt;/R&gt;&lt;C&gt;1&lt;/C&gt;&lt;D xsi:type="xsd:double"&gt;0.8624198&lt;/D&gt;&lt;/FQL&gt;&lt;FQL&gt;&lt;Q&gt;USDITL^STD(FG_PRICE_CHANGE(0,-3AY,M))&lt;/Q&gt;&lt;R&gt;1&lt;/R&gt;&lt;C&gt;1&lt;/C&gt;&lt;D xsi:type="xsd:double"&gt;2.27878559120409&lt;/D&gt;&lt;/FQL&gt;&lt;FQL&gt;&lt;Q&gt;USDJPY^STD(FG_PRICE_CHANGE(0,-3AY,M))&lt;/Q&gt;&lt;R&gt;1&lt;/R&gt;&lt;C&gt;1&lt;/C&gt;&lt;D xsi:type="xsd:double"&gt;3.05516145651881&lt;/D&gt;&lt;/FQL&gt;&lt;FQL&gt;&lt;Q&gt;EWJ^P_PRICE_RETURNS_PR('52W',2,-10AY,0,AM)&lt;/Q&gt;&lt;R&gt;121&lt;/R&gt;&lt;C&gt;1&lt;/C&gt;&lt;D xsi:type="xsd:double"&gt;13.458896&lt;/D&gt;&lt;D xsi:type="xsd:double"&gt;5.343318&lt;/D&gt;&lt;D xsi:type="xsd:double"&gt;-2.4479508&lt;/D&gt;&lt;D xsi:type="xsd:double"&gt;8.143723&lt;/D&gt;&lt;D xsi:type="xsd:double"&gt;7.8951716&lt;/D&gt;&lt;D xsi:type="xsd:double"&gt;4.0270567&lt;/D&gt;&lt;D xsi:type="xsd:double"&gt;6.6300035&lt;/D&gt;&lt;D xsi:type="xsd:double"&gt;-0.43292642&lt;/D&gt;&lt;D xsi:type="xsd:double"&gt;1.6866207&lt;/D&gt;&lt;D xsi:type="xsd:double"&gt;0.148952&lt;/D&gt;&lt;D xsi:type="xsd:double"&gt;-4.490942&lt;/D&gt;&lt;D xsi:type="xsd:double"&gt;6.199479&lt;/D&gt;&lt;D xsi:type="xsd:double"&gt;6.7631125&lt;/D&gt;&lt;D xsi:type="xsd:double"&gt;12.14695&lt;/D&gt;&lt;D xsi:type="xsd:double"&gt;18.276978&lt;/D&gt;&lt;D xsi:type="xsd:double"&gt;12.109602&lt;/D&gt;&lt;D xsi:type="xsd:double"&gt;6.721592&lt;/D&gt;&lt;D xsi:type="xsd:double"&gt;8.250963&lt;/D&gt;&lt;D xsi:type="xsd:double"&gt;-2.3050785&lt;/D&gt;&lt;D xsi:type="xsd:double"&gt;3.6767602&lt;/D&gt;&lt;D xsi:type="xsd:double"&gt;5.543506&lt;/D&gt;&lt;D xsi:type="xsd:double"&gt;6.951618&lt;/D&gt;&lt;D xsi:type="xsd:double"&gt;7.2600245&lt;/D&gt;&lt;D xsi:type="xsd:double"&gt;-3.1956017&lt;/D&gt;&lt;D xsi:type="xsd:double"&gt;-4.8743067&lt;/D&gt;&lt;D xsi:type="xsd:double"&gt;-11.208916&lt;/D&gt;&lt;D xsi:type="xsd:double"&gt;-11.611825&lt;/D&gt;&lt;D xsi:type="xsd:double"&gt;-9.558225&lt;/D&gt;&lt;D xsi:type="xsd:double"&gt;-9.648591&lt;/D&gt;&lt;D xsi:type="xsd:double"&gt;-4.7885537&lt;/D&gt;&lt;D xsi:type="xsd:double"&gt;7.387948&lt;/D&gt;&lt;D xsi:type="xsd:double"&gt;8.324814&lt;/D&gt;&lt;D xsi:type="xsd:double"&gt;1.8563747&lt;/D&gt;&lt;D xsi:type="xsd:double"&gt;0.99806786&lt;/D&gt;&lt;D xsi:type="xsd:double"&gt;7.38219&lt;/D&gt;&lt;D xsi:type="xsd:double"&gt;16.51429&lt;/D&gt;&lt;D xsi:type="xsd:double"&gt;14.87919&lt;/D&gt;&lt;D xsi:type="xsd:double"&gt;18.14704&lt;/D&gt;&lt;D xsi:type="xsd:double"&gt;17.155956&lt;/D&gt;&lt;D xsi:type="xsd:double"&gt;19.830168&lt;/D&gt;&lt;D xsi:type="xsd:double"&gt;18.388866&lt;/D&gt;&lt;D xsi:type="xsd:double"&gt;16.389084&lt;/D&gt;&lt;D xsi:type="xsd:double"&gt;12.134684&lt;/D&gt;&lt;D xsi:type="xsd:double"&gt;14.788198&lt;/D&gt;&lt;D xsi:type="xsd:double"&gt;20.25138&lt;/D&gt;&lt;D xsi:type="xsd:double"&gt;21.093739&lt;/D&gt;&lt;D xsi:type="xsd:double"&gt;24.747837&lt;/D&gt;&lt;D xsi:type="xsd:double"&gt;24.245811&lt;/D&gt;&lt;D xsi:type="xsd:double"&gt;18.349707&lt;/D&gt;&lt;D xsi:type="xsd:double"&gt;18.388308&lt;/D&gt;&lt;D xsi:type="xsd:double"&gt;17.246115&lt;/D&gt;&lt;D xsi:type="xsd:double"&gt;11.671865&lt;/D&gt;&lt;D xsi:type="xsd:double"&gt;8.166588&lt;/D&gt;&lt;D xsi:type="xsd:double"&gt;7.6720715&lt;/D&gt;&lt;D xsi:type="xsd:double"&gt;7.0629597&lt;/D&gt;&lt;D xsi:type="xsd:double"&gt;7.0879817&lt;/D&gt;&lt;D xsi:type="xsd:double"&gt;-5.4658175&lt;/D&gt;&lt;D xsi:type="xsd:double"&gt;-7.121068&lt;/D&gt;&lt;D xsi:type="xsd:double"&gt;-13.866073&lt;/D&gt;&lt;D xsi:type="xsd:double"&gt;-11.701191&lt;/D&gt;&lt;D xsi:type="xsd:double"&gt;-7.953185&lt;/D&gt;&lt;D xsi:type="xsd:double"&gt;-6.7599&lt;/D&gt;&lt;D xsi:type="xsd:double"&gt;-5.7295265&lt;/D&gt;&lt;D xsi:type="xsd:double"&gt;-9.96635&lt;/D&gt;&lt;D xsi:type="xsd:double"&gt;-0.5068898&lt;/D&gt;&lt;D xsi:type="xsd:double"&gt;-6.1558247&lt;/D&gt;&lt;D xsi:type="xsd:double"&gt;-4.0571632&lt;/D&gt;&lt;D xsi:type="xsd:double"&gt;-2.503562&lt;/D&gt;&lt;D xsi:type="xsd:double"&gt;10.266436&lt;/D&gt;&lt;D xsi:type="xsd:double"&gt;13.343&lt;/D&gt;&lt;D xsi:type="xsd:double"&gt;19.107258&lt;/D&gt;&lt;D xsi:type="xsd:double"&gt;11.321867&lt;/D&gt;&lt;D xsi:type="xsd:double"&gt;1.6178489&lt;/D&gt;&lt;D xsi:type="xsd:double"&gt;-14.106024&lt;/D&gt;&lt;D xsi:type="xsd:double"&gt;-7.6737165&lt;/D&gt;&lt;D xsi:type="xsd:double"&gt;7.0745587&lt;/D&gt;&lt;D xsi:type="xsd:double"&gt;1.337564&lt;/D&gt;&lt;D xsi:type="xsd:double"&gt;5.772364&lt;/D&gt;&lt;D xsi:type="xsd:double"&gt;9.143448&lt;/D&gt;&lt;D xsi:type="xsd:double"&gt;7.4836135&lt;/D&gt;&lt;D xsi:type="xsd:double"&gt;2.5630236&lt;/D&gt;&lt;D xsi:type="xsd:double"&gt;11.909019&lt;/D&gt;&lt;D xsi:type="xsd:double"&gt;14.119804&lt;/D&gt;&lt;D xsi:type="xsd:double"&gt;17.71164&lt;/D&gt;&lt;D xsi:type="xsd:double"&gt;26.491224&lt;/D&gt;&lt;D xsi:type="xsd:double"&gt;48.74023&lt;/D&gt;&lt;D xsi:type="xsd:double"&gt;34.71563&lt;/D&gt;&lt;D xsi:type="xsd:double"&gt;25.124132&lt;/D&gt;&lt;D xsi:type="xsd:double"&gt;24.481678&lt;/D&gt;&lt;D xsi:type="xsd:double"&gt;21.874023&lt;/D&gt;&lt;D xsi:type="xsd:double"&gt;25.793434&lt;/D&gt;&lt;D xsi:type="xsd:double"&gt;16.954304&lt;/D&gt;&lt;D xsi:type="xsd:double"&gt;18.458344&lt;/D&gt;&lt;D xsi:type="xsd:double"&gt;3.5892963&lt;/D&gt;&lt;D xsi:type="xsd:double"&gt;3.8297892&lt;/D&gt;&lt;D xsi:type="xsd:double"&gt;-4.59857&lt;/D&gt;&lt;D xsi:type="xsd:double"&gt;-7.635927&lt;/D&gt;&lt;D xsi:type="xsd:double"&gt;-7.8344703&lt;/D&gt;&lt;D xsi:type="xsd:double"&gt;-12.020898&lt;/D&gt;&lt;D xsi:type="xsd:double"&gt;-15.420109&lt;/D&gt;&lt;D xsi:type="xsd:double"&gt;-19.572884&lt;/D&gt;&lt;D xsi:type="xsd:double"&gt;-15.718532&lt;/D&gt;&lt;D xsi:type="xsd:double"&gt;-23.264378&lt;/D&gt;&lt;D xsi:type="xsd:double"&gt;-22.767847&lt;/D&gt;&lt;D xsi:type="xsd:double"&gt;-25.92898&lt;/D&gt;&lt;D xsi:type="xsd:double"&gt;-14.54823&lt;/D&gt;&lt;D xsi:type="xsd:double"&gt;-19.288176&lt;/D&gt;&lt;D xsi:type="xsd:double"&gt;-7.786703&lt;/D&gt;&lt;D xsi:type="xsd:double"&gt;-6.308275&lt;/D&gt;&lt;D xsi:type="xsd:double"&gt;-4.4547615&lt;/D&gt;&lt;D xsi:type="xsd:double"&gt;2.3880243&lt;/D&gt;&lt;D xsi:type="xsd:double"&gt;7.773435&lt;/D&gt;&lt;D xsi:type="xsd:double"&gt;18.128777&lt;/D&gt;&lt;D xsi:type="xsd:double"&gt;12.047482&lt;/D&gt;&lt;D xsi:type="xsd:double"&gt;18.256546&lt;/D&gt;&lt;D xsi:type="xsd:double"&gt;14.244175&lt;/D&gt;&lt;D xsi:type="xsd:double"&gt;25.40375&lt;/D&gt;&lt;D xsi:type="xsd:double"&gt;12.334704&lt;/D&gt;&lt;D xsi:type="xsd:double"&gt;18.907475&lt;/D&gt;&lt;D xsi:type="xsd:double"&gt;15.654051&lt;/D&gt;&lt;D xsi:type="xsd:double"&gt;24.444221&lt;/D&gt;&lt;/FQL&gt;&lt;FQL&gt;&lt;Q&gt;EWN^FMA_PE(LTMA,-10AY,0,AM,"PORTAGG","MEANR")&lt;/Q&gt;&lt;R&gt;121&lt;/R&gt;&lt;C&gt;1&lt;/C&gt;&lt;D xsi:type="xsd:double"&gt;17.4057539307913&lt;/D&gt;&lt;D xsi:type="xsd:double"&gt;17.2056200788441&lt;/D&gt;&lt;D xsi:type="xsd:double"&gt;16.8838582527278&lt;/D&gt;&lt;D xsi:type="xsd:double"&gt;16.8235213858037&lt;/D&gt;&lt;D xsi:type="xsd:double"&gt;16.9181601049196&lt;/D&gt;&lt;D xsi:type="xsd:double"&gt;16.2169115572302&lt;/D&gt;&lt;D xsi:type="xsd:double"&gt;16.834057766948&lt;/D&gt;&lt;D xsi:type="xsd:double"&gt;16.5766289696311&lt;/D&gt;&lt;D xsi:type="xsd:double"&gt;16.7210616152816&lt;/D&gt;&lt;D xsi:type="xsd:double"&gt;17.8924541093247&lt;/D&gt;&lt;D xsi:type="xsd:double"&gt;17.5290952437531&lt;/D&gt;&lt;D xsi:type="xsd:double"&gt;18.7344712361256&lt;/D&gt;&lt;D xsi:type="xsd:double"&gt;20.0957812711096&lt;/D&gt;&lt;D xsi:type="xsd:double"&gt;19.935824790479&lt;/D&gt;&lt;D xsi:type="xsd:double"&gt;19.6285502206523&lt;/D&gt;&lt;D xsi:type="xsd:double"&gt;19.3246866494914&lt;/D&gt;&lt;D xsi:type="xsd:double"&gt;18.9265659133696&lt;/D&gt;&lt;D xsi:type="xsd:double"&gt;19.1014813240055&lt;/D&gt;&lt;D xsi:type="xsd:double"&gt;17.2843428009239&lt;/D&gt;&lt;D xsi:type="xsd:double"&gt;16.6411710548961&lt;/D&gt;&lt;D xsi:type="xsd:double"&gt;17.5348300846867&lt;/D&gt;&lt;D xsi:type="xsd:double"&gt;17.5155796876613&lt;/D&gt;&lt;D xsi:type="xsd:double"&gt;16.4498228701346&lt;/D&gt;&lt;D xsi:type="xsd:double"&gt;15.8892948026478&lt;/D&gt;&lt;D xsi:type="xsd:double"&gt;16.4170373863784&lt;/D&gt;&lt;D xsi:type="xsd:double"&gt;16.3473649918568&lt;/D&gt;&lt;D xsi:type="xsd:double"&gt;16.1147881827541&lt;/D&gt;&lt;D xsi:type="xsd:double"&gt;16.2764740674428&lt;/D&gt;&lt;D xsi:type="xsd:double"&gt;15.8183783091024&lt;/D&gt;&lt;D xsi:type="xsd:double"&gt;15.9595685661785&lt;/D&gt;&lt;D xsi:type="xsd:double"&gt;16.4169863010332&lt;/D&gt;&lt;D xsi:type="xsd:double"&gt;16.1890723871008&lt;/D&gt;&lt;D xsi:type="xsd:double"&gt;15.3777867010343&lt;/D&gt;&lt;D xsi:type="xsd:double"&gt;15.2558604741705&lt;/D&gt;&lt;D xsi:type="xsd:double"&gt;16.4021809222975&lt;/D&gt;&lt;D xsi:type="xsd:double"&gt;16.1696397085979&lt;/D&gt;&lt;D xsi:type="xsd:double"&gt;16.4546385533255&lt;/D&gt;&lt;D xsi:type="xsd:double"&gt;16.5017694481697&lt;/D&gt;&lt;D xsi:type="xsd:double"&gt;16.7629776928466&lt;/D&gt;&lt;D xsi:type="xsd:double"&gt;16.7707809086025&lt;/D&gt;&lt;D xsi:type="xsd:double"&gt;16.5334856240205&lt;/D&gt;&lt;D xsi:type="xsd:double"&gt;16.7746606403712&lt;/D&gt;&lt;D xsi:type="xsd:double"&gt;16.6016722981034&lt;/D&gt;&lt;D xsi:type="xsd:double"&gt;17.1125538458683&lt;/D&gt;&lt;D xsi:type="xsd:double"&gt;17.5878297905684&lt;/D&gt;&lt;D xsi:type="xsd:double"&gt;17.1006155851136&lt;/D&gt;&lt;D xsi:type="xsd:double"&gt;17.4306698863031&lt;/D&gt;&lt;D xsi:type="xsd:double"&gt;17.2807800920778&lt;/D&gt;&lt;D xsi:type="xsd:double"&gt;16.5897048139151&lt;/D&gt;&lt;D xsi:type="xsd:double"&gt;16.5130528133951&lt;/D&gt;&lt;D xsi:type="xsd:double"&gt;16.566287067404&lt;/D&gt;&lt;D xsi:type="xsd:double"&gt;16.637335723037&lt;/D&gt;&lt;D xsi:type="xsd:double"&gt;16.4887357336975&lt;/D&gt;&lt;D xsi:type="xsd:double"&gt;16.7994862466477&lt;/D&gt;&lt;D xsi:type="xsd:double"&gt;16.6189635431497&lt;/D&gt;&lt;D xsi:type="xsd:double"&gt;16.133444020899&lt;/D&gt;&lt;D xsi:type="xsd:double"&gt;15.666116999648&lt;/D&gt;&lt;D xsi:type="xsd:double"&gt;15.4249032423024&lt;/D&gt;&lt;D xsi:type="xsd:double"&gt;14.3128616096014&lt;/D&gt;&lt;D xsi:type="xsd:double"&gt;15.3180523676928&lt;/D&gt;&lt;D xsi:type="xsd:double"&gt;16.1578650892113&lt;/D&gt;&lt;D xsi:type="xsd:double"&gt;16.2419034776916&lt;/D&gt;&lt;D xsi:type="xsd:double"&gt;16.3605987307984&lt;/D&gt;&lt;D xsi:type="xsd:double"&gt;16.1004731296261&lt;/D&gt;&lt;D xsi:type="xsd:double"&gt;16.5162958997901&lt;/D&gt;&lt;D xsi:type="xsd:double"&gt;16.3989457147716&lt;/D&gt;&lt;D xsi:type="xsd:double"&gt;16.7533524600581&lt;/D&gt;&lt;D xsi:type="xsd:double"&gt;16.8626803337809&lt;/D&gt;&lt;D xsi:type="xsd:double"&gt;17.5885904009417&lt;/D&gt;&lt;D xsi:type="xsd:double"&gt;17.9455010420806&lt;/D&gt;&lt;D xsi:type="xsd:double"&gt;18.8462830856144&lt;/D&gt;&lt;D xsi:type="xsd:double"&gt;18.8959175108475&lt;/D&gt;&lt;D xsi:type="xsd:double"&gt;17.2894429949274&lt;/D&gt;&lt;D xsi:type="xsd:double"&gt;16.6947288088913&lt;/D&gt;&lt;D xsi:type="xsd:double"&gt;17.584739259504&lt;/D&gt;&lt;D xsi:type="xsd:double"&gt;18.9557016870527&lt;/D&gt;&lt;D xsi:type="xsd:double"&gt;19.6672623598481&lt;/D&gt;&lt;D xsi:type="xsd:double"&gt;20.4735123391621&lt;/D&gt;&lt;D xsi:type="xsd:double"&gt;20.9647603820715&lt;/D&gt;&lt;D xsi:type="xsd:double"&gt;22.0656719008423&lt;/D&gt;&lt;D xsi:type="xsd:double"&gt;22.6032555111929&lt;/D&gt;&lt;D xsi:type="xsd:double"&gt;25.9771123347025&lt;/D&gt;&lt;D xsi:type="xsd:double"&gt;27.3925840343331&lt;/D&gt;&lt;D xsi:type="xsd:double"&gt;28.4154492023603&lt;/D&gt;&lt;D xsi:type="xsd:double"&gt;28.7739830691593&lt;/D&gt;&lt;D xsi:type="xsd:double"&gt;28.6410002005665&lt;/D&gt;&lt;D xsi:type="xsd:double"&gt;27.6186372683411&lt;/D&gt;&lt;D xsi:type="xsd:double"&gt;27.0441754111053&lt;/D&gt;&lt;D xsi:type="xsd:double"&gt;26.5711067603107&lt;/D&gt;&lt;D xsi:type="xsd:double"&gt;26.3891180375501&lt;/D&gt;&lt;D xsi:type="xsd:double"&gt;25.9109212580272&lt;/D&gt;&lt;D xsi:type="xsd:double"&gt;23.7919687470165&lt;/D&gt;&lt;D xsi:type="xsd:double"&gt;24.962327564665&lt;/D&gt;&lt;D xsi:type="xsd:double"&gt;22.3955137058444&lt;/D&gt;&lt;D xsi:type="xsd:double"&gt;22.8250905142463&lt;/D&gt;&lt;D xsi:type="xsd:double"&gt;19.9167754364658&lt;/D&gt;&lt;D xsi:type="xsd:double"&gt;18.1190720782585&lt;/D&gt;&lt;D xsi:type="xsd:double"&gt;18.6442752064398&lt;/D&gt;&lt;D xsi:type="xsd:double"&gt;18.1797984189955&lt;/D&gt;&lt;D xsi:type="xsd:double"&gt;18.5384855498793&lt;/D&gt;&lt;D xsi:type="xsd:double"&gt;18.0143758074229&lt;/D&gt;&lt;D xsi:type="xsd:double"&gt;19.8521737913772&lt;/D&gt;&lt;D xsi:type="xsd:double"&gt;18.4443194389549&lt;/D&gt;&lt;D xsi:type="xsd:double"&gt;17.9172716472711&lt;/D&gt;&lt;D xsi:type="xsd:double"&gt;17.4139832992147&lt;/D&gt;&lt;D xsi:type="xsd:double"&gt;18.4499237314036&lt;/D&gt;&lt;D xsi:type="xsd:double"&gt;18.53401288316&lt;/D&gt;&lt;D xsi:type="xsd:double"&gt;19.8760856526515&lt;/D&gt;&lt;D xsi:type="xsd:double"&gt;20.6609920433194&lt;/D&gt;&lt;D xsi:type="xsd:double"&gt;20.2939394009014&lt;/D&gt;&lt;D xsi:type="xsd:double"&gt;19.6967258701068&lt;/D&gt;&lt;D xsi:type="xsd:double"&gt;19.4461390340449&lt;/D&gt;&lt;D xsi:type="xsd:double"&gt;19.2585598139499&lt;/D&gt;&lt;D xsi:type="xsd:double"&gt;18.7305286705121&lt;/D&gt;&lt;D xsi:type="xsd:double"&gt;17.8203577095351&lt;/D&gt;&lt;D xsi:type="xsd:double"&gt;16.4676396322084&lt;/D&gt;&lt;D xsi:type="xsd:double"&gt;16.2116791058262&lt;/D&gt;&lt;D xsi:type="xsd:double"&gt;16.3602297122034&lt;/D&gt;&lt;D xsi:type="xsd:double"&gt;16.2406986615069&lt;/D&gt;&lt;D xsi:type="xsd:double"&gt;17.4345325514207&lt;/D&gt;&lt;D xsi:type="xsd:double"&gt;18.9241627294926&lt;/D&gt;&lt;/FQL&gt;&lt;FQL&gt;&lt;Q&gt;BRENT-FDS^FG_PRICE(0)&lt;/Q&gt;&lt;R&gt;1&lt;/R&gt;&lt;C&gt;1&lt;/C&gt;&lt;D xsi:type="xsd:double"&gt;85.86&lt;/D&gt;&lt;/FQL&gt;&lt;FQL&gt;&lt;Q&gt;SPY^FG_PRICE(0)&lt;/Q&gt;&lt;R&gt;1&lt;/R&gt;&lt;C&gt;1&lt;/C&gt;&lt;D xsi:type="xsd:double"&gt;512.3&lt;/D&gt;&lt;/FQL&gt;&lt;FQL&gt;&lt;Q&gt;VWO^FG_TOTAL_RETURNC(0,-6AM)&lt;/Q&gt;&lt;R&gt;1&lt;/R&gt;&lt;C&gt;1&lt;/C&gt;&lt;D xsi:type="xsd:double"&gt;4.065597&lt;/D&gt;&lt;/FQL&gt;&lt;FQL&gt;&lt;Q&gt;VGK^PERCENT_CHANGE(FMA_EPS(+1,0,,,,"PORTAGG","MEAN"),FMA_EPS(+1,-3AM,,,,"PORTAGG","MEAN"))&lt;/Q&gt;&lt;R&gt;1&lt;/R&gt;&lt;C&gt;1&lt;/C&gt;&lt;D xsi:type="xsd:double"&gt;-8.27748470091232&lt;/D&gt;&lt;/FQL&gt;&lt;FQL&gt;&lt;Q&gt;SPY^FMA_COS_DOWN("EPS","1M",+1,0,,,"PORTAGG","MEANR")&lt;/Q&gt;&lt;R&gt;1&lt;/R&gt;&lt;C&gt;1&lt;/C&gt;&lt;D xsi:type="xsd:double"&gt;94&lt;/D&gt;&lt;/FQL&gt;&lt;FQL&gt;&lt;Q&gt;EWA^SIZE(FG_CONSTITUENTS)&lt;/Q&gt;&lt;R&gt;1&lt;/R&gt;&lt;C&gt;1&lt;/C&gt;&lt;D xsi:type="xsd:long"&gt;60&lt;/D&gt;&lt;/FQL&gt;&lt;FQL&gt;&lt;Q&gt;TRYSE10Y-FDS^FG_YIELD_NAME&lt;/Q&gt;&lt;R&gt;1&lt;/R&gt;&lt;C&gt;1&lt;/C&gt;&lt;D xsi:type="xsd:string"&gt;Sweden Benchmark Bond - 10 Year&lt;/D&gt;&lt;/FQL&gt;&lt;FQL&gt;&lt;Q&gt;REFCHMPR-FDS^(SUBARRAY(NOT_NA(NO_REPEAT_F(FG_YIELD(NOW,-10AY,D))),0,1)-SUBARRAY(NOT_NA(NO_REPEAT_F(FG_YIELD(NOW,-10AY,D))),1,1))*100&lt;/Q&gt;&lt;R&gt;1&lt;/R&gt;&lt;C&gt;1&lt;/C&gt;&lt;D xsi:type="xsd:double"&gt;25&lt;/D&gt;&lt;/FQL&gt;&lt;FQL&gt;&lt;Q&gt;TRYNL10Y-FDS^PCTCHG(FG_YIELD(0,,,,"YTM"),FG_YIELD(-3AM,,,,"YTM"))&lt;/Q&gt;&lt;R&gt;1&lt;/R&gt;&lt;C&gt;1&lt;/C&gt;&lt;D xsi:type="xsd:double"&gt;2.3675296&lt;/D&gt;&lt;/FQL&gt;&lt;FQL&gt;&lt;Q&gt;EWD^JULIAN(FMA_DIV_YLD(NTMA,NOW,NOW,M,"PORTAGG","MEANR").DATES)&lt;/Q&gt;&lt;R&gt;1&lt;/R&gt;&lt;C&gt;1&lt;/C&gt;&lt;D xsi:type="xsd:long"&gt;45350&lt;/D&gt;&lt;/FQL&gt;&lt;FQL&gt;&lt;Q&gt;QQQ^P_PRICE(0)/P_PRICE_HIGH_PR(0,,,USD,,,"PRICE","INTRA","52W")&lt;/Q&gt;&lt;R&gt;1&lt;/R&gt;&lt;C&gt;1&lt;/C&gt;&lt;D xsi:type="xsd:double"&gt;0.9942675&lt;/D&gt;&lt;/FQL&gt;&lt;FQL&gt;&lt;Q&gt;TRYEU10Y-FDS^FG_YIELD(-10</t>
        </r>
      </text>
    </comment>
    <comment ref="A10" authorId="0" shapeId="0" xr:uid="{5524A765-315A-44C1-89D8-F5660737EF75}">
      <text>
        <r>
          <rPr>
            <b/>
            <sz val="9"/>
            <color indexed="81"/>
            <rFont val="Tahoma"/>
            <family val="2"/>
          </rPr>
          <t>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xsi:type="xsd:double"&gt;2.004&lt;/D&gt;&lt;/FQL&gt;&lt;FQL&gt;&lt;Q&gt;USDITL^STD(FG_PRICE_CHANGE(0,-1AY,AM))&lt;/Q&gt;&lt;R&gt;1&lt;/R&gt;&lt;C&gt;1&lt;/C&gt;&lt;D xsi:type="xsd:double"&gt;2.04597120432959&lt;/D&gt;&lt;/FQL&gt;&lt;FQL&gt;&lt;Q&gt;USDJPY^STD(FG_PRICE_CHANGE(0,-1AY,AM))&lt;/Q&gt;&lt;R&gt;1&lt;/R&gt;&lt;C&gt;1&lt;/C&gt;&lt;D xsi:type="xsd:double"&gt;2.49505128289452&lt;/D&gt;&lt;/FQL&gt;&lt;FQL&gt;&lt;Q&gt;EWG^P_PRICE_RETURNS_PR('52W',2,-10AY,0,AM)&lt;/Q&gt;&lt;R&gt;121&lt;/R&gt;&lt;C&gt;1&lt;/C&gt;&lt;D xsi:type="xsd:double"&gt;29.76675&lt;/D&gt;&lt;D xsi:type="xsd:double"&gt;29.102266&lt;/D&gt;&lt;D xsi:type="xsd:double"&gt;26.32345&lt;/D&gt;&lt;D xsi:type="xsd:double"&gt;24.071371&lt;/D&gt;&lt;D xsi:type="xsd:double"&gt;32.593227&lt;/D&gt;&lt;D xsi:type="xsd:double"&gt;9.600949&lt;/D&gt;&lt;D xsi:type="xsd:double"&gt;14.710522&lt;/D&gt;&lt;D xsi:type="xsd:double"&gt;-1.3759732&lt;/D&gt;&lt;D xsi:type="xsd:double"&gt;-6.58406&lt;/D&gt;&lt;D xsi:type="xsd:double"&gt;-2.2691429&lt;/D&gt;&lt;D xsi:type="xsd:double"&gt;-9.494901&lt;/D&gt;&lt;D xsi:type="xsd:double"&gt;-0.678277&lt;/D&gt;&lt;D xsi:type="xsd:double"&gt;-4.1408834&lt;/D&gt;&lt;D xsi:type="xsd:double"&gt;-1.9275844&lt;/D&gt;&lt;D xsi:type="xsd:double"&gt;-2.7819932&lt;/D&gt;&lt;D xsi:type="xsd:double"&gt;-6.2819777&lt;/D&gt;&lt;D xsi:type="xsd:double"&gt;-9.212196&lt;/D&gt;&lt;D xsi:type="xsd:double"&gt;0.88648796&lt;/D&gt;&lt;D xsi:type="xsd:double"&gt;-10.846418&lt;/D&gt;&lt;D xsi:type="xsd:double"&gt;-6.742507&lt;/D&gt;&lt;D xsi:type="xsd:double"&gt;1.6219258&lt;/D&gt;&lt;D xsi:type="xsd:double"&gt;-3.8689137&lt;/D&gt;&lt;D xsi:type="xsd:double"&gt;-4.678959&lt;/D&gt;&lt;D xsi:type="xsd:double"&gt;-14.831072&lt;/D&gt;&lt;D xsi:type="xsd:double"&gt;-15.070605&lt;/D&gt;&lt;D xsi:type="xsd:double"&gt;-14.801168&lt;/D&gt;&lt;D xsi:type="xsd:double"&gt;-12.754554&lt;/D&gt;&lt;D xsi:type="xsd:double"&gt;-10.647946&lt;/D&gt;&lt;D xsi:type="xsd:double"&gt;-12.140441&lt;/D&gt;&lt;D xsi:type="xsd:double"&gt;-9.13471&lt;/D&gt;&lt;D xsi:type="xsd:double"&gt;4.3566823&lt;/D&gt;&lt;D xsi:type="xsd:double"&gt;8.280766&lt;/D&gt;&lt;D xsi:type="xsd:double"&gt;-3.9027572&lt;/D&gt;&lt;D xsi:type="xsd:double"&gt;-5.549103&lt;/D&gt;&lt;D xsi:type="xsd:double"&gt;6.8748593&lt;/D&gt;&lt;D xsi:type="xsd:double"&gt;17.315186&lt;/D&gt;&lt;D xsi:type="xsd:double"&gt;17.252659&lt;/D&gt;&lt;D xsi:type="xsd:double"&gt;15.898585&lt;/D&gt;&lt;D xsi:type="xsd:double"&gt;21.236504&lt;/D&gt;&lt;D xsi:type="xsd:double"&gt;24.889278&lt;/D&gt;&lt;D xsi:type="xsd:double"&gt;28.070091&lt;/D&gt;&lt;D xsi:type="xsd:double"&gt;25.200676&lt;/D&gt;&lt;D xsi:type="xsd:double"&gt;19.625902&lt;/D&gt;&lt;D xsi:type="xsd:double"&gt;26.04233&lt;/D&gt;&lt;D xsi:type="xsd:double"&gt;34.221397&lt;/D&gt;&lt;D xsi:type="xsd:double"&gt;36.279&lt;/D&gt;&lt;D xsi:type="xsd:double"&gt;30.26706&lt;/D&gt;&lt;D xsi:type="xsd:double"&gt;25.431501&lt;/D&gt;&lt;D xsi:type="xsd:double"&gt;17.11582&lt;/D&gt;&lt;D xsi:type="xsd:double"&gt;13.197268&lt;/D&gt;&lt;D xsi:type="xsd:double"&gt;10.335505&lt;/D&gt;&lt;D xsi:type="xsd:double"&gt;3.1723619&lt;/D&gt;&lt;D xsi:type="xsd:double"&gt;1.4526725&lt;/D&gt;&lt;D xsi:type="xsd:double"&gt;1.9751787&lt;/D&gt;&lt;D xsi:type="xsd:double"&gt;-0.52205324&lt;/D&gt;&lt;D xsi:type="xsd:double"&gt;-6.8420053&lt;/D&gt;&lt;D xsi:type="xsd:double"&gt;-14.858067&lt;/D&gt;&lt;D xsi:type="xsd:double"&gt;-17.762262&lt;/D&gt;&lt;D xsi:type="xsd:double"&gt;-22.36032&lt;/D&gt;&lt;D xsi:type="xsd:double"&gt;-18.879044&lt;/D&gt;&lt;D xsi:type="xsd:double"&gt;-11.880427&lt;/D&gt;&lt;D xsi:type="xsd:double"&gt;-10.170096&lt;/D&gt;&lt;D xsi:type="xsd:double"&gt;-9.247065&lt;/D&gt;&lt;D xsi:type="xsd:double"&gt;-11.415821&lt;/D&gt;&lt;D xsi:type="xsd:double"&gt;-2.6142836&lt;/D&gt;&lt;D xsi:type="xsd:double"&gt;-10.987127&lt;/D&gt;&lt;D xsi:type="xsd:double"&gt;-8.774209&lt;/D&gt;&lt;D xsi:type="xsd:double"&gt;-7.82271&lt;/D&gt;&lt;D xsi:type="xsd:double"&gt;7.5116158&lt;/D&gt;&lt;D xsi:type="xsd:double"&gt;12.518156&lt;/D&gt;&lt;D xsi:type="xsd:double"&gt;21.277916&lt;/D&gt;&lt;D xsi:type="xsd:double"&gt;11.474824&lt;/D&gt;&lt;D xsi:type="xsd:double"&gt;1.8022776&lt;/D&gt;&lt;D xsi:type="xsd:double"&gt;-24.767273&lt;/D&gt;&lt;D xsi:type="xsd:double"&gt;-18.659157&lt;/D&gt;&lt;D xsi:type="xsd:double"&gt;3.631854&lt;/D&gt;&lt;D xsi:type="xsd:double"&gt;-1.0038435&lt;/D&gt;&lt;D xsi:type="xsd:double"&gt;10.491812&lt;/D&gt;&lt;D xsi:type="xsd:double"&gt;13.644671&lt;/D&gt;&lt;D xsi:type="xsd:double"&gt;13.1447315&lt;/D&gt;&lt;D xsi:type="xsd:double"&gt;-3.0934036&lt;/D&gt;&lt;D xsi:type="xsd:double"&gt;8.499122&lt;/D&gt;&lt;D xsi:type="xsd:double"&gt;12.264717&lt;/D&gt;&lt;D xsi:type="xsd:double"&gt;14.164829&lt;/D&gt;&lt;D xsi:type="xsd:double"&gt;21.217144&lt;/D&gt;&lt;D xsi:type="xsd:double"&gt;70.44282&lt;/D&gt;&lt;D xsi:type="xsd:double"&gt;52.045334&lt;/D&gt;&lt;D xsi:type="xsd:double"&gt;32.85301&lt;/D&gt;&lt;D xsi:type="xsd:double"&gt;29.986143&lt;/D&gt;&lt;D xsi:type="xsd:double"&gt;23.50545&lt;/D&gt;&lt;D xsi:type="xsd:double"&gt;20.918476&lt;/D&gt;&lt;D xsi:type="xsd:double"&gt;15.3719425&lt;/D&gt;&lt;D xsi:type="xsd:double"&gt;27.50659&lt;/D&gt;&lt;D xsi:type="xsd:double"&gt;5.602193&lt;/D&gt;&lt;D xsi:type="xsd:double"&gt;6.087601&lt;/D&gt;&lt;D xsi:type="xsd:double"&gt;1.0309815&lt;/D&gt;&lt;D xsi:type="xsd:double"&gt;-17.34298&lt;/D&gt;&lt;D xsi:type="xsd:double"&gt;-13.58589&lt;/D&gt;&lt;D xsi:type="xsd:double"&gt;-19.527&lt;/D&gt;&lt;D xsi:type="xsd:double"&gt;-21.924717&lt;/D&gt;&lt;D xsi:type="xsd:double"&gt;-30.947208&lt;/D&gt;&lt;D xsi:type="xsd:double"&gt;-28.574562&lt;/D&gt;&lt;D xsi:type="xsd:double"&gt;-36.91226&lt;/D&gt;&lt;D xsi:type="xsd:double"&gt;-32.289516&lt;/D&gt;&lt;D xsi:type="xsd:double"&gt;-32.795994&lt;/D&gt;&lt;D xsi:type="xsd:double"&gt;-16.462332&lt;/D&gt;&lt;D xsi:type="xsd:double"&gt;-19.786913&lt;/D&gt;&lt;D xsi:type="xsd:double"&gt;-8.610535&lt;/D&gt;&lt;D xsi:type="xsd:double"&gt;5.312836&lt;/D&gt;&lt;D xsi:type="xsd:double"&gt;3.34301&lt;/D&gt;&lt;D xsi:type="xsd:double"&gt;12.235176&lt;/D&gt;&lt;D xsi:type="xsd:double"&gt;6.553054&lt;/D&gt;&lt;D xsi:type="xsd:double"&gt;26.880014&lt;/D&gt;&lt;D xsi:type="xsd:double"&gt;21.452105&lt;/D&gt;&lt;D xsi:type="xsd:double"&gt;31.744062&lt;/D&gt;&lt;D xsi:type="xsd:double"&gt;24.0803&lt;/D&gt;&lt;D xsi:type="xsd:double"&gt;27.078379&lt;/D&gt;&lt;D xsi:type="xsd:double"&gt;14.360178&lt;/D&gt;&lt;D xsi:type="xsd:double"&gt;15.30224&lt;/D&gt;&lt;D xsi:type="xsd:double"&gt;4.0325284&lt;/D&gt;&lt;D xsi:type="xsd:double"&gt;13.0116825&lt;/D&gt;&lt;/FQL&gt;&lt;FQL&gt;&lt;Q&gt;EWQ^FMA_PE(LTMA,-10AY,0,AM,"PORTAGG","MEANR")&lt;/Q&gt;&lt;R&gt;121&lt;/R&gt;&lt;C&gt;1&lt;/C&gt;&lt;D xsi:type="xsd:double"&gt;16.0358885789492&lt;/D&gt;&lt;D xsi:type="xsd:double"&gt;15.9383009228067&lt;/D&gt;&lt;D xsi:type="xsd:double"&gt;15.817404028698&lt;/D&gt;&lt;D xsi:type="xsd:double"&gt;15.8327031142692&lt;/D&gt;&lt;D xsi:type="xsd:double"&gt;15.7590828940171&lt;/D&gt;&lt;D xsi:type="xsd:double"&gt;15.1972458005869&lt;/D&gt;&lt;D xsi:type="xsd:double"&gt;15.6359169929453&lt;/D&gt;&lt;D xsi:type="xsd:double"&gt;15.0806966009467&lt;/D&gt;&lt;D xsi:type="xsd:double"&gt;14.653620154262&lt;/D&gt;&lt;D xsi:type="xsd:double"&gt;15.3032837092829&lt;/D&gt;&lt;D xsi:type="xsd:double"&gt;15.0097912131255&lt;/D&gt;&lt;D xsi:type="xsd:double"&gt;16.5361588397552&lt;/D&gt;&lt;D xsi:type="xsd:double"&gt;17.5259833658856&lt;/D&gt;&lt;D xsi:type="xsd:double"&gt;17.5702056949852&lt;/D&gt;&lt;D xsi:type="xsd:double"&gt;17.4913823961681&lt;/D&gt;&lt;D xsi:type="xsd:double"&gt;17.3592906264531&lt;/D&gt;&lt;D xsi:type="xsd:double"&gt;16.9947151139488&lt;/D&gt;&lt;D xsi:type="xsd:double"&gt;17.2357083373588&lt;/D&gt;&lt;D xsi:type="xsd:double"&gt;15.8143877385292&lt;/D&gt;&lt;D xsi:type="xsd:double"&gt;15.5019152118394&lt;/D&gt;&lt;D xsi:type="xsd:double"&gt;16.5025623679388&lt;/D&gt;&lt;D xsi:type="xsd:double"&gt;15.8426349844756&lt;/D&gt;&lt;D xsi:type="xsd:double"&gt;15.0428137283207&lt;/D&gt;&lt;D xsi:type="xsd:double"&gt;14.1759656759047&lt;/D&gt;&lt;D xsi:type="xsd:double"&gt;15.1988117677065&lt;/D&gt;&lt;D xsi:type="xsd:double"&gt;15.1071167204815&lt;/D&gt;&lt;D xsi:type="xsd:double"&gt;15.0809115659005&lt;/D&gt;&lt;D xsi:type="xsd:double"&gt;15.1587629026133&lt;/D&gt;&lt;D xsi:type="xsd:double"&gt;14.851521350003&lt;/D&gt;&lt;D xsi:type="xsd:double"&gt;14.8466669722864&lt;/D&gt;&lt;D xsi:type="xsd:double"&gt;15.1507258838969&lt;/D&gt;&lt;D xsi:type="xsd:double"&gt;15.0056955140689&lt;/D&gt;&lt;D xsi:type="xsd:double"&gt;14.5633468580625&lt;/D&gt;&lt;D xsi:type="xsd:double"&gt;14.8672597288948&lt;/D&gt;&lt;D xsi:type="xsd:double"&gt;15.8679941802194&lt;/D&gt;&lt;D xsi:type="xsd:double"&gt;15.6304564442559&lt;/D&gt;&lt;D xsi:type="xsd:double"&gt;15.6320599128845&lt;/D&gt;&lt;D xsi:type="xsd:double"&gt;15.6509322245355&lt;/D&gt;&lt;D xsi:type="xsd:double"&gt;15.861179977502&lt;/D&gt;&lt;D xsi:type="xsd:double"&gt;15.827294319433&lt;/D&gt;&lt;D xsi:type="xsd:double"&gt;15.6130143914712&lt;/D&gt;&lt;D xsi:type="xsd:double"&gt;15.6458437199166&lt;/D&gt;&lt;D xsi:type="xsd:double"&gt;15.528032370634&lt;/D&gt;&lt;D xsi:type="xsd:double"&gt;15.9916048106414&lt;/D&gt;&lt;D xsi:type="xsd:double"&gt;16.3556429553545&lt;/D&gt;&lt;D xsi:type="xsd:double"&gt;16.1607873199744&lt;/D&gt;&lt;D xsi:type="xsd:double"&gt;16.265697269469&lt;/D&gt;&lt;D xsi:type="xsd:double"&gt;16.0985045047139&lt;/D&gt;&lt;D xsi:type="xsd:double"&gt;15.5409620442201&lt;/D&gt;&lt;D xsi:type="xsd:double"&gt;15.4291152743484&lt;/D&gt;&lt;D xsi:type="xsd:double"&gt;15.6045680442604&lt;/D&gt;&lt;D xsi:type="xsd:double"&gt;15.4644373506324&lt;/D&gt;&lt;D xsi:type="xsd:double"&gt;15.1374782007389&lt;/D&gt;&lt;D xsi:type="xsd:double"&gt;15.2332785841115&lt;/D&gt;&lt;D xsi:type="xsd:double"&gt;14.8961978682439&lt;/D&gt;&lt;D xsi:type="xsd:double"&gt;14.9160564851714&lt;/D&gt;&lt;D xsi:type="xsd:double"&gt;14.1901749458689&lt;/D&gt;&lt;D xsi:type="xsd:double"&gt;13.8040310433241&lt;/D&gt;&lt;D xsi:type="xsd:double"&gt;12.9361330326982&lt;/D&gt;&lt;D xsi:type="xsd:double"&gt;13.7741621896421&lt;/D&gt;&lt;D xsi:type="xsd:double"&gt;14.581421635759&lt;/D&gt;&lt;D xsi:type="xsd:double"&gt;14.6081349655526&lt;/D&gt;&lt;D xsi:type="xsd:double"&gt;14.6602947224629&lt;/D&gt;&lt;D xsi:type="xsd:double"&gt;14.3793957540511&lt;/D&gt;&lt;D xsi:type="xsd:double"&gt;14.7858762106186&lt;/D&gt;&lt;D xsi:type="xsd:double"&gt;14.588479542227&lt;/D&gt;&lt;D xsi:type="xsd:double"&gt;14.8683534821646&lt;/D&gt;&lt;D xsi:type="xsd:double"&gt;14.8498269704616&lt;/D&gt;&lt;D xsi:type="xsd:double"&gt;15.843584576106&lt;/D&gt;&lt;D xsi:type="xsd:double"&gt;15.8902619236435&lt;/D&gt;&lt;D xsi:type="xsd:double"&gt;16.6621930898946&lt;/D&gt;&lt;D xsi:type="xsd:double"&gt;16.3695396436722&lt;/D&gt;&lt;D xsi:type="xsd:double"&gt;14.7059695519195&lt;/D&gt;&lt;D xsi:type="xsd:double"&gt;14.385384855204&lt;/D&gt;&lt;D xsi:type="xsd:double"&gt;15.7294863943389&lt;/D&gt;&lt;D xsi:type="xsd:double"&gt;17.7393762734494&lt;/D&gt;&lt;D xsi:type="xsd:double"&gt;18.9656557929191&lt;/D&gt;&lt;D xsi:type="xsd:double"&gt;21.320841280692&lt;/D&gt;&lt;D xsi:type="xsd:double"&gt;22.690134112692&lt;/D&gt;&lt;D xsi:type="xsd:double"&gt;23.2947209919849&lt;/D&gt;&lt;D xsi:type="xsd:double"&gt;24.3606464399161&lt;/D&gt;&lt;D xsi:type="xsd:double"&gt;28.3826266239202&lt;/D&gt;&lt;D xsi:type="xsd:double"&gt;28.9307341039274&lt;/D&gt;&lt;D xsi:type="xsd:double"&gt;28.0236796828541&lt;/D&gt;&lt;D xsi:type="xsd:double"&gt;26.9584766386919&lt;/D&gt;&lt;D xsi:type="xsd:double"&gt;26.3016097138356&lt;/D&gt;&lt;D xsi:type="xsd:double"&gt;25.2973989564973&lt;/D&gt;&lt;D xsi:type="xsd:double"&gt;24.5190734771096&lt;/D&gt;&lt;D xsi:type="xsd:double"&gt;23.6067918751573&lt;/D&gt;&lt;D xsi:type="xsd:double"&gt;22.174395274464&lt;/D&gt;&lt;D xsi:type="xsd:double"&gt;20.9658277538684&lt;/D&gt;&lt;D xsi:type="xsd:double"&gt;19.3477973099574&lt;/D&gt;&lt;D xsi:type="xsd:double"&gt;18.8578886256317&lt;/D&gt;&lt;D xsi:type="xsd:double"&gt;17.283333037353&lt;/D&gt;&lt;D xsi:type="xsd:double"&gt;17.5368649172237&lt;/D&gt;&lt;D xsi:type="xsd:double"&gt;16.2028212308692&lt;/D&gt;&lt;D xsi:type="xsd:double"&gt;15.234886430007&lt;/D&gt;&lt;D xsi:type="xsd:double"&gt;15.2349355898685&lt;/D&gt;&lt;D xsi:type="xsd:double"&gt;14.7253757788565&lt;/D&gt;&lt;D xsi:type="xsd:double"&gt;14.3780231570392&lt;/D&gt;&lt;D xsi:type="xsd:double"&gt;13.5290178283938&lt;/D&gt;&lt;D xsi:type="xsd:double"&gt;13.3308948560946&lt;/D&gt;&lt;D xsi:type="xsd:double"&gt;12.5414378907072&lt;/D&gt;&lt;D xsi:type="xsd:double"&gt;11.810797436425&lt;/D&gt;&lt;D xsi:type="xsd:double"&gt;11.9131296249617&lt;/D&gt;&lt;D xsi:type="xsd:double"&gt;12.2241295922051&lt;/D&gt;&lt;D xsi:type="xsd:double"&gt;11.9954278863306&lt;/D&gt;&lt;D xsi:type="xsd:double"&gt;13.1080609700182&lt;/D&gt;&lt;D xsi:type="xsd:double"&gt;12.9301910233758&lt;/D&gt;&lt;D xsi:type="xsd:double"&gt;13.0297512075537&lt;/D&gt;&lt;D xsi:type="xsd:double"&gt;13.1373582551883&lt;/D&gt;&lt;D xsi:type="xsd:double"&gt;13.1285247139165&lt;/D&gt;&lt;D xsi:type="xsd:double"&gt;13.2964918046797&lt;/D&gt;&lt;D xsi:type="xsd:double"&gt;13.2909101033577&lt;/D&gt;&lt;D xsi:type="xsd:double"&gt;13.2786024257061&lt;/D&gt;&lt;D xsi:type="xsd:double"&gt;12.775905660241&lt;/D&gt;&lt;D xsi:type="xsd:double"&gt;12.8915689332472&lt;/D&gt;&lt;D xsi:type="xsd:double"&gt;13.5232540025799&lt;/D&gt;&lt;D xsi:type="xsd:double"&gt;13.9274118681353&lt;/D&gt;&lt;D xsi:type="xsd:double"&gt;14.3978239263126&lt;/D&gt;&lt;D xsi:type="xsd:double"&gt;15.733975837784&lt;/D&gt;&lt;/FQL&gt;&lt;FQL&gt;&lt;Q&gt;NI-FDS^FG_PRICE(0)&lt;/Q&gt;&lt;R&gt;1&lt;/R&gt;&lt;C&gt;1&lt;/C&gt;&lt;D xsi:type="xsd:double"&gt;17575&lt;/D&gt;&lt;/FQL&gt;&lt;FQL&gt;&lt;Q&gt;COPP-FDS^MAX(FG_PRICE(0,-5AY))&lt;/Q&gt;&lt;R&gt;1&lt;/R&gt;&lt;C&gt;1&lt;/C&gt;&lt;D xsi:type="xsd:double"&gt;4.929&lt;/D&gt;&lt;/FQL&gt;&lt;FQL&gt;&lt;Q&gt;ENZL^FG_PRICE_MAVG(0,,,,200)&lt;/Q&gt;&lt;R&gt;1&lt;/R&gt;&lt;C&gt;1&lt;/C&gt;&lt;D xsi:type="xsd:double"&gt;46.42301&lt;/D&gt;&lt;/FQL&gt;&lt;FQL&gt;&lt;Q&gt;VWO^FG_TOTAL_RETURNC(0,-3AM)&lt;/Q&gt;&lt;R&gt;1&lt;/R&gt;&lt;C&gt;1&lt;/C&gt;&lt;D xsi:type="xsd:double"&gt;4.5764565&lt;/D&gt;&lt;/FQL&gt;&lt;FQL&gt;&lt;Q&gt;EWC^FG_TOTAL_RETURNC(0,-6AM)&lt;/Q&gt;&lt;R&gt;1&lt;/R&gt;&lt;C&gt;1&lt;/C&gt;&lt;D xsi:type="xsd:double"&gt;7.427442&lt;/D&gt;&lt;/FQL&gt;&lt;FQL&gt;&lt;Q&gt;EWU^FMA_PCT_ABOVE_MAVG(200,0,,,,"PORTAGG")&lt;/Q&gt;&lt;R&gt;1&lt;/R&gt;&lt;C&gt;1&lt;/C&gt;&lt;D xsi:type="xsd:double"&gt;53.5714285714286&lt;/D&gt;&lt;/FQL&gt;&lt;FQL&gt;&lt;Q&gt;EWQ^SIZE(FG_CONSTITUENTS)&lt;/Q&gt;&lt;R&gt;1&lt;/R&gt;&lt;C&gt;1&lt;/C&gt;&lt;D xsi:type="xsd:long"&gt;64&lt;/D&gt;&lt;/FQL&gt;&lt;FQL&gt;&lt;Q&gt;SPY^FMA_RBICS_REV_CURRENT(30, LOC, "PORTAGG")&lt;/Q&gt;&lt;R&gt;1&lt;/R&gt;&lt;C&gt;1&lt;/C&gt;&lt;D xsi:type="xsd:double"&gt;12.5169616849279&lt;/D&gt;&lt;/FQL&gt;&lt;FQL&gt;&lt;Q&gt;TRYNL10Y-FDS^PCTCHG(FG_YIELD(0,,,,"YTM"),FG_YIELD(-1AM,,,,"YTM"))&lt;/Q&gt;&lt;R&gt;1&lt;/R&gt;&lt;C&gt;1&lt;/C&gt;&lt;D xsi:type="xsd:double"&gt;8.4394865&lt;/D&gt;&lt;/FQL&gt;&lt;FQL&gt;&lt;Q&gt;TRYAU10Y-FDS^FG_YIELD(0,,,,"YTM")&lt;/Q&gt;&lt;R&gt;1&lt;/R&gt;&lt;C&gt;1&lt;/C&gt;&lt;D xsi:type="xsd:double"&gt;4.105&lt;/D&gt;&lt;/FQL&gt;&lt;FQL&gt;&lt;Q&gt;VWO^FG_PE(0)&lt;/Q&gt;&lt;R&gt;1&lt;/R&gt;&lt;C&gt;1&lt;/C&gt;&lt;D xsi:type="xsd:double"&gt;12.8621994203067&lt;/D&gt;&lt;/FQL&gt;&lt;FQL&gt;&lt;Q&gt;QQQ^FMA_EVAL_EBIT(LTMA,NOW,NOW,M,"PORTAGG","MEANR")&lt;/Q&gt;&lt;R&gt;1&lt;/R&gt;&lt;C&gt;1&lt;/C&gt;&lt;D xsi:type="xsd:double"&gt;25.0219547635961&lt;/D&gt;&lt;/FQL&gt;&lt;FQL&gt;&lt;Q&gt;EWJ^FMA_EVAL_EBIT(LTMA,NOW,NOW,M,"PORTAGG","MEANR")&lt;/Q&gt;&lt;R&gt;1&lt;/R&gt;&lt;C&gt;1&lt;/C&gt;&lt;D xsi:type="xsd:double"&gt;17.9293615503174&lt;/D&gt;&lt;/FQL&gt;&lt;FQL&gt;&lt;Q&gt;EWA^FMA_EVAL_EBITDA(NTMA,0,,,"PORTAGG","MEANR")&lt;/Q&gt;&lt;R&gt;1&lt;/R&gt;&lt;C&gt;1&lt;/C&gt;&lt;D xsi:type="xsd:double"&gt;8.86856897219922&lt;/D&gt;&lt;/FQL&gt;&lt;FQL&gt;&lt;Q&gt;EWJ^P_PRICE(0)/P_PRICE_HIGH_PR(0,,,USD,,,"PRICE","INTRA","52W")&lt;/Q&gt;&lt;R&gt;1&lt;/R&gt;&lt;C&gt;1&lt;/C&gt;&lt;D xsi:type="xsd:double"&gt;0.9932524&lt;/D&gt;&lt;/FQL&gt;&lt;FQL&gt;&lt;Q&gt;TRYFR10Y-FDS^FG_YIELD(-10AY,0,Y,,"YTM")&lt;/Q&gt;&lt;R&gt;10&lt;/R&gt;&lt;C&gt;1&lt;/C&gt;&lt;D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xsi:type="xsd:double"&gt;2.534&lt;/D&gt;&lt;/FQL&gt;&lt;FQL&gt;&lt;Q&gt;USDSEK^FG_PRICE_CHANGE(0,-1AY)&lt;/Q&gt;&lt;R&gt;1&lt;/R&gt;&lt;C&gt;1&lt;/C&gt;&lt;D xsi:type="xsd:double"&gt;-1.4957786&lt;/D&gt;&lt;/FQL&gt;&lt;FQL&gt;&lt;Q&gt;PLATI-FDS^MAX(FG_PRICE(0,-5AY))&lt;/Q&gt;&lt;R&gt;1&lt;/R&gt;&lt;C&gt;1&lt;/C&gt;&lt;D xsi:type="xsd:double"&gt;1272.59&lt;/D&gt;&lt;/FQL&gt;&lt;FQL&gt;&lt;Q&gt;COPP-FDS^FG_PRICE(0)/MAX(FG_PRICE(0,-1AY))&lt;/Q&gt;&lt;R&gt;1&lt;/R&gt;&lt;C&gt;1&lt;/C&gt;&lt;D xsi:type="xsd:double"&gt;0.929088277858176&lt;/D&gt;&lt;/FQL&gt;&lt;FQL&gt;&lt;Q&gt;QQQ^FG_PRICE_MAVG(0,,,,200)&lt;/Q&gt;&lt;R&gt;1&lt;/R&gt;&lt;C&gt;1&lt;/C&gt;&lt;D xsi:type="xsd:double"&gt;382.30295&lt;/D&gt;&lt;/FQL&gt;&lt;FQL&gt;&lt;Q&gt;VGK^P_PRICE(0)/P_PRICE_LOW_PR(0,,,USD,,,"PRICE","INTRA","52W")-1&lt;/Q&gt;&lt;R&gt;1&lt;/R&gt;&lt;C&gt;1&lt;/C&gt;&lt;D xsi:type="xsd:double"&gt;0.19288051&lt;/D&gt;&lt;/FQL&gt;&lt;FQL&gt;&lt;Q&gt;QQQ^P_PRICE(0)/P_PRICE_LOW_PR(0,,,USD,,,"PRICE","INTRA","52W")-1&lt;/Q&gt;&lt;R&gt;1&lt;/R&gt;&lt;C&gt;1&lt;/C&gt;&lt;D xsi:type="xsd:double"&gt;0.55692697&lt;/D&gt;&lt;/FQL&gt;&lt;FQL&gt;&lt;Q&gt;EWC^FG_TOTAL_RETURNC(0,-3AM)&lt;/Q&gt;&lt;R&gt;1&lt;/R&gt;&lt;C&gt;1&lt;/C&gt;&lt;D xsi:type="xsd:double"&gt;6.2713265&lt;/D&gt;&lt;/FQL&gt;&lt;FQL&gt;&lt;Q&gt;VGK^PERCENT_CHANGE(FMA_EPS(+1,0,,,,"PORTAGG","MEAN"),FMA_EPS(+1,-1AM,,,,"PORTAGG","MEAN"))&lt;/Q&gt;&lt;R&gt;1&lt;/R&gt;&lt;C&gt;1&lt;/C&gt;&lt;D xsi:type="xsd:double"&gt;-4.73495093263294&lt;/D&gt;&lt;/FQL&gt;&lt;FQL&gt;&lt;Q&gt;EWL^PERCENT_CHANGE(FMA_EPS(+1,0,,,,"PORTAGG","MEAN"),FMA_EPS(+1,-3AM,,,,"PORTAGG","MEAN"))&lt;/Q&gt;&lt;R&gt;1&lt;/R&gt;&lt;C&gt;1&lt;/C&gt;&lt;D xsi:type="xsd:double"&gt;-13.9198715787207&lt;/D&gt;&lt;/FQL&gt;&lt;FQL&gt;&lt;Q&gt;SPY^FMA_COS_UP("EPS","1M",+1,0,,,"PORTAGG","MEANR")&lt;/Q&gt;&lt;R&gt;1&lt;/R&gt;&lt;C&gt;1&lt;/C&gt;&lt;D xsi:type="xsd:double"&gt;239&lt;/D&gt;&lt;/FQL&gt;&lt;FQL&gt;&lt;Q&gt;EWQ^FMA_COS_DOWN("EPS","1M",+1,0,,,"PORTAGG","MEANR")&lt;/Q&gt;&lt;R&gt;1&lt;/R&gt;&lt;C&gt;1&lt;/C&gt;&lt;D xsi:type="xsd:double"&gt;30&lt;/D&gt;&lt;/FQL&gt;&lt;FQL&gt;&lt;Q&gt;EWA^FMA_COS_DOWN("EPS","1M",+1,0,,,"PORTAGG","MEANR")&lt;/Q&gt;&lt;R&gt;1&lt;/R&gt;&lt;C&gt;1&lt;/C&gt;&lt;D xsi:type="xsd:double"&gt;25&lt;/D&gt;&lt;/FQL&gt;&lt;FQL&gt;&lt;Q&gt;TRYNL10Y-FDS^FG_YIELD_NAME&lt;/Q&gt;&lt;R&gt;1&lt;/R&gt;&lt;C&gt;1&lt;/C&gt;&lt;D xsi:type="xsd:string"&gt;Netherlands Benchmark Bond - 10 Year&lt;/D&gt;&lt;/FQL&gt;&lt;FQL&gt;&lt;Q&gt;REFCHMPR-FDS^FG_YIELD(NOW,,,0)&lt;/Q&gt;&lt;R&gt;1&lt;/R&gt;&lt;C&gt;1&lt;/C&gt;&lt;D xsi:type="xsd:double"&gt;1.75&lt;/D&gt;&lt;/FQL&gt;&lt;FQL&gt;&lt;Q&gt;EWN^FMA_EVAL_EBIT(LTMA,NOW,NOW,M,"PORTAGG","MEANR")&lt;/Q&gt;&lt;R&gt;1&lt;/R&gt;&lt;C&gt;1&lt;/C&gt;&lt;D xsi:type="xsd:double"&gt;22.4785472937457&lt;/D&gt;&lt;/FQL&gt;&lt;FQL&gt;&lt;Q&gt;EWA^FMA_DIV_YLD(NTMA,NOW,NOW,M,"PORTAGG","MEANR")&lt;/Q&gt;&lt;R&gt;1&lt;/R&gt;&lt;C&gt;1&lt;/C&gt;&lt;D xsi:type="xsd:double"&gt;3.98444519198664&lt;/D&gt;&lt;/FQL&gt;&lt;FQL&gt;&lt;Q&gt;EWJ^FG_TOTAL_RETURNC(0,-6AM)&lt;/Q&gt;&lt;R&gt;1&lt;/R&gt;&lt;C&gt;1&lt;/C&gt;&lt;D xsi:type="xsd:double"&gt;14.29001&lt;/D&gt;&lt;/FQL&gt;&lt;FQL&gt;&lt;Q&gt;QQQ^FG_TOTAL_RETURNC(0,-6AM)&lt;/Q&gt;&lt;R&gt;1&lt;/R&gt;&lt;C&gt;1&lt;/C&gt;&lt;D xsi:type="xsd:double"&gt;18.058754&lt;/D&gt;&lt;/FQL&gt;&lt;FQL&gt;&lt;Q&gt;EWI^FMA_ROE(NTMA,-20AY,NOW,FY,"PORTAGG","MEANR")&lt;/Q&gt;&lt;R&gt;20&lt;/R&gt;&lt;C&gt;1&lt;/C&gt;&lt;D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xsi:type="xsd:double"&gt;13.3572177464321&lt;/D&gt;&lt;/FQL&gt;&lt;FQL&gt;&lt;Q&gt;EWG^FG_TOTAL_RETURNC(-10AY,0,AM)&lt;/Q&gt;&lt;R&gt;121&lt;/R&gt;&lt;C&gt;1&lt;/C&gt;&lt;D xsi:type="xsd:double"&gt;6.063688&lt;/D&gt;&lt;D xsi:type="xsd:double"&gt;0.09582043&lt;/D&gt;&lt;D xsi:type="xsd:double"&gt;0.38288832&lt;/D&gt;&lt;D xsi:type="xsd:double"&gt;1.5893221&lt;/D&gt;&lt;D xsi:type="xsd:double"&gt;1.1873722&lt;/D&gt;&lt;D xsi:type="xsd:double"&gt;-9.2744465&lt;/D&gt;&lt;D xsi:type="xsd:double"&gt;1.4951348&lt;/D&gt;&lt;D xsi:type="xsd:double"&gt;-7.3997917&lt;/D&gt;&lt;D xsi:type="xsd:double"&gt;-0.5549431&lt;/D&gt;&lt;D xsi:type="xsd:double"&gt;6.0267925&lt;/D&gt;&lt;D xsi:type="xsd:double"&gt;-4.2806983&lt;/D&gt;&lt;D xsi:type="xsd:double"&gt;5.351901&lt;/D&gt;&lt;D xsi:type="xsd:double"&gt;2.3660421&lt;/D&gt;&lt;D xsi:type="xsd:double"&gt;3.0931354&lt;/D&gt;&lt;D xsi:type="xsd:double"&gt;-1.1539757&lt;/D&gt;&lt;D xsi:type="xsd:double"&gt;-2.0680428&lt;/D&gt;&lt;D xsi:type="xsd:double"&gt;-2.8731287&lt;/D&gt;&lt;D xsi:type="xsd:double"&gt;1.7481208&lt;/D&gt;&lt;D xsi:type="xsd:double"&gt;-10.3085575&lt;/D&gt;&lt;D xsi:type="xsd:double"&gt;-2.8146982&lt;/D&gt;&lt;D xsi:type="xsd:double"&gt;8.00482&lt;/D&gt;&lt;D xsi:type="xsd:double"&gt;0.2979517&lt;/D&gt;&lt;D xsi:type="xsd:double"&gt;-5.0872684&lt;/D&gt;&lt;D xsi:type="xsd:double"&gt;-5.868542&lt;/D&gt;&lt;D xsi:type="xsd:double"&gt;2.0781398&lt;/D&gt;&lt;D xsi:type="xsd:double"&gt;3.420198&lt;/D&gt;&lt;D xsi:type="xsd:double"&gt;1.2204647&lt;/D&gt;&lt;D xsi:type="xsd:double"&gt;1.5947223&lt;/D&gt;&lt;D xsi:type="xsd:double"&gt;-5.413061&lt;/D&gt;&lt;D xsi:type="xsd:double"&gt;4.8921943&lt;/D&gt;&lt;D xsi:type="xsd:double"&gt;4.9011946&lt;/D&gt;&lt;D xsi:type="xsd:double"&gt;-0.979656&lt;/D&gt;&lt;D xsi:type="xsd:double"&gt;-4.147643&lt;/D&gt;&lt;D xsi:type="xsd:double"&gt;-1.7864287&lt;/D&gt;&lt;D xsi:type="xsd:double"&gt;7.797742&lt;/D&gt;&lt;D xsi:type="xsd:double"&gt;3.713429&lt;/D&gt;&lt;D xsi:type="xsd:double"&gt;1.2296557&lt;/D&gt;&lt;D xsi:type="xsd:double"&gt;2.6437998&lt;/D&gt;&lt;D xsi:type="xsd:double"&gt;5.8823586&lt;/D&gt;&lt;D xsi:type="xsd:double"&gt;4.174888&lt;/D&gt;&lt;D xsi:type="xsd:double"&gt;-2.55633&lt;/D&gt;&lt;D xsi:type="xsd:double"&gt;2.5420904&lt;/D&gt;&lt;D xsi:type="xsd:double"&gt;-0.6761074&lt;/D&gt;&lt;D xsi:type="xsd:double"&gt;5.28363&lt;/D&gt;&lt;D xsi:type="xsd:double"&gt;2.8017282&lt;/D&gt;&lt;D xsi:type="xsd:double"&gt;-0.98831654&lt;/D&gt;&lt;D xsi:type="xsd:double"&gt;3.042233&lt;/D&gt;&lt;D xsi:type="xsd:double"&gt;-0.3531456&lt;/D&gt;&lt;D xsi:type="xsd:double"&gt;-6.054342&lt;/D&gt;&lt;D xsi:type="xsd:double"&gt;0.03143549&lt;/D&gt;&lt;D xsi:type="xsd:double"&gt;3.2055378&lt;/D&gt;&lt;D xsi:type="xsd:double"&gt;-2.5883079&lt;/D&gt;&lt;D xsi:type="xsd:double"&gt;-4.1805387&lt;/D&gt;&lt;D xsi:type="xsd:double"&gt;2.5392532&lt;/D&gt;&lt;D xsi:type="xsd:double"&gt;-2.6067138&lt;/D&gt;&lt;D xsi:type="xsd:double"&gt;-1.4051497&lt;/D&gt;&lt;D xsi:type="xsd:double"&gt;-5.73464&lt;/D&gt;&lt;D xsi:type="xsd:double"&gt;-4.679632&lt;/D&gt;&lt;D xsi:type="xsd:double"&gt;-2.7190328&lt;/D&gt;&lt;D xsi:type="xsd:double"&gt;4.114902&lt;/D&gt;&lt;D xsi:type="xsd:double"&gt;2.0507097&lt;/D&gt;&lt;D xsi:type="xsd:double"&gt;1.9729614&lt;/D&gt;&lt;D xsi:type="xsd:double"&gt;3.7262678&lt;/D&gt;&lt;D xsi:type="xsd:double"&gt;-4.421419&lt;/D&gt;&lt;D xsi:type="xsd:double"&gt;5.339873&lt;/D&gt;&lt;D xsi:type="xsd:double"&gt;-6.5209746&lt;/D&gt;&lt;D xsi:type="xsd:double"&gt;0.0754118&lt;/D&gt;&lt;D xsi:type="xsd:double"&gt;-0.37679076&lt;/D&gt;&lt;D xsi:type="xsd:double"&gt;9.94705&lt;/D&gt;&lt;D xsi:type="xsd:double"&gt;-0.2407968&lt;/D&gt;&lt;D xsi:type="xsd:double"&gt;1.0689616&lt;/D&gt;&lt;D xsi:type="xsd:double"&gt;-0.71647763&lt;/D&gt;&lt;D xsi:type="xsd:double"&gt;-6.8041205&lt;/D&gt;&lt;D xsi:type="xsd:double"&gt;-24.668144&lt;/D&gt;&lt;D xsi:type="xsd:double"&gt;12.187958&lt;/D&gt;&lt;D xsi:type="xsd:double"&gt;21.771383&lt;/D&gt;&lt;D xsi:type="xsd:double"&gt;-0.18804073&lt;/D&gt;&lt;D xsi:type="xsd:double"&gt;5.186796&lt;/D&gt;&lt;D xsi:type="xsd:double"&gt;2.9310346&lt;/D&gt;&lt;D xsi:type="xsd:double"&gt;-2.2780597&lt;/D&gt;&lt;D xsi:type="xsd:double"&gt;-4.4223547&lt;/D&gt;&lt;D xsi:type="xsd:double"&gt;11.692977&lt;/D&gt;&lt;D xsi:type="xsd:double"&gt;4.576683&lt;/D&gt;&lt;D xsi:type="xsd:double"&gt;0.96393824&lt;/D&gt;&lt;D xsi:type="xsd:double"&gt;-1.0471225&lt;/D&gt;&lt;D xsi:type="xsd:double"&gt;5.6644917&lt;/D&gt;&lt;D xsi:type="xsd:double"&gt;0.32401085&lt;/D&gt;&lt;D xsi:type="xsd:double"&gt;6.400466&lt;/D&gt;&lt;D xsi:type="xsd:double"&gt;-2.3419142&lt;/D&gt;&lt;D xsi:type="xsd:double"&gt;-0.0574708&lt;/D&gt;&lt;D xsi:type="xsd:double"&gt;0.9775758&lt;/D&gt;&lt;D xsi:type="xsd:double"&gt;-6.947607&lt;/D&gt;&lt;D xsi:type="xsd:double"&gt;5.63035&lt;/D&gt;&lt;D xsi:type="xsd:double"&gt;-7.821554&lt;/D&gt;&lt;D xsi:type="xsd:double"&gt;5.4297924&lt;/D&gt;&lt;D xsi:type="xsd:double"&gt;-3.8484633&lt;/D&gt;&lt;D xsi:type="xsd:double"&gt;-19.043154&lt;/D&gt;&lt;D xsi:type="xsd:double"&gt;10.467362&lt;/D&gt;&lt;D xsi:type="xsd:double"&gt;-6.573433&lt;/D&gt;&lt;D xsi:type="xsd:double"&gt;2.4326444&lt;/D&gt;&lt;D xsi:type="xsd:double"&gt;-13.255042&lt;/D&gt;&lt;D xsi:type="xsd:double"&gt;3.7342548&lt;/D&gt;&lt;D xsi:type="xsd:double"&gt;-10.632062&lt;/D&gt;&lt;D xsi:type="xsd:double"&gt;-0.32786727&lt;/D&gt;&lt;D xsi:type="xsd:double"&gt;4.840219&lt;/D&gt;&lt;D xsi:type="xsd:double"&gt;15.374279&lt;/D&gt;&lt;D xsi:type="xsd:double"&gt;0.538826&lt;/D&gt;&lt;D xsi:type="xsd:double"&gt;9.856976&lt;/D&gt;&lt;D xsi:type="xsd:double"&gt;-1.6889513&lt;/D&gt;&lt;D xsi:type="xsd:double"&gt;2.5769472&lt;/D&gt;&lt;D xsi:type="xsd:double"&gt;1.4654517&lt;/D&gt;&lt;D xsi:type="xsd:double"&gt;-1.6162276&lt;/D&gt;&lt;D xsi:type="xsd:double"&gt;2.0994544&lt;/D&gt;&lt;D xsi:type="xsd:double"&gt;-0.7034838&lt;/D&gt;&lt;D xsi:type="xsd:double"&gt;-2.1962404&lt;/D&gt;&lt;D xsi:type="xsd:double"&gt;-6.9540024&lt;/D&gt;&lt;D xsi:type="xsd:double"&gt;1.7905712&lt;/D&gt;&lt;D xsi:type="xsd:double"&gt;9.521985&lt;/D&gt;&lt;D xsi:type="xsd:double"&gt;1.3670325&lt;/D&gt;&lt;D xsi:type="xsd:double"&gt;0.6889343&lt;/D&gt;&lt;D xsi:type="xsd:double"&gt;5.1317096&lt;/D&gt;&lt;/FQL&gt;&lt;FQL&gt;&lt;Q&gt;PASP-FDS^MAX(FG_PRICE(0,-5AY))&lt;/Q&gt;&lt;R&gt;1&lt;/R&gt;&lt;C&gt;1&lt;/C&gt;&lt;D xsi:type="xsd:double"&gt;3158.12&lt;/D&gt;&lt;/FQL&gt;&lt;FQL&gt;&lt;Q&gt;W-FDS^FG_PRICE_MAVG(0,,,,30)&lt;/Q&gt;&lt;R&gt;1&lt;/R&gt;&lt;C&gt;1&lt;/C&gt;&lt;D xsi:type="xsd:double"&gt;5.8834167&lt;/D&gt;&lt;/FQL&gt;&lt;FQL&gt;&lt;Q&gt;EWG^FG_PRICE_MAVG(0,,,,200)&lt;/Q&gt;&lt;R&gt;1&lt;/R&gt;&lt;C&gt;1&lt;/C&gt;&lt;D xsi:type="xsd:double"&gt;28.1064&lt;/D&gt;&lt;/FQL&gt;&lt;FQL&gt;&lt;Q&gt;EWI^P_PRICE(0)/P_PRICE_LOW_PR(0,,,USD,,,"PRICE","INTRA","52W")-1&lt;/Q&gt;&lt;R&gt;1&lt;/R&gt;&lt;C&gt;1&lt;/C&gt;&lt;D xsi:type="xsd:double"&gt;0.2906934&lt;/D&gt;&lt;/FQL&gt;&lt;FQL&gt;&lt;Q&gt;EWL^PERCENT_CHANGE(FMA_EPS(+1,0,,,,"PORTAGG","MEAN"),FMA_EPS(+1,-1AM,,,,"PORTAGG","MEAN"))&lt;/Q&gt;&lt;R&gt;1&lt;/R&gt;&lt;C&gt;1&lt;/C&gt;&lt;D xsi:type="xsd:double"&gt;-11.6396644938794&lt;/D&gt;&lt;/FQL&gt;&lt;FQL&gt;&lt;Q&gt;EWD^FMA_RBICS_REV_CURRENT(30, LOC, "PORTAGG")&lt;/Q&gt;&lt;R&gt;1&lt;/R&gt;&lt;C&gt;1&lt;/C&gt;&lt;D xsi:type="xsd:double"&gt;25.3194250250599&lt;/D&gt;&lt;/FQL&gt;&lt;FQL&gt;&lt;Q&gt;TRYGB10Y-FDS^FG_YIELD_NAME&lt;/Q&gt;&lt;R&gt;1&lt;/R&gt;&lt;C&gt;1&lt;/C&gt;&lt;D xsi:type="xsd:string"&gt;United Kingdom Benchmark Bond - 10 Year&lt;/D&gt;&lt;/FQL&gt;&lt;FQL&gt;&lt;Q&gt;REFNZOCR-FDS^FG_YIELD(NOW,,,0)&lt;/Q&gt;&lt;R&gt;1&lt;/R&gt;&lt;C&gt;1&lt;/C&gt;&lt;D xsi:type="xsd:double"&gt;5.5&lt;/D&gt;&lt;/FQL&gt;&lt;FQL&gt;&lt;Q&gt;SPY^FMA_DIV_YLD(NTMA,NOW,NOW,M,"PORTAGG","MEANR")&lt;/Q&gt;&lt;R&gt;1&lt;/R&gt;&lt;C&gt;1&lt;/C&gt;&lt;D xsi:type="xsd:double"&gt;1.46699209592411&lt;/D&gt;&lt;/FQL&gt;&lt;FQL&gt;&lt;Q&gt;EWJ^FMA_PE(NTMA,0,,,"PORTAGG","MEANR")&lt;/Q&gt;&lt;R&gt;1&lt;/R&gt;&lt;C&gt;1&lt;/C&gt;&lt;D xsi:type="xsd:double"&gt;17.0299526822646&lt;/D&gt;&lt;/FQL&gt;&lt;FQL&gt;&lt;Q&gt;ENZL^FMA_PE(NTMA,0,,,"PORTAGG","MEANR")&lt;/Q&gt;&lt;R&gt;1&lt;/R&gt;&lt;C&gt;1&lt;/C&gt;&lt;D xsi:type="xsd:double"&gt;23.3837124038528&lt;/D&gt;&lt;/FQL&gt;&lt;FQL&gt;&lt;Q&gt;EWA^FMA_ROE(NTMA,-20AY,NOW,FY,"PORTAGG","MEANR")&lt;/Q&gt;&lt;R&gt;20&lt;/R&gt;&lt;C&gt;1&lt;/C&gt;&lt;D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xsi:type="xsd:double"&gt;13.2261379950135&lt;/D&gt;&lt;/FQL&gt;&lt;FQL&gt;&lt;Q&gt;EWA^FG_TOTAL_RETURNC(-10AY,0,AM)&lt;/Q&gt;&lt;R&gt;121&lt;/R&gt;&lt;C&gt;1&lt;/C&gt;&lt;D xsi:type="xsd:double"&gt;8.089506&lt;/D&gt;&lt;D xsi:type="xsd:double"&gt;3.0652761&lt;/D&gt;&lt;D xsi:type="xsd:double"&gt;1.4677525&lt;/D&gt;&lt;D xsi:type="xsd:double"&gt;-0.07613301&lt;/D&gt;&lt;D xsi:type="xsd:double"&gt;2.6272655&lt;/D&gt;&lt;D xsi:type="xsd:double"&gt;-0.037682056&lt;/D&gt;&lt;D xsi:type="xsd:double"&gt;2.7139068&lt;/D&gt;&lt;D xsi:type="xsd:double"&gt;-11.853212&lt;/D&gt;&lt;D xsi:type="xsd:double"&gt;4.371357&lt;/D&gt;&lt;D xsi:type="xsd:double"&gt;-6.1029077&lt;/D&gt;&lt;D xsi:type="xsd:double"&gt;-3.0665815&lt;/D&gt;&lt;D xsi:type="xsd:double"&gt;2.8506756&lt;/D&gt;&lt;D xsi:type="xsd:double"&gt;3.7395477&lt;/D&gt;&lt;D xsi:type="xsd:double"&gt;-2.5445282&lt;/D&gt;&lt;D xsi:type="xsd:double"&gt;1.8711925&lt;/D&gt;&lt;D xsi:type="xsd:double"&gt;-7.6890173&lt;/D&gt;&lt;D xsi:type="xsd:double"&gt;1.380682&lt;/D&gt;&lt;D xsi:type="xsd:double"&gt;-1.4025211&lt;/D&gt;&lt;D xsi:type="xsd:double"&gt;-16.83262&lt;/D&gt;&lt;D xsi:type="xsd:double"&gt;4.0478826&lt;/D&gt;&lt;D xsi:type="xsd:double"&gt;4.0547967&lt;/D&gt;&lt;D xsi:type="xsd:double"&gt;2.1063685&lt;/D&gt;&lt;D xsi:type="xsd:double"&gt;-0.86529255&lt;/D&gt;&lt;D xsi:type="xsd:double"&gt;-5.614978&lt;/D&gt;&lt;D xsi:type="xsd:double"&gt;7.9320073&lt;/D&gt;&lt;D xsi:type="xsd:double"&gt;-0.4724443&lt;/D&gt;&lt;D xsi:type="xsd:double"&gt;2.953589&lt;/D&gt;&lt;D xsi:type="xsd:double"&gt;0.6147504&lt;/D&gt;&lt;D xsi:type="xsd:double"&gt;0.90146065&lt;/D&gt;&lt;D xsi:type="xsd:double"&gt;5.731821&lt;/D&gt;&lt;D xsi:type="xsd:double"&gt;-1.5488863&lt;/D&gt;&lt;D xsi:type="xsd:double"&gt;2.1632314&lt;/D&gt;&lt;D xsi:type="xsd:double"&gt;-4.234844&lt;/D&gt;&lt;D xsi:type="xsd:double"&gt;3.9698482&lt;/D&gt;&lt;D xsi:type="xsd:double"&gt;3.4679055&lt;/D&gt;&lt;D xsi:type="xsd:double"&gt;3.5491586&lt;/D&gt;&lt;D xsi:type="xsd:double"&gt;1.8063903&lt;/D&gt;&lt;D xsi:type="xsd:double"&gt;2.2747993&lt;/D&gt;&lt;D xsi:type="xsd:double"&gt;-2.135229&lt;/D&gt;&lt;D xsi:type="xsd:double"&gt;-1.272732&lt;/D&gt;&lt;D xsi:type="xsd:double"&gt;1.5399814&lt;/D&gt;&lt;D xsi:type="xsd:double"&gt;4.4949055&lt;/D&gt;&lt;D xsi:type="xsd:double"&gt;1.1973381&lt;/D&gt;&lt;D xsi:type="xsd:double"&gt;-2.1910608&lt;/D&gt;&lt;D xsi:type="xsd:double"&gt;2.3745537&lt;/D&gt;&lt;D xsi:type="xsd:double"&gt;-0.65645576&lt;/D&gt;&lt;D xsi:type="xsd:double"&gt;6.3441157&lt;/D&gt;&lt;D xsi:type="xsd:double"&gt;-0.16977787&lt;/D&gt;&lt;D xsi:type="xsd:double"&gt;-3.316331&lt;/D&gt;&lt;D xsi:type="xsd:double"&gt;-3.07827&lt;/D&gt;&lt;D xsi:type="xsd:double"&gt;3.1306624&lt;/D&gt;&lt;D xsi:type="xsd:double"&gt;0.5719304&lt;/D&gt;&lt;D xsi:type="xsd:double"&gt;0.03812313&lt;/D&gt;&lt;D xsi:type="xsd:double"&gt;1.2929082&lt;/D&gt;&lt;D xsi:type="xsd:double"&gt;-2.1126747&lt;/D&gt;&lt;D xsi:type="xsd:double"&gt;-2.9676259&lt;/D&gt;&lt;D xsi:type="xsd:double"&gt;-3.2437503&lt;/D&gt;&lt;D xsi:type="xsd:double"&gt;-1.3888836&lt;/D&gt;&lt;D xsi:type="xsd:double"&gt;-0.9830177&lt;/D&gt;&lt;D xsi:type="xsd:double"&gt;5.603671&lt;/D&gt;&lt;D xsi:type="xsd:double"&gt;2.8461218&lt;/D&gt;&lt;D xsi:type="xsd:double"&gt;1.4540315&lt;/D&gt;&lt;D xsi:type="xsd:double"&gt;0.92464685&lt;/D&gt;&lt;D xsi:type="xsd:double"&gt;0.9619832&lt;/D&gt;&lt;D xsi:type="xsd:double"&gt;5.42264&lt;/D&gt;&lt;D xsi:type="xsd:double"&gt;-2.5032938&lt;/D&gt;&lt;D xsi:type="xsd:double"&gt;-1.7567635&lt;/D&gt;&lt;D xsi:type="xsd:double"&gt;0.045847893&lt;/D&gt;&lt;D xsi:type="xsd:double"&gt;3.9871693&lt;/D&gt;&lt;D xsi:type="xsd:double"&gt;-0.83737373&lt;/D&gt;&lt;D xsi:type="xsd:double"&gt;1.9992352&lt;/D&gt;&lt;D xsi:type="xsd:double"&gt;0.888896&lt;/D&gt;&lt;D xsi:type="xsd:double"&gt;-8.502203&lt;/D&gt;&lt;D xsi:type="xsd:double"&gt;-28.59894&lt;/D&gt;&lt;D xsi:type="xsd:double"&gt;11.665535&lt;/D&gt;&lt;D xsi:type="xsd:double"&gt;19.444454&lt;/D&gt;&lt;D xsi:type="xsd:double"&gt;1.7390013&lt;/D&gt;&lt;D xsi:type="xsd:double"&gt;2.471006&lt;/D&gt;&lt;D xsi:type="xsd:double"&gt;-0.14763474&lt;/D&gt;&lt;D xsi:type="xsd:double"&gt;-2.16856&lt;/D&gt;&lt;D xsi:type="xsd:double"&gt;3.4256935&lt;/D&gt;&lt;D xsi:type="xsd:double"&gt;14.807594&lt;/D&gt;&lt;D xsi:type="xsd:double"&gt;2.8168201&lt;/D&gt;&lt;D xsi:type="xsd:double"&gt;2.1639585&lt;/D&gt;&lt;D xsi:type="xsd:double"&gt;1.8329978&lt;/D&gt;&lt;D xsi:type="xsd:double"&gt;0.5199909&lt;/D&gt;&lt;D xsi:type="xsd:double"&gt;3.700757&lt;/D&gt;&lt;D xsi:type="xsd:double"&gt;5.0652385&lt;/D&gt;&lt;D xsi:type="xsd:double"&gt;-3.1611502&lt;/D&gt;&lt;D xsi:type="xsd:double"&gt;0&lt;/D&gt;&lt;D xsi:type="xsd:double"&gt;1.4914036&lt;/D&gt;&lt;D xsi:type="xsd:double"&gt;-5.6141734&lt;/D&gt;&lt;D xsi:type="xsd:double"&gt;4.750502&lt;/D&gt;&lt;D xsi:type="xsd:double"&gt;-7.3551836&lt;/D&gt;&lt;D xsi:type="xsd:double"&gt;7.652104&lt;/D&gt;&lt;D xsi:type="xsd:double"&gt;-8.4752445&lt;/D&gt;&lt;D xsi:type="xsd:double"&gt;7.183039&lt;/D&gt;&lt;D xsi:type="xsd:double"&gt;8.518362&lt;/D&gt;&lt;D xsi:type="xsd:double"&gt;-5.6175528&lt;/D&gt;&lt;D xsi:type="xsd:double"&gt;-1.5372515&lt;/D&gt;&lt;D xsi:type="xsd:double"&gt;-12.84486&lt;/D&gt;&lt;D xsi:type="xsd:double"&gt;6.8753004&lt;/D&gt;&lt;D xsi:type="xsd:double"&gt;-3.4161508&lt;/D&gt;&lt;D xsi:type="xsd:double"&gt;-4.2719364&lt;/D&gt;&lt;D xsi:type="xsd:double"&gt;2.3512483&lt;/D&gt;&lt;D xsi:type="xsd:double"&gt;10.829819&lt;/D&gt;&lt;D xsi:type="xsd:double"&gt;-2.8345406&lt;/D&gt;&lt;D xsi:type="xsd:double"&gt;8.780491&lt;/D&gt;&lt;D xsi:type="xsd:double"&gt;-4.2804775&lt;/D&gt;&lt;D xsi:type="xsd:double"&gt;-1.4054537&lt;/D&gt;&lt;D xsi:type="xsd:double"&gt;-2.1166325&lt;/D&gt;&lt;D xsi:type="xsd:double"&gt;0.22064447&lt;/D&gt;&lt;D xsi:type="xsd:double"&gt;1.710701&lt;/D&gt;&lt;D xsi:type="xsd:double"&gt;-0.8822262&lt;/D&gt;&lt;D xsi:type="xsd:double"&gt;-0.9790778&lt;/D&gt;&lt;D xsi:type="xsd:double"&gt;-6.067419&lt;/D&gt;&lt;D xsi:type="xsd:double"&gt;4.3540716&lt;/D&gt;&lt;D xsi:type="xsd:double"&gt;3.3929348&lt;/D&gt;&lt;D xsi:type="xsd:double"&gt;7.8083158&lt;/D&gt;&lt;D xsi:type="xsd:double"&gt;-0.92359185&lt;/D&gt;&lt;D xsi:type="xsd:double"&gt;1.7796636&lt;/D&gt;&lt;/FQL&gt;&lt;FQL&gt;&lt;Q&gt;PASP-FDS^FG_PRICE(0)/MAX(FG_PRICE(0,-1AY))&lt;/Q&gt;&lt;R&gt;1&lt;/R&gt;&lt;C&gt;1&lt;/C&gt;&lt;D xsi:type="xsd:double"&gt;0.585365853658537&lt;/D&gt;&lt;/FQL&gt;&lt;FQL&gt;&lt;Q&gt;W-FDS^FG_PRICE(0)&lt;/Q&gt;&lt;R&gt;1&lt;/R&gt;&lt;C&gt;1&lt;/C&gt;&lt;D xsi:type="xsd:double"&gt;5.635&lt;/D&gt;&lt;/FQL&gt;&lt;FQL&gt;&lt;Q&gt;EWD^FG_PRICE_MAVG(0,,,,200)&lt;/Q&gt;&lt;R&gt;1&lt;/R&gt;&lt;C&gt;1&lt;/C&gt;&lt;D xsi:type="xsd:double"&gt;35.34245&lt;/D&gt;&lt;/FQL&gt;&lt;FQL&gt;&lt;Q&gt;URTH^PERCENT_CHANGE(FMA_EPS(+1,0,,,,"PORTAGG","MEAN"),FMA_EPS(+1,-3AM,,,,"PORTAGG","MEAN"))&lt;/Q&gt;&lt;R&gt;1&lt;/R&gt;&lt;C&gt;1&lt;/C&gt;&lt;D xsi:type="xsd:double"&gt;-9.75131154500311&lt;/D&gt;&lt;/FQL&gt;&lt;FQL&gt;&lt;Q&gt;URTH^FMA_COS_UP("EPS","1M",+1,0,,,"PORTAGG","MEANR")&lt;/Q&gt;&lt;R&gt;1&lt;/R&gt;&lt;C&gt;1&lt;/C&gt;&lt;D xsi:type="xsd:double"&gt;714&lt;/D&gt;&lt;/FQL&gt;&lt;FQL&gt;&lt;Q&gt;EWJ^FMA_COS_DOWN("EPS","1M",+1,0,,,"PORTAGG","MEANR")&lt;/Q&gt;&lt;R&gt;1&lt;/R&gt;&lt;C&gt;1&lt;/C&gt;&lt;D xsi:type="xsd:double"&gt;101&lt;/D&gt;&lt;/FQL&gt;&lt;FQL&gt;&lt;Q&gt;EWN^FMA_RBICS_REV_CURRENT(30, LOC, "PORTAGG")&lt;/Q&gt;&lt;R&gt;1&lt;/R&gt;&lt;C&gt;1&lt;/C&gt;&lt;D xsi:type="xsd:double"&gt;24.7200394051191&lt;/D&gt;&lt;/FQL&gt;&lt;FQL&gt;&lt;Q&gt;TRYIT10Y-FDS^FG_YIELD(0,,,,"YTM")&lt;/Q&gt;&lt;R&gt;1&lt;/R&gt;&lt;C&gt;1&lt;/C&gt;&lt;D xsi:type="xsd:double"&gt;3.841&lt;/D&gt;&lt;/FQL&gt;&lt;FQL&gt;&lt;Q&gt;CC_NL^IMF_IFS_RCPI_Q(0)&lt;/Q&gt;&lt;R&gt;1&lt;/R&gt;&lt;C&gt;1&lt;/C&gt;&lt;D xsi:type="xsd:double"&gt;0.80520856&lt;/D&gt;&lt;/FQL&gt;&lt;FQL&gt;&lt;Q&gt;EWI^FMA_PE(LTM,0,,,"PORTAGG","MEANR")&lt;/Q&gt;&lt;R&gt;1&lt;/R&gt;&lt;C&gt;1&lt;/C&gt;&lt;D xsi:type="xsd:double"&gt;10.5365874581256&lt;/D&gt;&lt;/FQL&gt;&lt;FQL&gt;&lt;Q&gt;EWJ^FMA_PE(LTM,0,,,"PORTAGG","MEANR")&lt;/Q&gt;&lt;R&gt;1&lt;/R&gt;&lt;C&gt;1&lt;/C&gt;&lt;D xsi:type="xsd:double"&gt;15.4952354068781&lt;/D&gt;&lt;/FQL&gt;&lt;FQL&gt;&lt;Q&gt;UUP^FG_TOTAL_RETURNC(0,-6AM)&lt;/Q&gt;&lt;R&gt;1&lt;/R&gt;&lt;C&gt;1&lt;/C&gt;&lt;D xsi:type="xsd:double"&gt;2.6151538&lt;/D&gt;&lt;/FQL&gt;&lt;FQL&gt;&lt;Q&gt;CAGDPY@CA^EE_ACTUAL_ANNUAL(MED,0)&lt;/Q&gt;&lt;R&gt;1&lt;/R&gt;&lt;C&gt;1&lt;/C&gt;&lt;D xsi:type="xsd:double"&gt;-0.614727995236974&lt;/D&gt;&lt;/FQL&gt;&lt;FQL&gt;&lt;Q&gt;USDJPY^FG_PRICE_CHANGE(0,-6AM)&lt;/Q&gt;&lt;R&gt;1&lt;/R&gt;&lt;C&gt;1&lt;/C&gt;&lt;D xsi:type="xsd:double"&gt;2.7655363&lt;/D&gt;&lt;/FQL&gt;&lt;FQL&gt;&lt;Q&gt;BRENT-FDS^MAX(FG_PRICE(0,-5AY))&lt;/Q&gt;&lt;R&gt;1&lt;/R&gt;&lt;C&gt;1&lt;/C&gt;&lt;D xsi:type="xsd:double"&gt;140.85&lt;/D&gt;&lt;/FQL&gt;&lt;FQL&gt;&lt;Q&gt;EWD^FG_PRICE_MAVG(0,,,,60)&lt;/Q&gt;&lt;R&gt;1&lt;/R&gt;&lt;C&gt;1&lt;/C&gt;&lt;D xsi:type="xsd:double"&gt;38.148167&lt;/D&gt;&lt;/FQL&gt;&lt;FQL&gt;&lt;Q&gt;EWC^FG_PRICE_MAVG(0,,,,30)&lt;/Q&gt;&lt;R&gt;1&lt;/R&gt;&lt;C&gt;1&lt;/C&gt;&lt;D xsi:type="xsd:double"&gt;36.453&lt;/D&gt;&lt;/FQL&gt;&lt;FQL&gt;&lt;Q&gt;EWL^FMA_PCT_ABOVE_MAVG(200,0,,,,"PORTAGG")&lt;/Q&gt;&lt;R&gt;1&lt;/R&gt;&lt;C&gt;1&lt;/C&gt;&lt;D xsi:type="xsd:double"&gt;62.2222222222222&lt;/D&gt;&lt;/FQL&gt;&lt;FQL&gt;&lt;Q&gt;SPY^FMA_PE(LTM,0,,,"PORTAGG","MEANR")&lt;/Q&gt;&lt;R&gt;1&lt;/R&gt;&lt;C&gt;1&lt;/C&gt;&lt;D xsi:type="xsd:double"&gt;25.3210561360297&lt;/D&gt;&lt;/FQL&gt;&lt;FQL&gt;&lt;Q&gt;ENZL^FMA_PE(LTM,0,,,"PORTAGG","MEANR")&lt;/Q&gt;&lt;R&gt;1&lt;/R&gt;&lt;C&gt;1&lt;/C&gt;&lt;D xsi:type="xsd:double"&gt;29.9615308782081&lt;/D&gt;&lt;/FQL&gt;&lt;FQL&gt;&lt;Q&gt;UUP^FG_TOTAL_RETURNC(0,-3AM)&lt;/Q&gt;&lt;R&gt;1&lt;/R&gt;&lt;C&gt;1&lt;/C&gt;&lt;D xsi:type="xsd:double"&gt;1.7054915&lt;/D&gt;&lt;/FQL&gt;&lt;FQL&gt;&lt;Q&gt;PASP-FDS^FG_PRICE_CHANGE(0,-1AY)&lt;/Q&gt;&lt;R&gt;1&lt;/R&gt;&lt;C&gt;1&lt;/C&gt;&lt;D xsi:type="xsd:double"&gt;-34.6938775510204&lt;/D&gt;&lt;/FQL&gt;&lt;FQL&gt;&lt;Q&gt;TRYJP10Y-FDS^FG_YIELD_NAME&lt;/Q&gt;&lt;R&gt;1&lt;/R&gt;&lt;C&gt;1&lt;/C&gt;&lt;D xsi:type="xsd:string"&gt;Japan Benchmark Bond - 10 Year&lt;/D&gt;&lt;/FQL&gt;&lt;FQL&gt;&lt;Q&gt;TRYIT10Y-FDS^PCTCHG(FG_YIELD(0,,,,"YTM"),FG_YIELD(-1AM,,,,"YTM"))&lt;/Q&gt;&lt;R&gt;1&lt;/R&gt;&lt;C&gt;1&lt;/C&gt;&lt;D xsi:type="xsd:double"&gt;1.2388026&lt;/D&gt;&lt;/FQL&gt;&lt;FQL&gt;&lt;Q&gt;EWJ^JULIAN(FMA_DIV_YLD(NTMA,NOW,NOW,M,"PORTAGG","MEANR").DATES)&lt;/Q&gt;&lt;R&gt;1&lt;/R&gt;&lt;C&gt;1&lt;/C&gt;&lt;D xsi:type="xsd:long"&gt;45350&lt;/D&gt;&lt;/FQL&gt;&lt;FQL&gt;&lt;Q&gt;ENZL^JULIAN(FMA_DIV_YLD(NTMA,NOW,NOW,M,"PORTAGG","MEANR").DATES)&lt;/Q&gt;&lt;R&gt;1&lt;/R&gt;&lt;C&gt;1&lt;/C&gt;&lt;D xsi:type="xsd:long"&gt;45350&lt;/D&gt;&lt;/FQL&gt;&lt;FQL&gt;&lt;Q&gt;EWN^FG_PRICE_MAVG(0,,,,200)&lt;/Q&gt;&lt;R&gt;1&lt;/R&gt;&lt;C&gt;1&lt;/C&gt;&lt;D xsi:type="xsd:double"&gt;42.34243&lt;/D&gt;&lt;/FQL&gt;&lt;FQL&gt;&lt;Q&gt;TRYSE10Y-FDS^PCTCHG(FG_YIELD(0,,,,"YTM"),FG_YIELD(-3AM,,,,"YTM"))&lt;/Q&gt;&lt;R&gt;1&lt;/R&gt;&lt;C&gt;1&lt;/C&gt;&lt;D xsi:type="xsd:double"&gt;-1.1015892&lt;/D&gt;&lt;/FQL&gt;&lt;FQL&gt;&lt;Q&gt;URTH^PERCENT_CHANGE(FMA_EPS(+1,0,,,,"PORTAGG","MEAN"),FMA_EPS(+1,-1AM,,,,"PORTAGG","MEAN"))&lt;/Q&gt;&lt;R&gt;1&lt;/R&gt;&lt;C&gt;1&lt;/C&gt;&lt;D xsi:type="xsd:double"&gt;-7.93523738852576&lt;/D&gt;&lt;/FQL&gt;&lt;FQL&gt;&lt;Q&gt;VGK^SIZE(FG_CONSTITUENTS)&lt;/Q&gt;&lt;R&gt;1&lt;/R&gt;&lt;C&gt;1&lt;/C&gt;&lt;D xsi:type="xsd:long"&gt;1291&lt;/D&gt;&lt;/FQL&gt;&lt;FQL&gt;&lt;Q&gt;EWJ^FMA_COS_UP("EPS","1M",+1,0,,,"PORTAGG","MEANR")&lt;/Q&gt;&lt;R&gt;1&lt;/R&gt;&lt;C&gt;1&lt;/C&gt;&lt;D xsi:type="xsd:double"&gt;108&lt;/D&gt;&lt;/FQL&gt;&lt;FQL&gt;&lt;Q&gt;TRYCH10Y-FDS^FG_YIELD_NAME&lt;/Q&gt;&lt;R&gt;1&lt;/R&gt;&lt;C&gt;1&lt;/C&gt;&lt;D xsi:type="xsd:string"&gt;Treasury - Switzerland Benchmark Bond 10Y&lt;/D&gt;&lt;/FQL&gt;&lt;FQL&gt;&lt;Q&gt;EWI^JULIAN(FMA_DIV_YLD(NTMA,NOW,NOW,M,"PORTAGG","MEANR").DATES)&lt;/Q&gt;&lt;R&gt;1&lt;/R&gt;&lt;C&gt;1&lt;/C&gt;&lt;D xsi:type="xsd:long"&gt;45351&lt;/D&gt;&lt;/FQL&gt;&lt;FQL&gt;&lt;Q&gt;EWI^P_PRICE(0)/P_PRICE_HIGH_PR(0,,,USD,,,"PRICE","INTRA","52W")&lt;/Q&gt;&lt;R&gt;1&lt;/R&gt;&lt;C&gt;1&lt;/C&gt;&lt;D xsi:type="xsd:double"&gt;0.998435&lt;/D&gt;&lt;/FQL&gt;&lt;FQL&gt;&lt;Q&gt;TRYIT10Y-FDS^FG_YIELD_NAME&lt;/Q&gt;&lt;R&gt;1&lt;/R&gt;&lt;C&gt;1&lt;/C&gt;&lt;D xsi:type="xsd:string"&gt;Italy Benchmark Bond - 10 Year&lt;/D&gt;&lt;/FQL&gt;&lt;FQL&gt;&lt;Q&gt;BRENT-FDS^FG_PRICE(0)/MAX(FG_PRICE(0,-1AY))&lt;/Q&gt;&lt;R&gt;1&lt;/R&gt;&lt;C&gt;1&lt;/C&gt;&lt;D xsi:type="xsd:double"&gt;0.870614479821537&lt;/D&gt;&lt;/FQL&gt;&lt;FQL&gt;&lt;Q&gt;EWJ^PERCENT_CHANGE(FMA_EPS(+1,0,,,,"PORTAGG","MEAN"),FMA_EPS(+1,-3AM,,,,"PORTAGG","MEAN"))&lt;/Q&gt;&lt;R&gt;1&lt;/R&gt;&lt;C&gt;1&lt;/C&gt;&lt;D xsi:type="xsd:double"&gt;-10.1999095336708&lt;/D&gt;&lt;/FQL&gt;&lt;FQL&gt;&lt;Q&gt;EWQ^FMA_RBICS_REV_CURRENT(30, LOC, "PORTAGG")&lt;/Q&gt;&lt;R&gt;1&lt;/R&gt;&lt;C&gt;1&lt;/C&gt;&lt;D xsi:type="xsd:double"&gt;11.608719396206&lt;/D&gt;&lt;/FQL&gt;&lt;FQL&gt;&lt;Q&gt;REFFFUND-FDS^(SUBARRAY(NOT_NA(NO_REPEAT_F(FG_YIELD(NOW,-10AY,D))),0,1)-SUBARRAY(NOT_NA(NO_REPEAT_F(FG_YIELD(NOW,-10AY,D))),1,1))*100&lt;/Q&gt;&lt;R&gt;1&lt;/R&gt;&lt;C&gt;1&lt;/C&gt;&lt;D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xsi:type="xsd:double"&gt;25&lt;/D&gt;&lt;/FQL&gt;&lt;FQL&gt;&lt;Q&gt;URTH^FMA_PCT_ABOVE_MAVG(200,0,,,,"PORTAGG")&lt;/Q&gt;&lt;R&gt;1&lt;/R&gt;&lt;C&gt;1&lt;/C&gt;&lt;D xsi:type="xsd:double"&gt;67.2530446549391&lt;/D&gt;&lt;/FQL&gt;&lt;FQL&gt;&lt;Q&gt;EWI^PERCENT_CHANGE(FMA_EPS(+1,0,,,,"PORTAGG","MEAN"),FMA_EPS(+1,-3AM,,,,"PORTAGG","MEAN"))&lt;/Q&gt;&lt;R&gt;1&lt;/R&gt;&lt;C&gt;1&lt;/C&gt;&lt;D xsi:type="xsd:double"&gt;0.857323679455972&lt;/D&gt;&lt;/FQL&gt;&lt;FQL&gt;&lt;Q&gt;EWA^FMA_RBICS_REV_CURRENT(30, LOC, "PORTAGG")</t>
        </r>
      </text>
    </comment>
    <comment ref="A11" authorId="0" shapeId="0" xr:uid="{DD19BE23-301A-4932-94E2-21F6096C8B56}">
      <text>
        <r>
          <rPr>
            <b/>
            <sz val="9"/>
            <color indexed="81"/>
            <rFont val="Tahoma"/>
            <family val="2"/>
          </rPr>
          <t>&lt;/Q&gt;&lt;R&gt;1&lt;/R&gt;&lt;C&gt;1&lt;/C&gt;&lt;D xsi:type="xsd:double"&gt;40.7151096463949&lt;/D&gt;&lt;/FQL&gt;&lt;FQL&gt;&lt;Q&gt;CC_AU^IMF_IFS_RCPI_Q(0)&lt;/Q&gt;&lt;R&gt;1&lt;/R&gt;&lt;C&gt;1&lt;/C&gt;&lt;D xsi:type="xsd:double"&gt;4.051988&lt;/D&gt;&lt;/FQL&gt;&lt;FQL&gt;&lt;Q&gt;REFFFUND-FDS^FG_YIELD(NOW,,,0)&lt;/Q&gt;&lt;R&gt;1&lt;/R&gt;&lt;C&gt;1&lt;/C&gt;&lt;D xsi:type="xsd:double"&gt;5.5&lt;/D&gt;&lt;/FQL&gt;&lt;FQL&gt;&lt;Q&gt;ENZL^P_PRICE(0)/P_PRICE_HIGH_PR(0,,,USD,,,"PRICE","INTRA","52W")&lt;/Q&gt;&lt;R&gt;1&lt;/R&gt;&lt;C&gt;1&lt;/C&gt;&lt;D xsi:type="xsd:double"&gt;0.87875247&lt;/D&gt;&lt;/FQL&gt;&lt;FQL&gt;&lt;Q&gt;EWL^FMA_EVAL_EBIT(LTMA,NOW,NOW,M,"PORTAGG","MEANR")&lt;/Q&gt;&lt;R&gt;1&lt;/R&gt;&lt;C&gt;1&lt;/C&gt;&lt;D xsi:type="xsd:double"&gt;16.6376630649059&lt;/D&gt;&lt;/FQL&gt;&lt;FQL&gt;&lt;Q&gt;TRYNZ10Y-FDS^PCTCHG(FG_YIELD(0,,,,"YTM"),FG_YIELD(-3AM,,,,"YTM"))&lt;/Q&gt;&lt;R&gt;1&lt;/R&gt;&lt;C&gt;1&lt;/C&gt;&lt;D xsi:type="xsd:double"&gt;-4.846713&lt;/D&gt;&lt;/FQL&gt;&lt;FQL&gt;&lt;Q&gt;ENZL^FMA_ROE(NTMA,-20AY,NOW,FY,"PORTAGG","MEANR")&lt;/Q&gt;&lt;R&gt;20&lt;/R&gt;&lt;C&gt;1&lt;/C&gt;&lt;D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xsi:type="xsd:double"&gt;6.57910753918315&lt;/D&gt;&lt;/FQL&gt;&lt;FQL&gt;&lt;Q&gt;CC_JP^FG_COMPANY_NAME&lt;/Q&gt;&lt;R&gt;1&lt;/R&gt;&lt;C&gt;1&lt;/C&gt;&lt;D xsi:type="xsd:string"&gt;Japan&lt;/D&gt;&lt;/FQL&gt;&lt;FQL&gt;&lt;Q&gt;USDEUR^FG_PRICE_CHANGE(0,-3AM)&lt;/Q&gt;&lt;R&gt;1&lt;/R&gt;&lt;C&gt;1&lt;/C&gt;&lt;D xsi:type="xsd:double"&gt;-0.44184327&lt;/D&gt;&lt;/FQL&gt;&lt;FQL&gt;&lt;Q&gt;ENZL^FG_TOTAL_RETURNC(-10AY,0,AM)&lt;/Q&gt;&lt;R&gt;121&lt;/R&gt;&lt;C&gt;1&lt;/C&gt;&lt;D xsi:type="xsd:double"&gt;7.5039506&lt;/D&gt;&lt;D xsi:type="xsd:double"&gt;3.2574058&lt;/D&gt;&lt;D xsi:type="xsd:double"&gt;3.7950635&lt;/D&gt;&lt;D xsi:type="xsd:double"&gt;-4.798901&lt;/D&gt;&lt;D xsi:type="xsd:double"&gt;4.2865157&lt;/D&gt;&lt;D xsi:type="xsd:double"&gt;-5.1565886&lt;/D&gt;&lt;D xsi:type="xsd:double"&gt;0.47169924&lt;/D&gt;&lt;D xsi:type="xsd:double"&gt;-5.3867044&lt;/D&gt;&lt;D xsi:type="xsd:double"&gt;4.0480494&lt;/D&gt;&lt;D xsi:type="xsd:double"&gt;1.6014099&lt;/D&gt;&lt;D xsi:type="xsd:double"&gt;0.65152645&lt;/D&gt;&lt;D xsi:type="xsd:double"&gt;-0.47944188&lt;/D&gt;&lt;D xsi:type="xsd:double"&gt;4.2089224&lt;/D&gt;&lt;D xsi:type="xsd:double"&gt;-2.0681202&lt;/D&gt;&lt;D xsi:type="xsd:double"&gt;0.19875765&lt;/D&gt;&lt;D xsi:type="xsd:double"&gt;-4.6617928&lt;/D&gt;&lt;D xsi:type="xsd:double"&gt;-6.8306627&lt;/D&gt;&lt;D xsi:type="xsd:double"&gt;-1.030916&lt;/D&gt;&lt;D xsi:type="xsd:double"&gt;-9.866905&lt;/D&gt;&lt;D xsi:type="xsd:double"&gt;3.5955071&lt;/D&gt;&lt;D xsi:type="xsd:double"&gt;11.465764&lt;/D&gt;&lt;D xsi:type="xsd:double"&gt;2.557683&lt;/D&gt;&lt;D xsi:type="xsd:double"&gt;2.768457&lt;/D&gt;&lt;D xsi:type="xsd:double"&gt;-3.1182766&lt;/D&gt;&lt;D xsi:type="xsd:double"&gt;6.6870093&lt;/D&gt;&lt;D xsi:type="xsd:double"&gt;5.1495433&lt;/D&gt;&lt;D xsi:type="xsd:double"&gt;2.3002744&lt;/D&gt;&lt;D xsi:type="xsd:double"&gt;4.3278575&lt;/D&gt;&lt;D xsi:type="xsd:double"&gt;1.8619895&lt;/D&gt;&lt;D xsi:type="xsd:double"&gt;6.1290264&lt;/D&gt;&lt;D xsi:type="xsd:double"&gt;3.278327&lt;/D&gt;&lt;D xsi:type="xsd:double"&gt;-3.279382&lt;/D&gt;&lt;D xsi:type="xsd:double"&gt;-7.8026533&lt;/D&gt;&lt;D xsi:type="xsd:double"&gt;0.49505234&lt;/D&gt;&lt;D xsi:type="xsd:double"&gt;-1.6901791&lt;/D&gt;&lt;D xsi:type="xsd:double"&gt;7.7511787&lt;/D&gt;&lt;D xsi:type="xsd:double"&gt;-3.5509825&lt;/D&gt;&lt;D xsi:type="xsd:double"&gt;0.66509247&lt;/D&gt;&lt;D xsi:type="xsd:double"&gt;0.14157295&lt;/D&gt;&lt;D xsi:type="xsd:double"&gt;6.4443946&lt;/D&gt;&lt;D xsi:type="xsd:double"&gt;3.570068&lt;/D&gt;&lt;D xsi:type="xsd:double"&gt;3.3964753&lt;/D&gt;&lt;D xsi:type="xsd:double"&gt;-2.5689662&lt;/D&gt;&lt;D xsi:type="xsd:double"&gt;1.0373831&lt;/D&gt;&lt;D xsi:type="xsd:double"&gt;-2.6310146&lt;/D&gt;&lt;D xsi:type="xsd:double"&gt;-0.065904856&lt;/D&gt;&lt;D xsi:type="xsd:double"&gt;8.328772&lt;/D&gt;&lt;D xsi:type="xsd:double"&gt;1.3650417&lt;/D&gt;&lt;D xsi:type="xsd:double"&gt;-0.67332983&lt;/D&gt;&lt;D xsi:type="xsd:double"&gt;1.7460942&lt;/D&gt;&lt;D xsi:type="xsd:double"&gt;-1.8574536&lt;/D&gt;&lt;D xsi:type="xsd:double"&gt;0.7405877&lt;/D&gt;&lt;D xsi:type="xsd:double"&gt;0.9357929&lt;/D&gt;&lt;D xsi:type="xsd:double"&gt;-2.3863375&lt;/D&gt;&lt;D xsi:type="xsd:double"&gt;2.2549987&lt;/D&gt;&lt;D xsi:type="xsd:double"&gt;-3.0502856&lt;/D&gt;&lt;D xsi:type="xsd:double"&gt;-2.0408154&lt;/D&gt;&lt;D xsi:type="xsd:double"&gt;4.340279&lt;/D&gt;&lt;D xsi:type="xsd:double"&gt;-1.6525507&lt;/D&gt;&lt;D xsi:type="xsd:double"&gt;4.1980624&lt;/D&gt;&lt;D xsi:type="xsd:double"&gt;3.285122&lt;/D&gt;&lt;D xsi:type="xsd:double"&gt;3.9207816&lt;/D&gt;&lt;D xsi:type="xsd:double"&gt;0.09624958&lt;/D&gt;&lt;D xsi:type="xsd:double"&gt;-2.1153808&lt;/D&gt;&lt;D xsi:type="xsd:double"&gt;7.5347543&lt;/D&gt;&lt;D xsi:type="xsd:double"&gt;0.40801764&lt;/D&gt;&lt;D xsi:type="xsd:double"&gt;-1.1267126&lt;/D&gt;&lt;D xsi:type="xsd:double"&gt;-1.8681109&lt;/D&gt;&lt;D xsi:type="xsd:double"&gt;0.66628456&lt;/D&gt;&lt;D xsi:type="xsd:double"&gt;6.6376686&lt;/D&gt;&lt;D xsi:type="xsd:double"&gt;3.9060473&lt;/D&gt;&lt;D xsi:type="xsd:double"&gt;-2.143979&lt;/D&gt;&lt;D xsi:type="xsd:double"&gt;-1.8525124&lt;/D&gt;&lt;D xsi:type="xsd:double"&gt;-19.453716&lt;/D&gt;&lt;D xsi:type="xsd:double"&gt;9.618986&lt;/D&gt;&lt;D xsi:type="xsd:double"&gt;12.86186&lt;/D&gt;&lt;D xsi:type="xsd:double"&gt;4.9372435&lt;/D&gt;&lt;D xsi:type="xsd:double"&gt;3.2849908&lt;/D&gt;&lt;D xsi:type="xsd:double"&gt;0.47369003&lt;/D&gt;&lt;D xsi:type="xsd:double"&gt;-1.7285764&lt;/D&gt;&lt;D xsi:type="xsd:double"&gt;4.269111&lt;/D&gt;&lt;D xsi:type="xsd:double"&gt;8.536696&lt;/D&gt;&lt;D xsi:type="xsd:double"&gt;4.018724&lt;/D&gt;&lt;D xsi:type="xsd:double"&gt;-0.58892965&lt;/D&gt;&lt;D xsi:type="xsd:double"&gt;-7.8495207&lt;/D&gt;&lt;D xsi:type="xsd:double"&gt;0.2089262&lt;/D&gt;&lt;D xsi:type="xsd:double"&gt;4.2502046&lt;/D&gt;&lt;D xsi:type="xsd:double"&gt;-3.6307693&lt;/D&gt;&lt;D xsi:type="xsd:double"&gt;-0.705868&lt;/D&gt;&lt;D xsi:type="xsd:double"&gt;0.68137646&lt;/D&gt;&lt;D xsi:type="xsd:double"&gt;4.3667316&lt;/D&gt;&lt;D xsi:type="xsd:double"&gt;-3.103286&lt;/D&gt;&lt;D xsi:type="xsd:double"&gt;0.1912117&lt;/D&gt;&lt;D xsi:type="xsd:double"&gt;-7.6812983&lt;/D&gt;&lt;D xsi:type="xsd:double"&gt;3.6479712&lt;/D&gt;&lt;D xsi:type="xsd:double"&gt;-9.264255&lt;/D&gt;&lt;D xsi:type="xsd:double"&gt;4.0729046&lt;/D&gt;&lt;D xsi:type="xsd:double"&gt;-0.89349747&lt;/D&gt;&lt;D xsi:type="xsd:double"&gt;-9.162641&lt;/D&gt;&lt;D xsi:type="xsd:double"&gt;-2.8948903&lt;/D&gt;&lt;D xsi:type="xsd:double"&gt;-8.27806&lt;/D&gt;&lt;D xsi:type="xsd:double"&gt;11.025942&lt;/D&gt;&lt;D xsi:type="xsd:double"&gt;-4.8131647&lt;/D&gt;&lt;D xsi:type="xsd:double"&gt;-9.0676365&lt;/D&gt;&lt;D xsi:type="xsd:double"&gt;4.6691775&lt;/D&gt;&lt;D xsi:type="xsd:double"&gt;11.947989&lt;/D&gt;&lt;D xsi:type="xsd:double"&gt;-1.2857795&lt;/D&gt;&lt;D xsi:type="xsd:double"&gt;5.788827&lt;/D&gt;&lt;D xsi:type="xsd:double"&gt;-4.1425824&lt;/D&gt;&lt;D xsi:type="xsd:double"&gt;1.045227&lt;/D&gt;&lt;D xsi:type="xsd:double"&gt;0.03978014&lt;/D&gt;&lt;D xsi:type="xsd:double"&gt;-2.8633952&lt;/D&gt;&lt;D xsi:type="xsd:double"&gt;1.476562&lt;/D&gt;&lt;D xsi:type="xsd:double"&gt;-1.5484989&lt;/D&gt;&lt;D xsi:type="xsd:double"&gt;-5.8360934&lt;/D&gt;&lt;D xsi:type="xsd:double"&gt;-3.5384655&lt;/D&gt;&lt;D xsi:type="xsd:double"&gt;0.95694065&lt;/D&gt;&lt;D xsi:type="xsd:double"&gt;4.3105364&lt;/D&gt;&lt;D xsi:type="xsd:double"&gt;4.8638344&lt;/D&gt;&lt;D xsi:type="xsd:double"&gt;-2.5063157&lt;/D&gt;&lt;D xsi:type="xsd:double"&gt;-2.6139557&lt;/D&gt;&lt;/FQL&gt;&lt;FQL&gt;&lt;Q&gt;EWD^FG_PRICE(0)&lt;/Q&gt;&lt;R&gt;1&lt;/R&gt;&lt;C&gt;1&lt;/C&gt;&lt;D xsi:type="xsd:double"&gt;39.52&lt;/D&gt;&lt;/FQL&gt;&lt;FQL&gt;&lt;Q&gt;EWC^FG_PRICE(0)&lt;/Q&gt;&lt;R&gt;1&lt;/R&gt;&lt;C&gt;1&lt;/C&gt;&lt;D xsi:type="xsd:double"&gt;37.02&lt;/D&gt;&lt;/FQL&gt;&lt;FQL&gt;&lt;Q&gt;TRYSE10Y-FDS^FG_YIELD(0,,,,"YTM")&lt;/Q&gt;&lt;R&gt;1&lt;/R&gt;&lt;C&gt;1&lt;/C&gt;&lt;D xsi:type="xsd:double"&gt;2.424&lt;/D&gt;&lt;/FQL&gt;&lt;FQL&gt;&lt;Q&gt;EWJ^FG_TOTAL_RETURNC(0,-3AM)&lt;/Q&gt;&lt;R&gt;1&lt;/R&gt;&lt;C&gt;1&lt;/C&gt;&lt;D xsi:type="xsd:double"&gt;13.904452&lt;/D&gt;&lt;/FQL&gt;&lt;FQL&gt;&lt;Q&gt;QQQ^FMA_RBICS_REV_CURRENT(30, LOC, "PORTAGG")&lt;/Q&gt;&lt;R&gt;1&lt;/R&gt;&lt;C&gt;1&lt;/C&gt;&lt;D xsi:type="xsd:double"&gt;0.861039068445163&lt;/D&gt;&lt;/FQL&gt;&lt;FQL&gt;&lt;Q&gt;SPY^JULIAN(FMA_DIV_YLD(NTMA,NOW,NOW,M,"PORTAGG","MEANR").DATES)&lt;/Q&gt;&lt;R&gt;1&lt;/R&gt;&lt;C&gt;1&lt;/C&gt;&lt;D xsi:type="xsd:long"&gt;45351&lt;/D&gt;&lt;/FQL&gt;&lt;FQL&gt;&lt;Q&gt;EWG^FMA_EVAL_EBIT(LTMA,NOW,NOW,M,"PORTAGG","MEANR")&lt;/Q&gt;&lt;R&gt;1&lt;/R&gt;&lt;C&gt;1&lt;/C&gt;&lt;D xsi:type="xsd:double"&gt;13.4032796384461&lt;/D&gt;&lt;/FQL&gt;&lt;FQL&gt;&lt;Q&gt;CC_DE^IMF_IFS_RCPI_Q(0)&lt;/Q&gt;&lt;R&gt;1&lt;/R&gt;&lt;C&gt;1&lt;/C&gt;&lt;D xsi:type="xsd:double"&gt;3.5546436&lt;/D&gt;&lt;/FQL&gt;&lt;FQL&gt;&lt;Q&gt;EWG^FMA_EVAL_EBITDA(NTMA,0,,,"PORTAGG","MEANR")&lt;/Q&gt;&lt;R&gt;1&lt;/R&gt;&lt;C&gt;1&lt;/C&gt;&lt;D xsi:type="xsd:double"&gt;8.64096024838525&lt;/D&gt;&lt;/FQL&gt;&lt;FQL&gt;&lt;Q&gt;CC_CA^IMF_IFS_RCPI_Q(0)&lt;/Q&gt;&lt;R&gt;1&lt;/R&gt;&lt;C&gt;1&lt;/C&gt;&lt;D xsi:type="xsd:double"&gt;3.2111022&lt;/D&gt;&lt;/FQL&gt;&lt;FQL&gt;&lt;Q&gt;EWG^FG_TOTAL_RETURNC(0,-6AM)&lt;/Q&gt;&lt;R&gt;1&lt;/R&gt;&lt;C&gt;1&lt;/C&gt;&lt;D xsi:type="xsd:double"&gt;11.306071&lt;/D&gt;&lt;/FQL&gt;&lt;FQL&gt;&lt;Q&gt;EWC^SIZE(FG_CONSTITUENTS)&lt;/Q&gt;&lt;R&gt;1&lt;/R&gt;&lt;C&gt;1&lt;/C&gt;&lt;D xsi:type="xsd:long"&gt;88&lt;/D&gt;&lt;/FQL&gt;&lt;FQL&gt;&lt;Q&gt;TRYFR10Y-FDS^PCTCHG(FG_YIELD(0,,,,"YTM"),FG_YIELD(-3AM,,,,"YTM"))&lt;/Q&gt;&lt;R&gt;1&lt;/R&gt;&lt;C&gt;1&lt;/C&gt;&lt;D xsi:type="xsd:double"&gt;-0.62111413&lt;/D&gt;&lt;/FQL&gt;&lt;FQL&gt;&lt;Q&gt;EWC^FMA_COS_DOWN("EPS","1M",+1,0,,,"PORTAGG","MEANR")&lt;/Q&gt;&lt;R&gt;1&lt;/R&gt;&lt;C&gt;1&lt;/C&gt;&lt;D xsi:type="xsd:double"&gt;34&lt;/D&gt;&lt;/FQL&gt;&lt;FQL&gt;&lt;Q&gt;TRYFR10Y-FDS^PCTCHG(FG_YIELD(0,,,,"YTM"),FG_YIELD(-1AM,,,,"YTM"))&lt;/Q&gt;&lt;R&gt;1&lt;/R&gt;&lt;C&gt;1&lt;/C&gt;&lt;D xsi:type="xsd:double"&gt;5.3016534&lt;/D&gt;&lt;/FQL&gt;&lt;FQL&gt;&lt;Q&gt;VGK^FG_TOTAL_RETURNC(0,-6AM)&lt;/Q&gt;&lt;R&gt;1&lt;/R&gt;&lt;C&gt;1&lt;/C&gt;&lt;D xsi:type="xsd:double"&gt;9.44599&lt;/D&gt;&lt;/FQL&gt;&lt;FQL&gt;&lt;Q&gt;TLT^FG_TOTAL_RETURNC(0,-6AM)&lt;/Q&gt;&lt;R&gt;1&lt;/R&gt;&lt;C&gt;1&lt;/C&gt;&lt;D xsi:type="xsd:double"&gt;1.1095405&lt;/D&gt;&lt;/FQL&gt;&lt;FQL&gt;&lt;Q&gt;USO^FG_TOTAL_RETURNC(0,-3AM)&lt;/Q&gt;&lt;R&gt;1&lt;/R&gt;&lt;C&gt;1&lt;/C&gt;&lt;D xsi:type="xsd:double"&gt;8.09114&lt;/D&gt;&lt;/FQL&gt;&lt;FQL&gt;&lt;Q&gt;TRYJP10Y-FDS^FG_YIELD(0,,,,"YTM")&lt;/Q&gt;&lt;R&gt;1&lt;/R&gt;&lt;C&gt;1&lt;/C&gt;&lt;D xsi:type="xsd:double"&gt;0.7115&lt;/D&gt;&lt;/FQL&gt;&lt;FQL&gt;&lt;Q&gt;EWA^JULIAN(FMA_ROE(NTMA,-20AY,NOW,FY,"PORTAGG","MEANR").DATES)&lt;/Q&gt;&lt;R&gt;20&lt;/R&gt;&lt;C&gt;1&lt;/C&gt;&lt;D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xsi:type="xsd:long"&gt;45289&lt;/D&gt;&lt;/FQL&gt;&lt;FQL&gt;&lt;Q&gt;CC_CA^FG_COMPANY_NAME&lt;/Q&gt;&lt;R&gt;1&lt;/R&gt;&lt;C&gt;1&lt;/C&gt;&lt;D xsi:type="xsd:string"&gt;Canada&lt;/D&gt;&lt;/FQL&gt;&lt;FQL&gt;&lt;Q&gt;USDEUR^FG_PRICE_CHANGE(0,-1AY)&lt;/Q&gt;&lt;R&gt;1&lt;/R&gt;&lt;C&gt;1&lt;/C&gt;&lt;D xsi:type="xsd:double"&gt;-2.4485648&lt;/D&gt;&lt;/FQL&gt;&lt;FQL&gt;&lt;Q&gt;EWC^FMA_DIV_YLD(NTMA,-10AY,0,AM,"PORTAGG","MEANR")&lt;/Q&gt;&lt;R&gt;121&lt;/R&gt;&lt;C&gt;1&lt;/C&gt;&lt;D xsi:type="xsd:double"&gt;2.88882392696835&lt;/D&gt;&lt;D xsi:type="xsd:double"&gt;2.91187195860029&lt;/D&gt;&lt;D xsi:type="xsd:double"&gt;2.84969097558561&lt;/D&gt;&lt;D xsi:type="xsd:double"&gt;2.86445334380831&lt;/D&gt;&lt;D xsi:type="xsd:double"&gt;2.79690860600783&lt;/D&gt;&lt;D xsi:type="xsd:double"&gt;2.80379457323574&lt;/D&gt;&lt;D xsi:type="xsd:double"&gt;2.75454630731311&lt;/D&gt;&lt;D xsi:type="xsd:double"&gt;2.91369474506466&lt;/D&gt;&lt;D xsi:type="xsd:double"&gt;3.01487515536736&lt;/D&gt;&lt;D xsi:type="xsd:double"&gt;2.98312231478788&lt;/D&gt;&lt;D xsi:type="xsd:double"&gt;2.90627132915346&lt;/D&gt;&lt;D xsi:type="xsd:double"&gt;2.89425708206254&lt;/D&gt;&lt;D xsi:type="xsd:double"&gt;2.88178560931378&lt;/D&gt;&lt;D xsi:type="xsd:double"&gt;2.88985059263069&lt;/D&gt;&lt;D xsi:type="xsd:double"&gt;2.8164815887255&lt;/D&gt;&lt;D xsi:type="xsd:double"&gt;2.90063917353018&lt;/D&gt;&lt;D xsi:type="xsd:double"&gt;3.0015151753047&lt;/D&gt;&lt;D xsi:type="xsd:double"&gt;3.0603238578867&lt;/D&gt;&lt;D xsi:type="xsd:double"&gt;3.25660419980678&lt;/D&gt;&lt;D xsi:type="xsd:double"&gt;3.30547131549187&lt;/D&gt;&lt;D xsi:type="xsd:double"&gt;3.23383901622166&lt;/D&gt;&lt;D xsi:type="xsd:double"&gt;3.31273288692691&lt;/D&gt;&lt;D xsi:type="xsd:double"&gt;3.38218731965775&lt;/D&gt;&lt;D xsi:type="xsd:double"&gt;3.37988259420051&lt;/D&gt;&lt;D xsi:type="xsd:double"&gt;3.25532814973938&lt;/D&gt;&lt;D xsi:type="xsd:double"&gt;3.19604179371096&lt;/D&gt;&lt;D xsi:type="xsd:double"&gt;3.12594526672503&lt;/D&gt;&lt;D xsi:type="xsd:double"&gt;3.01468549032031&lt;/D&gt;&lt;D xsi:type="xsd:double"&gt;3.0768974137006&lt;/D&gt;&lt;D xsi:type="xsd:double"&gt;2.99334947318124&lt;/D&gt;&lt;D xsi:type="xsd:double"&gt;2.93570045645377&lt;/D&gt;&lt;D xsi:type="xsd:double"&gt;2.97091316617307&lt;/D&gt;&lt;D xsi:type="xsd:double"&gt;2.99276323441794&lt;/D&gt;&lt;D xsi:type="xsd:double"&gt;2.88509080898664&lt;/D&gt;&lt;D xsi:type="xsd:double"&gt;2.80820130989549&lt;/D&gt;&lt;D xsi:type="xsd:double"&gt;2.82487684845552&lt;/D&gt;&lt;D xsi:type="xsd:double"&gt;2.87954070619418&lt;/D&gt;&lt;D xsi:type="xsd:double"&gt;2.89887891681171&lt;/D&gt;&lt;D xsi:type="xsd:double"&gt;2.9703478790569&lt;/D&gt;&lt;D xsi:type="xsd:double"&gt;2.97949800928306&lt;/D&gt;&lt;D xsi:type="xsd:double"&gt;3.05134311316204&lt;/D&gt;&lt;D xsi:type="xsd:double"&gt;3.01971169312734&lt;/D&gt;&lt;D xsi:type="xsd:double"&gt;3.0708359150307&lt;/D&gt;&lt;D xsi:type="xsd:double"&gt;2.96492311897016&lt;/D&gt;&lt;D xsi:type="xsd:double"&gt;2.91559582201892&lt;/D&gt;&lt;D xsi:type="xsd:double"&gt;2.9338021613707&lt;/D&gt;&lt;D xsi:type="xsd:double"&gt;2.87712653979317&lt;/D&gt;&lt;D xsi:type="xsd:double"&gt;3.03444594585367&lt;/D&gt;&lt;D xsi:type="xsd:double"&gt;3.16644044857663&lt;/D&gt;&lt;D xsi:type="xsd:double"&gt;3.23373281075465&lt;/D&gt;&lt;D xsi:type="xsd:double"&gt;3.13343568726582&lt;/D&gt;&lt;D xsi:type="xsd:double"&gt;3.09685861351478&lt;/D&gt;&lt;D xsi:type="xsd:double"&gt;3.07534124195832&lt;/D&gt;&lt;D xsi:type="xsd:double"&gt;3.07070010637545&lt;/D&gt;&lt;D xsi:type="xsd:double"&gt;3.14507608834581&lt;/D&gt;&lt;D xsi:type="xsd:double"&gt;3.18381771176668&lt;/D&gt;&lt;D xsi:type="xsd:double"&gt;3.38607122550708&lt;/D&gt;&lt;D xsi:type="xsd:double"&gt;3.40802649006384&lt;/D&gt;&lt;D xsi:type="xsd:double"&gt;3.57435364282132&lt;/D&gt;&lt;D xsi:type="xsd:double"&gt;3.32334815361779&lt;/D&gt;&lt;D xsi:type="xsd:double"&gt;3.26902675216791&lt;/D&gt;&lt;D xsi:type="xsd:double"&gt;3.23387336333925&lt;/D&gt;&lt;D xsi:type="xsd:double"&gt;3.22124880660834&lt;/D&gt;&lt;D xsi:type="xsd:double"&gt;3.35404683975822&lt;/D&gt;&lt;D xsi:type="xsd:double"&gt;3.28350093395983&lt;/D&gt;&lt;D xsi:type="xsd:double"&gt;3.38638358154247&lt;/D&gt;&lt;D xsi:type="xsd:double"&gt;3.38686604617641&lt;/D&gt;&lt;D xsi:type="xsd:double"&gt;3.38862059274525&lt;/D&gt;&lt;D xsi:type="xsd:double"&gt;3.31757103798366&lt;/D&gt;&lt;D xsi:type="xsd:double"&gt;3.28261076181261&lt;/D&gt;&lt;D xsi:type="xsd:double"&gt;3.26432854776536&lt;/D&gt;&lt;D xsi:type="xsd:double"&gt;3.24030054220613&lt;/D&gt;&lt;D xsi:type="xsd:double"&gt;3.42851730554025&lt;/D&gt;&lt;D xsi:type="xsd:double"&gt;4.4274093326505&lt;/D&gt;&lt;D xsi:type="xsd:double"&gt;3.87249961516204&lt;/D&gt;&lt;D xsi:type="xsd:double"&gt;3.54384417918066&lt;/D&gt;&lt;D xsi:type="xsd:double"&gt;3.52630010189897&lt;/D&gt;&lt;D xsi:type="xsd:double"&gt;3.38246596040062&lt;/D&gt;&lt;D xsi:type="xsd:double"&gt;3.41112968466877&lt;/D&gt;&lt;D xsi:type="xsd:double"&gt;3.4366620525085&lt;/D&gt;&lt;D xsi:type="xsd:double"&gt;3.46780821838772&lt;/D&gt;&lt;D xsi:type="xsd:double"&gt;3.12503235027304&lt;/D&gt;&lt;D xsi:type="xsd:double"&gt;3.11733851643624&lt;/D&gt;&lt;D xsi:type="xsd:double"&gt;3.01969577632129&lt;/D&gt;&lt;D xsi:type="xsd:double"&gt;2.96072006742611&lt;/D&gt;&lt;D xsi:type="xsd:double"&gt;2.80258135035122&lt;/D&gt;&lt;D xsi:type="xsd:double"&gt;2.74529530465899&lt;/D&gt;&lt;D xsi:type="xsd:double"&gt;2.5945381468635&lt;/D&gt;&lt;D xsi:type="xsd:double"&gt;2.70419184812494&lt;/D&gt;&lt;D xsi:type="xsd:double"&gt;2.70078695448748&lt;/D&gt;&lt;D xsi:type="xsd:double"&gt;2.71305785779172&lt;/D&gt;&lt;D xsi:type="xsd:double"&gt;2.83710253849952&lt;/D&gt;&lt;D xsi:type="xsd:double"&gt;2.71956790210307&lt;/D&gt;&lt;D xsi:type="xsd:double"&gt;2.87145110775974&lt;/D&gt;&lt;D xsi:type="xsd:double"&gt;2.78584889082917&lt;/D&gt;&lt;D xsi:type="xsd:double"&gt;2.80362679520632&lt;/D&gt;&lt;D xsi:type="xsd:double"&gt;2.84557885474321&lt;/D&gt;&lt;D xsi:type="xsd:double"&gt;2.81027315276681&lt;/D&gt;&lt;D xsi:type="xsd:double"&gt;3.003028967106&lt;/D&gt;&lt;D xsi:type="xsd:double"&gt;3.10242999425018&lt;/D&gt;&lt;D xsi:type="xsd:double"&gt;3.42241268976922&lt;/D&gt;&lt;D xsi:type="xsd:double"&gt;3.34858581792338&lt;/D&gt;&lt;D xsi:type="xsd:double"&gt;3.47749931269678&lt;/D&gt;&lt;D xsi:type="xsd:double"&gt;3.46134453087201&lt;/D&gt;&lt;D xsi:type="xsd:double"&gt;3.46403487133021&lt;/D&gt;&lt;D xsi:type="xsd:double"&gt;3.28170113423955&lt;/D&gt;&lt;D xsi:type="xsd:double"&gt;3.43467322805486&lt;/D&gt;&lt;D xsi:type="xsd:double"&gt;3.25367565156304&lt;/D&gt;&lt;D xsi:type="xsd:double"&gt;3.28699952186339&lt;/D&gt;&lt;D xsi:type="xsd:double"&gt;3.30508678976919&lt;/D&gt;&lt;D xsi:type="xsd:double"&gt;3.30145862183927&lt;/D&gt;&lt;D xsi:type="xsd:double"&gt;3.31108210263712&lt;/D&gt;&lt;D xsi:type="xsd:double"&gt;3.24699322791431&lt;/D&gt;&lt;D xsi:type="xsd:double"&gt;3.44564650882637&lt;/D&gt;&lt;D xsi:type="xsd:double"&gt;3.44669197490379&lt;/D&gt;&lt;D xsi:type="xsd:double"&gt;3.74060814365465&lt;/D&gt;&lt;D xsi:type="xsd:double"&gt;3.61425551147236&lt;/D&gt;&lt;D xsi:type="xsd:double"&gt;3.44704684590704&lt;/D&gt;&lt;D xsi:type="xsd:double"&gt;3.36761991574715&lt;/D&gt;&lt;D xsi:type="xsd:double"&gt;3.32579350577365&lt;/D&gt;&lt;D xsi:type="xsd:double"&gt;3.25558697737179&lt;/D&gt;&lt;/FQL&gt;&lt;FQL&gt;&lt;Q&gt;PASP-FDS^FG_PRICE_CHANGE(0,-6AM)&lt;/Q&gt;&lt;R&gt;1&lt;/R&gt;&lt;C&gt;1&lt;/C&gt;&lt;D xsi:type="xsd:double"&gt;-22.5806451612903&lt;/D&gt;&lt;/FQL&gt;&lt;FQL&gt;&lt;Q&gt;BRENT-FDS^FG_PRICE_CHANGE(0,-3AM)&lt;/Q&gt;&lt;R&gt;1&lt;/R&gt;&lt;C&gt;1&lt;/C&gt;&lt;D xsi:type="xsd:double"&gt;0&lt;/D&gt;&lt;/FQL&gt;&lt;FQL&gt;&lt;Q&gt;EWD^P_PRICE(0)/P_PRICE_LOW_PR(0,,,USD,,,"PRICE","INTRA","52W")-1&lt;/Q&gt;&lt;R&gt;1&lt;/R&gt;&lt;C&gt;1&lt;/C&gt;&lt;D xsi:type="xsd:double"&gt;0.28792572&lt;/D&gt;&lt;/FQL&gt;&lt;FQL&gt;&lt;Q&gt;VGK^FMA_COS_DOWN("EPS","1M",+1,0,,,"PORTAGG","MEANR")&lt;/Q&gt;&lt;R&gt;1&lt;/R&gt;&lt;C&gt;1&lt;/C&gt;&lt;D xsi:type="xsd:double"&gt;545&lt;/D&gt;&lt;/FQL&gt;&lt;FQL&gt;&lt;Q&gt;EWG^SIZE(FG_CONSTITUENTS)&lt;/Q&gt;&lt;R&gt;1&lt;/R&gt;&lt;C&gt;1&lt;/C&gt;&lt;D xsi:type="xsd:long"&gt;57&lt;/D&gt;&lt;/FQL&gt;&lt;FQL&gt;&lt;Q&gt;CC_JP^IMF_IFS_RCPI_Q(0)&lt;/Q&gt;&lt;R&gt;1&lt;/R&gt;&lt;C&gt;1&lt;/C&gt;&lt;D xsi:type="xsd:double"&gt;2.9194753&lt;/D&gt;&lt;/FQL&gt;&lt;FQL&gt;&lt;Q&gt;EWD^FMA_EVAL_EBIT(LTMA,NOW,NOW,M,"PORTAGG","MEANR")&lt;/Q&gt;&lt;R&gt;1&lt;/R&gt;&lt;C&gt;1&lt;/C&gt;&lt;D xsi:type="xsd:double"&gt;15.9169250945677&lt;/D&gt;&lt;/FQL&gt;&lt;FQL&gt;&lt;Q&gt;GLD^FG_TOTAL_RETURNC(0,-3AM)&lt;/Q&gt;&lt;R&gt;1&lt;/R&gt;&lt;C&gt;1&lt;/C&gt;&lt;D xsi:type="xsd:double"&gt;4.338336&lt;/D&gt;&lt;/FQL&gt;&lt;FQL&gt;&lt;Q&gt;EWD^FMA_EVAL_EBITDA(NTMA,0,,,"PORTAGG","MEANR")&lt;/Q&gt;&lt;R&gt;1&lt;/R&gt;&lt;C&gt;1&lt;/C&gt;&lt;D xsi:type="xsd:double"&gt;11.6045457894571&lt;/D&gt;&lt;/FQL&gt;&lt;FQL&gt;&lt;Q&gt;VGK^FMA_PCT_ABOVE_MAVG(200,0,,,,"PORTAGG")&lt;/Q&gt;&lt;R&gt;1&lt;/R&gt;&lt;C&gt;1&lt;/C&gt;&lt;D xsi:type="xsd:double"&gt;61.2421383647799&lt;/D&gt;&lt;/FQL&gt;&lt;FQL&gt;&lt;Q&gt;EWI^FMA_COS_UP("EPS","1M",+1,0,,,"PORTAGG","MEANR")&lt;/Q&gt;&lt;R&gt;1&lt;/R&gt;&lt;C&gt;1&lt;/C&gt;&lt;D xsi:type="xsd:double"&gt;11&lt;/D&gt;&lt;/FQL&gt;&lt;FQL&gt;&lt;Q&gt;EWL^FMA_RBICS_REV_CURRENT(30, LOC, "PORTAGG")&lt;/Q&gt;&lt;R&gt;1&lt;/R&gt;&lt;C&gt;1&lt;/C&gt;&lt;D xsi:type="xsd:double"&gt;18.2315218383482&lt;/D&gt;&lt;/FQL&gt;&lt;FQL&gt;&lt;Q&gt;QQQ^FG_FCF_YIELD_NTM(0)&lt;/Q&gt;&lt;R&gt;1&lt;/R&gt;&lt;C&gt;1&lt;/C&gt;&lt;D xsi:type="xsd:double"&gt;3.60996711142412&lt;/D&gt;&lt;/FQL&gt;&lt;FQL&gt;&lt;Q&gt;EWG^FMA_PE(NTMA,0,,,"PORTAGG","MEANR")&lt;/Q&gt;&lt;R&gt;1&lt;/R&gt;&lt;C&gt;1&lt;/C&gt;&lt;D xsi:type="xsd:double"&gt;12.4635893194836&lt;/D&gt;&lt;/FQL&gt;&lt;FQL&gt;&lt;Q&gt;VGK^P_PRICE(0)/P_PRICE_HIGH_PR(0,,,USD,,,"PRICE","INTRA","52W")&lt;/Q&gt;&lt;R&gt;1&lt;/R&gt;&lt;C&gt;1&lt;/C&gt;&lt;D xsi:type="xsd:double"&gt;0.99820817&lt;/D&gt;&lt;/FQL&gt;&lt;FQL&gt;&lt;Q&gt;COPP-FDS^FG_PRICE_CHANGE(0,-6AM)&lt;/Q&gt;&lt;R&gt;1&lt;/R&gt;&lt;C&gt;1&lt;/C&gt;&lt;D xsi:type="xsd:double"&gt;1.03606557377049&lt;/D&gt;&lt;/FQL&gt;&lt;FQL&gt;&lt;Q&gt;EWQ^FG_PRICE_MAVG(0,,,,200)&lt;/Q&gt;&lt;R&gt;1&lt;/R&gt;&lt;C&gt;1&lt;/C&gt;&lt;D xsi:type="xsd:double"&gt;37.583424&lt;/D&gt;&lt;/FQL&gt;&lt;FQL&gt;&lt;Q&gt;EWD^SIZE(FG_CONSTITUENTS)&lt;/Q&gt;&lt;R&gt;1&lt;/R&gt;&lt;C&gt;1&lt;/C&gt;&lt;D xsi:type="xsd:long"&gt;43&lt;/D&gt;&lt;/FQL&gt;&lt;FQL&gt;&lt;Q&gt;EWD^FMA_COS_DOWN("EPS","1M",+1,0,,,"PORTAGG","MEANR")&lt;/Q&gt;&lt;R&gt;1&lt;/R&gt;&lt;C&gt;1&lt;/C&gt;&lt;D xsi:type="xsd:double"&gt;14&lt;/D&gt;&lt;/FQL&gt;&lt;FQL&gt;&lt;Q&gt;SPY^FG_TOTAL_RETURNC(0,-1AM)&lt;/Q&gt;&lt;R&gt;1&lt;/R&gt;&lt;C&gt;1&lt;/C&gt;&lt;D xsi:type="xsd:double"&gt;3.6310315&lt;/D&gt;&lt;/FQL&gt;&lt;FQL&gt;&lt;Q&gt;TLT^FG_TOTAL_RETURNC(0,-3AM)&lt;/Q&gt;&lt;R&gt;1&lt;/R&gt;&lt;C&gt;1&lt;/C&gt;&lt;D xsi:type="xsd:double"&gt;2.5523543&lt;/D&gt;&lt;/FQL&gt;&lt;FQL&gt;&lt;Q&gt;URTH^P_PRICE(0)/P_PRICE_LOW_PR(0,,,USD,,,"PRICE","INTRA","52W")-1&lt;/Q&gt;&lt;R&gt;1&lt;/R&gt;&lt;C&gt;1&lt;/C&gt;&lt;D xsi:type="xsd:double"&gt;0.291286&lt;/D&gt;&lt;/FQL&gt;&lt;FQL&gt;&lt;Q&gt;SPY^SIZE(FG_CONSTITUENTS)&lt;/Q&gt;&lt;R&gt;1&lt;/R&gt;&lt;C&gt;1&lt;/C&gt;&lt;D xsi:type="xsd:long"&gt;504&lt;/D&gt;&lt;/FQL&gt;&lt;FQL&gt;&lt;Q&gt;EWN^FMA_PE(LTM,0,,,"PORTAGG","MEANR")&lt;/Q&gt;&lt;R&gt;1&lt;/R&gt;&lt;C&gt;1&lt;/C&gt;&lt;D xsi:type="xsd:double"&gt;23.1453559649611&lt;/D&gt;&lt;/FQL&gt;&lt;FQL&gt;&lt;Q&gt;ENZL^FMA_EVAL_EBIT(LTMA,NOW,NOW,M,"PORTAGG","MEANR")&lt;/Q&gt;&lt;R&gt;1&lt;/R&gt;&lt;C&gt;1&lt;/C&gt;&lt;D xsi:type="xsd:double"&gt;20.5022640603055&lt;/D&gt;&lt;/FQL&gt;&lt;FQL&gt;&lt;Q&gt;EWJ^FMA_EVAL_EBITDA(NTMA,0,,,"PORTAGG","MEANR")&lt;/Q&gt;&lt;R&gt;1&lt;/R&gt;&lt;C&gt;1&lt;/C&gt;&lt;D xsi:type="xsd:double"&gt;11.3408946800155&lt;/D&gt;&lt;/FQL&gt;&lt;FQL&gt;&lt;Q&gt;EWA^FMA_DIV_YLD(NTMA,-10AY,0,AM,"PORTAGG","MEANR")&lt;/Q&gt;&lt;R&gt;121&lt;/R&gt;&lt;C&gt;1&lt;/C&gt;&lt;D xsi:type="xsd:double"&gt;4.85449067749105&lt;/D&gt;&lt;D xsi:type="xsd:double"&gt;4.79999766508593&lt;/D&gt;&lt;D xsi:type="xsd:double"&gt;4.78607173275801&lt;/D&gt;&lt;D xsi:type="xsd:double"&gt;4.81573749921409&lt;/D&gt;&lt;D xsi:type="xsd:double"&gt;4.78954796615276&lt;/D&gt;&lt;D xsi:type="xsd:double"&gt;4.72494099492016&lt;/D&gt;&lt;D xsi:type="xsd:double"&gt;4.68529124195175&lt;/D&gt;&lt;D xsi:type="xsd:double"&gt;5.05057519231253&lt;/D&gt;&lt;D xsi:type="xsd:double"&gt;4.84282857442742&lt;/D&gt;&lt;D xsi:type="xsd:double"&gt;4.9793321952458&lt;/D&gt;&lt;D xsi:type="xsd:double"&gt;4.95610550061048&lt;/D&gt;&lt;D xsi:type="xsd:double"&gt;4.69378123510542&lt;/D&gt;&lt;D xsi:type="xsd:double"&gt;4.57516278071761&lt;/D&gt;&lt;D xsi:type="xsd:double"&gt;4.61054270870761&lt;/D&gt;&lt;D xsi:type="xsd:double"&gt;4.64121959069181&lt;/D&gt;&lt;D xsi:type="xsd:double"&gt;4.94025469250166&lt;/D&gt;&lt;D xsi:type="xsd:double"&gt;4.85649458853878&lt;/D&gt;&lt;D xsi:type="xsd:double"&gt;4.79670841463601&lt;/D&gt;&lt;D xsi:type="xsd:double"&gt;5.51200695998104&lt;/D&gt;&lt;D xsi:type="xsd:double"&gt;5.45496103020028&lt;/D&gt;&lt;D xsi:type="xsd:double"&gt;5.23312215596218&lt;/D&gt;&lt;D xsi:type="xsd:double"&gt;5.27467957117332&lt;/D&gt;&lt;D xsi:type="xsd:double"&gt;5.14253336142738&lt;/D&gt;&lt;D xsi:type="xsd:double"&gt;5.14469204148457&lt;/D&gt;&lt;D xsi:type="xsd:double"&gt;4.8076398435174&lt;/D&gt;&lt;D xsi:type="xsd:double"&gt;4.93884327877262&lt;/D&gt;&lt;D xsi:type="xsd:double"&gt;4.63735358443825&lt;/D&gt;&lt;D xsi:type="xsd:double"&gt;4.60736851394045&lt;/D&gt;&lt;D xsi:type="xsd:double"&gt;4.67110150724477&lt;/D&gt;&lt;D xsi:type="xsd:double"&gt;4.50674751015082&lt;/D&gt;&lt;D xsi:type="xsd:double"&gt;4.58236082419872&lt;/D&gt;&lt;D xsi:type="xsd:double"&gt;4.51140345933382&lt;/D&gt;&lt;D xsi:type="xsd:double"&gt;4.77689300525309&lt;/D&gt;&lt;D xsi:type="xsd:double"&gt;4.59212589379812&lt;/D&gt;&lt;D xsi:type="xsd:double"&gt;4.47190703941818&lt;/D&gt;&lt;D xsi:type="xsd:double"&gt;4.58267927812281&lt;/D&gt;&lt;D xsi:type="xsd:double"&gt;4.56585486549954&lt;/D&gt;&lt;D xsi:type="xsd:double"&gt;4.52036715266029&lt;/D&gt;&lt;D xsi:type="xsd:double"&gt;4.52590075357029&lt;/D&gt;&lt;D xsi:type="xsd:double"&gt;4.61124187305626&lt;/D&gt;&lt;D xsi:type="xsd:double"&gt;4.65593019811276&lt;/D&gt;&lt;D xsi:type="xsd:double"&gt;4.60261092780464&lt;/D&gt;&lt;D xsi:type="xsd:double"&gt;4.57391715057525&lt;/D&gt;&lt;D xsi:type="xsd:double"&gt;4.65112642289677&lt;/D&gt;&lt;D xsi:type="xsd:double"&gt;4.46900978717414&lt;/D&gt;&lt;D xsi:type="xsd:double"&gt;4.50102126760439&lt;/D&gt;&lt;D xsi:type="xsd:double"&gt;4.44511701486072&lt;/D&gt;&lt;D xsi:type="xsd:double"&gt;4.47306088124523&lt;/D&gt;&lt;D xsi:type="xsd:double"&gt;4.66559465320391&lt;/D&gt;&lt;D xsi:type="xsd:double"&gt;4.83779652628425&lt;/D&gt;&lt;D xsi:type="xsd:double"&gt;4.67529411445381&lt;/D&gt;&lt;D xsi:type="xsd:double"&gt;4.72603509980728&lt;/D&gt;&lt;D xsi:type="xsd:double"&gt;4.59296362000577&lt;/D&gt;&lt;D xsi:type="xsd:double"&gt;4.63159948350894&lt;/D&gt;&lt;D xsi:type="xsd:double"&gt;4.64763613505808&lt;/D&gt;&lt;D xsi:type="xsd:double"&gt;4.7947704097068&lt;/D&gt;&lt;D xsi:type="xsd:double"&gt;5.07323443284335&lt;/D&gt;&lt;D xsi:type="xsd:double"&gt;5.27875503778238&lt;/D&gt;&lt;D xsi:type="xsd:double"&gt;5.35555764450583&lt;/D&gt;&lt;D xsi:type="xsd:double"&gt;5.09503508519014&lt;/D&gt;&lt;D xsi:type="xsd:double"&gt;4.91822337366744&lt;/D&gt;&lt;D xsi:type="xsd:double"&gt;4.89881540074731&lt;/D&gt;&lt;D xsi:type="xsd:double"&gt;4.87897621861783&lt;/D&gt;&lt;D xsi:type="xsd:double"&gt;4.85345467755832&lt;/D&gt;&lt;D xsi:type="xsd:double"&gt;4.61323053043652&lt;/D&gt;&lt;D xsi:type="xsd:double"&gt;4.56425079486326&lt;/D&gt;&lt;D xsi:type="xsd:double"&gt;4.6119010729338&lt;/D&gt;&lt;D xsi:type="xsd:double"&gt;4.55438622426741&lt;/D&gt;&lt;D xsi:type="xsd:double"&gt;4.38145309624349&lt;/D&gt;&lt;D xsi:type="xsd:double"&gt;4.40883696090694&lt;/D&gt;&lt;D xsi:type="xsd:double"&gt;4.29147430238786&lt;/D&gt;&lt;D xsi:type="xsd:double"&gt;4.19471566351325&lt;/D&gt;&lt;D xsi:type="xsd:double"&gt;4.56061914230272&lt;/D&gt;&lt;D xsi:type="xsd:double"&gt;5.13034694853349&lt;/D&gt;&lt;D xsi:type="xsd:double"&gt;4.00674108048484&lt;/D&gt;&lt;D xsi:type="xsd:double"&gt;3.34628469184429&lt;/D&gt;&lt;D xsi:type="xsd:double"&gt;3.38867077170893&lt;/D&gt;&lt;D xsi:type="xsd:double"&gt;3.38657325815467&lt;/D&gt;&lt;D xsi:type="xsd:double"&gt;3.50955811925958&lt;/D&gt;&lt;D xsi:type="xsd:double"&gt;3.72496845568349&lt;/D&gt;&lt;D xsi:type="xsd:double"&gt;3.70433970946549&lt;/D&gt;&lt;D xsi:type="xsd:double"&gt;3.42438036489861&lt;/D&gt;&lt;D xsi:type="xsd:double"&gt;3.54121850072666&lt;/D&gt;&lt;D xsi:type="xsd:double"&gt;3.60855689339928&lt;/D&gt;&lt;D xsi:type="xsd:double"&gt;3.8622132220508&lt;/D&gt;&lt;D xsi:type="xsd:double"&gt;3.97163701521748&lt;/D&gt;&lt;D xsi:type="xsd:double"&gt;3.91119479708517&lt;/D&gt;&lt;D xsi:type="xsd:double"&gt;3.82089686941806&lt;/D&gt;&lt;D xsi:type="xsd:double"&gt;4.05887340357472&lt;/D&gt;&lt;D xsi:type="xsd:double"&gt;4.04434221989806&lt;/D&gt;&lt;D xsi:type="xsd:double"&gt;4.01386602730576&lt;/D&gt;&lt;D xsi:type="xsd:double"&gt;4.08374511609973&lt;/D&gt;&lt;D xsi:type="xsd:double"&gt;3.36077091863194&lt;/D&gt;&lt;D xsi:type="xsd:double"&gt;4.03994299490941&lt;/D&gt;&lt;D xsi:type="xsd:double"&gt;3.81215306312218&lt;/D&gt;&lt;D xsi:type="xsd:double"&gt;4.3114491725966&lt;/D&gt;&lt;D xsi:type="xsd:double"&gt;4.30561087042062&lt;/D&gt;&lt;D xsi:type="xsd:double"&gt;4.30754422186982&lt;/D&gt;&lt;D xsi:type="xsd:double"&gt;4.54477996660012&lt;/D&gt;&lt;D xsi:type="xsd:double"&gt;4.67171506929082&lt;/D&gt;&lt;D xsi:type="xsd:double"&gt;5.31604037070342&lt;/D&gt;&lt;D xsi:type="xsd:double"&gt;4.8323350851886&lt;/D&gt;&lt;D xsi:type="xsd:double"&gt;4.87310864328757&lt;/D&gt;&lt;D xsi:type="xsd:double"&gt;5.03109829711148&lt;/D&gt;&lt;D xsi:type="xsd:double"&gt;4.92670943172706&lt;/D&gt;&lt;D xsi:type="xsd:double"&gt;4.43365855536458&lt;/D&gt;&lt;D xsi:type="xsd:double"&gt;4.59977968225796&lt;/D&gt;&lt;D xsi:type="xsd:double"&gt;4.24934450400746&lt;/D&gt;&lt;D xsi:type="xsd:double"&gt;4.45700276690121&lt;/D&gt;&lt;D xsi:type="xsd:double"&gt;4.48113634991334&lt;/D&gt;&lt;D xsi:type="xsd:double"&gt;4.47683855870835&lt;/D&gt;&lt;D xsi:type="xsd:double"&gt;4.47915140953114&lt;/D&gt;&lt;D xsi:type="xsd:double"&gt;4.27929142523483&lt;/D&gt;&lt;D xsi:type="xsd:double"&gt;4.16466087153078&lt;/D&gt;&lt;D xsi:type="xsd:double"&gt;4.15464262820757&lt;/D&gt;&lt;D xsi:type="xsd:double"&gt;4.44654360306339&lt;/D&gt;&lt;D xsi:type="xsd:double"&gt;4.36548090276511&lt;/D&gt;&lt;D xsi:type="xsd:double"&gt;4.26238560806534&lt;/D&gt;&lt;D xsi:type="xsd:double"&gt;4.0540102095415&lt;/D&gt;&lt;D xsi:type="xsd:double"&gt;3.9590217454451&lt;/D&gt;&lt;D xsi:type="xsd:double"&gt;3.99904361092918&lt;/D&gt;&lt;/FQL&gt;&lt;FQL&gt;&lt;Q&gt;EWA^FG_PRICE_MAVG(0,,,,200)&lt;/Q&gt;&lt;R&gt;1&lt;/R&gt;&lt;C&gt;1&lt;/C&gt;&lt;D xsi:type="xsd:double"&gt;22.5757&lt;/D&gt;&lt;/FQL&gt;&lt;FQL&gt;&lt;Q&gt;EWD^FG_TOTAL_RETURNC(0,-3AM)&lt;/Q&gt;&lt;R&gt;1&lt;/R&gt;&lt;C&gt;1&lt;/C&gt;&lt;D xsi:type="xsd:double"&gt;10.856617&lt;/D&gt;&lt;/FQL&gt;&lt;FQL&gt;&lt;Q&gt;VWO^PERCENT_CHANGE(FMA_EPS(+1,0,,,,"PORTAGG","MEAN"),FMA_EPS(+1,-3AM,,,,"PORTAGG","MEAN"))&lt;/Q&gt;&lt;R&gt;1&lt;/R&gt;&lt;C&gt;1&lt;/C&gt;&lt;D xsi:type="xsd:double"&gt;-16.6418570923085&lt;/D&gt;&lt;/FQL&gt;&lt;FQL&gt;&lt;Q&gt;EWJ^PERCENT_CHANGE(FMA_EPS(+1,0,,,,"PORTAGG","MEAN"),FMA_EPS(+1,-1AM,,,,"PORTAGG","MEAN"))&lt;/Q&gt;&lt;R&gt;1&lt;/R&gt;&lt;C&gt;1&lt;/C&gt;&lt;D xsi:type="xsd:double"&gt;-10.0414784091281&lt;/D&gt;&lt;/FQL&gt;&lt;FQL&gt;&lt;Q&gt;EWI^FMA_COS_DOWN("EPS","1M",+1,0,,,"PORTAGG","MEANR")&lt;/Q&gt;&lt;R&gt;1&lt;/R&gt;&lt;C&gt;1&lt;/C&gt;&lt;D xsi:type="xsd:double"&gt;6&lt;/D&gt;&lt;/FQL&gt;&lt;FQL&gt;&lt;Q&gt;EWG^FMA_COS_DOWN("EPS","1M",+1,0,,,"PORTAGG","MEANR")&lt;/Q&gt;&lt;R&gt;1&lt;/R&gt;&lt;C&gt;1&lt;/C&gt;&lt;D xsi:type="xsd:double"&gt;23&lt;/D&gt;&lt;/FQL&gt;&lt;FQL&gt;&lt;Q&gt;EWU^FMA_RBICS_REV_CURRENT(30, LOC, "PORTAGG")&lt;/Q&gt;&lt;R&gt;1&lt;/R&gt;&lt;C&gt;1&lt;/C&gt;&lt;D xsi:type="xsd:double"&gt;17.3805118242571&lt;/D&gt;&lt;/FQL&gt;&lt;FQL&gt;&lt;Q&gt;TRYDE10Y-FDS^FG_YIELD_NAME&lt;/Q&gt;&lt;R&gt;1&lt;/R&gt;&lt;C&gt;1&lt;/C&gt;&lt;D xsi:type="xsd:string"&gt;Germany Benchmark Bond - 10 Year&lt;/D&gt;&lt;/FQL&gt;&lt;FQL&gt;&lt;Q&gt;QQQ^FMA_EVAL_EBITDA(NTMA,0,,,"PORTAGG","MEANR")&lt;/Q&gt;&lt;R&gt;1&lt;/R&gt;&lt;C&gt;1&lt;/C&gt;&lt;D xsi:type="xsd:double"&gt;16.4998667742672&lt;/D&gt;&lt;/FQL&gt;&lt;FQL&gt;&lt;Q&gt;EWJ^FG_TOTAL_RETURNC(0,-1AM)&lt;/Q&gt;&lt;R&gt;1&lt;/R&gt;&lt;C&gt;1&lt;/C&gt;&lt;D xsi:type="xsd:double"&gt;5.1270366&lt;/D&gt;&lt;/FQL&gt;&lt;FQL&gt;&lt;Q&gt;GLD^FG_TOTAL_RETURNC(0,-1AM)&lt;/Q&gt;&lt;R&gt;1&lt;/R&gt;&lt;C&gt;1&lt;/C&gt;&lt;D xsi:type="xsd:double"&gt;3.92344&lt;/D&gt;&lt;/FQL&gt;&lt;FQL&gt;&lt;Q&gt;USDEUR^FG_PRICE(0)&lt;/Q&gt;&lt;R&gt;1&lt;/R&gt;&lt;C&gt;1&lt;/C&gt;&lt;D xsi:type="xsd:double"&gt;0.92051363&lt;/D&gt;&lt;/FQL&gt;&lt;FQL&gt;&lt;Q&gt;PASP-FDS^FG_PRICE_CHANGE(0,-3AM)&lt;/Q&gt;&lt;R&gt;1&lt;/R&gt;&lt;C&gt;1&lt;/C&gt;&lt;D xsi:type="xsd:double"&gt;-1.53846153846153&lt;/D&gt;&lt;/FQL&gt;&lt;FQL&gt;&lt;Q&gt;EWG^P_PRICE(0)/P_PRICE_HIGH_PR(0,,,USD,,,"PRICE","INTRA","52W")&lt;/Q&gt;&lt;R&gt;1&lt;/R&gt;&lt;C&gt;1&lt;/C&gt;&lt;D xsi:type="xsd:double"&gt;0.9977305&lt;/D&gt;&lt;/FQL&gt;&lt;FQL&gt;&lt;Q&gt;VWO^FMA_PCT_ABOVE_MAVG(200,0,,,,"PORTAGG")&lt;/Q&gt;&lt;R&gt;1&lt;/R&gt;&lt;C&gt;1&lt;/C&gt;&lt;D xsi:type="xsd:double"&gt;32.7024647887324&lt;/D&gt;&lt;/FQL&gt;&lt;FQL&gt;&lt;Q&gt;EWG^FMA_COS_UP("EPS","1M",+1,0,,,"PORTAGG","MEANR")&lt;/Q&gt;&lt;R&gt;1&lt;/R&gt;&lt;C&gt;1&lt;/C&gt;&lt;D xsi:type="xsd:double"&gt;24&lt;/D&gt;&lt;/FQL&gt;&lt;FQL&gt;&lt;Q&gt;TRYSE10Y-FDS^PCTCHG(FG_YIELD(0,,,,"YTM"),FG_YIELD(-1AM,,,,"YTM"))&lt;/Q&gt;&lt;R&gt;1&lt;/R&gt;&lt;C&gt;1&lt;/C&gt;&lt;D xsi:type="xsd:double"&gt;9.931977&lt;/D&gt;&lt;/FQL&gt;&lt;FQL&gt;&lt;Q&gt;CC_AU^FG_COMPANY_NAME&lt;/Q&gt;&lt;R&gt;1&lt;/R&gt;&lt;C&gt;1&lt;/C&gt;&lt;D xsi:type="xsd:string"&gt;Australia&lt;/D&gt;&lt;/FQL&gt;&lt;FQL&gt;&lt;Q&gt;EWN^FG_PRICE_MAVG(0,,,,30)&lt;/Q&gt;&lt;R&gt;1&lt;/R&gt;&lt;C&gt;1&lt;/C&gt;&lt;D xsi:type="xsd:double"&gt;46.608833&lt;/D&gt;&lt;/FQL&gt;&lt;FQL&gt;&lt;Q&gt;EWA^FG_PRICE_MAVG(0,,,,60)&lt;/Q&gt;&lt;R&gt;1&lt;/R&gt;&lt;C&gt;1&lt;/C&gt;&lt;D xsi:type="xsd:double"&gt;23.676332&lt;/D&gt;&lt;/FQL&gt;&lt;FQL&gt;&lt;Q&gt;EWJ^FMA_PCT_ABOVE_MAVG(200,0,,,,"PORTAGG")&lt;/Q&gt;&lt;R&gt;1&lt;/R&gt;&lt;C&gt;1&lt;/C&gt;&lt;D xsi:type="xsd:double"&gt;69.9115044247788&lt;/D&gt;&lt;/FQL&gt;&lt;FQL&gt;&lt;Q&gt;TRYNL10Y-FDS^FG_YIELD(0,,,,"YTM")&lt;/Q&gt;&lt;R&gt;1&lt;/R&gt;&lt;C&gt;1&lt;/C&gt;&lt;D xsi:type="xsd:double"&gt;2.724&lt;/D&gt;&lt;/FQL&gt;&lt;FQL&gt;&lt;Q&gt;CC_NZ^IMF_IFS_RCPI_Q(0)&lt;/Q&gt;&lt;R&gt;1&lt;/R&gt;&lt;C&gt;1&lt;/C&gt;&lt;D xsi:type="xsd:double"&gt;4.655029&lt;/D&gt;&lt;/FQL&gt;&lt;FQL&gt;&lt;Q&gt;EWD^FMA_PE(NTMA,0,,,"PORTAGG","MEANR")&lt;/Q&gt;&lt;R&gt;1&lt;/R&gt;&lt;C&gt;1&lt;/C&gt;&lt;D xsi:type="xsd:double"&gt;15.870621943015&lt;/D&gt;&lt;/FQL&gt;&lt;FQL&gt;&lt;Q&gt;EWG^JULIAN(FMA_DIV_YLD(NTMA,NOW,NOW,M,"PORTAGG","MEANR").DATES)&lt;/Q&gt;&lt;R&gt;1&lt;/R&gt;&lt;C&gt;1&lt;/C&gt;&lt;D xsi:type="xsd:long"&gt;45350&lt;/D&gt;&lt;/FQL&gt;&lt;FQL&gt;&lt;Q&gt;EWU^FG_PRICE_MAVG(0,,,,200)&lt;/Q&gt;&lt;R&gt;1&lt;/R&gt;&lt;C&gt;1&lt;/C&gt;&lt;D xsi:type="xsd:double"&gt;32.2178&lt;/D&gt;&lt;/FQL&gt;&lt;FQL&gt;&lt;Q&gt;EWL^JULIAN(FMA_DIV_YLD(NTMA,NOW,NOW,M,"PORTAGG","MEANR").DATES)&lt;/Q&gt;&lt;R&gt;1&lt;/R&gt;&lt;C&gt;1&lt;/C&gt;&lt;D xsi:type="xsd:long"&gt;45350&lt;/D&gt;&lt;/FQL&gt;&lt;FQL&gt;&lt;Q&gt;TRYBR10Y-FDS^FG_YIELD(-10AY,0,Y,,"YTM")&lt;/Q&gt;&lt;R&gt;10&lt;/R&gt;&lt;C&gt;1&lt;/C&gt;&lt;D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xsi:type="xsd:double"&gt;10.455909&lt;/D&gt;&lt;/FQL&gt;&lt;FQL&gt;&lt;Q&gt;CC_NZ^FG_COMPANY_NAME&lt;/Q&gt;&lt;R&gt;1&lt;/R&gt;&lt;C&gt;1&lt;/C&gt;&lt;D xsi:type="xsd:string"&gt;New Zealand&lt;/D&gt;&lt;/FQL&gt;&lt;FQL&gt;&lt;Q&gt;USDEUR^FG_COMPANY_NAME&lt;/Q&gt;&lt;R&gt;1&lt;/R&gt;&lt;C&gt;1&lt;/C&gt;&lt;D xsi:type="xsd:string"&gt;Euro per U.S. Dollar&lt;/D&gt;&lt;/FQL&gt;&lt;FQL&gt;&lt;Q&gt;EWI^FMA_PE(NTMA,-10AY,0,AM,"PORTAGG","MEANR")&lt;/Q&gt;&lt;R&gt;121&lt;/R&gt;&lt;C&gt;1&lt;/C&gt;&lt;D xsi:type="xsd:double"&gt;12.9689501999363&lt;/D&gt;&lt;D xsi:type="xsd:double"&gt;14.2212595021542&lt;/D&gt;&lt;D xsi:type="xsd:double"&gt;14.0708482211635&lt;/D&gt;&lt;D xsi:type="xsd:double"&gt;14.1716625503396&lt;/D&gt;&lt;D xsi:type="xsd:double"&gt;14.7785325321067&lt;/D&gt;&lt;D xsi:type="xsd:double"&gt;13.6396566259806&lt;/D&gt;&lt;D xsi:type="xsd:double"&gt;14.3796105072559&lt;/D&gt;&lt;D xsi:type="xsd:double"&gt;13.2073275393212&lt;/D&gt;&lt;D xsi:type="xsd:double"&gt;12.301998011983&lt;/D&gt;&lt;D xsi:type="xsd:double"&gt;12.8090566763635&lt;/D&gt;&lt;D xsi:type="xsd:double"&gt;12.3465411669524&lt;/D&gt;&lt;D xsi:type="xsd:double"&gt;14.2793109121398&lt;/D&gt;&lt;D xsi:type="xsd:double"&gt;15.2610265141404&lt;/D&gt;&lt;D xsi:type="xsd:double"&gt;15.9388310177707&lt;/D&gt;&lt;D xsi:type="xsd:double"&gt;15.8914442549752&lt;/D&gt;&lt;D xsi:type="xsd:double"&gt;15.5045082139394&lt;/D&gt;&lt;D xsi:type="xsd:double"&gt;14.8304003267738&lt;/D&gt;&lt;D xsi:type="xsd:double"&gt;15.3796391842502&lt;/D&gt;&lt;D xsi:type="xsd:double"&gt;14.0801466921182&lt;/D&gt;&lt;D xsi:type="xsd:double"&gt;13.9538705482463&lt;/D&gt;&lt;D xsi:type="xsd:double"&gt;14.7557754064176&lt;/D&gt;&lt;D xsi:type="xsd:double"&gt;14.5402042731772&lt;/D&gt;&lt;D xsi:type="xsd:double"&gt;13.9620651057295&lt;/D&gt;&lt;D xsi:type="xsd:double"&gt;12.4521091193606&lt;/D&gt;&lt;D xsi:type="xsd:double"&gt;13.2250057853165&lt;/D&gt;&lt;D xsi:type="xsd:double"&gt;12.7500448691093&lt;/D&gt;&lt;D xsi:type="xsd:double"&gt;12.9121217132276&lt;/D&gt;&lt;D xsi:type="xsd:double"&gt;12.7778702479836&lt;/D&gt;&lt;D xsi:type="xsd:double"&gt;11.8557083830139&lt;/D&gt;&lt;D xsi:type="xsd:double"&gt;12.0914013738476&lt;/D&gt;&lt;D xsi:type="xsd:double"&gt;12.5206266110849&lt;/D&gt;&lt;D xsi:type="xsd:double"&gt;11.6898816711743&lt;/D&gt;&lt;D xsi:type="xsd:double"&gt;11.4746380817115&lt;/D&gt;&lt;D xsi:type="xsd:double"&gt;12.014925970761&lt;/D&gt;&lt;D xsi:type="xsd:double"&gt;13.7198633185164&lt;/D&gt;&lt;D xsi:type="xsd:double"&gt;12.9864369833174&lt;/D&gt;&lt;D xsi:type="xsd:double"&gt;13.3715242527145&lt;/D&gt;&lt;D xsi:type="xsd:double"&gt;13.5088662528605&lt;/D&gt;&lt;D xsi:type="xsd:double"&gt;13.7067949014255&lt;/D&gt;&lt;D xsi:type="xsd:double"&gt;13.3007485007019&lt;/D&gt;&lt;D xsi:type="xsd:double"&gt;13.2911156316648&lt;/D&gt;&lt;D xsi:type="xsd:double"&gt;13.5749941714021&lt;/D&gt;&lt;D xsi:type="xsd:double"&gt;13.3394042700422&lt;/D&gt;&lt;D xsi:type="xsd:double"&gt;13.5974383722529&lt;/D&gt;&lt;D xsi:type="xsd:double"&gt;13.7293486959989&lt;/D&gt;&lt;D xsi:type="xsd:double"&gt;13.4160196237327&lt;/D&gt;&lt;D xsi:type="xsd:double"&gt;13.2546031444468&lt;/D&gt;&lt;D xsi:type="xsd:double"&gt;13.0654642426309&lt;/D&gt;&lt;D xsi:type="xsd:double"&gt;12.3046923683967&lt;/D&gt;&lt;D xsi:type="xsd:double"&gt;12.4075853450745&lt;/D&gt;&lt;D xsi:type="xsd:double"&gt;13.2173491316891&lt;/D&gt;&lt;D xsi:type="xsd:double"&gt;11.7130393439483&lt;/D&gt;&lt;D xsi:type="xsd:double"&gt;11.4468033693622&lt;/D&gt;&lt;D xsi:type="xsd:double"&gt;11.3942858634379&lt;/D&gt;&lt;D xsi:type="xsd:double"&gt;10.6164346981033&lt;/D&gt;&lt;D xsi:type="xsd:double"&gt;10.5721799142306&lt;/D&gt;&lt;D xsi:type="xsd:double"&gt;9.94002956158159&lt;/D&gt;&lt;D xsi:type="xsd:double"&gt;9.60087780931526&lt;/D&gt;&lt;D xsi:type="xsd:double"&gt;9.42590620139115&lt;/D&gt;&lt;D xsi:type="xsd:double"&gt;9.90666269821955&lt;/D&gt;&lt;D xsi:type="xsd:double"&gt;10.4786916959104&lt;/D&gt;&lt;D xsi:type="xsd:double"&gt;10.923163395018&lt;/D&gt;&lt;D xsi:type="xsd:double"&gt;10.8935892251122&lt;/D&gt;&lt;D xsi:type="xsd:double"&gt;9.95473517348031&lt;/D&gt;&lt;D xsi:type="xsd:double"&gt;10.8047167214337&lt;/D&gt;&lt;D xsi:type="xsd:double"&gt;10.3747233306414&lt;/D&gt;&lt;D xsi:type="xsd:double"&gt;10.6711153335973&lt;/D&gt;&lt;D xsi:type="xsd:double"&gt;10.4737335321711&lt;/D&gt;&lt;D xsi:type="xsd:double"&gt;11.3452837013623&lt;/D&gt;&lt;D xsi:type="xsd:double"&gt;11.15020385013&lt;/D&gt;&lt;D xsi:type="xsd:double"&gt;11.4631351033453&lt;/D&gt;&lt;D xsi:type="xsd:double"&gt;11.4889814663776&lt;/D&gt;&lt;D xsi:type="xsd:double"&gt;10.5287998030365&lt;/D&gt;&lt;D xsi:type="xsd:double"&gt;9.5976681545152&lt;/D&gt;&lt;D xsi:type="xsd:double"&gt;12.9695299896013&lt;/D&gt;&lt;D xsi:type="xsd:double"&gt;17.6544194630382&lt;/D&gt;&lt;D xsi:type="xsd:double"&gt;17.9760991754632&lt;/D&gt;&lt;D xsi:type="xsd:double"&gt;16.491571431043&lt;/D&gt;&lt;D xsi:type="xsd:double"&gt;15.5007221673687&lt;/D&gt;&lt;D xsi:type="xsd:double"&gt;14.5590336185972&lt;/D&gt;&lt;D xsi:type="xsd:double"&gt;14.0379655693388&lt;/D&gt;&lt;D xsi:type="xsd:double"&gt;15.1804070132994&lt;/D&gt;&lt;D xsi:type="xsd:double"&gt;14.7743712672419&lt;/D&gt;&lt;D xsi:type="xsd:double"&gt;14.0779901231629&lt;/D&gt;&lt;D xsi:type="xsd:double"&gt;13.5098077828441&lt;/D&gt;&lt;D xsi:type="xsd:double"&gt;14.0471705125076&lt;/D&gt;&lt;D xsi:type="xsd:double"&gt;13.3022681019328&lt;/D&gt;&lt;D xsi:type="xsd:double"&gt;13.7319688728286&lt;/D&gt;&lt;D xsi:type="xsd:double"&gt;13.4337090345574&lt;/D&gt;&lt;D xsi:type="xsd:double"&gt;12.1118347771608&lt;/D&gt;&lt;D xsi:type="xsd:double"&gt;11.9288059196513&lt;/D&gt;&lt;D xsi:type="xsd:double"&gt;11.511751906207&lt;/D&gt;&lt;D xsi:type="xsd:double"&gt;11.7955687332937&lt;/D&gt;&lt;D xsi:type="xsd:double"&gt;10.6649134370866&lt;/D&gt;&lt;D xsi:type="xsd:double"&gt;11.3657601300363&lt;/D&gt;&lt;D xsi:type="xsd:double"&gt;10.5799456219617&lt;/D&gt;&lt;D xsi:type="xsd:double"&gt;8.93157367124482&lt;/D&gt;&lt;D xsi:type="xsd:double"&gt;9.75084099637307&lt;/D&gt;&lt;D xsi:type="xsd:double"&gt;9.17668325792174&lt;/D&gt;&lt;D xsi:type="xsd:double"&gt;8.76345679183419&lt;/D&gt;&lt;D xsi:type="xsd:double"&gt;7.70345533018875&lt;/D&gt;&lt;D xsi:type="xsd:double"&gt;7.7403876802686&lt;/D&gt;&lt;D xsi:type="xsd:double"&gt;7.64077774858365&lt;/D&gt;&lt;D xsi:type="xsd:double"&gt;7.5368975923427&lt;/D&gt;&lt;D xsi:type="xsd:double"&gt;8.07487083045603&lt;/D&gt;&lt;D xsi:type="xsd:double"&gt;7.88857804052585&lt;/D&gt;&lt;D xsi:type="xsd:double"&gt;7.9419834681083&lt;/D&gt;&lt;D xsi:type="xsd:double"&gt;8.41203256935796&lt;/D&gt;&lt;D xsi:type="xsd:double"&gt;8.7761051157398&lt;/D&gt;&lt;D xsi:type="xsd:double"&gt;8.49656591540779&lt;/D&gt;&lt;D xsi:type="xsd:double"&gt;8.33684161500357&lt;/D&gt;&lt;D xsi:type="xsd:double"&gt;8.54537760711136&lt;/D&gt;&lt;D xsi:type="xsd:double"&gt;8.84448989022233&lt;/D&gt;&lt;D xsi:type="xsd:double"&gt;8.38897770850312&lt;/D&gt;&lt;D xsi:type="xsd:double"&gt;8.48261079696335&lt;/D&gt;&lt;D xsi:type="xsd:double"&gt;8.00782357711585&lt;/D&gt;&lt;D xsi:type="xsd:double"&gt;8.16804802574917&lt;/D&gt;&lt;D xsi:type="xsd:double"&gt;8.6681648777691&lt;/D&gt;&lt;D xsi:type="xsd:double"&gt;8.94995350182723&lt;/D&gt;&lt;D xsi:type="xsd:double"&gt;9.00388375619441&lt;/D&gt;&lt;D xsi:type="xsd:double"&gt;9.27849633940662&lt;/D&gt;&lt;/FQL&gt;&lt;FQL&gt;&lt;Q&gt;COPP-FDS^FG_PRICE_CHANGE(0,-1AY)&lt;/Q&gt;&lt;R&gt;1&lt;/R&gt;</t>
        </r>
      </text>
    </comment>
    <comment ref="A12" authorId="0" shapeId="0" xr:uid="{580CCD5D-DF1A-4246-9923-7956AC553B39}">
      <text>
        <r>
          <rPr>
            <b/>
            <sz val="9"/>
            <color indexed="81"/>
            <rFont val="Tahoma"/>
            <family val="2"/>
          </rPr>
          <t>&lt;C&gt;1&lt;/C&gt;&lt;D xsi:type="xsd:double"&gt;-5.5419323197646&lt;/D&gt;&lt;/FQL&gt;&lt;FQL&gt;&lt;Q&gt;EWN^FG_PRICE(0)&lt;/Q&gt;&lt;R&gt;1&lt;/R&gt;&lt;C&gt;1&lt;/C&gt;&lt;D xsi:type="xsd:double"&gt;48.44&lt;/D&gt;&lt;/FQL&gt;&lt;FQL&gt;&lt;Q&gt;EWN^P_PRICE(0)/P_PRICE_LOW_PR(0,,,USD,,,"PRICE","INTRA","52W")-1&lt;/Q&gt;&lt;R&gt;1&lt;/R&gt;&lt;C&gt;1&lt;/C&gt;&lt;D xsi:type="xsd:double"&gt;0.33480287&lt;/D&gt;&lt;/FQL&gt;&lt;FQL&gt;&lt;Q&gt;EWD^FG_FCF_YIELD_NTM(0)&lt;/Q&gt;&lt;R&gt;1&lt;/R&gt;&lt;C&gt;1&lt;/C&gt;&lt;D xsi:type="xsd:double"&gt;3.7559388883394&lt;/D&gt;&lt;/FQL&gt;&lt;FQL&gt;&lt;Q&gt;EWA^FG_PRICE(0)&lt;/Q&gt;&lt;R&gt;1&lt;/R&gt;&lt;C&gt;1&lt;/C&gt;&lt;D xsi:type="xsd:double"&gt;24.02&lt;/D&gt;&lt;/FQL&gt;&lt;FQL&gt;&lt;Q&gt;EWD^FMA_DIV_YLD(NTMA,NOW,NOW,M,"PORTAGG","MEANR")&lt;/Q&gt;&lt;R&gt;1&lt;/R&gt;&lt;C&gt;1&lt;/C&gt;&lt;D xsi:type="xsd:double"&gt;3.30065745663349&lt;/D&gt;&lt;/FQL&gt;&lt;FQL&gt;&lt;Q&gt;EWG^FMA_PE(LTM,0,,,"PORTAGG","MEANR")&lt;/Q&gt;&lt;R&gt;1&lt;/R&gt;&lt;C&gt;1&lt;/C&gt;&lt;D xsi:type="xsd:double"&gt;12.7256354702503&lt;/D&gt;&lt;/FQL&gt;&lt;FQL&gt;&lt;Q&gt;QQQ^FMA_PE(LTM,0,,,"PORTAGG","MEANR")&lt;/Q&gt;&lt;R&gt;1&lt;/R&gt;&lt;C&gt;1&lt;/C&gt;&lt;D xsi:type="xsd:double"&gt;34.8909855936238&lt;/D&gt;&lt;/FQL&gt;&lt;FQL&gt;&lt;Q&gt;VWO^P_PRICE(0)/P_PRICE_HIGH_PR(0,,,USD,,,"PRICE","INTRA","52W")&lt;/Q&gt;&lt;R&gt;1&lt;/R&gt;&lt;C&gt;1&lt;/C&gt;&lt;D xsi:type="xsd:double"&gt;0.9605569&lt;/D&gt;&lt;/FQL&gt;&lt;FQL&gt;&lt;Q&gt;EWU^FG_ROE(0)&lt;/Q&gt;&lt;R&gt;1&lt;/R&gt;&lt;C&gt;1&lt;/C&gt;&lt;D xsi:type="xsd:double"&gt;15.7516914910147&lt;/D&gt;&lt;/FQL&gt;&lt;FQL&gt;&lt;Q&gt;EWD^FMA_PE(NTMA,-10AY,0,AM,"PORTAGG","MEANR")&lt;/Q&gt;&lt;R&gt;121&lt;/R&gt;&lt;C&gt;1&lt;/C&gt;&lt;D xsi:type="xsd:double"&gt;15.9145806978317&lt;/D&gt;&lt;D xsi:type="xsd:double"&gt;15.9093508116535&lt;/D&gt;&lt;D xsi:type="xsd:double"&gt;15.6444081505704&lt;/D&gt;&lt;D xsi:type="xsd:double"&gt;15.853796393959&lt;/D&gt;&lt;D xsi:type="xsd:double"&gt;15.8493885641385&lt;/D&gt;&lt;D xsi:type="xsd:double"&gt;15.163305978966&lt;/D&gt;&lt;D xsi:type="xsd:double"&gt;14.7973149005033&lt;/D&gt;&lt;D xsi:type="xsd:double"&gt;14.3306098956464&lt;/D&gt;&lt;D xsi:type="xsd:double"&gt;15.1379904937799&lt;/D&gt;&lt;D xsi:type="xsd:double"&gt;15.56812668895&lt;/D&gt;&lt;D xsi:type="xsd:double"&gt;15.580527381065&lt;/D&gt;&lt;D xsi:type="xsd:double"&gt;16.2558739834123&lt;/D&gt;&lt;D xsi:type="xsd:double"&gt;17.0672706736385&lt;/D&gt;&lt;D xsi:type="xsd:double"&gt;17.0216798453716&lt;/D&gt;&lt;D xsi:type="xsd:double"&gt;15.8770949216739&lt;/D&gt;&lt;D xsi:type="xsd:double"&gt;16.2381145879512&lt;/D&gt;&lt;D xsi:type="xsd:double"&gt;15.5856786497829&lt;/D&gt;&lt;D xsi:type="xsd:double"&gt;15.8974078514511&lt;/D&gt;&lt;D xsi:type="xsd:double"&gt;14.5337713870876&lt;/D&gt;&lt;D xsi:type="xsd:double"&gt;14.1462302046591&lt;/D&gt;&lt;D xsi:type="xsd:double"&gt;15.7638695124564&lt;/D&gt;&lt;D xsi:type="xsd:double"&gt;15.301358425341&lt;/D&gt;&lt;D xsi:type="xsd:double"&gt;14.4413252976912&lt;/D&gt;&lt;D xsi:type="xsd:double"&gt;14.62021722787&lt;/D&gt;&lt;D xsi:type="xsd:double"&gt;15.5575452499885&lt;/D&gt;&lt;D xsi:type="xsd:double"&gt;15.0125542245811&lt;/D&gt;&lt;D xsi:type="xsd:double"&gt;14.8024286787735&lt;/D&gt;&lt;D xsi:type="xsd:double"&gt;14.7761017947686&lt;/D&gt;&lt;D xsi:type="xsd:double"&gt;14.6967790020612&lt;/D&gt;&lt;D xsi:type="xsd:double"&gt;14.9968884719293&lt;/D&gt;&lt;D xsi:type="xsd:double"&gt;15.6461650170137&lt;/D&gt;&lt;D xsi:type="xsd:double"&gt;15.9178033902776&lt;/D&gt;&lt;D xsi:type="xsd:double"&gt;15.466357740438&lt;/D&gt;&lt;D xsi:type="xsd:double"&gt;15.958798335709&lt;/D&gt;&lt;D xsi:type="xsd:double"&gt;16.5733138338338&lt;/D&gt;&lt;D xsi:type="xsd:double"&gt;16.5227064130977&lt;/D&gt;&lt;D xsi:type="xsd:double"&gt;16.488603046213&lt;/D&gt;&lt;D xsi:type="xsd:double"&gt;16.9128482510411&lt;/D&gt;&lt;D xsi:type="xsd:double"&gt;17.1818242004973&lt;/D&gt;&lt;D xsi:type="xsd:double"&gt;18.0717772891166&lt;/D&gt;&lt;D xsi:type="xsd:double"&gt;16.6697160211889&lt;/D&gt;&lt;D xsi:type="xsd:double"&gt;16.1106291583542&lt;/D&gt;&lt;D xsi:type="xsd:double"&gt;15.965060274012&lt;/D&gt;&lt;D xsi:type="xsd:double"&gt;16.9648734783742&lt;/D&gt;&lt;D xsi:type="xsd:double"&gt;17.3618010522557&lt;/D&gt;&lt;D xsi:type="xsd:double"&gt;16.6024346262441&lt;/D&gt;&lt;D xsi:type="xsd:double"&gt;16.3783030690931&lt;/D&gt;&lt;D xsi:type="xsd:double"&gt;16.4732815841935&lt;/D&gt;&lt;D xsi:type="xsd:double"&gt;15.7541759072653&lt;/D&gt;&lt;D xsi:type="xsd:double"&gt;15.35327676715&lt;/D&gt;&lt;D xsi:type="xsd:double"&gt;15.820382466456&lt;/D&gt;&lt;D xsi:type="xsd:double"&gt;15.5265204930381&lt;/D&gt;&lt;D xsi:type="xsd:double"&gt;15.1698699116889&lt;/D&gt;&lt;D xsi:type="xsd:double"&gt;15.564368026137&lt;/D&gt;&lt;D xsi:type="xsd:double"&gt;15.7660969941905&lt;/D&gt;&lt;D xsi:type="xsd:double"&gt;15.7656655373605&lt;/D&gt;&lt;D xsi:type="xsd:double"&gt;14.6065068232269&lt;/D&gt;&lt;D xsi:type="xsd:double"&gt;14.0917756118493&lt;/D&gt;&lt;D xsi:type="xsd:double"&gt;13.6203556981464&lt;/D&gt;&lt;D xsi:type="xsd:double"&gt;14.2367223706847&lt;/D&gt;&lt;D xsi:type="xsd:double"&gt;14.9217633132031&lt;/D&gt;&lt;D xsi:type="xsd:double"&gt;15.1447969729997&lt;/D&gt;&lt;D xsi:type="xsd:double"&gt;15.6580015974668&lt;/D&gt;&lt;D xsi:type="xsd:double"&gt;14.2765890157834&lt;/D&gt;&lt;D xsi:type="xsd:double"&gt;15.2217776614731&lt;/D&gt;&lt;D xsi:type="xsd:double"&gt;14.5782762503662&lt;/D&gt;&lt;D xsi:type="xsd:double"&gt;13.9464444448238&lt;/D&gt;&lt;D xsi:type="xsd:double"&gt;14.5253212487074&lt;/D&gt;&lt;D xsi:type="xsd:double"&gt;16.0299800755742&lt;/D&gt;&lt;D xsi:type="xsd:double"&gt;15.5720623889083&lt;/D&gt;&lt;D xsi:type="xsd:double"&gt;16.2353785640944&lt;/D&gt;&lt;D xsi:type="xsd:double"&gt;16.4697789450216&lt;/D&gt;&lt;D xsi:type="xsd:double"&gt;15.3606499745586&lt;/D&gt;&lt;D xsi:type="xsd:double"&gt;14.2429721899089&lt;/D&gt;&lt;D xsi:type="xsd:double"&gt;17.3068551738066&lt;/D&gt;&lt;D xsi:type="xsd:double"&gt;19.6086734973416&lt;/D&gt;&lt;D xsi:type="xsd:double"&gt;19.6962540272857&lt;/D&gt;&lt;D xsi:type="xsd:double"&gt;18.4478823576681&lt;/D&gt;&lt;D xsi:type="xsd:double"&gt;17.9733322972651&lt;/D&gt;&lt;D xsi:type="xsd:double"&gt;18.1470522811909&lt;/D&gt;&lt;D xsi:type="xsd:double"&gt;16.330639150606&lt;/D&gt;&lt;D xsi:type="xsd:double"&gt;17.3762929965275&lt;/D&gt;&lt;D xsi:type="xsd:double"&gt;18.1626013899605&lt;/D&gt;&lt;D xsi:type="xsd:double"&gt;19.0206051159409&lt;/D&gt;&lt;D xsi:type="xsd:double"&gt;19.239814280483&lt;/D&gt;&lt;D xsi:type="xsd:double"&gt;20.2750642239152&lt;/D&gt;&lt;D xsi:type="xsd:double"&gt;17.7102747895429&lt;/D&gt;&lt;D xsi:type="xsd:double"&gt;18.678738749802&lt;/D&gt;&lt;D xsi:type="xsd:double"&gt;18.6967713787255&lt;/D&gt;&lt;D xsi:type="xsd:double"&gt;18.6593898138268&lt;/D&gt;&lt;D xsi:type="xsd:double"&gt;18.6210488248724&lt;/D&gt;&lt;D xsi:type="xsd:double"&gt;17.6172395888089&lt;/D&gt;&lt;D xsi:type="xsd:double"&gt;18.5761582596282&lt;/D&gt;&lt;D xsi:type="xsd:double"&gt;18.3813314189373&lt;/D&gt;&lt;D xsi:type="xsd:double"&gt;18.8499718673322&lt;/D&gt;&lt;D xsi:type="xsd:double"&gt;16.3173333325732&lt;/D&gt;&lt;D xsi:type="xsd:double"&gt;14.0150025784833&lt;/D&gt;&lt;D xsi:type="xsd:double"&gt;15.3836944739876&lt;/D&gt;&lt;D xsi:type="xsd:double"&gt;14.1800480480437&lt;/D&gt;&lt;D xsi:type="xsd:double"&gt;16.2081109684652&lt;/D&gt;&lt;D xsi:type="xsd:double"&gt;14.1175286908588&lt;/D&gt;&lt;D xsi:type="xsd:double"&gt;15.1150235886553&lt;/D&gt;&lt;D xsi:type="xsd:double"&gt;13.9407914784345&lt;/D&gt;&lt;D xsi:type="xsd:double"&gt;13.6457374578255&lt;/D&gt;&lt;D xsi:type="xsd:double"&gt;12.6298503986909&lt;/D&gt;&lt;D xsi:type="xsd:double"&gt;13.2020133958543&lt;/D&gt;&lt;D xsi:type="xsd:double"&gt;13.0640349450541&lt;/D&gt;&lt;D xsi:type="xsd:double"&gt;14.5470689674175&lt;/D&gt;&lt;D xsi:type="xsd:double"&gt;14.2596382117256&lt;/D&gt;&lt;D xsi:type="xsd:double"&gt;13.7710976189543&lt;/D&gt;&lt;D xsi:type="xsd:double"&gt;13.5747628484398&lt;/D&gt;&lt;D xsi:type="xsd:double"&gt;13.6792109600104&lt;/D&gt;&lt;D xsi:type="xsd:double"&gt;13.5505958179827&lt;/D&gt;&lt;D xsi:type="xsd:double"&gt;13.1148555301017&lt;/D&gt;&lt;D xsi:type="xsd:double"&gt;12.9963127514576&lt;/D&gt;&lt;D xsi:type="xsd:double"&gt;12.6074397527864&lt;/D&gt;&lt;D xsi:type="xsd:double"&gt;12.8675068628209&lt;/D&gt;&lt;D xsi:type="xsd:double"&gt;14.6783867863966&lt;/D&gt;&lt;D xsi:type="xsd:double"&gt;15.3592788834937&lt;/D&gt;&lt;D xsi:type="xsd:double"&gt;15.6260785549776&lt;/D&gt;&lt;D xsi:type="xsd:double"&gt;15.870621943015&lt;/D&gt;&lt;/FQL&gt;&lt;FQL&gt;&lt;Q&gt;PASP-FDS^FG_PRICE_CHANGE(0,-1AM)&lt;/Q&gt;&lt;R&gt;1&lt;/R&gt;&lt;C&gt;1&lt;/C&gt;&lt;D xsi:type="xsd:double"&gt;-0.826446280991733&lt;/D&gt;&lt;/FQL&gt;&lt;FQL&gt;&lt;Q&gt;EWA^FG_PRICE_MAVG(0,,,,30)&lt;/Q&gt;&lt;R&gt;1&lt;/R&gt;&lt;C&gt;1&lt;/C&gt;&lt;D xsi:type="xsd:double"&gt;23.673&lt;/D&gt;&lt;/FQL&gt;&lt;FQL&gt;&lt;Q&gt;EWN^P_PRICE(0)/P_PRICE_HIGH_PR(0,,,USD,,,"PRICE","INTRA","52W")&lt;/Q&gt;&lt;R&gt;1&lt;/R&gt;&lt;C&gt;1&lt;/C&gt;&lt;D xsi:type="xsd:double"&gt;0.99650276&lt;/D&gt;&lt;/FQL&gt;&lt;FQL&gt;&lt;Q&gt;EWG^PERCENT_CHANGE(FMA_EPS(+1,0,,,,"PORTAGG","MEAN"),FMA_EPS(+1,-3AM,,,,"PORTAGG","MEAN"))&lt;/Q&gt;&lt;R&gt;1&lt;/R&gt;&lt;C&gt;1&lt;/C&gt;&lt;D xsi:type="xsd:double"&gt;-6.44786954518065&lt;/D&gt;&lt;/FQL&gt;&lt;FQL&gt;&lt;Q&gt;EWC^FMA_RBICS_REV_CURRENT(30, LOC, "PORTAGG")&lt;/Q&gt;&lt;R&gt;1&lt;/R&gt;&lt;C&gt;1&lt;/C&gt;&lt;D xsi:type="xsd:double"&gt;40.9198307473676&lt;/D&gt;&lt;/FQL&gt;&lt;FQL&gt;&lt;Q&gt;TRYFR10Y-FDS^FG_YIELD(0,,,,"YTM")&lt;/Q&gt;&lt;R&gt;1&lt;/R&gt;&lt;C&gt;1&lt;/C&gt;&lt;D xsi:type="xsd:double"&gt;2.88&lt;/D&gt;&lt;/FQL&gt;&lt;FQL&gt;&lt;Q&gt;QQQ^FMA_DIV_YLD(NTMA,NOW,NOW,M,"PORTAGG","MEANR")&lt;/Q&gt;&lt;R&gt;1&lt;/R&gt;&lt;C&gt;1&lt;/C&gt;&lt;D xsi:type="xsd:double"&gt;0.873570101366551&lt;/D&gt;&lt;/FQL&gt;&lt;FQL&gt;&lt;Q&gt;EWC^PERCENT_CHANGE(FMA_EPS(+1,0,,,,"PORTAGG","MEAN"),FMA_EPS(+1,-1AM,,,,"PORTAGG","MEAN"))&lt;/Q&gt;&lt;R&gt;1&lt;/R&gt;&lt;C&gt;1&lt;/C&gt;&lt;D xsi:type="xsd:double"&gt;-5.52652668781151&lt;/D&gt;&lt;/FQL&gt;&lt;FQL&gt;&lt;Q&gt;TRYVN10Y-FDS^FG_YIELD(-10AY,0,Y,,"YTM")&lt;/Q&gt;&lt;R&gt;10&lt;/R&gt;&lt;C&gt;1&lt;/C&gt;&lt;D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xsi:type="xsd:double"&gt;2.9473283&lt;/D&gt;&lt;/FQL&gt;&lt;FQL&gt;&lt;Q&gt;USDCAD^STD(FG_PRICE_CHANGE(0,-3AY,M))&lt;/Q&gt;&lt;R&gt;1&lt;/R&gt;&lt;C&gt;1&lt;/C&gt;&lt;D xsi:type="xsd:double"&gt;1.88393951090363&lt;/D&gt;&lt;/FQL&gt;&lt;FQL&gt;&lt;Q&gt;USDSEK^FG_PRICE(0)&lt;/Q&gt;&lt;R&gt;1&lt;/R&gt;&lt;C&gt;1&lt;/C&gt;&lt;D xsi:type="xsd:double"&gt;10.35235&lt;/D&gt;&lt;/FQL&gt;&lt;FQL&gt;&lt;Q&gt;USDCAD^STD(FG_PRICE_CHANGE(0,-1AY,AM))&lt;/Q&gt;&lt;R&gt;1&lt;/R&gt;&lt;C&gt;1&lt;/C&gt;&lt;D xsi:type="xsd:double"&gt;1.33607263357915&lt;/D&gt;&lt;/FQL&gt;&lt;FQL&gt;&lt;Q&gt;EWN^FMA_PE(NTMA,-10AY,0,AM,"PORTAGG","MEANR")&lt;/Q&gt;&lt;R&gt;121&lt;/R&gt;&lt;C&gt;1&lt;/C&gt;&lt;D xsi:type="xsd:double"&gt;14.2135660583974&lt;/D&gt;&lt;D xsi:type="xsd:double"&gt;14.418707515667&lt;/D&gt;&lt;D xsi:type="xsd:double"&gt;14.0451316802475&lt;/D&gt;&lt;D xsi:type="xsd:double"&gt;14.3800567280407&lt;/D&gt;&lt;D xsi:type="xsd:double"&gt;14.7610889154335&lt;/D&gt;&lt;D xsi:type="xsd:double"&gt;13.7294911063854&lt;/D&gt;&lt;D xsi:type="xsd:double"&gt;14.7653683477746&lt;/D&gt;&lt;D xsi:type="xsd:double"&gt;14.3962121736047&lt;/D&gt;&lt;D xsi:type="xsd:double"&gt;14.4135973072754&lt;/D&gt;&lt;D xsi:type="xsd:double"&gt;15.0439316831914&lt;/D&gt;&lt;D xsi:type="xsd:double"&gt;14.7415881880381&lt;/D&gt;&lt;D xsi:type="xsd:double"&gt;15.7019018979136&lt;/D&gt;&lt;D xsi:type="xsd:double"&gt;17.0136250070939&lt;/D&gt;&lt;D xsi:type="xsd:double"&gt;17.2941740768059&lt;/D&gt;&lt;D xsi:type="xsd:double"&gt;16.9538857876576&lt;/D&gt;&lt;D xsi:type="xsd:double"&gt;16.7297485233588&lt;/D&gt;&lt;D xsi:type="xsd:double"&gt;16.3203363371118&lt;/D&gt;&lt;D xsi:type="xsd:double"&gt;16.9682422223256&lt;/D&gt;&lt;D xsi:type="xsd:double"&gt;14.6664536541852&lt;/D&gt;&lt;D xsi:type="xsd:double"&gt;14.3419530965628&lt;/D&gt;&lt;D xsi:type="xsd:double"&gt;16.078528391647&lt;/D&gt;&lt;D xsi:type="xsd:double"&gt;15.7565480733989&lt;/D&gt;&lt;D xsi:type="xsd:double"&gt;15.0388291543828&lt;/D&gt;&lt;D xsi:type="xsd:double"&gt;14.6044140747346&lt;/D&gt;&lt;D xsi:type="xsd:double"&gt;15.1896219004673&lt;/D&gt;&lt;D xsi:type="xsd:double"&gt;15.1561427806192&lt;/D&gt;&lt;D xsi:type="xsd:double"&gt;14.603579269761&lt;/D&gt;&lt;D xsi:type="xsd:double"&gt;15.0861469584859&lt;/D&gt;&lt;D xsi:type="xsd:double"&gt;14.211112750831&lt;/D&gt;&lt;D xsi:type="xsd:double"&gt;14.5524481630844&lt;/D&gt;&lt;D xsi:type="xsd:double"&gt;15.3407069268504&lt;/D&gt;&lt;D xsi:type="xsd:double"&gt;15.0830307082648&lt;/D&gt;&lt;D xsi:type="xsd:double"&gt;14.2561430437559&lt;/D&gt;&lt;D xsi:type="xsd:double"&gt;14.2262921960439&lt;/D&gt;&lt;D xsi:type="xsd:double"&gt;15.1317023246567&lt;/D&gt;&lt;D xsi:type="xsd:double"&gt;15.1490347352061&lt;/D&gt;&lt;D xsi:type="xsd:double"&gt;15.8009171850079&lt;/D&gt;&lt;D xsi:type="xsd:double"&gt;16.0042483804641&lt;/D&gt;&lt;D xsi:type="xsd:double"&gt;16.6083855987058&lt;/D&gt;&lt;D xsi:type="xsd:double"&gt;16.396469374385&lt;/D&gt;&lt;D xsi:type="xsd:double"&gt;15.7501055642313&lt;/D&gt;&lt;D xsi:type="xsd:double"&gt;16.0716205213413&lt;/D&gt;&lt;D xsi:type="xsd:double"&gt;15.6909424418986&lt;/D&gt;&lt;D xsi:type="xsd:double"&gt;16.1080941462545&lt;/D&gt;&lt;D xsi:type="xsd:double"&gt;16.421423660795&lt;/D&gt;&lt;D xsi:type="xsd:double"&gt;15.8832519495267&lt;/D&gt;&lt;D xsi:type="xsd:double"&gt;16.1081624498857&lt;/D&gt;&lt;D xsi:type="xsd:double"&gt;16.011029812542&lt;/D&gt;&lt;D xsi:type="xsd:double"&gt;15.1871700478783&lt;/D&gt;&lt;D xsi:type="xsd:double"&gt;15.2429707910015&lt;/D&gt;&lt;D xsi:type="xsd:double"&gt;15.6208701701628&lt;/D&gt;&lt;D xsi:type="xsd:double"&gt;15.8205115180746&lt;/D&gt;&lt;D xsi:type="xsd:double"&gt;15.4454391834472&lt;/D&gt;&lt;D xsi:type="xsd:double"&gt;15.9445439213679&lt;/D&gt;&lt;D xsi:type="xsd:double"&gt;15.497601097526&lt;/D&gt;&lt;D xsi:type="xsd:double"&gt;14.7537683106234&lt;/D&gt;&lt;D xsi:type="xsd:double"&gt;14.2175372558626&lt;/D&gt;&lt;D xsi:type="xsd:double"&gt;14.1374857249048&lt;/D&gt;&lt;D xsi:type="xsd:double"&gt;13.120370306583&lt;/D&gt;&lt;D xsi:type="xsd:double"&gt;14.2087512348359&lt;/D&gt;&lt;D xsi:type="xsd:double"&gt;15.0009042817828&lt;/D&gt;&lt;D xsi:type="xsd:double"&gt;15.5192273397544&lt;/D&gt;&lt;D xsi:type="xsd:double"&gt;15.7858604141071&lt;/D&gt;&lt;D xsi:type="xsd:double"&gt;14.9799713441675&lt;/D&gt;&lt;D xsi:type="xsd:double"&gt;15.7382749530245&lt;/D&gt;&lt;D xsi:type="xsd:double"&gt;15.3613052878032&lt;/D&gt;&lt;D xsi:type="xsd:double"&gt;15.6661311663915&lt;/D&gt;&lt;D xsi:type="xsd:double"&gt;15.9062927151525&lt;/D&gt;&lt;D xsi:type="xsd:double"&gt;16.4612623214344&lt;/D&gt;&lt;D xsi:type="xsd:double"&gt;16.53655627522&lt;/D&gt;&lt;D xsi:type="xsd:double"&gt;17.1873998153889&lt;/D&gt;&lt;D xsi:type="xsd:double"&gt;17.3116125540237&lt;/D&gt;&lt;D xsi:type="xsd:double"&gt;16.2725019714599&lt;/D&gt;&lt;D xsi:type="xsd:double"&gt;14.0657699374322&lt;/D&gt;&lt;D xsi:type="xsd:double"&gt;16.7837318948459&lt;/D&gt;&lt;D xsi:type="xsd:double"&gt;19.3582961816099&lt;/D&gt;&lt;D xsi:type="xsd:double"&gt;19.8346728837101&lt;/D&gt;&lt;D xsi:type="xsd:double"&gt;19.8699556901521&lt;/D&gt;&lt;D xsi:type="xsd:double"&gt;19.1851884180544&lt;/D&gt;&lt;D xsi:type="xsd:double"&gt;19.4526676632613&lt;/D&gt;&lt;D xsi:type="xsd:double"&gt;19.5392742750028&lt;/D&gt;&lt;D xsi:type="xsd:double"&gt;20.5535144995925&lt;/D&gt;&lt;D xsi:type="xsd:double"&gt;20.7947347911555&lt;/D&gt;&lt;D xsi:type="xsd:double"&gt;21.7830216283646&lt;/D&gt;&lt;D xsi:type="xsd:double"&gt;20.9576466091829&lt;/D&gt;&lt;D xsi:type="xsd:double"&gt;22.7386617085589&lt;/D&gt;&lt;D xsi:type="xsd:double"&gt;21.2908190435194&lt;/D&gt;&lt;D xsi:type="xsd:double"&gt;21.3284086523289&lt;/D&gt;&lt;D xsi:type="xsd:double"&gt;21.3058755207648&lt;/D&gt;&lt;D xsi:type="xsd:double"&gt;21.7471664019874&lt;/D&gt;&lt;D xsi:type="xsd:double"&gt;21.9478951637422&lt;/D&gt;&lt;D xsi:type="xsd:double"&gt;19.8970361525138&lt;/D&gt;&lt;D xsi:type="xsd:double"&gt;21.6208439913169&lt;/D&gt;&lt;D xsi:type="xsd:double"&gt;19.773992773068&lt;/D&gt;&lt;D xsi:type="xsd:double"&gt;20.6173908746817&lt;/D&gt;&lt;D xsi:type="xsd:double"&gt;18.2609067744502&lt;/D&gt;&lt;D xsi:type="xsd:double"&gt;16.2720875388512&lt;/D&gt;&lt;D xsi:type="xsd:double"&gt;18.5916895804458&lt;/D&gt;&lt;D xsi:type="xsd:double"&gt;16.8180125893736&lt;/D&gt;&lt;D xsi:type="xsd:double"&gt;17.2274205339076&lt;/D&gt;&lt;D xsi:type="xsd:double"&gt;15.8399376892068&lt;/D&gt;&lt;D xsi:type="xsd:double"&gt;18.1562179065952&lt;/D&gt;&lt;D xsi:type="xsd:double"&gt;15.9523177472139&lt;/D&gt;&lt;D xsi:type="xsd:double"&gt;15.2188563796483&lt;/D&gt;&lt;D xsi:type="xsd:double"&gt;14.9663822434631&lt;/D&gt;&lt;D xsi:type="xsd:double"&gt;16.4611003122291&lt;/D&gt;&lt;D xsi:type="xsd:double"&gt;16.1219242527655&lt;/D&gt;&lt;D xsi:type="xsd:double"&gt;17.3668687115047&lt;/D&gt;&lt;D xsi:type="xsd:double"&gt;16.710047956736&lt;/D&gt;&lt;D xsi:type="xsd:double"&gt;16.4472127356785&lt;/D&gt;&lt;D xsi:type="xsd:double"&gt;15.5571081627764&lt;/D&gt;&lt;D xsi:type="xsd:double"&gt;15.7498044532279&lt;/D&gt;&lt;D xsi:type="xsd:double"&gt;15.9369598527387&lt;/D&gt;&lt;D xsi:type="xsd:double"&gt;15.6771867592415&lt;/D&gt;&lt;D xsi:type="xsd:double"&gt;14.7364793744004&lt;/D&gt;&lt;D xsi:type="xsd:double"&gt;13.3892221550472&lt;/D&gt;&lt;D xsi:type="xsd:double"&gt;13.8966704821205&lt;/D&gt;&lt;D xsi:type="xsd:double"&gt;14.6009605588415&lt;/D&gt;&lt;D xsi:type="xsd:double"&gt;14.7447617716396&lt;/D&gt;&lt;D xsi:type="xsd:double"&gt;15.7874212985246&lt;/D&gt;&lt;D xsi:type="xsd:double"&gt;18.5715482653789&lt;/D&gt;&lt;/FQL&gt;&lt;FQL&gt;&lt;Q&gt;PASP-FDS^FG_PRICE_MAVG(0,,,,30)&lt;/Q&gt;&lt;R&gt;1&lt;/R&gt;&lt;C&gt;1&lt;/C&gt;&lt;D xsi:type="xsd:double"&gt;953.93335&lt;/D&gt;&lt;/FQL&gt;&lt;FQL&gt;&lt;Q&gt;EWQ^FG_PRICE_MAVG(0,,,,60)&lt;/Q&gt;&lt;R&gt;1&lt;/R&gt;&lt;C&gt;1&lt;/C&gt;&lt;D xsi:type="xsd:double"&gt;38.83725&lt;/D&gt;&lt;/FQL&gt;&lt;FQL&gt;&lt;Q&gt;ENZL^FG_PRICE_MAVG(0,,,,60)&lt;/Q&gt;&lt;R&gt;1&lt;/R&gt;&lt;C&gt;1&lt;/C&gt;&lt;D xsi:type="xsd:double"&gt;46.701084&lt;/D&gt;&lt;/FQL&gt;&lt;FQL&gt;&lt;Q&gt;FXI^P_PRICE(0)/P_PRICE_LOW_PR(0,,,USD,,,"PRICE","INTRA","52W")-1&lt;/Q&gt;&lt;R&gt;1&lt;/R&gt;&lt;C&gt;1&lt;/C&gt;&lt;D xsi:type="xsd:double"&gt;0.12128472&lt;/D&gt;&lt;/FQL&gt;&lt;FQL&gt;&lt;Q&gt;EWN^FG_TOTAL_RETURNC(0,-6AM)&lt;/Q&gt;&lt;R&gt;1&lt;/R&gt;&lt;C&gt;1&lt;/C&gt;&lt;D xsi:type="xsd:double"&gt;18.719196&lt;/D&gt;&lt;/FQL&gt;&lt;FQL&gt;&lt;Q&gt;EWG^FG_TOTAL_RETURNC(0,-3AM)&lt;/Q&gt;&lt;R&gt;1&lt;/R&gt;&lt;C&gt;1&lt;/C&gt;&lt;D xsi:type="xsd:double"&gt;7.303107&lt;/D&gt;&lt;/FQL&gt;&lt;FQL&gt;&lt;Q&gt;USO^FG_TOTAL_RETURNC(0,-1AM)&lt;/Q&gt;&lt;R&gt;1&lt;/R&gt;&lt;C&gt;1&lt;/C&gt;&lt;D xsi:type="xsd:double"&gt;9.628201&lt;/D&gt;&lt;/FQL&gt;&lt;FQL&gt;&lt;Q&gt;USDSEK^FG_COMPANY_NAME&lt;/Q&gt;&lt;R&gt;1&lt;/R&gt;&lt;C&gt;1&lt;/C&gt;&lt;D xsi:type="xsd:string"&gt;Swedish Krona per U.S. Dollar&lt;/D&gt;&lt;/FQL&gt;&lt;FQL&gt;&lt;Q&gt;USDAUD^FG_COMPANY_NAME&lt;/Q&gt;&lt;R&gt;1&lt;/R&gt;&lt;C&gt;1&lt;/C&gt;&lt;D xsi:type="xsd:string"&gt;Australian Dollar per U.S. Dollar&lt;/D&gt;&lt;/FQL&gt;&lt;FQL&gt;&lt;Q&gt;COPP-FDS^FG_PRICE_MAVG(0,,,,30)&lt;/Q&gt;&lt;R&gt;1&lt;/R&gt;&lt;C&gt;1&lt;/C&gt;&lt;D xsi:type="xsd:double"&gt;3.8158166&lt;/D&gt;&lt;/FQL&gt;&lt;FQL&gt;&lt;Q&gt;FXI^P_PRICE(0)/P_PRICE_HIGH_PR(0,,,USD,,,"PRICE","INTRA","52W")&lt;/Q&gt;&lt;R&gt;1&lt;/R&gt;&lt;C&gt;1&lt;/C&gt;&lt;D xsi:type="xsd:double"&gt;0.76588076&lt;/D&gt;&lt;/FQL&gt;&lt;FQL&gt;&lt;Q&gt;EWN^FG_TOTAL_RETURNC(0,-3AM)&lt;/Q&gt;&lt;R&gt;1&lt;/R&gt;&lt;C&gt;1&lt;/C&gt;&lt;D xsi:type="xsd:double"&gt;15.379345&lt;/D&gt;&lt;/FQL&gt;&lt;FQL&gt;&lt;Q&gt;EWI^PERCENT_CHANGE(FMA_EPS(+1,0,,,,"PORTAGG","MEAN"),FMA_EPS(+1,-1AM,,,,"PORTAGG","MEAN"))&lt;/Q&gt;&lt;R&gt;1&lt;/R&gt;&lt;C&gt;1&lt;/C&gt;&lt;D xsi:type="xsd:double"&gt;3.17700928423839&lt;/D&gt;&lt;/FQL&gt;&lt;FQL&gt;&lt;Q&gt;EWC^FMA_PCT_ABOVE_MAVG(200,0,,,,"PORTAGG")&lt;/Q&gt;&lt;R&gt;1&lt;/R&gt;&lt;C&gt;1&lt;/C&gt;&lt;D xsi:type="xsd:double"&gt;61.7977528089888&lt;/D&gt;&lt;/FQL&gt;&lt;FQL&gt;&lt;Q&gt;ENZL^FMA_RBICS_REV_CURRENT(30, LOC, "PORTAGG")&lt;/Q&gt;&lt;R&gt;1&lt;/R&gt;&lt;C&gt;1&lt;/C&gt;&lt;D xsi:type="xsd:double"&gt;13.6238991435932&lt;/D&gt;&lt;/FQL&gt;&lt;FQL&gt;&lt;Q&gt;TRYUS10Y-FDS^PCTCHG(FG_YIELD(0,,,,"YTM"),FG_YIELD(-3AM,,,,"YTM"))&lt;/Q&gt;&lt;R&gt;1&lt;/R&gt;&lt;C&gt;1&lt;/C&gt;&lt;D xsi:type="xsd:double"&gt;-1.0909028&lt;/D&gt;&lt;/FQL&gt;&lt;FQL&gt;&lt;Q&gt;EWJ^FMA_PE(NTMA,-10AY,0,AM,"PORTAGG","MEANR")&lt;/Q&gt;&lt;R&gt;121&lt;/R&gt;&lt;C&gt;1&lt;/C&gt;&lt;D xsi:type="xsd:double"&gt;13.3863222457718&lt;/D&gt;&lt;D xsi:type="xsd:double"&gt;13.4367439253404&lt;/D&gt;&lt;D xsi:type="xsd:double"&gt;13.0292388408046&lt;/D&gt;&lt;D xsi:type="xsd:double"&gt;13.5868482418009&lt;/D&gt;&lt;D xsi:type="xsd:double"&gt;13.9379781926158&lt;/D&gt;&lt;D xsi:type="xsd:double"&gt;13.7377112703887&lt;/D&gt;&lt;D xsi:type="xsd:double"&gt;13.7710622815259&lt;/D&gt;&lt;D xsi:type="xsd:double"&gt;13.605547455641&lt;/D&gt;&lt;D xsi:type="xsd:double"&gt;14.3855299747179&lt;/D&gt;&lt;D xsi:type="xsd:double"&gt;14.7442469456248&lt;/D&gt;&lt;D xsi:type="xsd:double"&gt;14.2217382053288&lt;/D&gt;&lt;D xsi:type="xsd:double"&gt;14.062991963231&lt;/D&gt;&lt;D xsi:type="xsd:double"&gt;15.0420221781974&lt;/D&gt;&lt;D xsi:type="xsd:double"&gt;15.3071373737643&lt;/D&gt;&lt;D xsi:type="xsd:double"&gt;15.6441413428259&lt;/D&gt;&lt;D xsi:type="xsd:double"&gt;16.2402418749483&lt;/D&gt;&lt;D xsi:type="xsd:double"&gt;15.5409536493671&lt;/D&gt;&lt;D xsi:type="xsd:double"&gt;15.5040789231642&lt;/D&gt;&lt;D xsi:type="xsd:double"&gt;13.3308657736671&lt;/D&gt;&lt;D xsi:type="xsd:double"&gt;13.2918978074689&lt;/D&gt;&lt;D xsi:type="xsd:double"&gt;14.2206006581181&lt;/D&gt;&lt;D xsi:type="xsd:double"&gt;14.4319964693314&lt;/D&gt;&lt;D xsi:type="xsd:double"&gt;13.7050380709808&lt;/D&gt;&lt;D xsi:type="xsd:double"&gt;12.7054724080409&lt;/D&gt;&lt;D xsi:type="xsd:double"&gt;13.0918787470464&lt;/D&gt;&lt;D xsi:type="xsd:double"&gt;12.4045816644422&lt;/D&gt;&lt;D xsi:type="xsd:double"&gt;12.4604476329538&lt;/D&gt;&lt;D xsi:type="xsd:double"&gt;13.4176105000418&lt;/D&gt;&lt;D xsi:type="xsd:double"&gt;12.6818555773172&lt;/D&gt;&lt;D xsi:type="xsd:double"&gt;12.993005689561&lt;/D&gt;&lt;D xsi:type="xsd:double"&gt;13.636063568928&lt;/D&gt;&lt;D xsi:type="xsd:double"&gt;13.4009374801389&lt;/D&gt;&lt;D xsi:type="xsd:double"&gt;13.3340396907029&lt;/D&gt;&lt;D xsi:type="xsd:double"&gt;14.6070228151189&lt;/D&gt;&lt;D xsi:type="xsd:double"&gt;14.9695015700192&lt;/D&gt;&lt;D xsi:type="xsd:double"&gt;14.2633100796732&lt;/D&gt;&lt;D xsi:type="xsd:double"&gt;14.3112752079332&lt;/D&gt;&lt;D xsi:type="xsd:double"&gt;13.6830274618086&lt;/D&gt;&lt;D xsi:type="xsd:double"&gt;14.0220437262967&lt;/D&gt;&lt;D xsi:type="xsd:double"&gt;14.6177589268447&lt;/D&gt;&lt;D xsi:type="xsd:double"&gt;14.2554982317049&lt;/D&gt;&lt;D xsi:type="xsd:double"&gt;14.2334736352065&lt;/D&gt;&lt;D xsi:type="xsd:double"&gt;13.7297054110204&lt;/D&gt;&lt;D xsi:type="xsd:double"&gt;14.0654554311952&lt;/D&gt;&lt;D xsi:type="xsd:double"&gt;14.8043693202298&lt;/D&gt;&lt;D xsi:type="xsd:double"&gt;14.6507717948096&lt;/D&gt;&lt;D xsi:type="xsd:double"&gt;15.0970522527145&lt;/D&gt;&lt;D xsi:type="xsd:double"&gt;14.824058295345&lt;/D&gt;&lt;D xsi:type="xsd:double"&gt;12.8016957965391&lt;/D&gt;&lt;D xsi:type="xsd:double"&gt;12.6896517314878&lt;/D&gt;&lt;D xsi:type="xsd:double"&gt;13.1840853880057&lt;/D&gt;&lt;D xsi:type="xsd:double"&gt;13.1353984427347&lt;/D&gt;&lt;D xsi:type="xsd:double"&gt;12.6573301662808&lt;/D&gt;&lt;D xsi:type="xsd:double"&gt;12.8227895061279&lt;/D&gt;&lt;D xsi:type="xsd:double"&gt;12.5541050676413&lt;/D&gt;&lt;D xsi:type="xsd:double"&gt;13.1390534663798&lt;/D&gt;&lt;D xsi:type="xsd:double"&gt;12.1167172200331&lt;/D&gt;&lt;D xsi:type="xsd:double"&gt;12.1558547598052&lt;/D&gt;&lt;D xsi:type="xsd:double"&gt;10.9548340208761&lt;/D&gt;&lt;D xsi:type="xsd:double"&gt;12.0496570667173&lt;/D&gt;&lt;D xsi:type="xsd:double"&gt;12.6676689359415&lt;/D&gt;&lt;D xsi:type="xsd:double"&gt;12.6899105746731&lt;/D&gt;&lt;D xsi:type="xsd:double"&gt;12.7487262459767&lt;/D&gt;&lt;D xsi:type="xsd:double"&gt;12.1055156657887&lt;/D&gt;&lt;D xsi:type="xsd:double"&gt;12.9190449413411&lt;/D&gt;&lt;D xsi:type="xsd:double"&gt;12.6129597904912&lt;/D&gt;&lt;D xsi:type="xsd:double"&gt;12.5626712967727&lt;/D&gt;&lt;D xsi:type="xsd:double"&gt;13.0727555585828&lt;/D&gt;&lt;D xsi:type="xsd:double"&gt;13.8292931028441&lt;/D&gt;&lt;D xsi:type="xsd:double"&gt;14.3877073728314&lt;/D&gt;&lt;D xsi:type="xsd:double"&gt;14.5187270613216&lt;/D&gt;&lt;D xsi:type="xsd:double"&gt;14.1902508800333&lt;/D&gt;&lt;D xsi:type="xsd:double"&gt;12.9102026593606&lt;/D&gt;&lt;D xsi:type="xsd:double"&gt;11.722783515891&lt;/D&gt;&lt;D xsi:type="xsd:double"&gt;13.7849359848947&lt;/D&gt;&lt;D xsi:type="xsd:double"&gt;17.1345998913154&lt;/D&gt;&lt;D xsi:type="xsd:double"&gt;17.475735827475&lt;/D&gt;&lt;D xsi:type="xsd:double"&gt;17.7066700714291&lt;/D&gt;&lt;D xsi:type="xsd:double"&gt;18.2180373745715&lt;/D&gt;&lt;D xsi:type="xsd:double"&gt;17.9011673436619&lt;/D&gt;&lt;D xsi:type="xsd:double"&gt;17.5344686955038&lt;/D&gt;&lt;D xsi:type="xsd:double"&gt;18.5712872999413&lt;/D&gt;&lt;D xsi:type="xsd:double"&gt;18.2421165071297&lt;/D&gt;&lt;D xsi:type="xsd:double"&gt;18.461430229616&lt;/D&gt;&lt;D xsi:type="xsd:double"&gt;17.571277200459&lt;/D&gt;&lt;D xsi:type="xsd:double"&gt;17.5855024192748&lt;/D&gt;&lt;D xsi:type="xsd:double"&gt;16.6393562163216&lt;/D&gt;&lt;D xsi:type="xsd:double"&gt;16.6345877129577&lt;/D&gt;&lt;D xsi:type="xsd:double"&gt;16.3206793309877&lt;/D&gt;&lt;D xsi:type="xsd:double"&gt;15.629578519918&lt;/D&gt;&lt;D xsi:type="xsd:double"&gt;15.7491392162721&lt;/D&gt;&lt;D xsi:type="xsd:double"&gt;15.0481377645604&lt;/D&gt;&lt;D xsi:type="xsd:double"&gt;15.5349848822812&lt;/D&gt;&lt;D xsi:type="xsd:double"&gt;14.506280421085&lt;/D&gt;&lt;D xsi:type="xsd:double"&gt;14.7601063445943&lt;/D&gt;&lt;D xsi:type="xsd:double"&gt;13.7802969918217&lt;/D&gt;&lt;D xsi:type="xsd:double"&gt;12.7648427917957&lt;/D&gt;&lt;D xsi:type="xsd:double"&gt;13.3114412798827&lt;/D&gt;&lt;D xsi:type="xsd:double"&gt;12.8339237804872&lt;/D&gt;&lt;D xsi:type="xsd:double"&gt;12.9288237261061&lt;/D&gt;&lt;D xsi:type="xsd:double"&gt;12.1577790481003&lt;/D&gt;&lt;D xsi:type="xsd:double"&gt;12.6908938179285&lt;/D&gt;&lt;D xsi:type="xsd:double"&gt;12.6231584924877&lt;/D&gt;&lt;D xsi:type="xsd:double"&gt;12.3501910219507&lt;/D&gt;&lt;D xsi:type="xsd:double"&gt;12.4068219032521&lt;/D&gt;&lt;D xsi:type="xsd:double"&gt;12.7461019649459&lt;/D&gt;&lt;D xsi:type="xsd:double"&gt;12.0482122134764&lt;/D&gt;&lt;D xsi:type="xsd:double"&gt;12.8646775621292&lt;/D&gt;&lt;D xsi:type="xsd:double"&gt;13.3078478400138&lt;/D&gt;&lt;D xsi:type="xsd:double"&gt;13.2997444210899&lt;/D&gt;&lt;D xsi:type="xsd:double"&gt;13.6392232347146&lt;/D&gt;&lt;D xsi:type="xsd:double"&gt;14.3085834324374&lt;/D&gt;&lt;D xsi:type="xsd:double"&gt;15.0865123048886&lt;/D&gt;&lt;D xsi:type="xsd:double"&gt;14.4457757151244&lt;/D&gt;&lt;D xsi:type="xsd:double"&gt;14.6762206622934&lt;/D&gt;&lt;D xsi:type="xsd:double"&gt;13.7326333822466&lt;/D&gt;&lt;D xsi:type="xsd:double"&gt;14.1559623356939&lt;/D&gt;&lt;D xsi:type="xsd:double"&gt;14.1545954825582&lt;/D&gt;&lt;D xsi:type="xsd:double"&gt;14.058709048772&lt;/D&gt;&lt;D xsi:type="xsd:double"&gt;14.9532248374916&lt;/D&gt;&lt;D xsi:type="xsd:double"&gt;17.0299526822646&lt;/D&gt;&lt;/FQL&gt;&lt;FQL&gt;&lt;Q&gt;NI-FDS^MAX(FG_PRICE(0,-5AY))&lt;/Q&gt;&lt;R&gt;1&lt;/R&gt;&lt;C&gt;1&lt;/C&gt;&lt;D xsi:type="xsd:double"&gt;48241&lt;/D&gt;&lt;/FQL&gt;&lt;FQL&gt;&lt;Q&gt;COPP-FDS^FG_PRICE(0)&lt;/Q&gt;&lt;R&gt;1&lt;/R&gt;&lt;C&gt;1&lt;/C&gt;&lt;D xsi:type="xsd:double"&gt;3.852&lt;/D&gt;&lt;/FQL&gt;&lt;FQL&gt;&lt;Q&gt;SPY^FG_PRICE_MAVG(0,,,,200)&lt;/Q&gt;&lt;R&gt;1&lt;/R&gt;&lt;C&gt;1&lt;/C&gt;&lt;D xsi:type="xsd:double"&gt;452.20715&lt;/D&gt;&lt;/FQL&gt;&lt;FQL&gt;&lt;Q&gt;ENZL^FG_PRICE_MAVG(0,,,,30)&lt;/Q&gt;&lt;R&gt;1&lt;/R&gt;&lt;C&gt;1&lt;/C&gt;&lt;D xsi:type="xsd:double"&gt;45.922&lt;/D&gt;&lt;/FQL&gt;&lt;FQL&gt;&lt;Q&gt;EWQ^P_PRICE(0)/P_PRICE_LOW_PR(0,,,USD,,,"PRICE","INTRA","52W")-1&lt;/Q&gt;&lt;R&gt;1&lt;/R&gt;&lt;C&gt;1&lt;/C&gt;&lt;D xsi:type="xsd:double"&gt;0.19934642&lt;/D&gt;&lt;/FQL&gt;&lt;FQL&gt;&lt;Q&gt;EWC^P_PRICE(0)/P_PRICE_LOW_PR(0,,,USD,,,"PRICE","INTRA","52W")-1&lt;/Q&gt;&lt;R&gt;1&lt;/R&gt;&lt;C&gt;1&lt;/C&gt;&lt;D xsi:type="xsd:double"&gt;0.17860556&lt;/D&gt;&lt;/FQL&gt;&lt;FQL&gt;&lt;Q&gt;EWD^FMA_COS_UP("EPS","1M",+1,0,,,"PORTAGG","MEANR")&lt;/Q&gt;&lt;R&gt;1&lt;/R&gt;&lt;C&gt;1&lt;/C&gt;&lt;D xsi:type="xsd:double"&gt;10&lt;/D&gt;&lt;/FQL&gt;&lt;FQL&gt;&lt;Q&gt;EWA^FMA_COS_UP("EPS","1M",+1,0,,,"PORTAGG","MEANR")&lt;/Q&gt;&lt;R&gt;1&lt;/R&gt;&lt;C&gt;1&lt;/C&gt;&lt;D xsi:type="xsd:double"&gt;30&lt;/D&gt;&lt;/FQL&gt;&lt;FQL&gt;&lt;Q&gt;EWI^FG_ROE(0)&lt;/Q&gt;&lt;R&gt;1&lt;/R&gt;&lt;C&gt;1&lt;/C&gt;&lt;D xsi:type="xsd:double"&gt;12.7985922948259&lt;/D&gt;&lt;/FQL&gt;&lt;FQL&gt;&lt;Q&gt;VWO^FMA_EVAL_EBIT(LTMA,NOW,NOW,M,"PORTAGG","MEANR")&lt;/Q&gt;&lt;R&gt;1&lt;/R&gt;&lt;C&gt;1&lt;/C&gt;&lt;D xsi:type="xsd:double"&gt;13.8732869646192&lt;/D&gt;&lt;/FQL&gt;&lt;FQL&gt;&lt;Q&gt;EWN^FMA_EVAL_EBITDA(NTMA,0,,,"PORTAGG","MEANR")&lt;/Q&gt;&lt;R&gt;1&lt;/R&gt;&lt;C&gt;1&lt;/C&gt;&lt;D xsi:type="xsd:double"&gt;13.9337982188975&lt;/D&gt;&lt;/FQL&gt;&lt;FQL&gt;&lt;Q&gt;QQQ^JULIAN(FMA_DIV_YLD(NTMA,NOW,NOW,M,"PORTAGG","MEANR").DATES)&lt;/Q&gt;&lt;R&gt;1&lt;/R&gt;&lt;C&gt;1&lt;/C&gt;&lt;D xsi:type="xsd:long"&gt;45351&lt;/D&gt;&lt;/FQL&gt;&lt;FQL&gt;&lt;Q&gt;EWC^FMA_EVAL_EBIT(LTMA,NOW,NOW,M,"PORTAGG","MEANR")&lt;/Q&gt;&lt;R&gt;1&lt;/R&gt;&lt;C&gt;1&lt;/C&gt;&lt;D xsi:type="xsd:double"&gt;16.3605060757202&lt;/D&gt;&lt;/FQL&gt;&lt;FQL&gt;&lt;Q&gt;USDANG^STD(FG_PRICE_CHANGE(0,-3AY,M))&lt;/Q&gt;&lt;R&gt;1&lt;/R&gt;&lt;C&gt;1&lt;/C&gt;&lt;D xsi:type="xsd:double"&gt;0&lt;/D&gt;&lt;/FQL&gt;&lt;FQL&gt;&lt;Q&gt;USDNZD^STD(FG_PRICE_CHANGE(0,-3AY,M))&lt;/Q&gt;&lt;R&gt;1&lt;/R&gt;&lt;C&gt;1&lt;/C&gt;&lt;D xsi:type="xsd:double"&gt;3.53129360615239&lt;/D&gt;&lt;/FQL&gt;&lt;FQL&gt;&lt;Q&gt;EWA^FMA_PE(NTMA,-10AY,0,AM,"PORTAGG","MEANR")&lt;/Q&gt;&lt;R&gt;121&lt;/R&gt;&lt;C&gt;1&lt;/C&gt;&lt;D xsi:type="xsd:double"&gt;14.0429499239715&lt;/D&gt;&lt;D xsi:type="xsd:double"&gt;14.2984806195286&lt;/D&gt;&lt;D xsi:type="xsd:double"&gt;14.2721515065256&lt;/D&gt;&lt;D xsi:type="xsd:double"&gt;14.1775471088901&lt;/D&gt;&lt;D xsi:type="xsd:double"&gt;14.470144161433&lt;/D&gt;&lt;D xsi:type="xsd:double"&gt;14.7716754991309&lt;/D&gt;&lt;D xsi:type="xsd:double"&gt;14.8904681920022&lt;/D&gt;&lt;D xsi:type="xsd:double"&gt;13.9080576011534&lt;/D&gt;&lt;D xsi:type="xsd:double"&gt;14.5471572676946&lt;/D&gt;&lt;D xsi:type="xsd:double"&gt;14.1094730853552&lt;/D&gt;&lt;D xsi:type="xsd:double"&gt;14.6262194220997&lt;/D&gt;&lt;D xsi:type="xsd:double"&gt;15.758257082409&lt;/D&gt;&lt;D xsi:type="xsd:double"&gt;16.220909830015&lt;/D&gt;&lt;D xsi:type="xsd:double"&gt;16.2523775221701&lt;/D&gt;&lt;D xsi:type="xsd:double"&gt;16.301695757441&lt;/D&gt;&lt;D xsi:type="xsd:double"&gt;15.1638263068372&lt;/D&gt;&lt;D xsi:type="xsd:double"&gt;15.4841375406311&lt;/D&gt;&lt;D xsi:type="xsd:double"&gt;15.7204422358023&lt;/D&gt;&lt;D xsi:type="xsd:double"&gt;13.999494154228&lt;/D&gt;&lt;D xsi:type="xsd:double"&gt;14.2968851204463&lt;/D&gt;&lt;D xsi:type="xsd:double"&gt;15.093278417169&lt;/D&gt;&lt;D xsi:type="xsd:double"&gt;15.064781264346&lt;/D&gt;&lt;D xsi:type="xsd:double"&gt;15.6384303118155&lt;/D&gt;&lt;D xsi:type="xsd:double"&gt;15.3262496654408&lt;/D&gt;&lt;D xsi:type="xsd:double"&gt;15.8199453818539&lt;/D&gt;&lt;D xsi:type="xsd:double"&gt;15.415935362746&lt;/D&gt;&lt;D xsi:type="xsd:double"&gt;16.3553319729932&lt;/D&gt;&lt;D xsi:type="xsd:double"&gt;16.2996290566753&lt;/D&gt;&lt;D xsi:type="xsd:double"&gt;15.999973819414&lt;/D&gt;&lt;D xsi:type="xsd:double"&gt;16.4900617545458&lt;/D&gt;&lt;D xsi:type="xsd:double"&gt;16.2099438092433&lt;/D&gt;&lt;D xsi:type="xsd:double"&gt;16.3576474953088&lt;/D&gt;&lt;D xsi:type="xsd:double"&gt;15.3783155559203&lt;/D&gt;&lt;D xsi:type="xsd:double"&gt;15.6786481105494&lt;/D&gt;&lt;D xsi:type="xsd:double"&gt;15.9978846569998&lt;/D&gt;&lt;D xsi:type="xsd:double"&gt;15.6042763822164&lt;/D&gt;&lt;D xsi:type="xsd:double"&gt;15.7107518687991&lt;/D&gt;&lt;D xsi:type="xsd:double"&gt;15.7971870856378&lt;/D&gt;&lt;D xsi:type="xsd:double"&gt;15.7802607224412&lt;/D&gt;&lt;D xsi:type="xsd:double"&gt;15.39965433794&lt;/D&gt;&lt;D xsi:type="xsd:double"&gt;15.3175279280684&lt;/D&gt;&lt;D xsi:type="xsd:double"&gt;15.6506028945661&lt;/D&gt;&lt;D xsi:type="xsd:double"&gt;15.6384385009527&lt;/D&gt;&lt;D xsi:type="xsd:double"&gt;15.3362843367515&lt;/D&gt;&lt;D xsi:type="xsd:double"&gt;15.946902792774&lt;/D&gt;&lt;D xsi:type="xsd:double"&gt;15.845029356876&lt;/D&gt;&lt;D xsi:type="xsd:double"&gt;16.0193841662017&lt;/D&gt;&lt;D xsi:type="xsd:double"&gt;15.9032455761203&lt;/D&gt;&lt;D xsi:type="xsd:double"&gt;15.3294363410676&lt;/D&gt;&lt;D xsi:type="xsd:double"&gt;14.759298666304&lt;/D&gt;&lt;D xsi:type="xsd:double"&gt;15.310383772271&lt;/D&gt;&lt;D xsi:type="xsd:double"&gt;15.13810878929&lt;/D&gt;&lt;D xsi:type="xsd:double"&gt;15.5010352829042&lt;/D&gt;&lt;D xsi:type="xsd:double"&gt;15.4881824673553&lt;/D&gt;&lt;D xsi:type="xsd:double"&gt;15.5536558232622&lt;/D&gt;&lt;D xsi:type="xsd:double"&gt;15.1138064381411&lt;/D&gt;&lt;D xsi:type="xsd:double"&gt;14.3912145806402&lt;/D&gt;&lt;D xsi:type="xsd:double"&gt;14.1673441049957&lt;/D&gt;&lt;D xsi:type="xsd:double"&gt;13.9949240615902&lt;/D&gt;&lt;D xsi:type="xsd:double"&gt;14.6789558767283&lt;/D&gt;&lt;D xsi:type="xsd:double"&gt;15.4624279720486&lt;/D&gt;&lt;D xsi:type="xsd:double"&gt;15.3844252171123&lt;/D&gt;&lt;D xsi:type="xsd:double"&gt;15.4009511831517&lt;/D&gt;&lt;D xsi:type="xsd:double"&gt;15.4168961445301&lt;/D&gt;&lt;D xsi:type="xsd:double"&gt;16.2872000468238&lt;/D&gt;&lt;D xsi:type="xsd:double"&gt;16.3162212856101&lt;/D&gt;&lt;D xsi:type="xsd:double"&gt;16.1249512629421&lt;/D&gt;&lt;D xsi:type="xsd:double"&gt;16.2497435015316&lt;/D&gt;&lt;D xsi:type="xsd:double"&gt;16.9883030102618&lt;/D&gt;&lt;D xsi:type="xsd:double"&gt;16.8461142675154&lt;/D&gt;&lt;D xsi:type="xsd:double"&gt;17.23769927886&lt;/D&gt;&lt;D xsi:type="xsd:double"&gt;17.7394966894497&lt;/D&gt;&lt;D xsi:type="xsd:double"&gt;16.2783170651856&lt;/D&gt;&lt;D xsi:type="xsd:double"&gt;14.2933351383017&lt;/D&gt;&lt;D xsi:type="xsd:double"&gt;16.773175602281&lt;/D&gt;&lt;D xsi:type="xsd:double"&gt;19.6117734526855&lt;/D&gt;&lt;D xsi:type="xsd:double"&gt;19.2256058688285&lt;/D&gt;&lt;D xsi:type="xsd:double"&gt;19.1987639029907&lt;/D&gt;&lt;D xsi:type="xsd:double"&gt;18.9553895113679&lt;/D&gt;&lt;D xsi:type="xsd:double"&gt;17.8949313774311&lt;/D&gt;&lt;D xsi:type="xsd:double"&gt;18.2357631380362&lt;/D&gt;&lt;D xsi:type="xsd:double"&gt;19.8955331411634&lt;/D&gt;&lt;D xsi:type="xsd:double"&gt;19.1880470887245&lt;/D&gt;&lt;D xsi:type="xsd:double"&gt;18.8496678026363&lt;/D&gt;&lt;D xsi:type="xsd:double"&gt;18.2222691783455&lt;/D&gt;&lt;D xsi:type="xsd:double"&gt;17.6611665393569&lt;/D&gt;&lt;D xsi:type="xsd:double"&gt;18.0117541561927&lt;/D&gt;&lt;D xsi:type="xsd:double"&gt;18.4410063144999&lt;/D&gt;&lt;D xsi:type="xsd:double"&gt;17.3066818034817&lt;/D&gt;&lt;D xsi:type="xsd:double"&gt;17.0996909872917&lt;/D&gt;&lt;D xsi:type="xsd:double"&gt;17.387460383849&lt;/D&gt;&lt;D xsi:type="xsd:double"&gt;17.0244825157634&lt;/D&gt;&lt;D xsi:type="xsd:double"&gt;17.9601600627582&lt;/D&gt;&lt;D xsi:type="xsd:double"&gt;16.9172725511445&lt;/D&gt;&lt;D xsi:type="xsd:double"&gt;17.7139952423083&lt;/D&gt;&lt;D xsi:type="xsd:double"&gt;15.8324556469375&lt;/D&gt;&lt;D xsi:type="xsd:double"&gt;15.6991855448931&lt;/D&gt;&lt;D xsi:type="xsd:double"&gt;16.0905199310405&lt;/D&gt;&lt;D xsi:type="xsd:double"&gt;14.7806516550441&lt;/D&gt;&lt;D xsi:type="xsd:double"&gt;14.2559874186128&lt;/D&gt;&lt;D xsi:type="xsd:double"&gt;12.4724347323239&lt;/D&gt;&lt;D xsi:type="xsd:double"&gt;13.7848691906161&lt;/D&gt;&lt;D xsi:type="xsd:double"&gt;13.5788553456945&lt;/D&gt;&lt;D xsi:type="xsd:double"&gt;13.0926361235895&lt;/D&gt;&lt;D xsi:type="xsd:double"&gt;13.4695934600517&lt;/D&gt;&lt;D xsi:type="xsd:double"&gt;14.5963023095546&lt;/D&gt;&lt;D xsi:type="xsd:double"&gt;14.0266685111293&lt;/D&gt;&lt;D xsi:type="xsd:double"&gt;15.0568337909699&lt;/D&gt;&lt;D xsi:type="xsd:double"&gt;14.5201460991821&lt;/D&gt;&lt;D xsi:type="xsd:double"&gt;14.4792312011978&lt;/D&gt;&lt;D xsi:type="xsd:double"&gt;14.3780592297632&lt;/D&gt;&lt;D xsi:type="xsd:double"&gt;14.3998475346568&lt;/D&gt;&lt;D xsi:type="xsd:double"&gt;15.0142265583721&lt;/D&gt;&lt;D xsi:type="xsd:double"&gt;15.4026298204681&lt;/D&gt;&lt;D xsi:type="xsd:double"&gt;15.5104648620548&lt;/D&gt;&lt;D xsi:type="xsd:double"&gt;14.4006146318785&lt;/D&gt;&lt;D xsi:type="xsd:double"&gt;14.8757381207264&lt;/D&gt;&lt;D xsi:type="xsd:double"&gt;15.398533278867&lt;/D&gt;&lt;D xsi:type="xsd:double"&gt;16.1764570939353&lt;/D&gt;&lt;D xsi:type="xsd:double"&gt;16.5898470502772&lt;/D&gt;&lt;D xsi:type="xsd:double"&gt;16.6069622960294&lt;/D&gt;&lt;/FQL&gt;&lt;FQL&gt;&lt;Q&gt;PLATI-FDS^FG_PRICE(0)/MAX(FG_PRICE(0,-1AY))&lt;/Q&gt;&lt;R&gt;1&lt;/R&gt;&lt;C&gt;1&lt;/C&gt;&lt;D xsi:type="xsd:double"&gt;0.787665198237885&lt;/D&gt;&lt;/FQL&gt;&lt;FQL&gt;&lt;Q&gt;ENZL^FG_PRICE(0)&lt;/Q&gt;&lt;R&gt;1&lt;/R&gt;&lt;C&gt;1&lt;/C&gt;&lt;D xsi:type="xsd:double"&gt;45.08&lt;/D&gt;&lt;/FQL&gt;&lt;FQL&gt;&lt;Q&gt;EWJ^P_PRICE(0)/P_PRICE_LOW_PR(0,,,USD,,,"PRICE","INTRA","52W")-1&lt;/Q&gt;&lt;R&gt;1&lt;/R&gt;&lt;C&gt;1&lt;/C&gt;&lt;D xsi:type="xsd:double"&gt;0.28164232&lt;/D&gt;&lt;/FQL&gt;&lt;FQL&gt;&lt;Q&gt;EWC^P_PRICE(0)/P_PRICE_HIGH_PR(0,,,USD,,,"PRICE","INTRA","52W")&lt;/Q&gt;&lt;R&gt;1&lt;/R&gt;&lt;C&gt;1&lt;/C&gt;&lt;D xsi:type="xsd:double"&gt;0.9936921&lt;/D&gt;&lt;/FQL&gt;&lt;FQL&gt;&lt;Q&gt;EWI^FMA_PCT_ABOVE_MAVG(200,0,,,,"PORTAGG")&lt;/Q&gt;&lt;R&gt;1&lt;/R&gt;&lt;C&gt;1&lt;/C&gt;&lt;D xsi:type="xsd:double"&gt;68&lt;/D&gt;&lt;/FQL&gt;&lt;FQL&gt;&lt;Q&gt;EWA^PERCENT_CHANGE(FMA_EPS(+1,0,,,,"PORTAGG","MEAN"),FMA_EPS(+1,-3AM,,,,"PORTAGG","MEAN"))&lt;/Q&gt;&lt;R&gt;1&lt;/R&gt;&lt;C&gt;1&lt;/C&gt;&lt;D xsi:type="xsd:double"&gt;-1.68479167339371&lt;/D&gt;&lt;/FQL&gt;&lt;FQL&gt;&lt;Q&gt;EWN^SIZE(FG_CONSTITUENTS)&lt;/Q&gt;&lt;R&gt;1&lt;/R&gt;&lt;C&gt;1&lt;/C&gt;&lt;D xsi:type="xsd:long"&gt;55&lt;/D&gt;&lt;/FQL&gt;&lt;FQL&gt;&lt;Q&gt;ENZL^SIZE(FG_CONSTITUENTS)&lt;/Q&gt;&lt;R&gt;1&lt;/R&gt;&lt;C&gt;1&lt;/C&gt;&lt;D xsi:type="xsd:long"&gt;15&lt;/D&gt;&lt;/FQL&gt;&lt;FQL&gt;&lt;Q&gt;EWQ^FG_ROE(0)&lt;/Q&gt;&lt;R&gt;1&lt;/R&gt;&lt;C&gt;1&lt;/C&gt;&lt;D xsi:type="xsd:double"&gt;11.9153313127968&lt;/D&gt;&lt;/FQL&gt;&lt;FQL&gt;&lt;Q&gt;REFGBBANK-FDS^FG_YIELD(NOW,,,0)&lt;/Q&gt;&lt;R&gt;1&lt;/R&gt;&lt;C&gt;1&lt;/C&gt;&lt;D xsi:type="xsd:double"&gt;5.25&lt;/D&gt;&lt;/FQL&gt;&lt;FQL&gt;&lt;Q&gt;TRYUS10Y-FDS^PCTCHG(FG_YIELD(0,,,,"YTM"),FG_YIELD(-1AM,,,,"YTM"))&lt;/Q&gt;&lt;R&gt;1&lt;/R&gt;&lt;C&gt;1&lt;/C&gt;&lt;D xsi:type="xsd:double"&gt;4.680321&lt;/D&gt;&lt;/FQL&gt;&lt;FQL&gt;&lt;Q&gt;EWU^FMA_EVAL_EBIT(LTMA,NOW,NOW,M,"PORTAGG","MEANR")&lt;/Q&gt;&lt;R&gt;1&lt;/R&gt;&lt;C&gt;1&lt;/C&gt;&lt;D xsi:type="xsd:double"&gt;10.3790862412806&lt;/D&gt;&lt;/FQL&gt;&lt;FQL&gt;&lt;Q&gt;USDANG^STD(FG_PRICE_CHANGE(0,-1AY,AM))&lt;/Q&gt;&lt;R&gt;1&lt;/R&gt;&lt;C&gt;1&lt;/C&gt;&lt;D xsi:type="xsd:double"&gt;0&lt;/D&gt;&lt;/FQL&gt;&lt;FQL&gt;&lt;Q&gt;USDNZD^STD(FG_PRICE_CHANGE(0,-1AY,AM))&lt;/Q&gt;&lt;R&gt;1&lt;/R&gt;&lt;C&gt;1&lt;/C&gt;&lt;D xsi:type="xsd:double"&gt;2.17288941445153&lt;/D&gt;&lt;/FQL&gt;&lt;FQL&gt;&lt;Q&gt;ENZL^FMA_PE(NTMA,-10AY,0,AM,"PORTAGG","MEANR")&lt;/Q&gt;&lt;R&gt;121&lt;/R&gt;&lt;C&gt;1&lt;/C&gt;&lt;D xsi:type="xsd:double"&gt;17.1708318210941&lt;/D&gt;&lt;D xsi:type="xsd:double"&gt;17.2777830175213&lt;/D&gt;&lt;D xsi:type="xsd:double"&gt;17.7327766438296&lt;/D&gt;&lt;D xsi:type="xsd:double"&gt;17.1443728874014&lt;/D&gt;&lt;D xsi:type="xsd:double"&gt;17.32041006322&lt;/D&gt;&lt;D xsi:type="xsd:double"&gt;16.9940217661714&lt;/D&gt;&lt;D xsi:type="xsd:double"&gt;17.265195330418&lt;/D&gt;&lt;D xsi:type="xsd:double"&gt;17.0817297077626&lt;/D&gt;&lt;D xsi:type="xsd:double"&gt;17.7371668759014&lt;/D&gt;&lt;D xsi:type="xsd:double"&gt;18.0608533316646&lt;/D&gt;&lt;D xsi:type="xsd:double"&gt;18.3613013678912&lt;/D&gt;&lt;D xsi:type="xsd:double"&gt;19.1543353677596&lt;/D&gt;&lt;D xsi:type="xsd:double"&gt;19.2249890279109&lt;/D&gt;&lt;D xsi:type="xsd:double"&gt;18.4899205739579&lt;/D&gt;&lt;D xsi:type="xsd:double"&gt;18.2319462564558&lt;/D&gt;&lt;D xsi:type="xsd:double"&gt;18.3636593132085&lt;/D&gt;&lt;D xsi:type="xsd:double"&gt;18.2289772582524&lt;/D&gt;&lt;D xsi:type="xsd:double"&gt;18.4293396237735&lt;/D&gt;&lt;D xsi:type="xsd:double"&gt;17.2015824314033&lt;/D&gt;&lt;D xsi:type="xsd:double"&gt;16.9700635398646&lt;/D&gt;&lt;D xsi:type="xsd:double"&gt;18.2816422301113&lt;/D&gt;&lt;D xsi:type="xsd:double"&gt;18.1877637495649&lt;/D&gt;&lt;D xsi:type="xsd:double"&gt;18.2707979599419&lt;/D&gt;&lt;D xsi:type="xsd:double"&gt;17.3112897676038&lt;/D&gt;&lt;D xsi:type="xsd:double"&gt;18.0124966648951&lt;/D&gt;&lt;D xsi:type="xsd:double"&gt;18.5112430016437&lt;/D&gt;&lt;D xsi:type="xsd:double"&gt;18.8313003545641&lt;/D&gt;&lt;D xsi:type="xsd:double"&gt;19.4929709603077&lt;/D&gt;&lt;D xsi:type="xsd:double"&gt;19.059687665176&lt;/D&gt;&lt;D xsi:type="xsd:double"&gt;20.08127870695&lt;/D&gt;&lt;D xsi:type="xsd:double"&gt;20.6958794495932&lt;/D&gt;&lt;D xsi:type="xsd:double"&gt;20.2497674276414&lt;/D&gt;&lt;D xsi:type="xsd:double"&gt;18.2150531619003&lt;/D&gt;&lt;D xsi:type="xsd:double"&gt;18.7150183102484&lt;/D&gt;&lt;D xsi:type="xsd:double"&gt;18.7432023333229&lt;/D&gt;&lt;D xsi:type="xsd:double"&gt;19.0975197273083&lt;/D&gt;&lt;D xsi:type="xsd:double"&gt;19.0176230962398&lt;/D&gt;&lt;D xsi:type="xsd:double"&gt;19.1385579728599&lt;/D&gt;&lt;D xsi:type="xsd:double"&gt;19.4408903270487&lt;/D&gt;&lt;D xsi:type="xsd:double"&gt;19.4809545927608&lt;/D&gt;&lt;D xsi:type="xsd:double"&gt;19.4565018600269&lt;/D&gt;&lt;D xsi:type="xsd:double"&gt;19.8184185668558&lt;/D&gt;&lt;D xsi:type="xsd:double"&gt;19.9205763536595&lt;/D&gt;&lt;D xsi:type="xsd:double"&gt;19.812097428364&lt;/D&gt;&lt;D xsi:type="xsd:double"&gt;20.2607857672626&lt;/D&gt;&lt;D xsi:type="xsd:double"&gt;20.3656939917651&lt;/D&gt;&lt;D xsi:type="xsd:double"&gt;21.0151764254555&lt;/D&gt;&lt;D xsi:type="xsd:double"&gt;20.9643662464545&lt;/D&gt;&lt;D xsi:type="xsd:double"&gt;20.254594308011&lt;/D&gt;&lt;D xsi:type="xsd:double"&gt;20.1266114384915&lt;/D&gt;&lt;D xsi:type="xsd:double"&gt;20.3470634754239&lt;/D&gt;&lt;D xsi:type="xsd:double"&gt;20.5236612546943&lt;/D&gt;&lt;D xsi:type="xsd:double"&gt;21.3783934241575&lt;/D&gt;&lt;D xsi:type="xsd:double"&gt;20.9208465976924&lt;/D&gt;&lt;D xsi:type="xsd:double"&gt;21.9367620950543&lt;/D&gt;&lt;D xsi:type="xsd:double"&gt;21.379556949515&lt;/D&gt;&lt;D xsi:type="xsd:double"&gt;20.3149253120883&lt;/D&gt;&lt;D xsi:type="xsd:double"&gt;20.2875400226918&lt;/D&gt;&lt;D xsi:type="xsd:double"</t>
        </r>
      </text>
    </comment>
    <comment ref="A13" authorId="0" shapeId="0" xr:uid="{340940A0-0EFF-4E56-B152-EFBAC7F82D3F}">
      <text>
        <r>
          <rPr>
            <b/>
            <sz val="9"/>
            <color indexed="81"/>
            <rFont val="Tahoma"/>
            <family val="2"/>
          </rPr>
          <t xml:space="preserve">&gt;19.9014809258006&lt;/D&gt;&lt;D xsi:type="xsd:double"&gt;20.4225650865482&lt;/D&gt;&lt;D xsi:type="xsd:double"&gt;21.756838462993&lt;/D&gt;&lt;D xsi:type="xsd:double"&gt;22.3801381158921&lt;/D&gt;&lt;D xsi:type="xsd:double"&gt;22.8790877957081&lt;/D&gt;&lt;D xsi:type="xsd:double"&gt;22.4328255984599&lt;/D&gt;&lt;D xsi:type="xsd:double"&gt;23.9009109176406&lt;/D&gt;&lt;D xsi:type="xsd:double"&gt;24.7241187918701&lt;/D&gt;&lt;D xsi:type="xsd:double"&gt;26.1689236474308&lt;/D&gt;&lt;D xsi:type="xsd:double"&gt;25.315679184783&lt;/D&gt;&lt;D xsi:type="xsd:double"&gt;24.8542870592984&lt;/D&gt;&lt;D xsi:type="xsd:double"&gt;25.5699679213229&lt;/D&gt;&lt;D xsi:type="xsd:double"&gt;25.892417189177&lt;/D&gt;&lt;D xsi:type="xsd:double"&gt;25.777302567957&lt;/D&gt;&lt;D xsi:type="xsd:double"&gt;26.0603218038678&lt;/D&gt;&lt;D xsi:type="xsd:double"&gt;25.4321240613704&lt;/D&gt;&lt;D xsi:type="xsd:double"&gt;29.035879770463&lt;/D&gt;&lt;D xsi:type="xsd:double"&gt;30.510945764533&lt;/D&gt;&lt;D xsi:type="xsd:double"&gt;31.1429880652595&lt;/D&gt;&lt;D xsi:type="xsd:double"&gt;32.1223959134736&lt;/D&gt;&lt;D xsi:type="xsd:double"&gt;32.2310139877911&lt;/D&gt;&lt;D xsi:type="xsd:double"&gt;31.9539882573779&lt;/D&gt;&lt;D xsi:type="xsd:double"&gt;32.8964108077883&lt;/D&gt;&lt;D xsi:type="xsd:double"&gt;32.5104823611867&lt;/D&gt;&lt;D xsi:type="xsd:double"&gt;34.2405257269894&lt;/D&gt;&lt;D xsi:type="xsd:double"&gt;32.8872994048619&lt;/D&gt;&lt;D xsi:type="xsd:double"&gt;31.7347203975857&lt;/D&gt;&lt;D xsi:type="xsd:double"&gt;32.1646560824619&lt;/D&gt;&lt;D xsi:type="xsd:double"&gt;32.8210794886046&lt;/D&gt;&lt;D xsi:type="xsd:double"&gt;33.1818415210105&lt;/D&gt;&lt;D xsi:type="xsd:double"&gt;34.2994539736844&lt;/D&gt;&lt;D xsi:type="xsd:double"&gt;34.3120024276324&lt;/D&gt;&lt;D xsi:type="xsd:double"&gt;35.0558025094772&lt;/D&gt;&lt;D xsi:type="xsd:double"&gt;34.6220436903752&lt;/D&gt;&lt;D xsi:type="xsd:double"&gt;33.4680616546862&lt;/D&gt;&lt;D xsi:type="xsd:double"&gt;31.1544012693683&lt;/D&gt;&lt;D xsi:type="xsd:double"&gt;32.2759314958494&lt;/D&gt;&lt;D xsi:type="xsd:double"&gt;30.2786270119634&lt;/D&gt;&lt;D xsi:type="xsd:double"&gt;29.4592610621962&lt;/D&gt;&lt;D xsi:type="xsd:double"&gt;28.7294182256224&lt;/D&gt;&lt;D xsi:type="xsd:double"&gt;28.9937376547513&lt;/D&gt;&lt;D xsi:type="xsd:double"&gt;26.9009383698974&lt;/D&gt;&lt;D xsi:type="xsd:double"&gt;25.335570939777&lt;/D&gt;&lt;D xsi:type="xsd:double"&gt;26.7626790880838&lt;/D&gt;&lt;D xsi:type="xsd:double"&gt;27.0887216417372&lt;/D&gt;&lt;D xsi:type="xsd:double"&gt;24.0901251950625&lt;/D&gt;&lt;D xsi:type="xsd:double"&gt;23.5137564579036&lt;/D&gt;&lt;D xsi:type="xsd:double"&gt;23.4701979612872&lt;/D&gt;&lt;D xsi:type="xsd:double"&gt;23.3023161140285&lt;/D&gt;&lt;D xsi:type="xsd:double"&gt;24.4182624076852&lt;/D&gt;&lt;D xsi:type="xsd:double"&gt;23.5699102731238&lt;/D&gt;&lt;D xsi:type="xsd:double"&gt;23.364078492875&lt;/D&gt;&lt;D xsi:type="xsd:double"&gt;23.5817680780018&lt;/D&gt;&lt;D xsi:type="xsd:double"&gt;21.1567770376368&lt;/D&gt;&lt;D xsi:type="xsd:double"&gt;21.0360948282709&lt;/D&gt;&lt;D xsi:type="xsd:double"&gt;20.9424546735886&lt;/D&gt;&lt;D xsi:type="xsd:double"&gt;20.8795334368409&lt;/D&gt;&lt;D xsi:type="xsd:double"&gt;19.9784685206573&lt;/D&gt;&lt;D xsi:type="xsd:double"&gt;20.0584413923127&lt;/D&gt;&lt;D xsi:type="xsd:double"&gt;21.6033889162125&lt;/D&gt;&lt;D xsi:type="xsd:double"&gt;22.8233927344052&lt;/D&gt;&lt;D xsi:type="xsd:double"&gt;22.4469699971523&lt;/D&gt;&lt;D xsi:type="xsd:double"&gt;23.3837124038528&lt;/D&gt;&lt;/FQL&gt;&lt;FQL&gt;&lt;Q&gt;TIOS-FDS^MAX(FG_PRICE(0,-5AY))&lt;/Q&gt;&lt;R&gt;1&lt;/R&gt;&lt;C&gt;1&lt;/C&gt;&lt;D xsi:type="xsd:double"&gt;219.77&lt;/D&gt;&lt;/FQL&gt;&lt;FQL&gt;&lt;Q&gt;SPY^FG_PRICE_MAVG(0,,,,60)&lt;/Q&gt;&lt;R&gt;1&lt;/R&gt;&lt;C&gt;1&lt;/C&gt;&lt;D xsi:type="xsd:double"&gt;484.27182&lt;/D&gt;&lt;/FQL&gt;&lt;FQL&gt;&lt;Q&gt;EWQ^P_PRICE(0)/P_PRICE_HIGH_PR(0,,,USD,,,"PRICE","INTRA","52W")&lt;/Q&gt;&lt;R&gt;1&lt;/R&gt;&lt;C&gt;1&lt;/C&gt;&lt;D xsi:type="xsd:double"&gt;0.998269&lt;/D&gt;&lt;/FQL&gt;&lt;FQL&gt;&lt;Q&gt;EWA^FG_TOTAL_RETURNC(0,-6AM)&lt;/Q&gt;&lt;R&gt;1&lt;/R&gt;&lt;C&gt;1&lt;/C&gt;&lt;D xsi:type="xsd:double"&gt;10.179305&lt;/D&gt;&lt;/FQL&gt;&lt;FQL&gt;&lt;Q&gt;EWD^PERCENT_CHANGE(FMA_EPS(+1,0,,,,"PORTAGG","MEAN"),FMA_EPS(+1,-3AM,,,,"PORTAGG","MEAN"))&lt;/Q&gt;&lt;R&gt;1&lt;/R&gt;&lt;C&gt;1&lt;/C&gt;&lt;D xsi:type="xsd:double"&gt;-0.495966091858695&lt;/D&gt;&lt;/FQL&gt;&lt;FQL&gt;&lt;Q&gt;REFGBBANK-FDS^PROPER_NAME(0,,,"SECURITY","NAME")&lt;/Q&gt;&lt;R&gt;1&lt;/R&gt;&lt;C&gt;1&lt;/C&gt;&lt;D xsi:type="xsd:string"&gt;UK Bank Rate&lt;/D&gt;&lt;/FQL&gt;&lt;FQL&gt;&lt;Q&gt;VWO^FMA_EVAL_EBITDA(NTMA,0,,,"PORTAGG","MEANR")&lt;/Q&gt;&lt;R&gt;1&lt;/R&gt;&lt;C&gt;1&lt;/C&gt;&lt;D xsi:type="xsd:double"&gt;9.27102479443158&lt;/D&gt;&lt;/FQL&gt;&lt;FQL&gt;&lt;Q&gt;EWN^FG_FCF_YIELD_NTM(0)&lt;/Q&gt;&lt;R&gt;1&lt;/R&gt;&lt;C&gt;1&lt;/C&gt;&lt;D xsi:type="xsd:double"&gt;3.25117193057391&lt;/D&gt;&lt;/FQL&gt;&lt;FQL&gt;&lt;Q&gt;TLT^FG_TOTAL_RETURNC(0,-1AM)&lt;/Q&gt;&lt;R&gt;1&lt;/R&gt;&lt;C&gt;1&lt;/C&gt;&lt;D xsi:type="xsd:double"&gt;-1.7549217&lt;/D&gt;&lt;/FQL&gt;&lt;FQL&gt;&lt;Q&gt;TRYCH10Y-FDS^PCTCHG(FG_YIELD(0,,,,"YTM"),FG_YIELD(-1AM,,,,"YTM"))&lt;/Q&gt;&lt;R&gt;1&lt;/R&gt;&lt;C&gt;1&lt;/C&gt;&lt;D xsi:type="xsd:double"&gt;-8.29439&lt;/D&gt;&lt;/FQL&gt;&lt;FQL&gt;&lt;Q&gt;VWO^FMA_DIV_YLD(NTMA,NOW,NOW,M,"PORTAGG","MEANR")&lt;/Q&gt;&lt;R&gt;1&lt;/R&gt;&lt;C&gt;1&lt;/C&gt;&lt;D xsi:type="xsd:double"&gt;3.15506497935286&lt;/D&gt;&lt;/FQL&gt;&lt;FQL&gt;&lt;Q&gt;EWC^FMA_DIV_YLD(NTMA,NOW,NOW,M,"PORTAGG","MEANR")&lt;/Q&gt;&lt;R&gt;1&lt;/R&gt;&lt;C&gt;1&lt;/C&gt;&lt;D xsi:type="xsd:double"&gt;3.26196135361486&lt;/D&gt;&lt;/FQL&gt;&lt;FQL&gt;&lt;Q&gt;PLATI-FDS^FG_PRICE_CHANGE(0,-1AY)&lt;/Q&gt;&lt;R&gt;1&lt;/R&gt;&lt;C&gt;1&lt;/C&gt;&lt;D xsi:type="xsd:double"&gt;-9.23857868020305&lt;/D&gt;&lt;/FQL&gt;&lt;FQL&gt;&lt;Q&gt;EWQ^FG_TOTAL_RETURNC(0,-6AM)&lt;/Q&gt;&lt;R&gt;1&lt;/R&gt;&lt;C&gt;1&lt;/C&gt;&lt;D xsi:type="xsd:double"&gt;8.557117&lt;/D&gt;&lt;/FQL&gt;&lt;FQL&gt;&lt;Q&gt;EWA^PERCENT_CHANGE(FMA_EPS(+1,0,,,,"PORTAGG","MEAN"),FMA_EPS(+1,-1AM,,,,"PORTAGG","MEAN"))&lt;/Q&gt;&lt;R&gt;1&lt;/R&gt;&lt;C&gt;1&lt;/C&gt;&lt;D xsi:type="xsd:double"&gt;1.41172491222421&lt;/D&gt;&lt;/FQL&gt;&lt;FQL&gt;&lt;Q&gt;EWN^FMA_COS_DOWN("EPS","1M",+1,0,,,"PORTAGG","MEANR")&lt;/Q&gt;&lt;R&gt;1&lt;/R&gt;&lt;C&gt;1&lt;/C&gt;&lt;D xsi:type="xsd:double"&gt;18&lt;/D&gt;&lt;/FQL&gt;&lt;FQL&gt;&lt;Q&gt;ENZL^FMA_COS_DOWN("EPS","1M",+1,0,,,"PORTAGG","MEANR")&lt;/Q&gt;&lt;R&gt;1&lt;/R&gt;&lt;C&gt;1&lt;/C&gt;&lt;D xsi:type="xsd:double"&gt;9&lt;/D&gt;&lt;/FQL&gt;&lt;FQL&gt;&lt;Q&gt;SPY^FG_ROE(0)&lt;/Q&gt;&lt;R&gt;1&lt;/R&gt;&lt;C&gt;1&lt;/C&gt;&lt;D xsi:type="xsd:double"&gt;18.0612862464207&lt;/D&gt;&lt;/FQL&gt;&lt;FQL&gt;&lt;Q&gt;REFCHMPR-FDS^PROPER_NAME(0,,,"SECURITY","NAME")&lt;/Q&gt;&lt;R&gt;1&lt;/R&gt;&lt;C&gt;1&lt;/C&gt;&lt;D xsi:type="xsd:string"&gt;Swiss Policy Rate - Sight Deposit Rate&lt;/D&gt;&lt;/FQL&gt;&lt;FQL&gt;&lt;Q&gt;VWO^FG_FCF_YIELD_NTM(0)&lt;/Q&gt;&lt;R&gt;1&lt;/R&gt;&lt;C&gt;1&lt;/C&gt;&lt;D xsi:type="xsd:double"&gt;5.06454561198217&lt;/D&gt;&lt;/FQL&gt;&lt;FQL&gt;&lt;Q&gt;EWN^FMA_DIV_YLD(NTMA,NOW,NOW,M,"PORTAGG","MEANR")&lt;/Q&gt;&lt;R&gt;1&lt;/R&gt;&lt;C&gt;1&lt;/C&gt;&lt;D xsi:type="xsd:double"&gt;2.4848618906768&lt;/D&gt;&lt;/FQL&gt;&lt;FQL&gt;&lt;Q&gt;EWU^FMA_PE(NTMA,0,,,"PORTAGG","MEANR")&lt;/Q&gt;&lt;R&gt;1&lt;/R&gt;&lt;C&gt;1&lt;/C&gt;&lt;D xsi:type="xsd:double"&gt;11.4247590287301&lt;/D&gt;&lt;/FQL&gt;&lt;FQL&gt;&lt;Q&gt;EWC^FG_FCF_YIELD_NTM(0)&lt;/Q&gt;&lt;R&gt;1&lt;/R&gt;&lt;C&gt;1&lt;/C&gt;&lt;D xsi:type="xsd:double"&gt;4.9567787243007&lt;/D&gt;&lt;/FQL&gt;&lt;FQL&gt;&lt;Q&gt;REFJPTON-FDS^FG_YIELD(NOW,,,0)&lt;/Q&gt;&lt;R&gt;1&lt;/R&gt;&lt;C&gt;1&lt;/C&gt;&lt;D xsi:type="xsd:double"&gt;-0.1&lt;/D&gt;&lt;/FQL&gt;&lt;FQL&gt;&lt;Q&gt;TRYJP10Y-FDS^PCTCHG(FG_YIELD(0,,,,"YTM"),FG_YIELD(-3AM,,,,"YTM"))&lt;/Q&gt;&lt;R&gt;1&lt;/R&gt;&lt;C&gt;1&lt;/C&gt;&lt;D xsi:type="xsd:double"&gt;3.1159408&lt;/D&gt;&lt;/FQL&gt;&lt;FQL&gt;&lt;Q&gt;VWO^FG_PE_NTM(0,,,90,0)&lt;/Q&gt;&lt;R&gt;1&lt;/R&gt;&lt;C&gt;1&lt;/C&gt;&lt;D xsi:type="xsd:double"&gt;13.5805423201849&lt;/D&gt;&lt;/FQL&gt;&lt;FQL&gt;&lt;Q&gt;VWO^FG_TOTAL_RETURNC(0,-1AM)&lt;/Q&gt;&lt;R&gt;1&lt;/R&gt;&lt;C&gt;1&lt;/C&gt;&lt;D xsi:type="xsd:double"&gt;4.466319&lt;/D&gt;&lt;/FQL&gt;&lt;FQL&gt;&lt;Q&gt;USDANG^FG_PRICE_CHANGE(0,-6AM)&lt;/Q&gt;&lt;R&gt;1&lt;/R&gt;&lt;C&gt;1&lt;/C&gt;&lt;D xsi:type="xsd:double"&gt;0&lt;/D&gt;&lt;/FQL&gt;&lt;FQL&gt;&lt;Q&gt;USDNZD^FG_PRICE_CHANGE(0,-6AM)&lt;/Q&gt;&lt;R&gt;1&lt;/R&gt;&lt;C&gt;1&lt;/C&gt;&lt;D xsi:type="xsd:double"&gt;-2.6891828&lt;/D&gt;&lt;/FQL&gt;&lt;FQL&gt;&lt;Q&gt;PLATI-FDS^FG_PRICE_CHANGE(0,-6AM)&lt;/Q&gt;&lt;R&gt;1&lt;/R&gt;&lt;C&gt;1&lt;/C&gt;&lt;D xsi:type="xsd:double"&gt;-9.42249240121581&lt;/D&gt;&lt;/FQL&gt;&lt;FQL&gt;&lt;Q&gt;SPY^FG_PRICE_MAVG(0,,,,30)&lt;/Q&gt;&lt;R&gt;1&lt;/R&gt;&lt;C&gt;1&lt;/C&gt;&lt;D xsi:type="xsd:double"&gt;497.292&lt;/D&gt;&lt;/FQL&gt;&lt;FQL&gt;&lt;Q&gt;EWA^FG_TOTAL_RETURNC(0,-3AM)&lt;/Q&gt;&lt;R&gt;1&lt;/R&gt;&lt;C&gt;1&lt;/C&gt;&lt;D xsi:type="xsd:double"&gt;8.713508&lt;/D&gt;&lt;/FQL&gt;&lt;FQL&gt;&lt;Q&gt;EWN^FMA_PCT_ABOVE_MAVG(200,0,,,,"PORTAGG")&lt;/Q&gt;&lt;R&gt;1&lt;/R&gt;&lt;C&gt;1&lt;/C&gt;&lt;D xsi:type="xsd:double"&gt;53.7037037037037&lt;/D&gt;&lt;/FQL&gt;&lt;FQL&gt;&lt;Q&gt;ENZL^PERCENT_CHANGE(FMA_EPS(+1,0,,,,"PORTAGG","MEAN"),FMA_EPS(+1,-1AM,,,,"PORTAGG","MEAN"))&lt;/Q&gt;&lt;R&gt;1&lt;/R&gt;&lt;C&gt;1&lt;/C&gt;&lt;D xsi:type="xsd:double"&gt;-5.48479787271044&lt;/D&gt;&lt;/FQL&gt;&lt;FQL&gt;&lt;Q&gt;ENZL^FMA_COS_UP("EPS","1M",+1,0,,,"PORTAGG","MEANR")&lt;/Q&gt;&lt;R&gt;1&lt;/R&gt;&lt;C&gt;1&lt;/C&gt;&lt;D xsi:type="xsd:double"&gt;4&lt;/D&gt;&lt;/FQL&gt;&lt;FQL&gt;&lt;Q&gt;QQQ^FG_ROE(0)&lt;/Q&gt;&lt;R&gt;1&lt;/R&gt;&lt;C&gt;1&lt;/C&gt;&lt;D xsi:type="xsd:double"&gt;22.2705069539562&lt;/D&gt;&lt;/FQL&gt;&lt;FQL&gt;&lt;Q&gt;TRYCH10Y-FDS^FG_YIELD(0,,,,"YTM")&lt;/Q&gt;&lt;R&gt;1&lt;/R&gt;&lt;C&gt;1&lt;/C&gt;&lt;D xsi:type="xsd:double"&gt;0.785&lt;/D&gt;&lt;/FQL&gt;&lt;FQL&gt;&lt;Q&gt;EWU^FMA_PE(LTM,0,,,"PORTAGG","MEANR")&lt;/Q&gt;&lt;R&gt;1&lt;/R&gt;&lt;C&gt;1&lt;/C&gt;&lt;D xsi:type="xsd:double"&gt;11.1199564306398&lt;/D&gt;&lt;/FQL&gt;&lt;FQL&gt;&lt;Q&gt;USO^P_PRICE(0)/P_PRICE_HIGH_PR(0,,,USD,,,"PRICE","INTRA","52W")&lt;/Q&gt;&lt;R&gt;1&lt;/R&gt;&lt;C&gt;1&lt;/C&gt;&lt;D xsi:type="xsd:double"&gt;0.88858205&lt;/D&gt;&lt;/FQL&gt;&lt;FQL&gt;&lt;Q&gt;ENZL^P_PRICE(0)/P_PRICE_LOW_PR(0,,,USD,,,"PRICE","INTRA","52W")-1&lt;/Q&gt;&lt;R&gt;1&lt;/R&gt;&lt;C&gt;1&lt;/C&gt;&lt;D xsi:type="xsd:double"&gt;0.09870553&lt;/D&gt;&lt;/FQL&gt;&lt;FQL&gt;&lt;Q&gt;ENZL^FMA_PCT_ABOVE_MAVG(200,0,,,,"PORTAGG")&lt;/Q&gt;&lt;R&gt;1&lt;/R&gt;&lt;C&gt;1&lt;/C&gt;&lt;D xsi:type="xsd:double"&gt;50&lt;/D&gt;&lt;/FQL&gt;&lt;FQL&gt;&lt;Q&gt;EWN^FMA_COS_UP("EPS","1M",+1,0,,,"PORTAGG","MEANR")&lt;/Q&gt;&lt;R&gt;1&lt;/R&gt;&lt;C&gt;1&lt;/C&gt;&lt;D xsi:type="xsd:double"&gt;26&lt;/D&gt;&lt;/FQL&gt;&lt;FQL&gt;&lt;Q&gt;EWN^FMA_PE(NTMA,0,,,"PORTAGG","MEANR")&lt;/Q&gt;&lt;R&gt;1&lt;/R&gt;&lt;C&gt;1&lt;/C&gt;&lt;D xsi:type="xsd:double"&gt;18.5715482653789&lt;/D&gt;&lt;/FQL&gt;&lt;FQL&gt;&lt;Q&gt;EWC^FMA_PE(NTMA,0,,,"PORTAGG","MEANR")&lt;/Q&gt;&lt;R&gt;1&lt;/R&gt;&lt;C&gt;1&lt;/C&gt;&lt;D xsi:type="xsd:double"&gt;14.8629000203024&lt;/D&gt;&lt;/FQL&gt;&lt;FQL&gt;&lt;Q&gt;FC0000GR^FG_PRICE(0)&lt;/Q&gt;&lt;R&gt;1&lt;/R&gt;&lt;C&gt;1&lt;/C&gt;&lt;D xsi:type="xsd:double"&gt;9.824128&lt;/D&gt;&lt;/FQL&gt;&lt;FQL&gt;&lt;Q&gt;EWQ^PERCENT_CHANGE(FMA_EPS(+1,0,,,,"PORTAGG","MEAN"),FMA_EPS(+1,-1AM,,,,"PORTAGG","MEAN"))&lt;/Q&gt;&lt;R&gt;1&lt;/R&gt;&lt;C&gt;1&lt;/C&gt;&lt;D xsi:type="xsd:double"&gt;-8.74368031840675&lt;/D&gt;&lt;/FQL&gt;&lt;FQL&gt;&lt;Q&gt;FXI^SIZE(FG_CONSTITUENTS)&lt;/Q&gt;&lt;R&gt;1&lt;/R&gt;&lt;C&gt;1&lt;/C&gt;&lt;D xsi:type="xsd:long"&gt;51&lt;/D&gt;&lt;/FQL&gt;&lt;FQL&gt;&lt;Q&gt;QQQ^FG_TOTAL_RETURNC(0,-1AM)&lt;/Q&gt;&lt;R&gt;1&lt;/R&gt;&lt;C&gt;1&lt;/C&gt;&lt;D xsi:type="xsd:double"&gt;3.498745&lt;/D&gt;&lt;/FQL&gt;&lt;FQL&gt;&lt;Q&gt;EWQ^FMA_EPS(NTMA,-20AY,0,CY,,"PORTAGG","MEANR")&lt;/Q&gt;&lt;R&gt;20&lt;/R&gt;&lt;C&gt;1&lt;/C&gt;&lt;D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xsi:type="xsd:double"&gt;1.85113612011142&lt;/D&gt;&lt;D xsi:type="xsd:double"&gt;2.46081798651847&lt;/D&gt;&lt;D xsi:type="xsd:double"&gt;2.80265475944353&lt;/D&gt;&lt;D xsi:type="xsd:double"&gt;2.92072613428035&lt;/D&gt;&lt;/FQL&gt;&lt;FQL&gt;&lt;Q&gt;EWI^FMA_PE(LTMA,-10AY,0,AM,"PORTAGG","MEANR")&lt;/Q&gt;&lt;R&gt;121&lt;/R&gt;&lt;C&gt;1&lt;/C&gt;&lt;D xsi:type="xsd:double"&gt;17.4118138675369&lt;/D&gt;&lt;D xsi:type="xsd:double"&gt;17.4136802869271&lt;/D&gt;&lt;D xsi:type="xsd:double"&gt;17.1929215138145&lt;/D&gt;&lt;D xsi:type="xsd:double"&gt;17.167262290833&lt;/D&gt;&lt;D xsi:type="xsd:double"&gt;17.6402971957018&lt;/D&gt;&lt;D xsi:type="xsd:double"&gt;17.0263482508288&lt;/D&gt;&lt;D xsi:type="xsd:double"&gt;18.1398171913731&lt;/D&gt;&lt;D xsi:type="xsd:double"&gt;17.2120704446378&lt;/D&gt;&lt;D xsi:type="xsd:double"&gt;16.7255895343347&lt;/D&gt;&lt;D xsi:type="xsd:double"&gt;18.6482594777937&lt;/D&gt;&lt;D xsi:type="xsd:double"&gt;18.3466638170294&lt;/D&gt;&lt;D xsi:type="xsd:double"&gt;24.2183373091815&lt;/D&gt;&lt;D xsi:type="xsd:double"&gt;44.8432743982694&lt;/D&gt;&lt;D xsi:type="xsd:double"&gt;42.2802481730877&lt;/D&gt;&lt;D xsi:type="xsd:double"&gt;39.3568245312479&lt;/D&gt;&lt;D xsi:type="xsd:double"&gt;36.3499319294915&lt;/D&gt;&lt;D xsi:type="xsd:double"&gt;33.483948253963&lt;/D&gt;&lt;D xsi:type="xsd:double"&gt;30.9211640184065&lt;/D&gt;&lt;D xsi:type="xsd:double"&gt;27.2539900020776&lt;/D&gt;&lt;D xsi:type="xsd:double"&gt;24.8459512457413&lt;/D&gt;&lt;D xsi:type="xsd:double"&gt;23.0628788383285&lt;/D&gt;&lt;D xsi:type="xsd:double"&gt;20.6936266018261&lt;/D&gt;&lt;D xsi:type="xsd:double"&gt;17.6395720178285&lt;/D&gt;&lt;D xsi:type="xsd:double"&gt;14.4505925252191&lt;/D&gt;&lt;D xsi:type="xsd:double"&gt;15.4230131530954&lt;/D&gt;&lt;D xsi:type="xsd:double"&gt;15.1690932607388&lt;/D&gt;&lt;D xsi:type="xsd:double"&gt;15.0923711033051&lt;/D&gt;&lt;D xsi:type="xsd:double"&gt;14.9456084735528&lt;/D&gt;&lt;D xsi:type="xsd:double"&gt;14.4259968433632&lt;/D&gt;&lt;D xsi:type="xsd:double"&gt;14.5008630084656&lt;/D&gt;&lt;D xsi:type="xsd:double"&gt;15.1038076396175&lt;/D&gt;&lt;D xsi:type="xsd:double"&gt;14.5934601676255&lt;/D&gt;&lt;D xsi:type="xsd:double"&gt;14.3428184222674&lt;/D&gt;&lt;D xsi:type="xsd:double"&gt;14.4867861339462&lt;/D&gt;&lt;D xsi:type="xsd:double"&gt;28.0415530750573&lt;/D&gt;&lt;D xsi:type="xsd:double"&gt;20.4174498420508&lt;/D&gt;&lt;D xsi:type="xsd:double"&gt;85.3564615635191&lt;/D&gt;&lt;D xsi:type="xsd:double"&gt;77.870542433568&lt;/D&gt;&lt;D xsi:type="xsd:double"&gt;70.9460323769124&lt;/D&gt;&lt;D xsi:type="xsd:double"&gt;64.0285620945993&lt;/D&gt;&lt;D xsi:type="xsd:double"&gt;56.8092072651158&lt;/D&gt;&lt;D xsi:type="xsd:double"&gt;49.538256012373&lt;/D&gt;&lt;D xsi:type="xsd:double"&gt;42.9328744031754&lt;/D&gt;&lt;D xsi:type="xsd:double"&gt;35.5006667970594&lt;/D&gt;&lt;D xsi:type="xsd:double"&gt;28.8236970843374&lt;/D&gt;&lt;D xsi:type="xsd:double"&gt;21.7201860754476&lt;/D&gt;&lt;D xsi:type="xsd:double"&gt;15.4249303358665&lt;/D&gt;&lt;D xsi:type="xsd:double"&gt;15.4206696166956&lt;/D&gt;&lt;D xsi:type="xsd:double"&gt;14.1696212278114&lt;/D&gt;&lt;D xsi:type="xsd:double"&gt;14.0440537018873&lt;/D&gt;&lt;D xsi:type="xsd:double"&gt;14.2418853683048&lt;/D&gt;&lt;D xsi:type="xsd:double"&gt;13.5744665710781&lt;/D&gt;&lt;D xsi:type="xsd:double"&gt;13.3079904494722&lt;/D&gt;&lt;D xsi:type="xsd:double"&gt;13.1387089321782&lt;/D&gt;&lt;D xsi:type="xsd:double"&gt;12.4545973487094&lt;/D&gt;&lt;D xsi:type="xsd:double"&gt;12.2482589104941&lt;/D&gt;&lt;D xsi:type="xsd:double"&gt;11.5501657389104&lt;/D&gt;&lt;D xsi:type="xsd:double"&gt;11.1176283029121&lt;/D&gt;&lt;D xsi:type="xsd:double"&gt;10.7065671091417&lt;/D&gt;&lt;D xsi:type="xsd:double"&gt;11.0560606052493&lt;/D&gt;&lt;D xsi:type="xsd:double"&gt;11.2886251924667&lt;/D&gt;&lt;D xsi:type="xsd:double"&gt;11.351685085385&lt;/D&gt;&lt;D xsi:type="xsd:double"&gt;11.34433898976&lt;/D&gt;&lt;D xsi:type="xsd:double"&gt;10.9137950638932&lt;/D&gt;&lt;D xsi:type="xsd:double"&gt;11.2832911384678&lt;/D&gt;&lt;D xsi:type="xsd:double"&gt;11.0615612962911&lt;/D&gt;&lt;D xsi:type="xsd:double"&gt;11.2117209537195&lt;/D&gt;&lt;D xsi:type="xsd:double"&gt;11.0771423928189&lt;/D&gt;&lt;D xsi:type="xsd:double"&gt;11.9543291147804&lt;/D&gt;&lt;D xsi:type="xsd:double"&gt;11.7878181703357&lt;/D&gt;&lt;D xsi:type="xsd:double"&gt;12.1860381147651&lt;/D&gt;&lt;D xsi:type="xsd:double"&gt;12.2272469555023&lt;/D&gt;&lt;D xsi:type="xsd:double"&gt;11.3447655393459&lt;/D&gt;&lt;D xsi:type="xsd:double"&gt;11.0870115154984&lt;/D&gt;&lt;D xsi:type="xsd:double"&gt;12.5056925735503&lt;/D&gt;&lt;D xsi:type="xsd:double"&gt;15.4744214974493&lt;/D&gt;&lt;D xsi:type="xsd:double"&gt;17.0037692368536&lt;/D&gt;&lt;D xsi:type="xsd:double"&gt;17.2864082655253&lt;/D&gt;&lt;D xsi:type="xsd:double"&gt;17.7000312946623&lt;/D&gt;&lt;D xsi:type="xsd:double"&gt;18.115127925755&lt;/D&gt;&lt;D xsi:type="xsd:double"&gt;19.3439730311474&lt;/D&gt;&lt;D xsi:type="xsd:double"&gt;22.3904884468905&lt;/D&gt;&lt;D xsi:type="xsd:double"&gt;23.3391437226529&lt;/D&gt;&lt;D xsi:type="xsd:double"&gt;21.1660835060948&lt;/D&gt;&lt;D xsi:type="xsd:double"&gt;20.2001063640676&lt;/D&gt;&lt;D xsi:type="xsd:double"&gt;19.7895671723476&lt;/D&gt;&lt;D xsi:type="xsd:double"&gt;18.9801405331032&lt;/D&gt;&lt;D xsi:type="xsd:double"&gt;18.585789715606&lt;/D&gt;&lt;D xsi:type="xsd:double"&gt;17.9766484038761&lt;/D&gt;&lt;D xsi:type="xsd:double"&gt;16.3805223733927&lt;/D&gt;&lt;D xsi:type="xsd:double"&gt;15.5697007485226&lt;/D&gt;&lt;D xsi:type="xsd:double"&gt;14.5149528671049&lt;/D&gt;&lt;D xsi:type="xsd:double"&gt;14.1118136499835&lt;/D&gt;&lt;D xsi:type="xsd:double"&gt;12.2946929957655&lt;/D&gt;&lt;D xsi:type="xsd:double"&gt;12.4145580059855&lt;/D&gt;&lt;D xsi:type="xsd:double"&gt;11.7158048150002&lt;/D&gt;&lt;D xsi:type="xsd:double"&gt;10.4791778418614&lt;/D&gt;&lt;D xsi:type="xsd:double"&gt;10.5554692981079&lt;/D&gt;&lt;D xsi:type="xsd:double"&gt;10.2924894859238&lt;/D&gt;&lt;D xsi:type="xsd:double"&gt;9.96986201910191&lt;/D&gt;&lt;D xsi:type="xsd:double"&gt;9.32052182494765&lt;/D&gt;&lt;D xsi:type="xsd:double"&gt;8.95826626404019&lt;/D&gt;&lt;D xsi:type="xsd:double"&gt;8.51641207644438&lt;/D&gt;&lt;D xsi:type="xsd:double"&gt;8.23697527373468&lt;/D&gt;&lt;D xsi:type="xsd:double"&gt;8.25302799110711&lt;/D&gt;&lt;D xsi:type="xsd:double"&gt;7.88335706991699&lt;/D&gt;&lt;D xsi:type="xsd:double"&gt;7.71634292428465&lt;/D&gt;&lt;D xsi:type="xsd:double"&gt;8.18862995108811&lt;/D&gt;&lt;D xsi:type="xsd:double"&gt;8.32077859114348&lt;/D&gt;&lt;D xsi:type="xsd:double"&gt;8.31104891949933&lt;/D&gt;&lt;D xsi:type="xsd:double"&gt;8.2853168655711&lt;/D&gt;&lt;D xsi:type="xsd:double"&gt;8.41175433140411&lt;/D&gt;&lt;D xsi:type="xsd:double"&gt;8.63358897342958&lt;/D&gt;&lt;D xsi:type="xsd:double"&gt;8.30455360663595&lt;/D&gt;&lt;D xsi:type="xsd:double"&gt;8.38806422040202&lt;/D&gt;&lt;D xsi:type="xsd:double"&gt;8.07695085520218&lt;/D&gt;&lt;D xsi:type="xsd:double"&gt;8.20324246667842&lt;/D&gt;&lt;D xsi:type="xsd:double"&gt;8.64204564075223&lt;/D&gt;&lt;D xsi:type="xsd:double"&gt;8.89382637498702&lt;/D&gt;&lt;D xsi:type="xsd:double"&gt;9.08446825995505&lt;/D&gt;&lt;D xsi:type="xsd:double"&gt;9.27031038294217&lt;/D&gt;&lt;/FQL&gt;&lt;FQL&gt;&lt;Q&gt;QQQ^FG_PRICE_MAVG(0,,,,60)&lt;/Q&gt;&lt;R&gt;1&lt;/R&gt;&lt;C&gt;1&lt;/C&gt;&lt;D xsi:type="xsd:double"&gt;417.739&lt;/D&gt;&lt;/FQL&gt;&lt;FQL&gt;&lt;Q&gt;REFJPTON-FDS^(SUBARRAY(NOT_NA(NO_REPEAT_F(FG_YIELD(NOW,-10AY,D))),0,1)-SUBARRAY(NOT_NA(NO_REPEAT_F(FG_YIELD(NOW,-10AY,D))),1,1))*100&lt;/Q&gt;&lt;R&gt;1&lt;/R&gt;&lt;C&gt;1&lt;/C&gt;&lt;D xsi:type="xsd:double"&gt;-20&lt;/D&gt;&lt;/FQL&gt;&lt;FQL&gt;&lt;Q&gt;EWU^JULIAN(FMA_DIV_YLD(NTMA,NOW,NOW,M,"PORTAGG","MEANR").DATES)&lt;/Q&gt;&lt;R&gt;1&lt;/R&gt;&lt;C&gt;1&lt;/C&gt;&lt;D xsi:type="xsd:long"&gt;45350&lt;/D&gt;&lt;/FQL&gt;&lt;FQL&gt;&lt;Q&gt;EWI^FMA_DIV_YLD(NTMA,NOW,NOW,M,"PORTAGG","MEANR")&lt;/Q&gt;&lt;R&gt;1&lt;/R&gt;&lt;C&gt;1&lt;/C&gt;&lt;D xsi:type="xsd:double"&gt;5.32410854707422&lt;/D&gt;&lt;/FQL&gt;&lt;FQL&gt;&lt;Q&gt;TRYTR7Y-FDS^FG_YIELD(-10AY,0,Y,,"YTM")&lt;/Q&gt;&lt;R&gt;10&lt;/R&gt;&lt;C&gt;1&lt;/C&gt;&lt;D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xsi:type="xsd:double"&gt;16.3227032146839&lt;/D&gt;&lt;/FQL&gt;&lt;FQL&gt;&lt;Q&gt;EWD^FMA_PE(LTMA,-10AY,0,AM,"PORTAGG","MEANR")&lt;/Q&gt;&lt;R&gt;121&lt;/R&gt;&lt;C&gt;1&lt;/C&gt;&lt;D xsi:type="xsd:double"&gt;15.2263347073423&lt;/D&gt;&lt;D xsi:type="xsd:double"&gt;15.3798180919709&lt;/D&gt;&lt;D xsi:type="xsd:double"&gt;15.4457277166589&lt;/D&gt;&lt;D xsi:type="xsd:double"&gt;15.739347939926&lt;/D&gt;&lt;D xsi:type="xsd:double"&gt;15.9551548654774&lt;/D&gt;&lt;D xsi:type="xsd:double"&gt;15.8355760500575&lt;/D&gt;&lt;D xsi:type="xsd:double"&gt;15.9221746553735&lt;/D&gt;&lt;D xsi:type="xsd:double"&gt;15.7984597954535&lt;/D&gt;&lt;D xsi:type="xsd:double"&gt;16.5002996588234&lt;/D&gt;&lt;D xsi:type="xsd:double"&gt;17.230893150017&lt;/D&gt;&lt;D xsi:type="xsd:double"&gt;17.5611304283267&lt;/D&gt;&lt;D xsi:type="xsd:double"&gt;18.7306595236697&lt;/D&gt;&lt;D xsi:type="xsd:double"&gt;20.2058847364245&lt;/D&gt;&lt;D xsi:type="xsd:double"&gt;19.9577239367745&lt;/D&gt;&lt;D xsi:type="xsd:double"&gt;19.2326555199115&lt;/D&gt;&lt;D xsi:type="xsd:double"&gt;19.150692837615&lt;/D&gt;&lt;D xsi:type="xsd:double"&gt;18.5594823200711&lt;/D&gt;&lt;D xsi:type="xsd:double"&gt;18.4234555013061&lt;/D&gt;&lt;D xsi:type="xsd:double"&gt;17.1706881063775&lt;/D&gt;&lt;D xsi:type="xsd:double"&gt;16.4681325303132&lt;/D&gt;&lt;D xsi:type="xsd:double"&gt;17.4446667488981&lt;/D&gt;&lt;D xsi:type="xsd:double"&gt;16.8085658844358&lt;/D&gt;&lt;D xsi:type="xsd:double"&gt;15.450058104013&lt;/D&gt;&lt;D xsi:type="xsd:double"&gt;14.8076271088276&lt;/D&gt;&lt;D xsi:type="xsd:double"&gt;15.6493999203538&lt;/D&gt;&lt;D xsi:type="xsd:double"&gt;15.5552695103873&lt;/D&gt;&lt;D xsi:type="xsd:double"&gt;15.5074650500016&lt;/D&gt;&lt;D xsi:type="xsd:double"&gt;15.4832213384227&lt;/D&gt;&lt;D xsi:type="xsd:double"&gt;15.4538294040505&lt;/D&gt;&lt;D xsi:type="xsd:double"&gt;15.7000002003564&lt;/D&gt;&lt;D xsi:type="xsd:double"&gt;16.2003736307799&lt;/D&gt;&lt;D xsi:type="xsd:double"&gt;16.606433066163&lt;/D&gt;&lt;D xsi:type="xsd:double"&gt;16.5204798150493&lt;/D&gt;&lt;D xsi:type="xsd:double"&gt;17.3004395096195&lt;/D&gt;&lt;D xsi:type="xsd:double"&gt;18.3459614003345&lt;/D&gt;&lt;D xsi:type="xsd:double"&gt;17.317713288186&lt;/D&gt;&lt;D xsi:type="xsd:double"&gt;17.4512606454946&lt;/D&gt;&lt;D xsi:type="xsd:double"&gt;17.5472795163147&lt;/D&gt;&lt;D xsi:type="xsd:double"&gt;17.6820533787236&lt;/D&gt;&lt;D xsi:type="xsd:double"&gt;18.1528829143027&lt;/D&gt;&lt;D xsi:type="xsd:double"&gt;17.6072549666568&lt;/D&gt;&lt;D xsi:type="xsd:double"&gt;17.0737358104253&lt;/D&gt;&lt;D xsi:type="xsd:double"&gt;16.9755886646677&lt;/D&gt;&lt;D xsi:type="xsd:double"&gt;17.8543199534358&lt;/D&gt;&lt;D xsi:type="xsd:double"&gt;18.5544382013791&lt;/D&gt;&lt;D xsi:type="xsd:double"&gt;18.1084189134506&lt;/D&gt;&lt;D xsi:type="xsd:double"&gt;18.1977190468129&lt;/D&gt;&lt;D xsi:type="xsd:double"&gt;18.7371641814784&lt;/D&gt;&lt;D xsi:type="xsd:double"&gt;16.8815747774007&lt;/D&gt;&lt;D xsi:type="xsd:double"&gt;16.7003927546224&lt;/D&gt;&lt;D xsi:type="xsd:double"&gt;16.7673617804807&lt;/D&gt;&lt;D xsi:type="xsd:double"&gt;16.6057942513812&lt;/D&gt;&lt;D xsi:type="xsd:double"&gt;16.3719159528033&lt;/D&gt;&lt;D xsi:type="xsd:double"&gt;16.5915548331113&lt;/D&gt;&lt;D xsi:type="xsd:double"&gt;16.748752323118&lt;/D&gt;&lt;D xsi:type="xsd:double"&gt;16.8242164943209&lt;/D&gt;&lt;D xsi:type="xsd:double"&gt;15.4743853477997&lt;/D&gt;&lt;D xsi:type="xsd:double"&gt;14.7477333239919&lt;/D&gt;&lt;D xsi:type="xsd:double"&gt;14.0807560582387&lt;/D&gt;&lt;D xsi:type="xsd:double"&gt;16.2360867570493&lt;/D&gt;&lt;D xsi:type="xsd:double"&gt;18.1413254465354&lt;/D&gt;&lt;D xsi:type="xsd:double"&gt;17.8975621289525&lt;/D&gt;&lt;D xsi:type="xsd:double"&gt;17.8458656711923&lt;/D&gt;&lt;D xsi:type="xsd:double"&gt;17.0206295610308&lt;/D&gt;&lt;D xsi:type="xsd:double"&gt;17.2219803424837&lt;/D&gt;&lt;D xsi:type="xsd:double"&gt;16.6021513867663&lt;/D&gt;&lt;D xsi:type="xsd:double"&gt;15.9032969524347&lt;/D&gt;&lt;D xsi:type="xsd:double"&gt;16.0615937535805&lt;/D&gt;&lt;D xsi:type="xsd:double"&gt;17.0926881740577&lt;/D&gt;&lt;D xsi:type="xsd:double"&gt;15.8071957401211&lt;/D&gt;&lt;D xsi:type="xsd:double"&gt;16.3304978555893&lt;/D&gt;&lt;D xsi:type="xsd:double"&gt;14.2536553576023&lt;/D&gt;&lt;D xsi:type="xsd:double"&gt;12.9753017133522&lt;/D&gt;&lt;D xsi:type="xsd:double"&gt;13.0287292930084&lt;/D&gt;&lt;D xsi:type="xsd:double"&gt;14.7587063245461&lt;/D&gt;&lt;D xsi:type="xsd:double"&gt;16.4453890460528&lt;/D&gt;&lt;D xsi:type="xsd:double"&gt;17.5640069288372&lt;/D&gt;&lt;D xsi:type="xsd:double"&gt;17.1731465639003&lt;/D&gt;&lt;D xsi:type="xsd:double"&gt;17.2284508319473&lt;/D&gt;&lt;D xsi:type="xsd:double"&gt;18.0136853183054&lt;/D&gt;&lt;D xsi:type="xsd:double"&gt;15.6753382177758&lt;/D&gt;&lt;D xsi:type="xsd:double"&gt;17.1069519801277&lt;/D&gt;&lt;D xsi:type="xsd:double"&gt;18.1121546210417&lt;/D&gt;&lt;D xsi:type="xsd:double"&gt;18.034389002137&lt;/D&gt;&lt;D xsi:type="xsd:double"&gt;17.6859858598049&lt;/D&gt;&lt;D xsi:type="xsd:double"&gt;18.1673704513481&lt;/D&gt;&lt;D xsi:type="xsd:double"&gt;17.4105700673991&lt;/D&gt;&lt;D xsi:type="xsd:double"&gt;17.8751875292888&lt;/D&gt;&lt;D xsi:type="xsd:double"&gt;18.0061697590247&lt;/D&gt;&lt;D xsi:type="xsd:double"&gt;17.6230205423994&lt;/D&gt;&lt;D xsi:type="xsd:double"&gt;17.5730624674858&lt;/D&gt;&lt;D xsi:type="xsd:double"&gt;16.8112435762064&lt;/D&gt;&lt;D xsi:type="xsd:double"&gt;16.6826492976408&lt;/D&gt;&lt;D xsi:type="xsd:double"&gt;16.1153719422025&lt;/D&gt;&lt;D xsi:type="xsd:double"&gt;17.1512450841927&lt;/D&gt;&lt;D xsi:type="xsd:double"&gt;12.2284218487772&lt;/D&gt;&lt;D xsi:type="xsd:double"&gt;11.5152949931041&lt;/D&gt;&lt;D xsi:type="xsd:double"&gt;12.1681805087061&lt;/D&gt;&lt;D xsi:type="xsd:double"&gt;12.1913369263323&lt;/D&gt;&lt;D xsi:type="xsd:double"&gt;13.8630577044977&lt;/D&gt;&lt;D xsi:type="xsd:double"&gt;13.3069346694575&lt;/D&gt;&lt;D xsi:type="xsd:double"&gt;14.6692892459779&lt;/D&gt;&lt;D xsi:type="xsd:double"&gt;14.4771349600033&lt;/D&gt;&lt;D xsi:type="xsd:double"&gt;14.9465289973055&lt;/D&gt;&lt;D xsi:type="xsd:double"&gt;13.5804089834813&lt;/D&gt;&lt;D xsi:type="xsd:double"&gt;14.5317646340623&lt;/D&gt;&lt;D xsi:type="xsd:double"&gt;15.9798805263351&lt;/D&gt;&lt;D xsi:type="xsd:double"&gt;27.3012638074588&lt;/D&gt;&lt;D xsi:type="xsd:double"&gt;25.5878671279295&lt;/D&gt;&lt;D xsi:type="xsd:double"&gt;24.2816103482016&lt;/D&gt;&lt;D xsi:type="xsd:double"&gt;23.1207610830261&lt;/D&gt;&lt;D xsi:type="xsd:double"&gt;22.0082610502462&lt;/D&gt;&lt;D xsi:type="xsd:double"&gt;20.7749188614945&lt;/D&gt;&lt;D xsi:type="xsd:double"&gt;19.2345647455212&lt;/D&gt;&lt;D xsi:type="xsd:double"&gt;17.9375657292314&lt;/D&gt;&lt;D xsi:type="xsd:double"&gt;16.332120371566&lt;/D&gt;&lt;D xsi:type="xsd:double"&gt;15.9296626937602&lt;/D&gt;&lt;D xsi:type="xsd:double"&gt;17.4884176889329&lt;/D&gt;&lt;D xsi:type="xsd:double"&gt;17.4733837562466&lt;/D&gt;&lt;D xsi:type="xsd:double"&gt;15.2193554657805&lt;/D&gt;&lt;D xsi:type="xsd:double"&gt;15.7591493478474&lt;/D&gt;&lt;/FQL&gt;&lt;FQL&gt;&lt;Q&gt;PLATI-FDS^FG_PRICE_CHANGE(0,-3AM)&lt;/Q&gt;&lt;R&gt;1&lt;/R&gt;&lt;C&gt;1&lt;/C&gt;&lt;D xsi:type="xsd:double"&gt;-4.38502673796791&lt;/D&gt;&lt;/FQL&gt;&lt;FQL&gt;&lt;Q&gt;QQQ^FG_PRICE(0)&lt;/Q&gt;&lt;R&gt;1&lt;/R&gt;&lt;C&gt;1&lt;/C&gt;&lt;D xsi:type="xsd:double"&gt;444.02&lt;/D&gt;&lt;/FQL&gt;&lt;FQL&gt;&lt;Q&gt;EWQ^PERCENT_CHANGE(FMA_EPS(+1,0,,,,"PORTAGG","MEAN"),FMA_EPS(+1,-3AM,,,,"PORTAGG","MEAN"))&lt;/Q&gt;&lt;R&gt;1&lt;/R&gt;&lt;C&gt;1&lt;/C&gt;&lt;D xsi:type="xsd:double"&gt;-11.8546359307356&lt;/D&gt;&lt;/FQL&gt;&lt;FQL&gt;&lt;Q&gt;REFSEREPO-FDS^PROPER_NAME(0,,,"SECURITY","NAME")&lt;/Q&gt;&lt;R&gt;1&lt;/R&gt;&lt;C&gt;1&lt;/C&gt;&lt;D xsi:type="xsd:string"&gt;Sweden Repo Rate&lt;/D&gt;&lt;/FQL&gt;&lt;FQL&gt;&lt;Q&gt;TRYTW10Y-FDS^FG_YIELD(-10AY,0,Y,,"YTM")&lt;/Q&gt;&lt;R&gt;10&lt;/R&gt;&lt;C&gt;1&lt;/C&gt;&lt;D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xsi:type="xsd:double"&gt;4.07638219874125&lt;/D&gt;&lt;D xsi:type="xsd:double"&gt;3.67789534776584&lt;/D&gt;&lt;D xsi:type="xsd:double"&gt;4.61613845138492&lt;/D&gt;&lt;D xsi:type="xsd:double"&gt;4.46089531352278&lt;/D&gt;&lt;D xsi:type="xsd:double"&gt;4.55933864625466&lt;/D&gt;&lt;/FQL&gt;&lt;FQL&gt;&lt;Q&gt;SPY^FMA_PE(LTMA,-10AY,0,AM,"PORTAGG","MEANR")&lt;/Q&gt;&lt;R&gt;121&lt;/R&gt;&lt;C&gt;1&lt;/C&gt;&lt;D xsi:type="xsd:double"&gt;16.3955453897826&lt;/D&gt;&lt;D xsi:type="xsd:double"&gt;16.2968359427293&lt;/D&gt;&lt;D xsi:type="xsd:double"&gt;16.2372062655387&lt;/D&gt;&lt;D xsi:type="xsd:double"&gt;16.3003204021029&lt;/D&gt;&lt;D xsi:type="xsd:double"&gt;16.4996505616026&lt;/D&gt;&lt;D xsi:type="xsd:double"&gt;16.2029024156078&lt;/D&gt;&lt;D xsi:type="xsd:double"&gt;16.4849999912374&lt;/D&gt;&lt;D xsi:type="xsd:double"&gt;16.3629751097438&lt;/D&gt;&lt;D xsi:type="xsd:double"&gt;16.684921910295&lt;/D&gt;&lt;D xsi:type="xsd:double"&gt;17.1911357554625&lt;/D&gt;&lt;D xsi:type="xsd:double"&gt;17.2880609023596&lt;/D&gt;&lt;D xsi:type="xsd:double"&gt;17.0995495528243&lt;/D&gt;&lt;D xsi:type="xsd:double"&gt;17.5799708274535&lt;/D&gt;&lt;D xsi:type="xsd:double"&gt;17.4862016147174&lt;/D&gt;&lt;D xsi:type="xsd:double"&gt;17.5670688830186&lt;/D&gt;&lt;D xsi:type="xsd:double"&gt;17.4719082405555&lt;/D&gt;&lt;D xsi:type="xsd:double"&gt;17.3881398304416&lt;/D&gt;&lt;D xsi:type="xsd:double"&gt;17.4804102529502&lt;/D&gt;&lt;D xsi:type="xsd:double"&gt;16.5216733276677&lt;/D&gt;&lt;D xsi:type="xsd:double"&gt;16.6496234324281&lt;/D&gt;&lt;D xsi:type="xsd:double"&gt;17.5924137357809&lt;/D&gt;&lt;D xsi:type="xsd:double"&gt;17.4949842320588&lt;/D&gt;&lt;D xsi:type="xsd:double"&gt;16.8740731560845&lt;/D&gt;&lt;D xsi:type="xsd:double"&gt;16.2966838906097&lt;/D&gt;&lt;D xsi:type="xsd:double"&gt;16.18819342752&lt;/D&gt;&lt;D xsi:type="xsd:double"&gt;16.4452153070474&lt;/D&gt;&lt;D xsi:type="xsd:double"&gt;16.565182572191&lt;/D&gt;&lt;D xsi:type="xsd:double"&gt;16.7753482194953&lt;/D&gt;&lt;D xsi:type="xsd:double"&gt;16.9159239183927&lt;/D&gt;&lt;D xsi:type="xsd:double"&gt;17.3687128662998&lt;/D&gt;&lt;D xsi:type="xsd:double"&gt;17.6159089870747&lt;/D&gt;&lt;D xsi:type="xsd:double"&gt;17.6604468683771&lt;/D&gt;&lt;D xsi:type="xsd:double"&gt;17.2918700891375&lt;/D&gt;&lt;D xsi:type="xsd:double"&gt;18.2194455870168&lt;/D&gt;&lt;D xsi:type="xsd:double"&gt;19.0533805734181&lt;/D&gt;&lt;D xsi:type="xsd:double"&gt;19.0470058282493&lt;/D&gt;&lt;D xsi:type="xsd:double"&gt;19.5059964529408&lt;/D&gt;&lt;D xsi:type="xsd:double"&gt;19.3170637122769&lt;/D&gt;&lt;D xsi:type="xsd:double"&gt;19.2164526892078&lt;/D&gt;&lt;D xsi:type="xsd:double"&gt;19.238310359636&lt;/D&gt;&lt;D xsi:type="xsd:double"&gt;19.0961398757214&lt;/D&gt;&lt;D xsi:type="xsd:double"&gt;19.1759928307014&lt;/D&gt;&lt;D xsi:type="xsd:double"&gt;19.0917620071552&lt;/D&gt;&lt;D xsi:type="xsd:double"&gt;19.4373095021123&lt;/D&gt;&lt;D xsi:type="xsd:double"&gt;19.6418530820794&lt;/D&gt;&lt;D xsi:type="xsd:double"&gt;19.9724142674525&lt;/D&gt;&lt;D xsi:type="xsd:double"&gt;20.5965677858188&lt;/D&gt;&lt;D xsi:type="xsd:double"&gt;20.4222110096896&lt;/D&gt;&lt;D xsi:type="xsd:double"&gt;19.753213097976&lt;/D&gt;&lt;D xsi:type="xsd:double"&gt;19.3882771370759&lt;/D&gt;&lt;D xsi:type="xsd:double"&gt;19.0584991730264&lt;/D&gt;&lt;D xsi:type="xsd:double"&gt;18.9288508433386&lt;/D&gt;&lt;D xsi:type="xsd:double"&gt;18.5562986133552&lt;/D&gt;&lt;D xsi:type="xsd:double"&gt;18.6694704620637&lt;/D&gt;&lt;D xsi:type="xsd:double"&gt;18.654180542312&lt;/D&gt;&lt;D xsi:type="xsd:double"&gt;18.5055152210056&lt;/D&gt;&lt;D xsi:type="xsd:double"&gt;17.3250553415588&lt;/D&gt;&lt;D xsi:type="xsd:double"&gt;16.8848339833356&lt;/D&gt;&lt;D xsi:type="xsd:double"&gt;15.6618488826115&lt;/D&gt;&lt;D xsi:type="xsd:double"&gt;16.8014756694772&lt;/D&gt;&lt;D xsi:type="xsd:double"&gt;17.1112776465071&lt;/D&gt;&lt;D xsi:type="xsd:double"&gt;17.1996750663753&lt;/D&gt;&lt;D xsi:type="xsd:double"&gt;17.3212839887634&lt;/D&gt;&lt;D xsi:type="xsd:double"&gt;16.9941811050291&lt;/D&gt;&lt;D xsi:type="xsd:double"&gt;17.5797539543109&lt;/D&gt;&lt;D xsi:type="xsd:double"&gt;17.4926407268984&lt;/D&gt;&lt;D xsi:type="xsd:double"&gt;17.5851849371932&lt;/D&gt;&lt;D xsi:type="xsd:double"&gt;17.794563845827&lt;/D&gt;&lt;D xsi:type="xsd:double"&gt;18.5597061398244&lt;/D&gt;&lt;D xsi:type="xsd:double"&gt;18.959983645075&lt;/D&gt;&lt;D xsi:type="xsd:double"&gt;19.8915399440879&lt;/D&gt;&lt;D xsi:type="xsd:double"&gt;20.0691386730713&lt;/D&gt;&lt;D xsi:type="xsd:double"&gt;18.0715434525816&lt;/D&gt;&lt;D xsi:type="xsd:double"&gt;17.557040547659&lt;/D&gt;&lt;D xsi:type="xsd:double"&gt;19.2731921961178&lt;/D&gt;&lt;D xsi:type="xsd:double"&gt;20.7668198070845&lt;/D&gt;&lt;D xsi:type="xsd:double"&gt;21.3671576551022&lt;/D&gt;&lt;D xsi:type="xsd:double"&gt;22.3038942807201&lt;/D&gt;&lt;D xsi:type="xsd:double"&gt;23.3883618464257&lt;/D&gt;&lt;D xsi:type="xsd:double"&gt;23.5187739818145&lt;/D&gt;&lt;D xsi:type="xsd:double"&gt;23.9337439724761&lt;/D&gt;&lt;D xsi:type="xsd:double"&gt;25.9027611325381&lt;/D&gt;&lt;D xsi:type="xsd:double"&gt;26.9439055447151&lt;/D&gt;&lt;D xsi:type="xsd:double"&gt;27.1482501290524&lt;/D&gt;&lt;D xsi:type="xsd:double"&gt;26.1622497896246&lt;/D&gt;&lt;D xsi:type="xsd:double"&gt;26.0393846136138&lt;/D&gt;&lt;D xsi:type="xsd:double"&gt;25.466466538247&lt;/D&gt;&lt;D xsi:type="xsd:double"&gt;25.0640225235674&lt;/D&gt;&lt;D xsi:type="xsd:double"&gt;24.9298725129803&lt;/D&gt;&lt;D xsi:type="xsd:double"&gt;24.0941196651705&lt;/D&gt;&lt;D xsi:type="xsd:double"&gt;24.0082796562599&lt;/D&gt;&lt;D xsi:type="xsd:double"&gt;22.804994578896&lt;/D&gt;&lt;D xsi:type="xsd:double"&gt;23.5200371236019&lt;/D&gt;&lt;D xsi:type="xsd:double"&gt;22.474526753368&lt;/D&gt;&lt;D xsi:type="xsd:double"&gt;23.3451138885706&lt;/D&gt;&lt;D xsi:type="xsd:double"&gt;21.5223060262083&lt;/D&gt;&lt;D xsi:type="xsd:double"&gt;20.6614683379461&lt;/D&gt;&lt;D xsi:type="xsd:double"&gt;20.7468916383848&lt;/D&gt;&lt;D xsi:type="xsd:double"&gt;20.2294383694768&lt;/D&gt;&lt;D xsi:type="xsd:double"&gt;19.6695178267227&lt;/D&gt;&lt;D xsi:type="xsd:double"&gt;18.8216824588018&lt;/D&gt;&lt;D xsi:type="xsd:double"&gt;19.3781930881383&lt;/D&gt;&lt;D xsi:type="xsd:double"&gt;18.543543501192&lt;/D&gt;&lt;D xsi:type="xsd:double"&gt;17.9146497617128&lt;/D&gt;&lt;D xsi:type="xsd:double"&gt;17.6683217500341&lt;/D&gt;&lt;D xsi:type="xsd:double"&gt;18.6182342100037&lt;/D&gt;&lt;D xsi:type="xsd:double"&gt;17.491096160865&lt;/D&gt;&lt;D xsi:type="xsd:double"&gt;18.810006379886&lt;/D&gt;&lt;D xsi:type="xsd:double"&gt;18.1092429863217&lt;/D&gt;&lt;D xsi:type="xsd:double"&gt;18.2200606304666&lt;/D&gt;&lt;D xsi:type="xsd:double"&gt;18.1797096756021&lt;/D&gt;&lt;D xsi:type="xsd:double"&gt;18.6063601904263&lt;/D&gt;&lt;D xsi:type="xsd:double"&gt;19.1667197855834&lt;/D&gt;&lt;D xsi:type="xsd:double"&gt;19.3786789412874&lt;/D&gt;&lt;D xsi:type="xsd:double"&gt;19.5870191516838&lt;/D&gt;&lt;D xsi:type="xsd:double"&gt;18.9957221012806&lt;/D&gt;&lt;D xsi:type="xsd:double"&gt;19.5028656496435&lt;/D&gt;&lt;D xsi:type="xsd:double"&gt;20.4955035062471&lt;/D&gt;&lt;D xsi:type="xsd:double"&gt;21.365681505201&lt;/D&gt;&lt;D xsi:type="xsd:double"&gt;22.3991230399419&lt;/D&gt;&lt;D xsi:type="xsd:double"&gt;23.155143878481&lt;/D&gt;&lt;/FQL&gt;&lt;FQL&gt;&lt;Q&gt;PLATI-FDS^FG_PRICE_CHANGE(0,-1AM)&lt;/Q&gt;&lt;R&gt;1&lt;/R&gt;&lt;C&gt;1&lt;/C&gt;&lt;D xsi:type="xsd:double"&gt;-1.75824175824176&lt;/D&gt;&lt;/FQL&gt;&lt;FQL&gt;&lt;Q&gt;URTH^P_PRICE(0)/P_PRICE_HIGH_PR(0,,,USD,,,"PRICE","INTRA","52W")&lt;/Q&gt;&lt;R&gt;1&lt;/R&gt;&lt;C&gt;1&lt;/C&gt;&lt;D xsi:type="xsd:double"&gt;0.99672145&lt;/D&gt;&lt;/FQL&gt;&lt;FQL&gt;&lt;Q&gt;FXI^FMA_COS_DOWN("EPS","1M",+1,0,,,"PORTAGG","MEANR")&lt;/Q&gt;&lt;R&gt;1&lt;/R&gt;&lt;C&gt;1&lt;/C&gt;&lt;D xsi:type="xsd:double"&gt;20&lt;/D&gt;&lt;/FQL&gt;&lt;FQL&gt;&lt;Q&gt;EWL^FG_ROE(0)&lt;/Q&gt;&lt;R&gt;1&lt;/R&gt;&lt;C&gt;1&lt;/C&gt;&lt;D xsi:type="xsd:double"&gt;24.1266840314759&lt;/D&gt;&lt;/FQL&gt;&lt;FQL&gt;&lt;Q&gt;REFJPTON-FDS^PROPER_NAME(0,,,"SECURITY","NAME")&lt;/Q&gt;&lt;R&gt;1&lt;/R&gt;&lt;C&gt;1&lt;/C&gt;&lt;D xsi:type="xsd:string"&gt;Japan Policy Rate&lt;/D&gt;&lt;/FQL&gt;&lt;FQL&gt;&lt;Q&gt;TRYJP10Y-FDS^PCTCHG(FG_YIELD(0,,,,"YTM"),FG_YIELD(-1AM,,,,"YTM"))&lt;/Q&gt;&lt;R&gt;1&lt;/R&gt;&lt;C&gt;1&lt;/C&gt;&lt;D xsi:type="xsd:double"&gt;5.3293877&lt;/D&gt;&lt;/FQL&gt;&lt;FQL&gt;&lt;Q&gt;VGK^FMA_EVAL_EBIT(LTMA,NOW,NOW,M,"PORTAGG","MEANR")&lt;/Q&gt;&lt;R&gt;1&lt;/R&gt;&lt;C&gt;1&lt;/C&gt;&lt;D xsi:type="xsd:double"&gt;13.0698985396901&lt;/D&gt;&lt;/FQL&gt;&lt;FQL&gt;&lt;Q&gt;EWC^FMA_PE(LTM,0,,,"PORTAGG","MEANR")&lt;/Q&gt;&lt;R&gt;1&lt;/R&gt;&lt;C&gt;1&lt;/C&gt;&lt;D xsi:type="xsd:double"&gt;16.4884355869725&lt;/D&gt;&lt;/FQL&gt;&lt;FQL&gt;&lt;Q&gt;DBA^P_PRICE(0)/P_PRICE_HIGH_PR(0,,,USD,,,"PRICE","INTRA","52W")&lt;/Q&gt;&lt;R&gt;1&lt;/R&gt;&lt;C&gt;1&lt;/C&gt;&lt;D xsi:type="xsd:double"&gt;0.9955655&lt;/D&gt;&lt;/FQL&gt;&lt;FQL&gt;&lt;Q&gt;EWG^FMA_EPS(NTMA,-20AY,0,CY,,"PORTAGG","MEANR")&lt;/Q&gt;&lt;R&gt;20&lt;/R&gt;&lt;C&gt;1&lt;/C&gt;&lt;D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xsi:type="xsd:double"&gt;2.65455698578818&lt;/D&gt;&lt;/FQL&gt;&lt;FQL&gt;&lt;Q&gt;EWC^FMA_PE(LTMA,-10AY,0,AM,"PORTAGG","MEANR")&lt;/Q&gt;&lt;R&gt;121&lt;/R&gt;&lt;C&gt;1&lt;/C&gt;&lt;D xsi:type="xsd:double"&gt;16.5561814206342&lt;/D&gt;&lt;D xsi:type="xsd:double"&gt;16.4277853956283&lt;/D&gt;&lt;D xsi:type="xsd:double"&gt;16.374325786381&lt;/D&gt;&lt;D xsi:type="xsd:double"&gt;16.1929648993416&lt;/D&gt;&lt;D xsi:type="xsd:double"&gt;16.3289123304105&lt;/D&gt;&lt;D xsi:type="xsd:double"&gt;16.2632147956074&lt;/D&gt;&lt;D xsi:type="xsd:double"&gt;16.4672018357723&lt;/D&gt;&lt;D xsi:type="xsd:double"&gt;15.8239037173897&lt;/D&gt;&lt;D xsi:type="xsd:double"&gt;15.4701758949802&lt;/D&gt;&lt;D xsi:type="xsd:double"&gt;15.5503000572496&lt;/D&gt;&lt;D xsi:type="xsd:double"&gt;15.7070156564&lt;/D&gt;&lt;D xsi:type="xsd:double"&gt;16.1719455372154&lt;/D&gt;&lt;D xsi:type="xsd:double"&gt;17.0129997181938&lt;/D&gt;&lt;D xsi:type="xsd:double"&gt;17.095456503967&lt;/D&gt;&lt;D xsi:type="xsd:double"&gt;17.3722715313449&lt;/D&gt;&lt;D xsi:type="xsd:double"&gt;17.2369093217697&lt;/D&gt;&lt;D xsi:type="xsd:double"&gt;17.0842855539427&lt;/D&gt;&lt;D xsi:type="xsd:double"&gt;17.0369251442477&lt;/D&gt;&lt;D </t>
        </r>
      </text>
    </comment>
    <comment ref="A14" authorId="0" shapeId="0" xr:uid="{0315B833-930B-4E04-9ED2-DC1A4CE50642}">
      <text>
        <r>
          <rPr>
            <b/>
            <sz val="9"/>
            <color indexed="81"/>
            <rFont val="Tahoma"/>
            <family val="2"/>
          </rPr>
          <t>xsi:type="xsd:double"&gt;16.3289756829073&lt;/D&gt;&lt;D xsi:type="xsd:double"&gt;16.3797557994676&lt;/D&gt;&lt;D xsi:type="xsd:double"&gt;16.7688649740271&lt;/D&gt;&lt;D xsi:type="xsd:double"&gt;16.5771509376271&lt;/D&gt;&lt;D xsi:type="xsd:double"&gt;15.6579007267959&lt;/D&gt;&lt;D xsi:type="xsd:double"&gt;15.5497195772734&lt;/D&gt;&lt;D xsi:type="xsd:double"&gt;15.806776648673&lt;/D&gt;&lt;D xsi:type="xsd:double"&gt;15.9762520210847&lt;/D&gt;&lt;D xsi:type="xsd:double"&gt;16.301516958882&lt;/D&gt;&lt;D xsi:type="xsd:double"&gt;16.7490838649762&lt;/D&gt;&lt;D xsi:type="xsd:double"&gt;16.7934665316453&lt;/D&gt;&lt;D xsi:type="xsd:double"&gt;17.2097209866306&lt;/D&gt;&lt;D xsi:type="xsd:double"&gt;17.6838143347528&lt;/D&gt;&lt;D xsi:type="xsd:double"&gt;17.7498036694306&lt;/D&gt;&lt;D xsi:type="xsd:double"&gt;17.9708370643136&lt;/D&gt;&lt;D xsi:type="xsd:double"&gt;18.7977509765365&lt;/D&gt;&lt;D xsi:type="xsd:double"&gt;19.6417470328651&lt;/D&gt;&lt;D xsi:type="xsd:double"&gt;19.6526094006356&lt;/D&gt;&lt;D xsi:type="xsd:double"&gt;19.4084327608691&lt;/D&gt;&lt;D xsi:type="xsd:double"&gt;19.1001421299763&lt;/D&gt;&lt;D xsi:type="xsd:double"&gt;18.6826313037059&lt;/D&gt;&lt;D xsi:type="xsd:double"&gt;18.42952715946&lt;/D&gt;&lt;D xsi:type="xsd:double"&gt;18.0241574110775&lt;/D&gt;&lt;D xsi:type="xsd:double"&gt;18.0045353284545&lt;/D&gt;&lt;D xsi:type="xsd:double"&gt;17.5274265070569&lt;/D&gt;&lt;D xsi:type="xsd:double"&gt;17.6902426586131&lt;/D&gt;&lt;D xsi:type="xsd:double"&gt;17.4996441700455&lt;/D&gt;&lt;D xsi:type="xsd:double"&gt;17.2185018914301&lt;/D&gt;&lt;D xsi:type="xsd:double"&gt;17.4394824755236&lt;/D&gt;&lt;D xsi:type="xsd:double"&gt;16.3939027219064&lt;/D&gt;&lt;D xsi:type="xsd:double"&gt;15.8114070627831&lt;/D&gt;&lt;D xsi:type="xsd:double"&gt;15.6198928641047&lt;/D&gt;&lt;D xsi:type="xsd:double"&gt;15.5888812557178&lt;/D&gt;&lt;D xsi:type="xsd:double"&gt;15.5250481268711&lt;/D&gt;&lt;D xsi:type="xsd:double"&gt;15.464265835349&lt;/D&gt;&lt;D xsi:type="xsd:double"&gt;15.4898696571682&lt;/D&gt;&lt;D xsi:type="xsd:double"&gt;15.153028687669&lt;/D&gt;&lt;D xsi:type="xsd:double"&gt;15.0016635363752&lt;/D&gt;&lt;D xsi:type="xsd:double"&gt;14.2201797377882&lt;/D&gt;&lt;D xsi:type="xsd:double"&gt;13.9417337044614&lt;/D&gt;&lt;D xsi:type="xsd:double"&gt;13.2373247902731&lt;/D&gt;&lt;D xsi:type="xsd:double"&gt;14.6195787736894&lt;/D&gt;&lt;D xsi:type="xsd:double"&gt;14.7263630274139&lt;/D&gt;&lt;D xsi:type="xsd:double"&gt;14.7452976828294&lt;/D&gt;&lt;D xsi:type="xsd:double"&gt;14.6032994608244&lt;/D&gt;&lt;D xsi:type="xsd:double"&gt;14.4105210837952&lt;/D&gt;&lt;D xsi:type="xsd:double"&gt;14.5470594711168&lt;/D&gt;&lt;D xsi:type="xsd:double"&gt;14.3726991654181&lt;/D&gt;&lt;D xsi:type="xsd:double"&gt;14.4474859429443&lt;/D&gt;&lt;D xsi:type="xsd:double"&gt;14.5155283080125&lt;/D&gt;&lt;D xsi:type="xsd:double"&gt;14.9086180240408&lt;/D&gt;&lt;D xsi:type="xsd:double"&gt;14.9815503581764&lt;/D&gt;&lt;D xsi:type="xsd:double"&gt;15.2569832294954&lt;/D&gt;&lt;D xsi:type="xsd:double"&gt;15.5367709968033&lt;/D&gt;&lt;D xsi:type="xsd:double"&gt;14.4683396357362&lt;/D&gt;&lt;D xsi:type="xsd:double"&gt;14.1660934537007&lt;/D&gt;&lt;D xsi:type="xsd:double"&gt;15.6866160105218&lt;/D&gt;&lt;D xsi:type="xsd:double"&gt;17.1128878068767&lt;/D&gt;&lt;D xsi:type="xsd:double"&gt;17.4247691451461&lt;/D&gt;&lt;D xsi:type="xsd:double"&gt;18.1964896724324&lt;/D&gt;&lt;D xsi:type="xsd:double"&gt;18.1013456003587&lt;/D&gt;&lt;D xsi:type="xsd:double"&gt;18.4059117213452&lt;/D&gt;&lt;D xsi:type="xsd:double"&gt;18.4312175495254&lt;/D&gt;&lt;D xsi:type="xsd:double"&gt;20.0369285715154&lt;/D&gt;&lt;D xsi:type="xsd:double"&gt;20.5969012920507&lt;/D&gt;&lt;D xsi:type="xsd:double"&gt;20.8641443092447&lt;/D&gt;&lt;D xsi:type="xsd:double"&gt;19.9152642303619&lt;/D&gt;&lt;D xsi:type="xsd:double"&gt;19.6112449968824&lt;/D&gt;&lt;D xsi:type="xsd:double"&gt;19.1746888291518&lt;/D&gt;&lt;D xsi:type="xsd:double"&gt;18.7762277565505&lt;/D&gt;&lt;D xsi:type="xsd:double"&gt;18.4301547295925&lt;/D&gt;&lt;D xsi:type="xsd:double"&gt;17.7212986576671&lt;/D&gt;&lt;D xsi:type="xsd:double"&gt;17.2307850610811&lt;/D&gt;&lt;D xsi:type="xsd:double"&gt;16.3230143910268&lt;/D&gt;&lt;D xsi:type="xsd:double"&gt;16.6710607552959&lt;/D&gt;&lt;D xsi:type="xsd:double"&gt;15.4860500993552&lt;/D&gt;&lt;D xsi:type="xsd:double"&gt;15.4072578603303&lt;/D&gt;&lt;D xsi:type="xsd:double"&gt;15.4053006106557&lt;/D&gt;&lt;D xsi:type="xsd:double"&gt;15.241983480752&lt;/D&gt;&lt;D xsi:type="xsd:double"&gt;15.0457098602895&lt;/D&gt;&lt;D xsi:type="xsd:double"&gt;14.6099308225907&lt;/D&gt;&lt;D xsi:type="xsd:double"&gt;14.2639868085087&lt;/D&gt;&lt;D xsi:type="xsd:double"&gt;13.4335584086702&lt;/D&gt;&lt;D xsi:type="xsd:double"&gt;13.2266529697451&lt;/D&gt;&lt;D xsi:type="xsd:double"&gt;12.7701419947638&lt;/D&gt;&lt;D xsi:type="xsd:double"&gt;12.5512527258382&lt;/D&gt;&lt;D xsi:type="xsd:double"&gt;12.4251735409757&lt;/D&gt;&lt;D xsi:type="xsd:double"&gt;12.8844391541457&lt;/D&gt;&lt;D xsi:type="xsd:double"&gt;12.1523460871622&lt;/D&gt;&lt;D xsi:type="xsd:double"&gt;12.9204737630084&lt;/D&gt;&lt;D xsi:type="xsd:double"&gt;12.6284457678431&lt;/D&gt;&lt;D xsi:type="xsd:double"&gt;12.685728456823&lt;/D&gt;&lt;D xsi:type="xsd:double"&gt;12.7328785996034&lt;/D&gt;&lt;D xsi:type="xsd:double"&gt;12.894574518691&lt;/D&gt;&lt;D xsi:type="xsd:double"&gt;13.051981126626&lt;/D&gt;&lt;D xsi:type="xsd:double"&gt;13.4146178950906&lt;/D&gt;&lt;D xsi:type="xsd:double"&gt;13.659225175889&lt;/D&gt;&lt;D xsi:type="xsd:double"&gt;13.0133375855118&lt;/D&gt;&lt;D xsi:type="xsd:double"&gt;13.4837938998873&lt;/D&gt;&lt;D xsi:type="xsd:double"&gt;13.9992623852342&lt;/D&gt;&lt;D xsi:type="xsd:double"&gt;14.5459823743817&lt;/D&gt;&lt;D xsi:type="xsd:double"&gt;14.6713802983647&lt;/D&gt;&lt;D xsi:type="xsd:double"&gt;14.9493033489384&lt;/D&gt;&lt;/FQL&gt;&lt;FQL&gt;&lt;Q&gt;CPALM-FDS^MAX(FG_PRICE(0,-5AY))&lt;/Q&gt;&lt;R&gt;1&lt;/R&gt;&lt;C&gt;1&lt;/C&gt;&lt;D xsi:type="xsd:double"&gt;8163&lt;/D&gt;&lt;/FQL&gt;&lt;FQL&gt;&lt;Q&gt;EWU^FG_PRICE_MAVG(0,,,,30)&lt;/Q&gt;&lt;R&gt;1&lt;/R&gt;&lt;C&gt;1&lt;/C&gt;&lt;D xsi:type="xsd:double"&gt;32.509666&lt;/D&gt;&lt;/FQL&gt;&lt;FQL&gt;&lt;Q&gt;ENZL^FG_TOTAL_RETURNC(0,-6AM)&lt;/Q&gt;&lt;R&gt;1&lt;/R&gt;&lt;C&gt;1&lt;/C&gt;&lt;D xsi:type="xsd:double"&gt;1.1387229&lt;/D&gt;&lt;/FQL&gt;&lt;FQL&gt;&lt;Q&gt;EWQ^FMA_PCT_ABOVE_MAVG(200,0,,,,"PORTAGG")&lt;/Q&gt;&lt;R&gt;1&lt;/R&gt;&lt;C&gt;1&lt;/C&gt;&lt;D xsi:type="xsd:double"&gt;66.1290322580645&lt;/D&gt;&lt;/FQL&gt;&lt;FQL&gt;&lt;Q&gt;EWJ^FG_ROE(0)&lt;/Q&gt;&lt;R&gt;1&lt;/R&gt;&lt;C&gt;1&lt;/C&gt;&lt;D xsi:type="xsd:double"&gt;9.50728950489472&lt;/D&gt;&lt;/FQL&gt;&lt;FQL&gt;&lt;Q&gt;TRYDE10Y-FDS^PCTCHG(FG_YIELD(0,,,,"YTM"),FG_YIELD(-3AM,,,,"YTM"))&lt;/Q&gt;&lt;R&gt;1&lt;/R&gt;&lt;C&gt;1&lt;/C&gt;&lt;D xsi:type="xsd:double"&gt;3.307556&lt;/D&gt;&lt;/FQL&gt;&lt;FQL&gt;&lt;Q&gt;TRYDE10Y-FDS^FG_YIELD(0,,,,"YTM")&lt;/Q&gt;&lt;R&gt;1&lt;/R&gt;&lt;C&gt;1&lt;/C&gt;&lt;D xsi:type="xsd:double"&gt;2.405&lt;/D&gt;&lt;/FQL&gt;&lt;FQL&gt;&lt;Q&gt;VGK^FMA_EVAL_EBITDA(NTMA,0,,,"PORTAGG","MEANR")&lt;/Q&gt;&lt;R&gt;1&lt;/R&gt;&lt;C&gt;1&lt;/C&gt;&lt;D xsi:type="xsd:double"&gt;9.03209206976305&lt;/D&gt;&lt;/FQL&gt;&lt;FQL&gt;&lt;Q&gt;EWL^FMA_EVAL_EBITDA(NTMA,0,,,"PORTAGG","MEANR")&lt;/Q&gt;&lt;R&gt;1&lt;/R&gt;&lt;C&gt;1&lt;/C&gt;&lt;D xsi:type="xsd:double"&gt;13.5282992427661&lt;/D&gt;&lt;/FQL&gt;&lt;FQL&gt;&lt;Q&gt;EWC^JULIAN(FMA_DIV_YLD(NTMA,NOW,NOW,M,"PORTAGG","MEANR").DATES)&lt;/Q&gt;&lt;R&gt;1&lt;/R&gt;&lt;C&gt;1&lt;/C&gt;&lt;D xsi:type="xsd:long"&gt;45351&lt;/D&gt;&lt;/FQL&gt;&lt;FQL&gt;&lt;Q&gt;DBA^FG_TOTAL_RETURNC(0,-6AM)&lt;/Q&gt;&lt;R&gt;1&lt;/R&gt;&lt;C&gt;1&lt;/C&gt;&lt;D xsi:type="xsd:double"&gt;7.786&lt;/D&gt;&lt;/FQL&gt;&lt;FQL&gt;&lt;Q&gt;FXI^FMA_COS_UP("EPS","1M",+1,0,,,"PORTAGG","MEANR")&lt;/Q&gt;&lt;R&gt;1&lt;/R&gt;&lt;C&gt;1&lt;/C&gt;&lt;D xsi:type="xsd:double"&gt;13&lt;/D&gt;&lt;/FQL&gt;&lt;FQL&gt;&lt;Q&gt;EWG^FG_ROE(0)&lt;/Q&gt;&lt;R&gt;1&lt;/R&gt;&lt;C&gt;1&lt;/C&gt;&lt;D xsi:type="xsd:double"&gt;11.8485776502836&lt;/D&gt;&lt;/FQL&gt;&lt;FQL&gt;&lt;Q&gt;EWQ^FMA_DIV_YLD(NTMA,NOW,NOW,M,"PORTAGG","MEANR")&lt;/Q&gt;&lt;R&gt;1&lt;/R&gt;&lt;C&gt;1&lt;/C&gt;&lt;D xsi:type="xsd:double"&gt;3.12066304412615&lt;/D&gt;&lt;/FQL&gt;&lt;FQL&gt;&lt;Q&gt;EWA^FMA_EVAL_EBIT(LTMA,NOW,NOW,M,"PORTAGG","MEANR")&lt;/Q&gt;&lt;R&gt;1&lt;/R&gt;&lt;C&gt;1&lt;/C&gt;&lt;D xsi:type="xsd:double"&gt;12.4400251263789&lt;/D&gt;&lt;/FQL&gt;&lt;FQL&gt;&lt;Q&gt;CAGDPY@IT^EE_ACTUAL_ANNUAL(MED,+1)&lt;/Q&gt;&lt;R&gt;1&lt;/R&gt;&lt;C&gt;1&lt;/C&gt;&lt;D xsi:type="xsd:double"&gt;0.95&lt;/D&gt;&lt;/FQL&gt;&lt;FQL&gt;&lt;Q&gt;W-FDS^MAX(FG_PRICE(0,-5AY))&lt;/Q&gt;&lt;R&gt;1&lt;/R&gt;&lt;C&gt;1&lt;/C&gt;&lt;D xsi:type="xsd:double"&gt;14.2525&lt;/D&gt;&lt;/FQL&gt;&lt;FQL&gt;&lt;Q&gt;EWU^FG_PRICE(0)&lt;/Q&gt;&lt;R&gt;1&lt;/R&gt;&lt;C&gt;1&lt;/C&gt;&lt;D xsi:type="xsd:double"&gt;32.82&lt;/D&gt;&lt;/FQL&gt;&lt;FQL&gt;&lt;Q&gt;URTH^FG_TOTAL_RETURNC(0,-6AM)&lt;/Q&gt;&lt;R&gt;1&lt;/R&gt;&lt;C&gt;1&lt;/C&gt;&lt;D xsi:type="xsd:double"&gt;13.214933&lt;/D&gt;&lt;/FQL&gt;&lt;FQL&gt;&lt;Q&gt;ENZL^FG_TOTAL_RETURNC(0,-3AM)&lt;/Q&gt;&lt;R&gt;1&lt;/R&gt;&lt;C&gt;1&lt;/C&gt;&lt;D xsi:type="xsd:double"&gt;-0.43677092&lt;/D&gt;&lt;/FQL&gt;&lt;FQL&gt;&lt;Q&gt;EWC^FMA_EPS(NTMA,-20AY,0,CY,,"PORTAGG","MEANR")&lt;/Q&gt;&lt;R&gt;20&lt;/R&gt;&lt;C&gt;1&lt;/C&gt;&lt;D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xsi:type="xsd:double"&gt;2.68263358415049&lt;/D&gt;&lt;/FQL&gt;&lt;FQL&gt;&lt;Q&gt;ENZL^JULIAN(FMA_DIV_YLD(LTMA,-10AY,0,AM,"PORTAGG","MEANR").DATES)&lt;/Q&gt;&lt;R&gt;121&lt;/R&gt;&lt;C&gt;1&lt;/C&gt;&lt;D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xsi:type="xsd:long"&gt;45350&lt;/D&gt;&lt;/FQL&gt;&lt;FQL&gt;&lt;Q&gt;W-FDS^FG_PRICE(0)/MAX(FG_PRICE(0,-1AY))&lt;/Q&gt;&lt;R&gt;1&lt;/R&gt;&lt;C&gt;1&lt;/C&gt;&lt;D xsi:type="xsd:double"&gt;0.741203551463334&lt;/D&gt;&lt;/FQL&gt;&lt;FQL&gt;&lt;Q&gt;FXI^FMA_PCT_ABOVE_MAVG(200,0,,,,"PORTAGG")&lt;/Q&gt;&lt;R&gt;1&lt;/R&gt;&lt;C&gt;1&lt;/C&gt;&lt;D xsi:type="xsd:double"&gt;45.0980392156863&lt;/D&gt;&lt;/FQL&gt;&lt;FQL&gt;&lt;Q&gt;SPY^PERCENT_CHANGE(FMA_EPS(+1,0,,,,"PORTAGG","MEAN"),FMA_EPS(+1,-3AM,,,,"PORTAGG","MEAN"))&lt;/Q&gt;&lt;R&gt;1&lt;/R&gt;&lt;C&gt;1&lt;/C&gt;&lt;D xsi:type="xsd:double"&gt;-10.8740778627976&lt;/D&gt;&lt;/FQL&gt;&lt;FQL&gt;&lt;Q&gt;QQQ^SIZE(FG_CONSTITUENTS)&lt;/Q&gt;&lt;R&gt;1&lt;/R&gt;&lt;C&gt;1&lt;/C&gt;&lt;D xsi:type="xsd:long"&gt;102&lt;/D&gt;&lt;/FQL&gt;&lt;FQL&gt;&lt;Q&gt;TRYDE10Y-FDS^PCTCHG(FG_YIELD(0,,,,"YTM"),FG_YIELD(-1AM,,,,"YTM"))&lt;/Q&gt;&lt;R&gt;1&lt;/R&gt;&lt;C&gt;1&lt;/C&gt;&lt;D xsi:type="xsd:double"&gt;7.944347&lt;/D&gt;&lt;/FQL&gt;&lt;FQL&gt;&lt;Q&gt;VGK^FG_FCF_YIELD_NTM(0)&lt;/Q&gt;&lt;R&gt;1&lt;/R&gt;&lt;C&gt;1&lt;/C&gt;&lt;D xsi:type="xsd:double"&gt;5.04747369188114&lt;/D&gt;&lt;/FQL&gt;&lt;FQL&gt;&lt;Q&gt;EWL^FG_FCF_YIELD_NTM(0)&lt;/Q&gt;&lt;R&gt;1&lt;/R&gt;&lt;C&gt;1&lt;/C&gt;&lt;D xsi:type="xsd:double"&gt;4.51711959689719&lt;/D&gt;&lt;/FQL&gt;&lt;FQL&gt;&lt;Q&gt;EWA^FMA_PE(NTMA,0,,,"PORTAGG","MEANR")&lt;/Q&gt;&lt;R&gt;1&lt;/R&gt;&lt;C&gt;1&lt;/C&gt;&lt;D xsi:type="xsd:double"&gt;16.6069622960294&lt;/D&gt;&lt;/FQL&gt;&lt;FQL&gt;&lt;Q&gt;DBA^FG_TOTAL_RETURNC(0,-3AM)&lt;/Q&gt;&lt;R&gt;1&lt;/R&gt;&lt;C&gt;1&lt;/C&gt;&lt;D xsi:type="xsd:double"&gt;6.805241&lt;/D&gt;&lt;/FQL&gt;&lt;FQL&gt;&lt;Q&gt;EWL^FMA_PE(NTMA,0,,,"PORTAGG","MEANR")&lt;/Q&gt;&lt;R&gt;1&lt;/R&gt;&lt;C&gt;1&lt;/C&gt;&lt;D xsi:type="xsd:double"&gt;19.1591141359456&lt;/D&gt;&lt;/FQL&gt;&lt;FQL&gt;&lt;Q&gt;CAGDPY@IT^EE_ACTUAL_ANNUAL(MED,0)&lt;/Q&gt;&lt;R&gt;1&lt;/R&gt;&lt;C&gt;1&lt;/C&gt;&lt;D xsi:type="xsd:double"&gt;1.05&lt;/D&gt;&lt;/FQL&gt;&lt;FQL&gt;&lt;Q&gt;QQQ^P_PRICE_RETURNS_PR('52W',2,-10AY,0,AM)&lt;/Q&gt;&lt;R&gt;121&lt;/R&gt;&lt;C&gt;1&lt;/C&gt;&lt;D xsi:type="xsd:double"&gt;36.306763&lt;/D&gt;&lt;D xsi:type="xsd:double"&gt;28.220104&lt;/D&gt;&lt;D xsi:type="xsd:double"&gt;24.689663&lt;/D&gt;&lt;D xsi:type="xsd:double"&gt;27.359951&lt;/D&gt;&lt;D xsi:type="xsd:double"&gt;34.90254&lt;/D&gt;&lt;D xsi:type="xsd:double"&gt;25.744843&lt;/D&gt;&lt;D xsi:type="xsd:double"&gt;31.558311&lt;/D&gt;&lt;D xsi:type="xsd:double"&gt;26.545883&lt;/D&gt;&lt;D xsi:type="xsd:double"&gt;24.025011&lt;/D&gt;&lt;D xsi:type="xsd:double"&gt;25.07081&lt;/D&gt;&lt;D xsi:type="xsd:double"&gt;19.760979&lt;/D&gt;&lt;D xsi:type="xsd:double"&gt;23.005915&lt;/D&gt;&lt;D xsi:type="xsd:double"&gt;20.75466&lt;/D&gt;&lt;D xsi:type="xsd:double"&gt;18.8362&lt;/D&gt;&lt;D xsi:type="xsd:double"&gt;26.234686&lt;/D&gt;&lt;D xsi:type="xsd:double"&gt;21.040642&lt;/D&gt;&lt;D xsi:type="xsd:double"&gt;14.72975&lt;/D&gt;&lt;D xsi:type="xsd:double"&gt;18.112564&lt;/D&gt;&lt;D xsi:type="xsd:double"&gt;3.8896203&lt;/D&gt;&lt;D xsi:type="xsd:double"&gt;8.152592&lt;/D&gt;&lt;D xsi:type="xsd:double"&gt;14.704251&lt;/D&gt;&lt;D xsi:type="xsd:double"&gt;10.45413&lt;/D&gt;&lt;D xsi:type="xsd:double"&gt;7.46001&lt;/D&gt;&lt;D xsi:type="xsd:double"&gt;-0.1758635&lt;/D&gt;&lt;D xsi:type="xsd:double"&gt;-1.5673637&lt;/D&gt;&lt;D xsi:type="xsd:double"&gt;5.7254076&lt;/D&gt;&lt;D xsi:type="xsd:double"&gt;-2.7783275&lt;/D&gt;&lt;D xsi:type="xsd:double"&gt;0.7788539&lt;/D&gt;&lt;D xsi:type="xsd:double"&gt;1.2783289&lt;/D&gt;&lt;D xsi:type="xsd:double"&gt;5.0141096&lt;/D&gt;&lt;D xsi:type="xsd:double"&gt;13.995767&lt;/D&gt;&lt;D xsi:type="xsd:double"&gt;15.094852&lt;/D&gt;&lt;D xsi:type="xsd:double"&gt;-0.07240772&lt;/D&gt;&lt;D xsi:type="xsd:double"&gt;2.236712&lt;/D&gt;&lt;D xsi:type="xsd:double"&gt;10.98876&lt;/D&gt;&lt;D xsi:type="xsd:double"&gt;25.008858&lt;/D&gt;&lt;D xsi:type="xsd:double"&gt;25.422405&lt;/D&gt;&lt;D xsi:type="xsd:double"&gt;21.769142&lt;/D&gt;&lt;D xsi:type="xsd:double"&gt;31.794012&lt;/D&gt;&lt;D xsi:type="xsd:double"&gt;31.068588&lt;/D&gt;&lt;D xsi:type="xsd:double"&gt;27.310658&lt;/D&gt;&lt;D xsi:type="xsd:double"&gt;25.472868&lt;/D&gt;&lt;D xsi:type="xsd:double"&gt;26.356638&lt;/D&gt;&lt;D xsi:type="xsd:double"&gt;24.603558&lt;/D&gt;&lt;D xsi:type="xsd:double"&gt;35.735&lt;/D&gt;&lt;D xsi:type="xsd:double"&gt;33.310448&lt;/D&gt;&lt;D xsi:type="xsd:double"&gt;34.59725&lt;/D&gt;&lt;D xsi:type="xsd:double"&gt;32.550003&lt;/D&gt;&lt;D xsi:type="xsd:double"&gt;28.080952&lt;/D&gt;&lt;D xsi:type="xsd:double"&gt;21.597313&lt;/D&gt;&lt;D xsi:type="xsd:double"&gt;21.353745&lt;/D&gt;&lt;D xsi:type="xsd:double"&gt;22.553432&lt;/D&gt;&lt;D xsi:type="xsd:double"&gt;26.428091&lt;/D&gt;&lt;D xsi:type="xsd:double"&gt;26.604044&lt;/D&gt;&lt;D xsi:type="xsd:double"&gt;28.324831&lt;/D&gt;&lt;D xsi:type="xsd:double"&gt;25.852608&lt;/D&gt;&lt;D xsi:type="xsd:double"&gt;12.431717&lt;/D&gt;&lt;D xsi:type="xsd:double"&gt;9.353948&lt;/D&gt;&lt;D xsi:type="xsd:double"&gt;-1.7118514&lt;/D&gt;&lt;D xsi:type="xsd:double"&gt;3.8694143&lt;/D&gt;&lt;D xsi:type="xsd:double"&gt;5.9770107&lt;/D&gt;&lt;D xsi:type="xsd:double"&gt;16.007637&lt;/D&gt;&lt;D xsi:type="xsd:double"&gt;19.144058&lt;/D&gt;&lt;D xsi:type="xsd:double"&gt;1.2242913&lt;/D&gt;&lt;D xsi:type="xsd:double"&gt;13.068199&lt;/D&gt;&lt;D xsi:type="xsd:double"&gt;5.271876&lt;/D&gt;&lt;D xsi:type="xsd:double"&gt;2.2239327&lt;/D&gt;&lt;D xsi:type="xsd:double"&gt;4.4576406&lt;/D&gt;&lt;D xsi:type="xsd:double"&gt;19.200314&lt;/D&gt;&lt;D xsi:type="xsd:double"&gt;23.251545&lt;/D&gt;&lt;D xsi:type="xsd:double"&gt;44.13445&lt;/D&gt;&lt;D xsi:type="xsd:double"&gt;35.280823&lt;/D&gt;&lt;D xsi:type="xsd:double"&gt;26.141203&lt;/D&gt;&lt;D xsi:type="xsd:double"&gt;0.62907934&lt;/D&gt;&lt;D xsi:type="xsd:double"&gt;13.577593&lt;/D&gt;&lt;D xsi:type="xsd:double"&gt;35.51959&lt;/D&gt;&lt;D xsi:type="xsd:double"&gt;33.792843&lt;/D&gt;&lt;D xsi:type="xsd:double"&gt;45.479656&lt;/D&gt;&lt;D xsi:type="xsd:double"&gt;51.78802&lt;/D&gt;&lt;D xsi:type="xsd:double"&gt;50.15584&lt;/D&gt;&lt;D xsi:type="xsd:double"&gt;44.45579&lt;/D&gt;&lt;D xsi:type="xsd:double"&gt;52.055157&lt;/D&gt;&lt;D xsi:type="xsd:double"&gt;45.44624&lt;/D&gt;&lt;D xsi:type="xsd:double"&gt;46.215355&lt;/D&gt;&lt;D xsi:type="xsd:double"&gt;40.348995&lt;/D&gt;&lt;D xsi:type="xsd:double"&gt;79.143036&lt;/D&gt;&lt;D xsi:type="xsd:double"&gt;54.35388&lt;/D&gt;&lt;D xsi:type="xsd:double"&gt;43.681442&lt;/D&gt;&lt;D xsi:type="xsd:double"&gt;43.016754&lt;/D&gt;&lt;D xsi:type="xsd:double"&gt;36.63114&lt;/D&gt;&lt;D xsi:type="xsd:double"&gt;33.5145&lt;/D&gt;&lt;D xsi:type="xsd:double"&gt;29.235792&lt;/D&gt;&lt;D xsi:type="xsd:double"&gt;39.538788&lt;/D&gt;&lt;D xsi:type="xsd:double"&gt;26.587343&lt;/D&gt;&lt;D xsi:type="xsd:double"&gt;28.796982&lt;/D&gt;&lt;D xsi:type="xsd:double"&gt;8.931839&lt;/D&gt;&lt;D xsi:type="xsd:double"&gt;11.452341&lt;/D&gt;&lt;D xsi:type="xsd:double"&gt;14.330006&lt;/D&gt;&lt;D xsi:type="xsd:double"&gt;0.3178954&lt;/D&gt;&lt;D xsi:type="xsd:double"&gt;-6.764656&lt;/D&gt;&lt;D xsi:type="xsd:double"&gt;-19.988829&lt;/D&gt;&lt;D xsi:type="xsd:double"&gt;-11.199397&lt;/D&gt;&lt;D xsi:type="xsd:double"&gt;-21.974766&lt;/D&gt;&lt;D xsi:type="xsd:double"&gt;-19.49414&lt;/D&gt;&lt;D xsi:type="xsd:double"&gt;-33.122017&lt;/D&gt;&lt;D xsi:type="xsd:double"&gt;-24.504536&lt;/D&gt;&lt;D xsi:type="xsd:double"&gt;-32.48109&lt;/D&gt;&lt;D xsi:type="xsd:double"&gt;-12.762183&lt;/D&gt;&lt;D xsi:type="xsd:double"&gt;-11.797607&lt;/D&gt;&lt;D xsi:type="xsd:double"&gt;-12.94021&lt;/D&gt;&lt;D xsi:type="xsd:double"&gt;-3.3405364&lt;/D&gt;&lt;D xsi:type="xsd:double"&gt;13.672638&lt;/D&gt;&lt;D xsi:type="xsd:double"&gt;32.186043&lt;/D&gt;&lt;D xsi:type="xsd:double"&gt;15.505242&lt;/D&gt;&lt;D xsi:type="xsd:double"&gt;27.016926&lt;/D&gt;&lt;D xsi:type="xsd:double"&gt;28.380287&lt;/D&gt;&lt;D xsi:type="xsd:double"&gt;42.12197&lt;/D&gt;&lt;D xsi:type="xsd:double"&gt;32.951714&lt;/D&gt;&lt;D xsi:type="xsd:double"&gt;50.15068&lt;/D&gt;&lt;D xsi:type="xsd:double"&gt;38.57497&lt;/D&gt;&lt;D xsi:type="xsd:double"&gt;49.185562&lt;/D&gt;&lt;/FQL&gt;&lt;FQL&gt;&lt;Q&gt;DDR3512M-FDS^MAX(FG_PRICE(0,-5AY))&lt;/Q&gt;&lt;R&gt;1&lt;/R&gt;&lt;C&gt;1&lt;/C&gt;&lt;D xsi:type="xsd:double"&gt;3.3053632&lt;/D&gt;&lt;/FQL&gt;&lt;FQL&gt;&lt;Q&gt;EWL^FG_PRICE_MAVG(0,,,,200)&lt;/Q&gt;&lt;R&gt;1&lt;/R&gt;&lt;C&gt;1&lt;/C&gt;&lt;D xsi:type="xsd:double"&gt;45.8486&lt;/D&gt;&lt;/FQL&gt;&lt;FQL&gt;&lt;Q&gt;URTH^FG_TOTAL_RETURNC(0,-3AM)&lt;/Q&gt;&lt;R&gt;1&lt;/R&gt;&lt;C&gt;1&lt;/C&gt;&lt;D xsi:type="xsd:double"&gt;11.331558&lt;/D&gt;&lt;/FQL&gt;&lt;FQL&gt;&lt;Q&gt;EWC^FG_ROE(0)&lt;/Q&gt;&lt;R&gt;1&lt;/R&gt;&lt;C&gt;1&lt;/C&gt;&lt;D xsi:type="xsd:double"&gt;10.9984367232779&lt;/D&gt;&lt;/FQL&gt;&lt;FQL&gt;&lt;Q&gt;TRYCA10Y-FDS^PCTCHG(FG_YIELD(0,,,,"YTM"),FG_YIELD(-1AM,,,,"YTM"))&lt;/Q&gt;&lt;R&gt;1&lt;/R&gt;&lt;C&gt;1&lt;/C&gt;&lt;D xsi:type="xsd:double"&gt;1.9475578&lt;/D&gt;&lt;/FQL&gt;&lt;FQL&gt;&lt;Q&gt;TRYCA10Y-FDS^FG_YIELD(0,,,,"YTM")&lt;/Q&gt;&lt;R&gt;1&lt;/R&gt;&lt;C&gt;1&lt;/C&gt;&lt;D xsi:type="xsd:double"&gt;3.4444&lt;/D&gt;&lt;/FQL&gt;&lt;FQL&gt;&lt;Q&gt;VGK^FMA_DIV_YLD(NTMA,NOW,NOW,M,"PORTAGG","MEANR")&lt;/Q&gt;&lt;R&gt;1&lt;/R&gt;&lt;C&gt;1&lt;/C&gt;&lt;D xsi:type="xsd:double"&gt;3.63179726396542&lt;/D&gt;&lt;/FQL&gt;&lt;FQL&gt;&lt;Q&gt;EWQ^FMA_PE(NTMA,0,,,"PORTAGG","MEANR")&lt;/Q&gt;&lt;R&gt;1&lt;/R&gt;&lt;C&gt;1&lt;/C&gt;&lt;D xsi:type="xsd:double"&gt;15.5397035968711&lt;/D&gt;&lt;/FQL&gt;&lt;FQL&gt;&lt;Q&gt;EWL^FMA_DIV_YLD(NTMA,NOW,NOW,M,"PORTAGG","MEANR")&lt;/Q&gt;&lt;R&gt;1&lt;/R&gt;&lt;C&gt;1&lt;/C&gt;&lt;D xsi:type="xsd:double"&gt;3.30413336586071&lt;/D&gt;&lt;/FQL&gt;&lt;FQL&gt;&lt;Q&gt;EWL^P_PRICE_RETURNS_PR('52W',2,-10AY,0,AM)&lt;/Q&gt;&lt;R&gt;121&lt;/R&gt;&lt;C&gt;1&lt;/C&gt;&lt;D xsi:type="xsd:double"&gt;20.646023&lt;/D&gt;&lt;D xsi:type="xsd:double"&gt;18.5351&lt;/D&gt;&lt;D xsi:type="xsd:double"&gt;17.651249&lt;/D&gt;&lt;D xsi:type="xsd:double"&gt;20.19266&lt;/D&gt;&lt;D xsi:type="xsd:double"&gt;23.149193&lt;/D&gt;&lt;D xsi:type="xsd:double"&gt;10.187996&lt;/D&gt;&lt;D xsi:type="xsd:double"&gt;15.575576&lt;/D&gt;&lt;D xsi:type="xsd:double"&gt;3.9068103&lt;/D&gt;&lt;D xsi:type="xsd:double"&gt;2.1386623&lt;/D&gt;&lt;D xsi:type="xsd:double"&gt;7.1262956&lt;/D&gt;&lt;D xsi:type="xsd:double"&gt;0.13849735&lt;/D&gt;&lt;D xsi:type="xsd:double"&gt;4.323542&lt;/D&gt;&lt;D xsi:type="xsd:double"&gt;-0.4715383&lt;/D&gt;&lt;D xsi:type="xsd:double"&gt;0.28125048&lt;/D&gt;&lt;D xsi:type="xsd:double"&gt;2.2981524&lt;/D&gt;&lt;D xsi:type="xsd:double"&gt;2.9393435&lt;/D&gt;&lt;D xsi:type="xsd:double"&gt;-1.6312003&lt;/D&gt;&lt;D xsi:type="xsd:double"&gt;6.43003&lt;/D&gt;&lt;D xsi:type="xsd:double"&gt;-5.443102&lt;/D&gt;&lt;D xsi:type="xsd:double"&gt;-0.750196&lt;/D&gt;&lt;D xsi:type="xsd:double"&gt;1.8128037&lt;/D&gt;&lt;D xsi:type="xsd:double"&gt;-2.2881508&lt;/D&gt;&lt;D xsi:type="xsd:double"&gt;-0.339365&lt;/D&gt;&lt;D xsi:type="xsd:double"&gt;-8.907461&lt;/D&gt;&lt;D xsi:type="xsd:double"&gt;-9.411359&lt;/D&gt;&lt;D xsi:type="xsd:double"&gt;-10.270101&lt;/D&gt;&lt;D xsi:type="xsd:double"&gt;-11.954176&lt;/D&gt;&lt;D xsi:type="xsd:double"&gt;-10.641277&lt;/D&gt;&lt;D xsi:type="xsd:double"&gt;-7.0082664&lt;/D&gt;&lt;D xsi:type="xsd:double"&gt;-9.456658&lt;/D&gt;&lt;D xsi:type="xsd:double"&gt;0.49598217&lt;/D&gt;&lt;D xsi:type="xsd:double"&gt;0.773859&lt;/D&gt;&lt;D xsi:type="xsd:double"&gt;-7.6879206&lt;/D&gt;&lt;D xsi:type="xsd:double"&gt;-6.367117&lt;/D&gt;&lt;D xsi:type="xsd:double"&gt;-0.052011013&lt;/D&gt;&lt;D xsi:type="xsd:double"&gt;8.6526985&lt;/D&gt;&lt;D xsi:type="xsd:double"&gt;10.03381&lt;/D&gt;&lt;D xsi:type="xsd:double"&gt;11.012232&lt;/D&gt;&lt;D xsi:type="xsd:double"&gt;16.625643&lt;/D&gt;&lt;D xsi:type="xsd:double"&gt;18.078375&lt;/D&gt;&lt;D xsi:type="xsd:double"&gt;17.698383&lt;/D&gt;&lt;D xsi:type="xsd:double"&gt;18.712389&lt;/D&gt;&lt;D xsi:type="xsd:double"&gt;15.711641&lt;/D&gt;&lt;D xsi:type="xsd:double"&gt;18.261147&lt;/D&gt;&lt;D xsi:type="xsd:double"&gt;23.27584&lt;/D&gt;&lt;D xsi:type="xsd:double"&gt;26.06455&lt;/D&gt;&lt;D xsi:type="xsd:double"&gt;23.550833&lt;/D&gt;&lt;D xsi:type="xsd:double"&gt;21.918571&lt;/D&gt;&lt;D xsi:type="xsd:double"&gt;12.266958&lt;/D&gt;&lt;D xsi:type="xsd:double"&gt;8.0073595&lt;/D&gt;&lt;D xsi:type="xsd:double"&gt;1.8988132&lt;/D&gt;&lt;D xsi:type="xsd:double"&gt;-2.6541471&lt;/D&gt;&lt;D xsi:type="xsd:double"&gt;-2.4191916&lt;/D&gt;&lt;D xsi:type="xsd:double"&gt;2.1828651&lt;/D&gt;&lt;D xsi:type="xsd:double"&gt;3.2556415&lt;/D&gt;&lt;D xsi:type="xsd:double"&gt;-0.4336536&lt;/D&gt;&lt;D xsi:type="xsd:double"&gt;-1.4680624&lt;/D&gt;&lt;D xsi:type="xsd:double"&gt;-3.069812&lt;/D&gt;&lt;D xsi:type="xsd:double"&gt;-9.071302&lt;/D&gt;&lt;D xsi:type="xsd:double"&gt;-6.5231323&lt;/D&gt;&lt;D xsi:type="xsd:double"&gt;3.6711335&lt;/D&gt;&lt;D xsi:type="xsd:double"&gt;7.8661203&lt;/D&gt;&lt;D xsi:type="xsd:double"&gt;9.3153715&lt;/D&gt;&lt;D xsi:type="xsd:double"&gt;11.262714&lt;/D&gt;&lt;D xsi:type="xsd:double"&gt;18.200148&lt;/D&gt;&lt;D xsi:type="xsd:double"&gt;9.807861&lt;/D&gt;&lt;D xsi:type="xsd:double"&gt;11.54778&lt;/D&gt;&lt;D xsi:type="xsd:double"&gt;10.5322&lt;/D&gt;&lt;D xsi:type="xsd:double"&gt;19.325363&lt;/D&gt;&lt;D xsi:type="xsd:double"&gt;20.104683&lt;/D&gt;&lt;D xsi:type="xsd:double"&gt;32.84123&lt;/D&gt;&lt;D xsi:type="xsd:double"&gt;26.366901&lt;/D&gt;&lt;D xsi:type="xsd:double"&gt;18.471872&lt;/D&gt;&lt;D xsi:type="xsd:double"&gt;-0.8005023&lt;/D&gt;&lt;D xsi:type="xsd:double"&gt;2.5049329&lt;/D&gt;&lt;D xsi:type="xsd:double"&gt;9.77881&lt;/D&gt;&lt;D xsi:type="xsd:double"&gt;6.6479445&lt;/D&gt;&lt;D xsi:type="xsd:double"&gt;12.457061&lt;/D&gt;&lt;D xsi:type="xsd:double"&gt;11.971855&lt;/D&gt;&lt;D xsi:type="xsd:double"&gt;15.904558&lt;/D&gt;&lt;D xsi:type="xsd:double"&gt;9.006559&lt;/D&gt;&lt;D xsi:type="xsd:double"&gt;13.106704&lt;/D&gt;&lt;D xsi:type="xsd:double"&gt;12.87409&lt;/D&gt;&lt;D xsi:type="xsd:double"&gt;10.031271&lt;/D&gt;&lt;D xsi:type="xsd:double"&gt;8.459436&lt;/D&gt;&lt;D xsi:type="xsd:double"&gt;32.477615&lt;/D&gt;&lt;D xsi:type="xsd:double"&gt;28.48674&lt;/D&gt;&lt;D xsi:type="xsd:double"&gt;27.789795&lt;/D&gt;&lt;D xsi:type="xsd:double"&gt;26.301552&lt;/D&gt;&lt;D xsi:type="xsd:double"&gt;24.714672&lt;/D&gt;&lt;D xsi:type="xsd:double"&gt;24.705482&lt;/D&gt;&lt;D xsi:type="xsd:double"&gt;15.384161&lt;/D&gt;&lt;D xsi:type="xsd:double"&gt;25.359858&lt;/D&gt;&lt;D xsi:type="xsd:double"&gt;17.55787&lt;/D&gt;&lt;D xsi:type="xsd:double"&gt;19.002687&lt;/D&gt;&lt;D xsi:type="xsd:double"&gt;11.445117&lt;/D&gt;&lt;D xsi:type="xsd:double"&gt;8.708275&lt;/D&gt;&lt;D xsi:type="xsd:double"&gt;12.8106&lt;/D&gt;&lt;D xsi:type="xsd:double"&gt;2.8615952&lt;/D&gt;&lt;D xsi:type="xsd:double"&gt;-6.439626&lt;/D&gt;&lt;D xsi:type="xsd:double"&gt;-13.02101&lt;/D&gt;&lt;D xsi:type="xsd:double"&gt;-12.25952&lt;/D&gt;&lt;D xsi:type="xsd:double"&gt;-19.85411&lt;/D&gt;&lt;D xsi:type="xsd:double"&gt;-14.709366&lt;/D&gt;&lt;D xsi:type="xsd:double"&gt;-21.577942&lt;/D&gt;&lt;D xsi:type="xsd:double"&gt;-10.534376&lt;/D&gt;&lt;D xsi:type="xsd:double"&gt;-15.86219&lt;/D&gt;&lt;D xsi:type="xsd:double"&gt;-6.1262665&lt;/D&gt;&lt;D xsi:type="xsd:double"&gt;-4.2694807&lt;/D&gt;&lt;D xsi:type="xsd:double"&gt;-6.7312183&lt;/D&gt;&lt;D xsi:type="xsd:double"&gt;6.2956095&lt;/D&gt;&lt;D xsi:type="xsd:double"&gt;5.598259&lt;/D&gt;&lt;D xsi:type="xsd:double"&gt;12.91697&lt;/D&gt;&lt;D xsi:type="xsd:double"&gt;9.645796&lt;/D&gt;&lt;D xsi:type="xsd:double"&gt;17.080784&lt;/D&gt;&lt;D xsi:type="xsd:double"&gt;11.90691&lt;/D&gt;&lt;D xsi:type="xsd:double"&gt;16.117775&lt;/D&gt;&lt;D xsi:type="xsd:double"&gt;7.92259&lt;/D&gt;&lt;D xsi:type="xsd:double"&gt;12.464738&lt;/D&gt;&lt;D xsi:type="xsd:double"&gt;6.921208&lt;/D&gt;&lt;D xsi:type="xsd:double"&gt;8.590376&lt;/D&gt;&lt;/FQL&gt;&lt;FQL&gt;&lt;Q&gt;DDR3512M-FDS^FG_PRICE(0)/MAX(FG_PRICE(0,-1AY))&lt;/Q&gt;&lt;R&gt;1&lt;/R&gt;&lt;C&gt;1&lt;/C&gt;&lt;D xsi:type="xsd:double"&gt;0.798999193035903&lt;/D&gt;&lt;/FQL&gt;&lt;FQL&gt;&lt;Q&gt;W-FDS^FG_PRICE_CHANGE(0,-1AY)&lt;/Q&gt;&lt;R&gt;1&lt;/R&gt;&lt;C&gt;1&lt;/C&gt;&lt;D xsi:type="xsd:double"&gt;-19.0082644628099&lt;/D&gt;&lt;/FQL&gt;&lt;FQL&gt;&lt;Q&gt;FC0000NZ^FG_PRICE(0)&lt;/Q&gt;&lt;R&gt;1&lt;/R&gt;&lt;C&gt;1&lt;/C&gt;&lt;D xsi:type="xsd:double"&gt;388.7566&lt;/D&gt;&lt;/FQL&gt;&lt;FQL&gt;&lt;Q&gt;EWL^FG_PRICE_MAVG(0,,,,60)&lt;/Q&gt;&lt;R&gt;1&lt;/R&gt;&lt;C&gt;1&lt;/C&gt;&lt;D xsi:type="xsd:double"&gt;47.145832&lt;/D&gt;&lt;/FQL&gt;&lt;FQL&gt;&lt;Q&gt;EWU^P_PRICE(0)/P_PRICE_HIGH_PR(0,,,USD,,,"PRICE","INTRA","52W")&lt;/Q&gt;&lt;R&gt;1&lt;/R&gt;&lt;C&gt;1&lt;/C&gt;&lt;D xsi:type="xsd:double"&gt;0.9640182&lt;/D&gt;&lt;/FQL&gt;&lt;FQL&gt;&lt;Q&gt;EWJ^SIZE(FG_CONSTITUENTS)&lt;/Q&gt;&lt;R&gt;1&lt;/R&gt;&lt;C&gt;1&lt;/C&gt;&lt;D xsi:type="xsd:long"&gt;219&lt;/D&gt;&lt;/FQL&gt;&lt;FQL&gt;&lt;Q&gt;QQQ^FMA_COS_DOWN("EPS","1M",+1,0,,,"PORTAGG","MEANR")&lt;/Q&gt;&lt;R&gt;1&lt;/R&gt;&lt;C&gt;1&lt;/C&gt;&lt;D xsi:type="xsd:double"&gt;47&lt;/D&gt;&lt;/FQL&gt;&lt;FQL&gt;&lt;Q&gt;EWA^FG_ROE(0)&lt;/Q&gt;&lt;R&gt;1&lt;/R&gt;&lt;C&gt;1&lt;/C&gt;&lt;D xsi:type="xsd:double"&gt;12.6661744631728&lt;/D&gt;&lt;/FQL&gt;&lt;FQL&gt;&lt;Q&gt;REFCATARG-FDS^PROPER_NAME(0,,,"SECURITY","NAME")&lt;/Q&gt;&lt;R&gt;1&lt;/R&gt;&lt;C&gt;1&lt;/C&gt;&lt;D xsi:type="xsd:string"&gt;Canada Target Rate&lt;/D&gt;&lt;/FQL&gt;&lt;FQL&gt;&lt;Q&gt;VGK^FG_PE_NTM(0,,,90,0)&lt;/Q&gt;&lt;R&gt;1&lt;/R&gt;&lt;C&gt;1&lt;/C&gt;&lt;D xsi:type="xsd:double"&gt;13.6247659469135&lt;/D&gt;&lt;/FQL&gt;&lt;FQL&gt;&lt;Q&gt;EWQ^FMA_PE(LTM,0,,,"PORTAGG","MEANR")&lt;/Q&gt;&lt;R&gt;1&lt;/R&gt;&lt;C&gt;1&lt;/C&gt;&lt;D xsi:type="xsd:double"&gt;16.8789044856393&lt;/D&gt;&lt;/FQL&gt;&lt;FQL&gt;&lt;Q&gt;EWA^FMA_PE(LTM,0,,,"PORTAGG","MEANR")&lt;/Q&gt;&lt;R&gt;1&lt;/R&gt;&lt;C&gt;1&lt;/C&gt;&lt;D xsi:type="xsd:double"&gt;17.7110040211663&lt;/D&gt;&lt;/FQL&gt;&lt;FQL&gt;&lt;Q&gt;DBA^FG_TOTAL_RETURNC(0,-1AM)&lt;/Q&gt;&lt;R&gt;1&lt;/R&gt;&lt;C&gt;1&lt;/C&gt;&lt;D xsi:type="xsd:double"&gt;3.456223&lt;/D&gt;&lt;/FQL&gt;&lt;FQL&gt;&lt;Q&gt;SPY^FMA_EVAL_EBITDA(NTMA,0,,,"PORTAGG","MEANR")&lt;/Q&gt;&lt;R&gt;1&lt;/R&gt;&lt;C&gt;1&lt;/C&gt;&lt;D xsi:type="xsd:double"&gt;15.4246167007626&lt;/D&gt;&lt;/FQL&gt;&lt;FQL&gt;&lt;Q&gt;CAGDPY@NL^EE_ACTUAL_ANNUAL(MED,0)&lt;/Q&gt;&lt;R&gt;1&lt;/R&gt;&lt;C&gt;1&lt;/C&gt;&lt;D xsi:type="xsd:double"&gt;9.1&lt;/D&gt;&lt;/FQL&gt;&lt;FQL&gt;&lt;Q&gt;W-FDS^FG_PRICE_CHANGE(0,-6AM)&lt;/Q&gt;&lt;R&gt;1&lt;/R&gt;&lt;C&gt;1&lt;/C&gt;&lt;D xsi:type="xsd:double"&gt;-0.704845814977972&lt;/D&gt;&lt;/FQL&gt;&lt;FQL&gt;&lt;Q&gt;VWO^P_PRICE(0)/P_PRICE_LOW_PR(0,,,USD,,,"PRICE","INTRA","52W")-1&lt;/Q&gt;&lt;R&gt;1&lt;/R&gt;&lt;C&gt;1&lt;/C&gt;&lt;D xsi:type="xsd:double"&gt;0.105326414&lt;/D&gt;&lt;/FQL&gt;&lt;FQL&gt;&lt;Q&gt;SPY^FMA_PCT_ABOVE_MAVG(200,0,,,,"PORTAGG")&lt;/Q&gt;&lt;R&gt;1&lt;/R&gt;&lt;C&gt;1&lt;/C&gt;&lt;D xsi:type="xsd:double"&gt;72.962226640159&lt;/D&gt;&lt;/FQL&gt;&lt;FQL&gt;&lt;Q&gt;QQQ^FMA_COS_UP("EPS","1M",+1,0,,,"PORTAGG","MEANR")&lt;/Q&gt;&lt;R&gt;1&lt;/R&gt;&lt;C&gt;1&lt;/C&gt;&lt;D xsi:type="xsd:double"&gt;42&lt;/D&gt;&lt;/FQL&gt;&lt;FQL&gt;&lt;Q&gt;ENZL^FG_ROE(0)&lt;/Q&gt;&lt;R&gt;1&lt;/R&gt;&lt;C&gt;1&lt;/C&gt;&lt;D xsi:type="xsd:double"&gt;4.9485254090132&lt;/D&gt;&lt;/FQL&gt;&lt;FQL&gt;&lt;Q&gt;TRYAU10Y-FDS^PCTCHG(FG_YIELD(0,,,,"YTM"),FG_YIELD(-3AM,,,,"YTM"))&lt;/Q&gt;&lt;R&gt;1&lt;/R&gt;&lt;C&gt;1&lt;/C&gt;&lt;D xsi:type="xsd:double"&gt;-7.7942524&lt;/D&gt;&lt;/FQL&gt;&lt;FQL&gt;&lt;Q&gt;CAGDPY@CH^EE_ACTUAL_ANNUAL(MED,+1)&lt;/Q&gt;&lt;R&gt;1&lt;/R&gt;&lt;C&gt;1&lt;/C&gt;&lt;D xsi:type="xsd:double"&gt;8&lt;/D&gt;&lt;/FQL&gt;&lt;FQL&gt;&lt;Q&gt;USDGBP^STD(FG_PRICE_CHANGE(0,-3AY,M))&lt;/Q&gt;&lt;R&gt;1&lt;/R&gt;&lt;C&gt;1&lt;/C&gt;&lt;D xsi:type="xsd:double"&gt;2.41245979550438&lt;/D&gt;&lt;/FQL&gt;&lt;FQL&gt;&lt;Q&gt;EWC^P_PRICE_RETURNS_PR('52W',2,-10AY,0,AM)&lt;/Q&gt;&lt;R&gt;121&lt;/R&gt;&lt;C&gt;1&lt;/C&gt;&lt;D xsi:type="xsd:double"&gt;6.333101&lt;/D&gt;&lt;D xsi:type="xsd:double"&gt;10.432541&lt;/D&gt;&lt;D xsi:type="xsd:double"&gt;12.745869&lt;/D&gt;&lt;D xsi:type="xsd:double"&gt;13.546478&lt;/D&gt;&lt;D xsi:type="xsd:double"&gt;27.272224&lt;/D&gt;&lt;D xsi:type="xsd:double"&gt;18.551327&lt;/D&gt;&lt;D xsi:type="xsd:double"&gt;20.838022&lt;/D&gt;&lt;D xsi:type="xsd:double"&gt;9.735859&lt;/D&gt;&lt;D xsi:type="xsd:double"&gt;1.00981&lt;/D&gt;&lt;D xsi:type="xsd:double"&gt;5.2304745&lt;/D&gt;&lt;D xsi:type="xsd:double"&gt;1.180768&lt;/D&gt;&lt;D xsi:type="xsd:double"&gt;1.0248303&lt;/D&gt;&lt;D xsi:type="xsd:double"&gt;-2.5491416&lt;/D&gt;&lt;D xsi:type="xsd:double"&gt;-5.4311695&lt;/D&gt;&lt;D xsi:type="xsd:double"&gt;-2.2017598&lt;/D&gt;&lt;D xsi:type="xsd:double"&gt;-8.2230625&lt;/D&gt;&lt;D xsi:type="xsd:double"&gt;-15.785461&lt;/D&gt;&lt;D xsi:type="xsd:double"&gt;-19.010645&lt;/D&gt;&lt;D xsi:type="xsd:double"&gt;-27.210014&lt;/D&gt;&lt;D xsi:type="xsd:double"&gt;-21.478992&lt;/D&gt;&lt;D xsi:type="xsd:double"&gt;-15.639472&lt;/D&gt;&lt;D xsi:type="xsd:double"&gt;-19.893826&lt;/D&gt;&lt;D xsi:type="xsd:double"&gt;-24.562103&lt;/D&gt;&lt;D xsi:type="xsd:double"&gt;-20.604647&lt;/D&gt;&lt;D xsi:type="xsd:double"&gt;-17.161304&lt;/D&gt;&lt;D xsi:type="xsd:double"&gt;-13.794129999999999&lt;/D&gt;&lt;D xsi:type="xsd:double"&gt;-15.865517&lt;/D&gt;&lt;D xsi:type="xsd:double"&gt;-8.655209&lt;/D&gt;&lt;D xsi:type="xsd:double"&gt;-4.4914007&lt;/D&gt;&lt;D xsi:type="xsd:double"&gt;1.0770559&lt;/D&gt;&lt;D xsi:type="xsd:double"&gt;12.184143&lt;/D&gt;&lt;D xsi:type="xsd:double"&gt;10.388589&lt;/D&gt;&lt;D xsi:type="xsd:double"&gt;6.210375&lt;/D&gt;&lt;D xsi:type="xsd:double"&gt;15.108955&lt;/D&gt;&lt;D xsi:type="xsd:double"&gt;28.46458&lt;/D&gt;&lt;D xsi:type="xsd:double"&gt;32.828667&lt;/D&gt;&lt;D xsi:type="xsd:double"&gt;22.034157&lt;/D&gt;&lt;D xsi:type="xsd:double"&gt;17.342054&lt;/D&gt;&lt;D xsi:type="xsd:double"&gt;8.753693&lt;/D&gt;&lt;D xsi:type="xsd:double"&gt;8.957493&lt;/D&gt;&lt;D xsi:type="xsd:double"&gt;10.485638&lt;/D&gt;&lt;D xsi:type="xsd:double"&gt;12.5300045&lt;/D&gt;&lt;D xsi:type="xsd:double"&gt;12.299013&lt;/D&gt;&lt;D xsi:type="xsd:double"&gt;17.492437&lt;/D&gt;&lt;D xsi:type="xsd:double"&gt;18.242287&lt;/D&gt;&lt;D xsi:type="xsd:double"&gt;13.401354&lt;/D&gt;&lt;D xsi:type="xsd:double"&gt;15.443826&lt;/D&gt;&lt;D xsi:type="xsd:double"&gt;8.843601&lt;/D&gt;&lt;D xsi:type="xsd:double"&gt;5.1779985&lt;/D&gt;&lt;D xsi:type="xsd:double"&gt;4.205477&lt;/D&gt;&lt;D xsi:type="xsd:double"&gt;12.007177&lt;/D&gt;&lt;D xsi:type="xsd:double"&gt;9.249437&lt;/D&gt;&lt;D xsi:type="xsd:double"&gt;7.7688813&lt;/D&gt;&lt;D xsi:type="xsd:double"&gt;7.4887037&lt;/D&gt;&lt;D xsi:type="xsd:double"&gt;2.8838158&lt;/D&gt;&lt;D xsi:type="xsd:double"&gt;0.6470442&lt;/D&gt;&lt;D xsi:type="xsd:double"&gt;-5.7732344&lt;/D&gt;&lt;D xsi:type="xsd:double"&gt;-7.595891&lt;/D&gt;&lt;D xsi:type="xsd:double"&gt;-16.434938&lt;/D&gt;&lt;D xsi:type="xsd:double"&gt;-3.7465394&lt;/D&gt;&lt;D xsi:type="xsd:double"&gt;3.1156063&lt;/D&gt;&lt;D xsi:type="xsd:double"&gt;4.798007&lt;/D&gt;&lt;D xsi:type="xsd:double"&gt;3.4659624&lt;/D&gt;&lt;D xsi:type="xsd:double"&gt;1.0996699&lt;/D&gt;&lt;D xsi:type="xsd:double"&gt;4.6184063&lt;/D&gt;&lt;D xsi:type="xsd:double"&gt;-1.407367&lt;/D&gt;&lt;D xsi:type="xsd:double"&gt;2.5257468&lt;/D&gt;&lt;D xsi:type="xsd:double"&gt;1.1324883&lt;/D&gt;&lt;D xsi:type="xsd:double"&gt;12.190378&lt;/D&gt;&lt;D xsi:type="xsd:double"&gt;14.200628&lt;/D&gt;&lt;D xsi:type="xsd:double"&gt;26.936483&lt;/D&gt;&lt;D xsi:type="xsd:double"&gt;12.819481&lt;/D&gt;&lt;D xsi:type="xsd:double"&gt;4.807341&lt;/D&gt;&lt;D xsi:type="xsd:double"&gt;-23.353922&lt;/D&gt;&lt;D xsi:type="xsd:double"&gt;-13.670069&lt;/D&gt;&lt;D xsi:type="xsd:double"&gt;-3.2618105&lt;/D&gt;&lt;D xsi:type="xsd:double"&gt;-7.2576103&lt;/D&gt;&lt;D xsi:type="xsd:double"&gt;1.2970209&lt;/D&gt;&lt;D xsi:type="xsd:double"&gt;1.9932866&lt;/D&gt;&lt;D xsi:type="xsd:double"&gt;0.38648844&lt;/D&gt;&lt;D xsi:type="xsd:double"&gt;-3.561014&lt;/D&gt;&lt;D xsi:type="xsd:double"&gt;8.997655&lt;/D&gt;&lt;D xsi:type="xsd:double"&gt;6.0762763&lt;/D&gt;&lt;D xsi:type="xsd:double"&gt;8.098173&lt;/D&gt;&lt;D xsi:type="xsd:double"&gt;17.752039&lt;/D&gt;&lt;D xsi:type="xsd:double"&gt;70.401955&lt;/D&gt;&lt;D xsi:type="xsd:double"&gt;52.595043&lt;/D&gt;&lt;D xsi:type="xsd:double"&gt;48.584152&lt;/D&gt;&lt;D xsi:type="xsd:double"&gt;47.161137&lt;/D&gt;&lt;D xsi:type="xsd:double"&gt;36.432194&lt;/D&gt;&lt;D xsi:type="xsd:double"&gt;36.525787&lt;/D&gt;&lt;D xsi:type="xsd:double"&gt;35.574078&lt;/D&gt;&lt;D xsi:type="xsd:double"&gt;45.878746&lt;/D&gt;&lt;D xsi:type="xsd:double"&gt;22.632526&lt;/D&gt;&lt;D xsi:type="xsd:double"&gt;25.799751&lt;/D&gt;&lt;D xsi:type="xsd:double"&gt;23.34894&lt;/D&gt;&lt;D xsi:type="xsd:double"&gt;20.377445&lt;/D&gt;&lt;D xsi:type="xsd:double"&gt;19.512272&lt;/D&gt;&lt;D xsi:type="xsd:double"&gt;9.159064&lt;/D&gt;&lt;D xsi:type="xsd:double"&gt;2.078998&lt;/D&gt;&lt;D xsi:type="xsd:double"&gt;-7.686311&lt;/D&gt;&lt;D xsi:type="xsd:double"&gt;-4.124534&lt;/D&gt;&lt;D xsi:type="xsd:double"&gt;-9.653205&lt;/D&gt;&lt;D xsi:type="xsd:double"&gt;-8.002329&lt;/D&gt;&lt;D xsi:type="xsd:double"&gt;-13.730043&lt;/D&gt;&lt;D xsi:type="xsd:double"&gt;-4.2606235&lt;/D&gt;&lt;D xsi:type="xsd:double"&gt;-11.088496&lt;/D&gt;&lt;D xsi:type="xsd:double"&gt;-4.907775&lt;/D&gt;&lt;D xsi:type="xsd:double"&gt;-7.3590994&lt;/D&gt;&lt;D xsi:type="xsd:double"&gt;-12.632931&lt;/D&gt;&lt;D xsi:type="xsd:double"&gt;-7.9038086&lt;/D&gt;&lt;D xsi:type="xsd:double"&gt;-8.755046&lt;/D&gt;&lt;D xsi:type="xsd:double"&gt;5.9775352&lt;/D&gt;&lt;D xsi:type="xsd:double"&gt;2.1331072&lt;/D&gt;&lt;D xsi:type="xsd:double"&gt;7.3082805&lt;/D&gt;&lt;D xsi:type="xsd:double"&gt;-0.08945465&lt;/D&gt;&lt;D xsi:type="xsd:double"&gt;7.1118116&lt;/D&gt;&lt;D xsi:type="xsd:double"&gt;2.8053522&lt;/D&gt;&lt;D xsi:type="xsd:double"&gt;11.697662&lt;/D&gt;&lt;D xsi:type="xsd:double"&gt;4.2808414&lt;/D&gt;&lt;D xsi:type="xsd:double"&gt;8.796215&lt;/D&gt;&lt;/FQL&gt;&lt;FQL&gt;&lt;Q&gt;DDR3512M-FDS^FG_PRICE_CHANGE(0,-1AY)&lt;/Q&gt;&lt;R&gt;1&lt;/R&gt;&lt;C&gt;1&lt;/C&gt;&lt;D xsi:type="xsd:double"&gt;-20.1000806964097&lt;/D&gt;&lt;/FQL&gt;&lt;FQL&gt;&lt;Q&gt;EWJ^FG_PRICE_MAVG(0,,,,60)&lt;/Q&gt;&lt;R&gt;1&lt;/R&gt;&lt;C&gt;1&lt;/C&gt;&lt;D xsi:type="xsd:double"&gt;65.624&lt;/D&gt;&lt;/FQL&gt;&lt;FQL&gt;&lt;Q&gt;EWU^FG_TOTAL_RETURNC(0,-6AM)&lt;/Q&gt;&lt;R&gt;1&lt;/R&gt;&lt;C&gt;1&lt;/C&gt;&lt;D xsi:type="xsd:double"&gt;4.72728&lt;/D&gt;&lt;/FQL&gt;&lt;FQL&gt;&lt;Q&gt;EWL^FMA_COS_DOWN("EPS","1M",+1,0,,,"PORTAGG","MEANR")&lt;/Q&gt;&lt;R&gt;1&lt;/R&gt;&lt;C&gt;1&lt;/C&gt;&lt;D xsi:type="xsd:double"&gt;19&lt;/D&gt;&lt;/FQL&gt;&lt;FQL&gt;&lt;Q&gt;REFSEREPO-FDS^(SUBARRAY(NOT_NA(NO_REPEAT_F(FG_YIELD(NOW,-10AY,D))),0,1)-SUBARRAY(NOT_NA(NO_REPEAT_F(FG_YIELD(NOW,-10AY,D))),1,1))*100&lt;/Q&gt;&lt;R&gt;1&lt;/R&gt;&lt;C&gt;1&lt;/C&gt;&lt;D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xsi:type="xsd:double"&gt;25&lt;/D&gt;&lt;/FQL&gt;&lt;FQL&gt;&lt;Q&gt;TRYAU10Y-FDS^PCTCHG(FG_YIELD(0,,,,"YTM"),FG_YIELD(-1AM,,,,"YTM"))&lt;/Q&gt;&lt;R&gt;1&lt;/R&gt;&lt;C&gt;1&lt;/C&gt;&lt;D xsi:type="xsd:double"&gt;3.0888977&lt;/D&gt;&lt;/FQL&gt;&lt;FQL&gt;&lt;Q&gt;VGK^FG_PE(0)&lt;/Q&gt;&lt;R&gt;1&lt;/R&gt;&lt;C&gt;1&lt;/C&gt;&lt;D xsi:type="xsd:double"&gt;12.3288653041064&lt;/D&gt;&lt;/FQL&gt;&lt;FQL&gt;&lt;Q&gt;EWQ^JULIAN(FMA_DIV_YLD(NTMA,NOW,NOW,M,"PORTAGG","MEANR").DATES)&lt;/Q&gt;&lt;R&gt;1&lt;/R&gt;&lt;C&gt;1&lt;/C&gt;&lt;D xsi:type="xsd:long"&gt;45350&lt;/D&gt;&lt;/FQL&gt;&lt;FQL&gt;&lt;Q&gt;EWL^FMA_PE(LTM,0,,,"PORTAGG","MEANR")&lt;/Q&gt;&lt;R&gt;1&lt;/R&gt;&lt;C&gt;1&lt;/C&gt;&lt;D xsi:type="xsd:double"&gt;14.9547484999971&lt;/D&gt;&lt;/FQL&gt;&lt;FQL&gt;&lt;Q&gt;EWA^JULIAN(FMA_DIV_YLD(NTMA,NOW,NOW,M,"PORTAGG","MEANR").DATES)&lt;/Q&gt;&lt;R&gt;1&lt;/R&gt;&lt;C&gt;1&lt;/C&gt;&lt;D xsi:type="xsd:long"&gt;45351&lt;/D&gt;&lt;/FQL&gt;&lt;FQL&gt;&lt;Q&gt;REFSEREPO-FDS^FG_YIELD(NOW,,,0)&lt;/Q&gt;&lt;R&gt;1&lt;/R&gt;&lt;C&gt;1&lt;/C&gt;&lt;D xsi:type="xsd:double"&gt;4&lt;/D&gt;&lt;/FQL&gt;&lt;FQL&gt;&lt;Q&gt;TRYNZ10Y-FDS^FG_YIELD(0,,,,"YTM")&lt;/Q&gt;&lt;R&gt;1&lt;/R&gt;&lt;C&gt;1&lt;/C&gt;&lt;D xsi:type="xsd:double"&gt;4.7393&lt;/D&gt;&lt;/FQL&gt;&lt;FQL&gt;&lt;Q&gt;SPY^FMA_EVAL_EBIT(LTMA,NOW,NOW,M,"PORTAGG","MEANR")&lt;/Q&gt;&lt;R&gt;1&lt;/R&gt;&lt;C&gt;1&lt;/C&gt;&lt;D xsi:type="xsd:double"&gt;20.8122509477878&lt;/D&gt;&lt;/FQL&gt;&lt;FQL&gt;&lt;Q&gt;CAGDPY@JP^EE_ACTUAL_ANNUAL(MED,+1)&lt;/Q&gt;&lt;R&gt;1&lt;/R&gt;&lt;C&gt;1&lt;/C&gt;&lt;D xsi:type="xsd:double"&gt;2.95&lt;/D&gt;&lt;/FQL&gt;&lt;FQL&gt;&lt;Q&gt;USDGBP^STD(FG_PRICE_CHANGE(0,-1AY,AM))&lt;/Q&gt;&lt;R&gt;1&lt;/R&gt;&lt;C&gt;1&lt;/C&gt;&lt;D xsi:type="xsd:double"&gt;2.03096251222829&lt;/D&gt;&lt;/FQL&gt;&lt;FQL&gt;&lt;Q&gt;EWA^P_PRICE_RETURNS_PR('52W',2,-10AY,0,AM)&lt;/Q&gt;&lt;R&gt;121&lt;/R&gt;&lt;C&gt;1&lt;/C&gt;&lt;D xsi:type="xsd:double"&gt;-1.5555143&lt;/D&gt;&lt;D xsi:type="xsd:double"&gt;1.6517997&lt;/D&gt;&lt;D xsi:type=</t>
        </r>
      </text>
    </comment>
    <comment ref="A15" authorId="0" shapeId="0" xr:uid="{455A84D7-DE65-41C4-92F5-55B1E2F7B2F5}">
      <text>
        <r>
          <rPr>
            <b/>
            <sz val="9"/>
            <color indexed="81"/>
            <rFont val="Tahoma"/>
            <family val="2"/>
          </rPr>
          <t>"xsd:double"&gt;-0.17859936&lt;/D&gt;&lt;D xsi:type="xsd:double"&gt;11.803877&lt;/D&gt;&lt;D xsi:type="xsd:double"&gt;24.479712&lt;/D&gt;&lt;D xsi:type="xsd:double"&gt;18.001223&lt;/D&gt;&lt;D xsi:type="xsd:double"&gt;15.764093&lt;/D&gt;&lt;D xsi:type="xsd:double"&gt;-1.6106427&lt;/D&gt;&lt;D xsi:type="xsd:double"&gt;-2.4518847&lt;/D&gt;&lt;D xsi:type="xsd:double"&gt;-1.9176424&lt;/D&gt;&lt;D xsi:type="xsd:double"&gt;-4.2111754&lt;/D&gt;&lt;D xsi:type="xsd:double"&gt;2.504325&lt;/D&gt;&lt;D xsi:type="xsd:double"&gt;-1.6208589&lt;/D&gt;&lt;D xsi:type="xsd:double"&gt;-7.1191072&lt;/D&gt;&lt;D xsi:type="xsd:double"&gt;-6.6057324&lt;/D&gt;&lt;D xsi:type="xsd:double"&gt;-13.72115&lt;/D&gt;&lt;D xsi:type="xsd:double"&gt;-14.640504&lt;/D&gt;&lt;D xsi:type="xsd:double"&gt;-15.93287&lt;/D&gt;&lt;D xsi:type="xsd:double"&gt;-31.9309&lt;/D&gt;&lt;D xsi:type="xsd:double"&gt;-19.851887&lt;/D&gt;&lt;D xsi:type="xsd:double"&gt;-19.89538&lt;/D&gt;&lt;D xsi:type="xsd:double"&gt;-12.89196&lt;/D&gt;&lt;D xsi:type="xsd:double"&gt;-10.913807&lt;/D&gt;&lt;D xsi:type="xsd:double"&gt;-18.246496&lt;/D&gt;&lt;D xsi:type="xsd:double"&gt;-14.942569&lt;/D&gt;&lt;D xsi:type="xsd:double"&gt;-13.134087&lt;/D&gt;&lt;D xsi:type="xsd:double"&gt;-12.211114&lt;/D&gt;&lt;D xsi:type="xsd:double"&gt;-7.23322&lt;/D&gt;&lt;D xsi:type="xsd:double"&gt;-4.1840973&lt;/D&gt;&lt;D xsi:type="xsd:double"&gt;2.1245122&lt;/D&gt;&lt;D xsi:type="xsd:double"&gt;16.572071&lt;/D&gt;&lt;D xsi:type="xsd:double"&gt;18.702257&lt;/D&gt;&lt;D xsi:type="xsd:double"&gt;9.245718&lt;/D&gt;&lt;D xsi:type="xsd:double"&gt;11.01048&lt;/D&gt;&lt;D xsi:type="xsd:double"&gt;16.10179&lt;/D&gt;&lt;D xsi:type="xsd:double"&gt;29.576897&lt;/D&gt;&lt;D xsi:type="xsd:double"&gt;22.263348&lt;/D&gt;&lt;D xsi:type="xsd:double"&gt;23.461746&lt;/D&gt;&lt;D xsi:type="xsd:double"&gt;17.359234&lt;/D&gt;&lt;D xsi:type="xsd:double"&gt;17.368757&lt;/D&gt;&lt;D xsi:type="xsd:double"&gt;15.886378&lt;/D&gt;&lt;D xsi:type="xsd:double"&gt;14.530647&lt;/D&gt;&lt;D xsi:type="xsd:double"&gt;17.78332&lt;/D&gt;&lt;D xsi:type="xsd:double"&gt;12.707853&lt;/D&gt;&lt;D xsi:type="xsd:double"&gt;19.525564&lt;/D&gt;&lt;D xsi:type="xsd:double"&gt;15.125334&lt;/D&gt;&lt;D xsi:type="xsd:double"&gt;18.325603&lt;/D&gt;&lt;D xsi:type="xsd:double"&gt;14.181746&lt;/D&gt;&lt;D xsi:type="xsd:double"&gt;8.483934&lt;/D&gt;&lt;D xsi:type="xsd:double"&gt;2.6655793&lt;/D&gt;&lt;D xsi:type="xsd:double"&gt;8.189785&lt;/D&gt;&lt;D xsi:type="xsd:double"&gt;10.211266&lt;/D&gt;&lt;D xsi:type="xsd:double"&gt;8.581138&lt;/D&gt;&lt;D xsi:type="xsd:double"&gt;5.347359&lt;/D&gt;&lt;D xsi:type="xsd:double"&gt;1.8112302&lt;/D&gt;&lt;D xsi:type="xsd:double"&gt;1.0028839&lt;/D&gt;&lt;D xsi:type="xsd:double"&gt;-5.0801573&lt;/D&gt;&lt;D xsi:type="xsd:double"&gt;-5.243933&lt;/D&gt;&lt;D xsi:type="xsd:double"&gt;-11.772644&lt;/D&gt;&lt;D xsi:type="xsd:double"&gt;-6.6702127&lt;/D&gt;&lt;D xsi:type="xsd:double"&gt;-0.72155&lt;/D&gt;&lt;D xsi:type="xsd:double"&gt;3.9209604&lt;/D&gt;&lt;D xsi:type="xsd:double"&gt;1.8324375&lt;/D&gt;&lt;D xsi:type="xsd:double"&gt;2.092445&lt;/D&gt;&lt;D xsi:type="xsd:double"&gt;7.58754&lt;/D&gt;&lt;D xsi:type="xsd:double"&gt;3.8296342&lt;/D&gt;&lt;D xsi:type="xsd:double"&gt;3.9319515&lt;/D&gt;&lt;D xsi:type="xsd:double"&gt;7.159722&lt;/D&gt;&lt;D xsi:type="xsd:double"&gt;15.1681185&lt;/D&gt;&lt;D xsi:type="xsd:double"&gt;15.81223&lt;/D&gt;&lt;D xsi:type="xsd:double"&gt;23.516106&lt;/D&gt;&lt;D xsi:type="xsd:double"&gt;13.974047&lt;/D&gt;&lt;D xsi:type="xsd:double"&gt;1.3978362&lt;/D&gt;&lt;D xsi:type="xsd:double"&gt;-29.292292&lt;/D&gt;&lt;D xsi:type="xsd:double"&gt;-21.043856&lt;/D&gt;&lt;D xsi:type="xsd:double"&gt;-6.5898476&lt;/D&gt;&lt;D xsi:type="xsd:double"&gt;-8.731431&lt;/D&gt;&lt;D xsi:type="xsd:double"&gt;-5.2544775&lt;/D&gt;&lt;D xsi:type="xsd:double"&gt;-3.7026525&lt;/D&gt;&lt;D xsi:type="xsd:double"&gt;-4.2097807&lt;/D&gt;&lt;D xsi:type="xsd:double"&gt;-6.342536&lt;/D&gt;&lt;D xsi:type="xsd:double"&gt;8.43389&lt;/D&gt;&lt;D xsi:type="xsd:double"&gt;9.303045&lt;/D&gt;&lt;D xsi:type="xsd:double"&gt;10.684454&lt;/D&gt;&lt;D xsi:type="xsd:double"&gt;23.186886&lt;/D&gt;&lt;D xsi:type="xsd:double"&gt;71.34552&lt;/D&gt;&lt;D xsi:type="xsd:double"&gt;61.05533&lt;/D&gt;&lt;D xsi:type="xsd:double"&gt;41.666805&lt;/D&gt;&lt;D xsi:type="xsd:double"&gt;34.843563&lt;/D&gt;&lt;D xsi:type="xsd:double"&gt;31.591928&lt;/D&gt;&lt;D xsi:type="xsd:double"&gt;32.059715&lt;/D&gt;&lt;D xsi:type="xsd:double"&gt;29.041218&lt;/D&gt;&lt;D xsi:type="xsd:double"&gt;30.69415&lt;/D&gt;&lt;D xsi:type="xsd:double"&gt;6.367135&lt;/D&gt;&lt;D xsi:type="xsd:double"&gt;10.424399&lt;/D&gt;&lt;D xsi:type="xsd:double"&gt;-1.0750234&lt;/D&gt;&lt;D xsi:type="xsd:double"&gt;4.1222334&lt;/D&gt;&lt;D xsi:type="xsd:double"&gt;12.407219&lt;/D&gt;&lt;D xsi:type="xsd:double"&gt;2.3065686&lt;/D&gt;&lt;D xsi:type="xsd:double"&gt;-2.556628&lt;/D&gt;&lt;D xsi:type="xsd:double"&gt;-12.843555&lt;/D&gt;&lt;D xsi:type="xsd:double"&gt;-7.7774343&lt;/D&gt;&lt;D xsi:type="xsd:double"&gt;-11.771387&lt;/D&gt;&lt;D xsi:type="xsd:double"&gt;-10.988736&lt;/D&gt;&lt;D xsi:type="xsd:double"&gt;-13.027495&lt;/D&gt;&lt;D xsi:type="xsd:double"&gt;2.5674105&lt;/D&gt;&lt;D xsi:type="xsd:double"&gt;-6.091082&lt;/D&gt;&lt;D xsi:type="xsd:double"&gt;12.050533&lt;/D&gt;&lt;D xsi:type="xsd:double"&gt;1.271224&lt;/D&gt;&lt;D xsi:type="xsd:double"&gt;-9.438539&lt;/D&gt;&lt;D xsi:type="xsd:double"&gt;-6.079352&lt;/D&gt;&lt;D xsi:type="xsd:double"&gt;-5.7606754&lt;/D&gt;&lt;D xsi:type="xsd:double"&gt;11.562956&lt;/D&gt;&lt;D xsi:type="xsd:double"&gt;3.4651756&lt;/D&gt;&lt;D xsi:type="xsd:double"&gt;6.2711596&lt;/D&gt;&lt;D xsi:type="xsd:double"&gt;4.0863276&lt;/D&gt;&lt;D xsi:type="xsd:double"&gt;11.39791&lt;/D&gt;&lt;D xsi:type="xsd:double"&gt;-0.99794865&lt;/D&gt;&lt;D xsi:type="xsd:double"&gt;9.846079&lt;/D&gt;&lt;D xsi:type="xsd:double"&gt;-1.597786&lt;/D&gt;&lt;D xsi:type="xsd:double"&gt;6.381047&lt;/D&gt;&lt;/FQL&gt;&lt;FQL&gt;&lt;Q&gt;DDR3512M-FDS^FG_PRICE_CHANGE(0,-6AM)&lt;/Q&gt;&lt;R&gt;1&lt;/R&gt;&lt;C&gt;1&lt;/C&gt;&lt;D xsi:type="xsd:double"&gt;1.07098388863471&lt;/D&gt;&lt;/FQL&gt;&lt;FQL&gt;&lt;Q&gt;W-FDS^FG_PRICE_CHANGE(0,-3AM)&lt;/Q&gt;&lt;R&gt;1&lt;/R&gt;&lt;C&gt;1&lt;/C&gt;&lt;D xsi:type="xsd:double"&gt;-5.41334452370961&lt;/D&gt;&lt;/FQL&gt;&lt;FQL&gt;&lt;Q&gt;EWU^FG_TOTAL_RETURNC(0,-3AM)&lt;/Q&gt;&lt;R&gt;1&lt;/R&gt;&lt;C&gt;1&lt;/C&gt;&lt;D xsi:type="xsd:double"&gt;2.960956&lt;/D&gt;&lt;/FQL&gt;&lt;FQL&gt;&lt;Q&gt;QQQ^FMA_PCT_ABOVE_MAVG(200,0,,,,"PORTAGG")&lt;/Q&gt;&lt;R&gt;1&lt;/R&gt;&lt;C&gt;1&lt;/C&gt;&lt;D xsi:type="xsd:double"&gt;76.4705882352941&lt;/D&gt;&lt;/FQL&gt;&lt;FQL&gt;&lt;Q&gt;REFAUCASH-FDS^FG_YIELD(NOW,,,0)&lt;/Q&gt;&lt;R&gt;1&lt;/R&gt;&lt;C&gt;1&lt;/C&gt;&lt;D xsi:type="xsd:double"&gt;4.35&lt;/D&gt;&lt;/FQL&gt;&lt;FQL&gt;&lt;Q&gt;EWL^P_PRICE(0)/P_PRICE_LOW_PR(0,,,USD,,,"PRICE","INTRA","52W")-1&lt;/Q&gt;&lt;R&gt;1&lt;/R&gt;&lt;C&gt;1&lt;/C&gt;&lt;D xsi:type="xsd:double"&gt;0.1285199&lt;/D&gt;&lt;/FQL&gt;&lt;FQL&gt;&lt;Q&gt;EWL^FMA_COS_UP("EPS","1M",+1,0,,,"PORTAGG","MEANR")&lt;/Q&gt;&lt;R&gt;1&lt;/R&gt;&lt;C&gt;1&lt;/C&gt;&lt;D xsi:type="xsd:double"&gt;13&lt;/D&gt;&lt;/FQL&gt;&lt;FQL&gt;&lt;Q&gt;EWJ^FG_FCF_YIELD_NTM(0)&lt;/Q&gt;&lt;R&gt;1&lt;/R&gt;&lt;C&gt;1&lt;/C&gt;&lt;D xsi:type="xsd:double"&gt;3.66386635282025&lt;/D&gt;&lt;/FQL&gt;&lt;FQL&gt;&lt;Q&gt;WL-FDS^FG_PRICE_CHANGE(0,-3AM)&lt;/Q&gt;&lt;R&gt;1&lt;/R&gt;&lt;C&gt;1&lt;/C&gt;&lt;D xsi:type="xsd:double"&gt;-16.4200140944327&lt;/D&gt;&lt;/FQL&gt;&lt;FQL&gt;&lt;Q&gt;EWJ^FG_PRICE_MAVG(0,,,,30)&lt;/Q&gt;&lt;R&gt;1&lt;/R&gt;&lt;C&gt;1&lt;/C&gt;&lt;D xsi:type="xsd:double"&gt;67.32567&lt;/D&gt;&lt;/FQL&gt;&lt;FQL&gt;&lt;Q&gt;CAGDPY@JP^EE_ACTUAL_ANNUAL(MED,0)&lt;/Q&gt;&lt;R&gt;1&lt;/R&gt;&lt;C&gt;1&lt;/C&gt;&lt;D xsi:type="xsd:double"&gt;3.55359069955799&lt;/D&gt;&lt;/FQL&gt;&lt;FQL&gt;&lt;Q&gt;USDGBP^FG_PRICE_CHANGE(0,-6AM)&lt;/Q&gt;&lt;R&gt;1&lt;/R&gt;&lt;C&gt;1&lt;/C&gt;&lt;D xsi:type="xsd:double"&gt;-0.64180493&lt;/D&gt;&lt;/FQL&gt;&lt;FQL&gt;&lt;Q&gt;ENZL^P_PRICE_RETURNS_PR('52W',2,-10AY,0,AM)&lt;/Q&gt;&lt;R&gt;121&lt;/R&gt;&lt;C&gt;1&lt;/C&gt;&lt;D xsi:type="xsd:double"&gt;19.006979&lt;/D&gt;&lt;D xsi:type="xsd:double"&gt;17.150486&lt;/D&gt;&lt;D xsi:type="xsd:double"&gt;16.83098&lt;/D&gt;&lt;D xsi:type="xsd:double"&gt;22.31548&lt;/D&gt;&lt;D xsi:type="xsd:double"&gt;30.837477&lt;/D&gt;&lt;D xsi:type="xsd:double"&gt;19.778835&lt;/D&gt;&lt;D xsi:type="xsd:double"&gt;19.730007&lt;/D&gt;&lt;D xsi:type="xsd:double"&gt;3.2989383&lt;/D&gt;&lt;D xsi:type="xsd:double"&gt;4.091513&lt;/D&gt;&lt;D xsi:type="xsd:double"&gt;12.038898&lt;/D&gt;&lt;D xsi:type="xsd:double"&gt;12.037039&lt;/D&gt;&lt;D xsi:type="xsd:double"&gt;9.210003&lt;/D&gt;&lt;D xsi:type="xsd:double"&gt;5.862677&lt;/D&gt;&lt;D xsi:type="xsd:double"&gt;0.28384924&lt;/D&gt;&lt;D xsi:type="xsd:double"&gt;-3.0759811&lt;/D&gt;&lt;D xsi:type="xsd:double"&gt;-2.936387&lt;/D&gt;&lt;D xsi:type="xsd:double"&gt;-12.836796&lt;/D&gt;&lt;D xsi:type="xsd:double"&gt;-9.511447&lt;/D&gt;&lt;D xsi:type="xsd:double"&gt;-18.822788&lt;/D&gt;&lt;D xsi:type="xsd:double"&gt;-12.216579&lt;/D&gt;&lt;D xsi:type="xsd:double"&gt;-4.7795057&lt;/D&gt;&lt;D xsi:type="xsd:double"&gt;-3.8832843&lt;/D&gt;&lt;D xsi:type="xsd:double"&gt;-1.8617272&lt;/D&gt;&lt;D xsi:type="xsd:double"&gt;-4.463917&lt;/D&gt;&lt;D xsi:type="xsd:double"&gt;-2.192074&lt;/D&gt;&lt;D xsi:type="xsd:double"&gt;5.016458&lt;/D&gt;&lt;D xsi:type="xsd:double"&gt;7.2190166&lt;/D&gt;&lt;D xsi:type="xsd:double"&gt;16.923582&lt;/D&gt;&lt;D xsi:type="xsd:double"&gt;28.644062&lt;/D&gt;&lt;D xsi:type="xsd:double"&gt;37.555813&lt;/D&gt;&lt;D xsi:type="xsd:double"&gt;54.73617&lt;/D&gt;&lt;D xsi:type="xsd:double"&gt;47.15737&lt;/D&gt;&lt;D xsi:type="xsd:double"&gt;21.719158&lt;/D&gt;&lt;D xsi:type="xsd:double"&gt;21.443928&lt;/D&gt;&lt;D xsi:type="xsd:double"&gt;14.096558&lt;/D&gt;&lt;D xsi:type="xsd:double"&gt;27.463282&lt;/D&gt;&lt;D xsi:type="xsd:double"&gt;17.188692&lt;/D&gt;&lt;D xsi:type="xsd:double"&gt;9.827339&lt;/D&gt;&lt;D xsi:type="xsd:double"&gt;7.509804&lt;/D&gt;&lt;D xsi:type="xsd:double"&gt;12.160254&lt;/D&gt;&lt;D xsi:type="xsd:double"&gt;11.530256&lt;/D&gt;&lt;D xsi:type="xsd:double"&gt;8.658624&lt;/D&gt;&lt;D xsi:type="xsd:double"&gt;3.5515904&lt;/D&gt;&lt;D xsi:type="xsd:double"&gt;7.081735&lt;/D&gt;&lt;D xsi:type="xsd:double"&gt;11.770832&lt;/D&gt;&lt;D xsi:type="xsd:double"&gt;12.457013&lt;/D&gt;&lt;D xsi:type="xsd:double"&gt;23.917734&lt;/D&gt;&lt;D xsi:type="xsd:double"&gt;17.842329&lt;/D&gt;&lt;D xsi:type="xsd:double"&gt;19.512165&lt;/D&gt;&lt;D xsi:type="xsd:double"&gt;21.34074&lt;/D&gt;&lt;D xsi:type="xsd:double"&gt;18.918526&lt;/D&gt;&lt;D xsi:type="xsd:double"&gt;12.546301&lt;/D&gt;&lt;D xsi:type="xsd:double"&gt;9.683716&lt;/D&gt;&lt;D xsi:type="xsd:double"&gt;3.1799197&lt;/D&gt;&lt;D xsi:type="xsd:double"&gt;8.676159&lt;/D&gt;&lt;D xsi:type="xsd:double"&gt;4.2794466&lt;/D&gt;&lt;D xsi:type="xsd:double"&gt;4.338491&lt;/D&gt;&lt;D xsi:type="xsd:double"&gt;9.537161&lt;/D&gt;&lt;D xsi:type="xsd:double"&gt;-0.55550337&lt;/D&gt;&lt;D xsi:type="xsd:double"&gt;2.2238493&lt;/D&gt;&lt;D xsi:type="xsd:double"&gt;6.2977552&lt;/D&gt;&lt;D xsi:type="xsd:double"&gt;8.569729&lt;/D&gt;&lt;D xsi:type="xsd:double"&gt;11.211443&lt;/D&gt;&lt;D xsi:type="xsd:double"&gt;7.591808&lt;/D&gt;&lt;D xsi:type="xsd:double"&gt;14.625942&lt;/D&gt;&lt;D xsi:type="xsd:double"&gt;17.511045&lt;/D&gt;&lt;D xsi:type="xsd:double"&gt;14.007938&lt;/D&gt;&lt;D xsi:type="xsd:double"&gt;15.398109&lt;/D&gt;&lt;D xsi:type="xsd:double"&gt;18.587149&lt;/D&gt;&lt;D xsi:type="xsd:double"&gt;21.198225&lt;/D&gt;&lt;D xsi:type="xsd:double"&gt;30.63575&lt;/D&gt;&lt;D xsi:type="xsd:double"&gt;20.254648&lt;/D&gt;&lt;D xsi:type="xsd:double"&gt;14.272904&lt;/D&gt;&lt;D xsi:type="xsd:double"&gt;-12.056404&lt;/D&gt;&lt;D xsi:type="xsd:double"&gt;-3.0038893&lt;/D&gt;&lt;D xsi:type="xsd:double"&gt;11.837411&lt;/D&gt;&lt;D xsi:type="xsd:double"&gt;10.6545925&lt;/D&gt;&lt;D xsi:type="xsd:double"&gt;12.263048&lt;/D&gt;&lt;D xsi:type="xsd:double"&gt;14.080179&lt;/D&gt;&lt;D xsi:type="xsd:double"&gt;16.166342&lt;/D&gt;&lt;D xsi:type="xsd:double"&gt;18.331087&lt;/D&gt;&lt;D xsi:type="xsd:double"&gt;20.438362&lt;/D&gt;&lt;D xsi:type="xsd:double"&gt;20.568966&lt;/D&gt;&lt;D xsi:type="xsd:double"&gt;22.484947&lt;/D&gt;&lt;D xsi:type="xsd:double"&gt;15.000868&lt;/D&gt;&lt;D xsi:type="xsd:double"&gt;42.820213&lt;/D&gt;&lt;D xsi:type="xsd:double"&gt;36.067116&lt;/D&gt;&lt;D xsi:type="xsd:double"&gt;16.183472&lt;/D&gt;&lt;D xsi:type="xsd:double"&gt;9.935581&lt;/D&gt;&lt;D xsi:type="xsd:double"&gt;7.1643233&lt;/D&gt;&lt;D xsi:type="xsd:double"&gt;11.862826&lt;/D&gt;&lt;D xsi:type="xsd:double"&gt;9.759402&lt;/D&gt;&lt;D xsi:type="xsd:double"&gt;5.466783&lt;/D&gt;&lt;D xsi:type="xsd:double"&gt;-10.549808&lt;/D&gt;&lt;D xsi:type="xsd:double"&gt;-10.612231&lt;/D&gt;&lt;D xsi:type="xsd:double"&gt;-18.412853&lt;/D&gt;&lt;D xsi:type="xsd:double"&gt;-7.857114&lt;/D&gt;&lt;D xsi:type="xsd:double"&gt;-8.8708105&lt;/D&gt;&lt;D xsi:type="xsd:double"&gt;-20.595497&lt;/D&gt;&lt;D xsi:type="xsd:double"&gt;-18.559015&lt;/D&gt;&lt;D xsi:type="xsd:double"&gt;-25.094341&lt;/D&gt;&lt;D xsi:type="xsd:double"&gt;-18.496973&lt;/D&gt;&lt;D xsi:type="xsd:double"&gt;-25.261963&lt;/D&gt;&lt;D xsi:type="xsd:double"&gt;-30.241371&lt;/D&gt;&lt;D xsi:type="xsd:double"&gt;-27.123564&lt;/D&gt;&lt;D xsi:type="xsd:double"&gt;-13.168865&lt;/D&gt;&lt;D xsi:type="xsd:double"&gt;-15.83479&lt;/D&gt;&lt;D xsi:type="xsd:double"&gt;-2.5783718&lt;/D&gt;&lt;D xsi:type="xsd:double"&gt;-7.9734683&lt;/D&gt;&lt;D xsi:type="xsd:double"&gt;-7.849926&lt;/D&gt;&lt;D xsi:type="xsd:double"&gt;1.4854908&lt;/D&gt;&lt;D xsi:type="xsd:double"&gt;0.87914467&lt;/D&gt;&lt;D xsi:type="xsd:double"&gt;12.314892&lt;/D&gt;&lt;D xsi:type="xsd:double"&gt;-0.4055202&lt;/D&gt;&lt;D xsi:type="xsd:double"&gt;-0.37047267&lt;/D&gt;&lt;D xsi:type="xsd:double"&gt;4.5149803&lt;/D&gt;&lt;D xsi:type="xsd:double"&gt;5.0468206&lt;/D&gt;&lt;D xsi:type="xsd:double"&gt;-6.069231&lt;/D&gt;&lt;D xsi:type="xsd:double"&gt;-0.2176106&lt;/D&gt;&lt;D xsi:type="xsd:double"&gt;-10.102999&lt;/D&gt;&lt;D xsi:type="xsd:double"&gt;-6.575328&lt;/D&gt;&lt;/FQL&gt;&lt;FQL&gt;&lt;Q&gt;W-FDS^FG_PRICE_CHANGE(0,-1AM)&lt;/Q&gt;&lt;R&gt;1&lt;/R&gt;&lt;C&gt;1&lt;/C&gt;&lt;D xsi:type="xsd:double"&gt;-6.04418507711546&lt;/D&gt;&lt;/FQL&gt;&lt;FQL&gt;&lt;Q&gt;EWJ^FG_PRICE(0)&lt;/Q&gt;&lt;R&gt;1&lt;/R&gt;&lt;C&gt;1&lt;/C&gt;&lt;D xsi:type="xsd:double"&gt;69.92&lt;/D&gt;&lt;/FQL&gt;&lt;FQL&gt;&lt;Q&gt;EWL^FG_TOTAL_RETURNC(0,-3AM)&lt;/Q&gt;&lt;R&gt;1&lt;/R&gt;&lt;C&gt;1&lt;/C&gt;&lt;D xsi:type="xsd:double"&gt;2.3575544&lt;/D&gt;&lt;/FQL&gt;&lt;FQL&gt;&lt;Q&gt;EWU^PERCENT_CHANGE(FMA_EPS(+1,0,,,,"PORTAGG","MEAN"),FMA_EPS(+1,-3AM,,,,"PORTAGG","MEAN"))&lt;/Q&gt;&lt;R&gt;1&lt;/R&gt;&lt;C&gt;1&lt;/C&gt;&lt;D xsi:type="xsd:double"&gt;-8.28625244415491&lt;/D&gt;&lt;/FQL&gt;&lt;FQL&gt;&lt;Q&gt;REFAUCASH-FDS^PROPER_NAME(0,,,"SECURITY","NAME")&lt;/Q&gt;&lt;R&gt;1&lt;/R&gt;&lt;C&gt;1&lt;/C&gt;&lt;D xsi:type="xsd:string"&gt;Australia Target Cash Rate&lt;/D&gt;&lt;/FQL&gt;&lt;FQL&gt;&lt;Q&gt;CC_IT^IMF_IFS_RCPI_Q(0)&lt;/Q&gt;&lt;R&gt;1&lt;/R&gt;&lt;C&gt;1&lt;/C&gt;&lt;D xsi:type="xsd:double"&gt;0.98369783&lt;/D&gt;&lt;/FQL&gt;&lt;FQL&gt;&lt;Q&gt;CAGDPY@DE^EE_ACTUAL_ANNUAL(MED,+1)&lt;/Q&gt;&lt;R&gt;1&lt;/R&gt;&lt;C&gt;1&lt;/C&gt;&lt;D xsi:type="xsd:double"&gt;6.5&lt;/D&gt;&lt;/FQL&gt;&lt;FQL&gt;&lt;Q&gt;EWL^FG_TOTAL_RETURNC(-10AY,0,AM)&lt;/Q&gt;&lt;R&gt;121&lt;/R&gt;&lt;C&gt;1&lt;/C&gt;&lt;D xsi:type="xsd:double"&gt;6.7881823&lt;/D&gt;&lt;D xsi:type="xsd:double"&gt;0.47086477&lt;/D&gt;&lt;D xsi:type="xsd:double"&gt;2.460456&lt;/D&gt;&lt;D xsi:type="xsd:double"&gt;0.34304857&lt;/D&gt;&lt;D xsi:type="xsd:double"&gt;0.87007284&lt;/D&gt;&lt;D xsi:type="xsd:double"&gt;-5.5764256&lt;/D&gt;&lt;D xsi:type="xsd:double"&gt;2.815175&lt;/D&gt;&lt;D xsi:type="xsd:double"&gt;-5.803567&lt;/D&gt;&lt;D xsi:type="xsd:double"&gt;1.1690378&lt;/D&gt;&lt;D xsi:type="xsd:double"&gt;3.2479763&lt;/D&gt;&lt;D xsi:type="xsd:double"&gt;-4.6279488&lt;/D&gt;&lt;D xsi:type="xsd:double"&gt;2.917862&lt;/D&gt;&lt;D xsi:type="xsd:double"&gt;1.8798113&lt;/D&gt;&lt;D xsi:type="xsd:double"&gt;2.2686005&lt;/D&gt;&lt;D xsi:type="xsd:double"&gt;3.4605145&lt;/D&gt;&lt;D xsi:type="xsd:double"&gt;0.97198486&lt;/D&gt;&lt;D xsi:type="xsd:double"&gt;-3.8731813&lt;/D&gt;&lt;D xsi:type="xsd:double"&gt;2.4427056&lt;/D&gt;&lt;D xsi:type="xsd:double"&gt;-8.6546955&lt;/D&gt;&lt;D xsi:type="xsd:double"&gt;-0.12891293&lt;/D&gt;&lt;D xsi:type="xsd:double"&gt;2.742827&lt;/D&gt;&lt;D xsi:type="xsd:double"&gt;-0.91080666&lt;/D&gt;&lt;D xsi:type="xsd:double"&gt;-2.7258277&lt;/D&gt;&lt;D xsi:type="xsd:double"&gt;-5.930269&lt;/D&gt;&lt;D xsi:type="xsd:double"&gt;1.3162374&lt;/D&gt;&lt;D xsi:type="xsd:double"&gt;1.2991428&lt;/D&gt;&lt;D xsi:type="xsd:double"&gt;1.5187383&lt;/D&gt;&lt;D xsi:type="xsd:double"&gt;2.8257966&lt;/D&gt;&lt;D xsi:type="xsd:double"&gt;-1.0553479&lt;/D&gt;&lt;D xsi:type="xsd:double"&gt;0.5031824&lt;/D&gt;&lt;D xsi:type="xsd:double"&gt;2.20294&lt;/D&gt;&lt;D xsi:type="xsd:double"&gt;-0.65317154&lt;/D&gt;&lt;D xsi:type="xsd:double"&gt;-5.8842897&lt;/D&gt;&lt;D xsi:type="xsd:double"&gt;-1.1177063&lt;/D&gt;&lt;D xsi:type="xsd:double"&gt;5.5409074&lt;/D&gt;&lt;D xsi:type="xsd:double"&gt;3.1480193&lt;/D&gt;&lt;D xsi:type="xsd:double"&gt;2.1753192&lt;/D&gt;&lt;D xsi:type="xsd:double"&gt;1.7477036&lt;/D&gt;&lt;D xsi:type="xsd:double"&gt;6.652093&lt;/D&gt;&lt;D xsi:type="xsd:double"&gt;3.6017537&lt;/D&gt;&lt;D xsi:type="xsd:double"&gt;-0.8931458&lt;/D&gt;&lt;D xsi:type="xsd:double"&gt;1.3690591&lt;/D&gt;&lt;D xsi:type="xsd:double"&gt;-1.5517294&lt;/D&gt;&lt;D xsi:type="xsd:double"&gt;2.743733&lt;/D&gt;&lt;D xsi:type="xsd:double"&gt;-1.6193151&lt;/D&gt;&lt;D xsi:type="xsd:double"&gt;0.8374214&lt;/D&gt;&lt;D xsi:type="xsd:double"&gt;3.4364343&lt;/D&gt;&lt;D xsi:type="xsd:double"&gt;1.1904716&lt;/D&gt;&lt;D xsi:type="xsd:double"&gt;-5.991787&lt;/D&gt;&lt;D xsi:type="xsd:double"&gt;-1.4551818&lt;/D&gt;&lt;D xsi:type="xsd:double"&gt;0.62019825&lt;/D&gt;&lt;D xsi:type="xsd:double"&gt;-1.027292&lt;/D&gt;&lt;D xsi:type="xsd:double"&gt;-0.6539345&lt;/D&gt;&lt;D xsi:type="xsd:double"&gt;5.9057593&lt;/D&gt;&lt;D xsi:type="xsd:double"&gt;-0.28893948&lt;/D&gt;&lt;D xsi:type="xsd:double"&gt;-0.92726946&lt;/D&gt;&lt;D xsi:type="xsd:double"&gt;-2.8663337&lt;/D&gt;&lt;D xsi:type="xsd:double"&gt;-0.5721152&lt;/D&gt;&lt;D xsi:type="xsd:double"&gt;-2.967894&lt;/D&gt;&lt;D xsi:type="xsd:double"&gt;4.026222&lt;/D&gt;&lt;D xsi:type="xsd:double"&gt;4.260421&lt;/D&gt;&lt;D xsi:type="xsd:double"&gt;2.5323749&lt;/D&gt;&lt;D xsi:type="xsd:double"&gt;1.8523693&lt;/D&gt;&lt;D xsi:type="xsd:double"&gt;0.854218&lt;/D&gt;&lt;D xsi:type="xsd:double"&gt;5.5404663&lt;/D&gt;&lt;D xsi:type="xsd:double"&gt;-1.5852034&lt;/D&gt;&lt;D xsi:type="xsd:double"&gt;1.2617469&lt;/D&gt;&lt;D xsi:type="xsd:double"&gt;-1.8292725&lt;/D&gt;&lt;D xsi:type="xsd:double"&gt;4.8609376&lt;/D&gt;&lt;D xsi:type="xsd:double"&gt;0.07725954&lt;/D&gt;&lt;D xsi:type="xsd:double"&gt;4.709208&lt;/D&gt;&lt;D xsi:type="xsd:double"&gt;1.4254212&lt;/D&gt;&lt;D xsi:type="xsd:double"&gt;-2.253455&lt;/D&gt;&lt;D xsi:type="xsd:double"&gt;-13.881999&lt;/D&gt;&lt;D xsi:type="xsd:double"&gt;4.9222827&lt;/D&gt;&lt;D xsi:type="xsd:double"&gt;8.010971&lt;/D&gt;&lt;D xsi:type="xsd:double"&gt;1.9616127&lt;/D&gt;&lt;D xsi:type="xsd:double"&gt;4.3544292&lt;/D&gt;&lt;D xsi:type="xsd:double"&gt;0.82484484&lt;/D&gt;&lt;D xsi:type="xsd:double"&gt;-0.19249916&lt;/D&gt;&lt;D xsi:type="xsd:double"&gt;0.40984154&lt;/D&gt;&lt;D xsi:type="xsd:double"&gt;3.8415313&lt;/D&gt;&lt;D xsi:type="xsd:double"&gt;4.4938684&lt;/D&gt;&lt;D xsi:type="xsd:double"&gt;-1.129067&lt;/D&gt;&lt;D xsi:type="xsd:double"&gt;-3.649801&lt;/D&gt;&lt;D xsi:type="xsd:double"&gt;4.4620037&lt;/D&gt;&lt;D xsi:type="xsd:double"&gt;2.4694085&lt;/D&gt;&lt;D xsi:type="xsd:double"&gt;7.4250937&lt;/D&gt;&lt;D xsi:type="xsd:double"&gt;0.77415705&lt;/D&gt;&lt;D xsi:type="xsd:double"&gt;3.0433059&lt;/D&gt;&lt;D xsi:type="xsd:double"&gt;0.5748272&lt;/D&gt;&lt;D xsi:type="xsd:double"&gt;-7.4300346&lt;/D&gt;&lt;D xsi:type="xsd:double"&gt;9.090912&lt;/D&gt;&lt;D xsi:type="xsd:double"&gt;-3.1615973&lt;/D&gt;&lt;D xsi:type="xsd:double"&gt;6.3683987&lt;/D&gt;&lt;D xsi:type="xsd:double"&gt;-7.4081063&lt;/D&gt;&lt;D xsi:type="xsd:double"&gt;-6.0159564&lt;/D&gt;&lt;D xsi:type="xsd:double"&gt;8.4041&lt;/D&gt;&lt;D xsi:type="xsd:double"&gt;-6.5675855&lt;/D&gt;&lt;D xsi:type="xsd:double"&gt;-3.3748925&lt;/D&gt;&lt;D xsi:type="xsd:double"&gt;-5.6098995&lt;/D&gt;&lt;D xsi:type="xsd:double"&gt;4.329002&lt;/D&gt;&lt;D xsi:type="xsd:double"&gt;-7.768565&lt;/D&gt;&lt;D xsi:type="xsd:double"&gt;-1.8745303&lt;/D&gt;&lt;D xsi:type="xsd:double"&gt;0.30566454&lt;/D&gt;&lt;D xsi:type="xsd:double"&gt;10.208225&lt;/D&gt;&lt;D xsi:type="xsd:double"&gt;0.27649403&lt;/D&gt;&lt;D xsi:type="xsd:double"&gt;3.5386086&lt;/D&gt;&lt;D xsi:type="xsd:double"&gt;-2.0195305&lt;/D&gt;&lt;D xsi:type="xsd:double"&gt;3.0804038&lt;/D&gt;&lt;D xsi:type="xsd:double"&gt;6.4820886&lt;/D&gt;&lt;D xsi:type="xsd:double"&gt;-2.6207209&lt;/D&gt;&lt;D xsi:type="xsd:double"&gt;-0.50671697&lt;/D&gt;&lt;D xsi:type="xsd:double"&gt;1.3066292&lt;/D&gt;&lt;D xsi:type="xsd:double"&gt;-1.2682736&lt;/D&gt;&lt;D xsi:type="xsd:double"&gt;-6.4445853&lt;/D&gt;&lt;D xsi:type="xsd:double"&gt;0.51198006&lt;/D&gt;&lt;D xsi:type="xsd:double"&gt;6.066227&lt;/D&gt;&lt;D xsi:type="xsd:double"&gt;4.4968247&lt;/D&gt;&lt;D xsi:type="xsd:double"&gt;-1.1280477&lt;/D&gt;&lt;D xsi:type="xsd:double"&gt;-0.9296477&lt;/D&gt;&lt;/FQL&gt;&lt;FQL&gt;&lt;Q&gt;WL-FDS^FG_PRICE(0)&lt;/Q&gt;&lt;R&gt;1&lt;/R&gt;&lt;C&gt;1&lt;/C&gt;&lt;D xsi:type="xsd:double"&gt;593&lt;/D&gt;&lt;/FQL&gt;&lt;FQL&gt;&lt;Q&gt;EWI^FG_PRICE_MAVG(0,,,,200)&lt;/Q&gt;&lt;R&gt;1&lt;/R&gt;&lt;C&gt;1&lt;/C&gt;&lt;D xsi:type="xsd:double"&gt;32.1385&lt;/D&gt;&lt;/FQL&gt;&lt;FQL&gt;&lt;Q&gt;EWU^PERCENT_CHANGE(FMA_EPS(+1,0,,,,"PORTAGG","MEAN"),FMA_EPS(+1,-1AM,,,,"PORTAGG","MEAN"))&lt;/Q&gt;&lt;R&gt;1&lt;/R&gt;&lt;C&gt;1&lt;/C&gt;&lt;D xsi:type="xsd:double"&gt;-2.45955859354796&lt;/D&gt;&lt;/FQL&gt;&lt;FQL&gt;&lt;Q&gt;URTH^FMA_COS_DOWN("EPS","1M",+1,0,,,"PORTAGG","MEANR")&lt;/Q&gt;&lt;R&gt;1&lt;/R&gt;&lt;C&gt;1&lt;/C&gt;&lt;D xsi:type="xsd:double"&gt;495&lt;/D&gt;&lt;/FQL&gt;&lt;FQL&gt;&lt;Q&gt;EWI^FMA_RBICS_REV_CURRENT(30, LOC, "PORTAGG")&lt;/Q&gt;&lt;R&gt;1&lt;/R&gt;&lt;C&gt;1&lt;/C&gt;&lt;D xsi:type="xsd:double"&gt;34.5462492743982&lt;/D&gt;&lt;/FQL&gt;&lt;FQL&gt;&lt;Q&gt;REFNZOCR-FDS^(SUBARRAY(NOT_NA(NO_REPEAT_F(FG_YIELD(NOW,-10AY,D))),0,1)-SUBARRAY(NOT_NA(NO_REPEAT_F(FG_YIELD(NOW,-10AY,D))),1,1))*100&lt;/Q&gt;&lt;R&gt;1&lt;/R&gt;&lt;C&gt;1&lt;/C&gt;&lt;D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xsi:type="xsd:double"&gt;25&lt;/D&gt;&lt;/FQL&gt;&lt;FQL&gt;&lt;Q&gt;TRYNZ10Y-FDS^PCTCHG(FG_YIELD(0,,,,"YTM"),FG_YIELD(-1AM,,,,"YTM"))&lt;/Q&gt;&lt;R&gt;1&lt;/R&gt;&lt;C&gt;1&lt;/C&gt;&lt;D xsi:type="xsd:double"&gt;3.8705149&lt;/D&gt;&lt;/FQL&gt;&lt;FQL&gt;&lt;Q&gt;CC_SE^IMF_IFS_RCPI_Q(0)&lt;/Q&gt;&lt;R&gt;1&lt;/R&gt;&lt;C&gt;1&lt;/C&gt;&lt;D xsi:type="xsd:double"&gt;5.550837&lt;/D&gt;&lt;/FQL&gt;&lt;FQL&gt;&lt;Q&gt;EWI^FMA_PE(NTMA,0,,,"PORTAGG","MEANR")&lt;/Q&gt;&lt;R&gt;1&lt;/R&gt;&lt;C&gt;1&lt;/C&gt;&lt;D xsi:type="xsd:double"&gt;9.27849633940662&lt;/D&gt;&lt;/FQL&gt;&lt;FQL&gt;&lt;Q&gt;SPY^FG_FCF_YIELD_NTM(0)&lt;/Q&gt;&lt;R&gt;1&lt;/R&gt;&lt;C&gt;1&lt;/C&gt;&lt;D xsi:type="xsd:double"&gt;3.66881485038698&lt;/D&gt;&lt;/FQL&gt;&lt;FQL&gt;&lt;Q&gt;ENZL^FMA_EVAL_EBITDA(NTMA,0,,,"PORTAGG","MEANR")&lt;/Q&gt;&lt;R&gt;1&lt;/R&gt;&lt;C&gt;1&lt;/C&gt;&lt;D xsi:type="xsd:double"&gt;12.9184746975482&lt;/D&gt;&lt;/FQL&gt;&lt;FQL&gt;&lt;Q&gt;DUMMY^ECON_DATE(45356,45199,'Q', 'MM/YYYY')&lt;/Q&gt;&lt;R&gt;2&lt;/R&gt;&lt;C&gt;1&lt;/C&gt;&lt;D xsi:type="xsd:string"&gt;12/2023&lt;/D&gt;&lt;D xsi:type="xsd:string"&gt;09/2023&lt;/D&gt;&lt;/FQL&gt;&lt;FQL&gt;&lt;Q&gt;DUMMY^ECON_EXPR_DATA('FDS_ECON[PMIDMMANHE]',45356,45199,Q)&lt;/Q&gt;&lt;R&gt;2&lt;/R&gt;&lt;C&gt;1&lt;/C&gt;&lt;D xsi:type="xsd:double"&gt;47.378044&lt;/D&gt;&lt;D xsi:type="xsd:double"&gt;47.086407&lt;/D&gt;&lt;/FQL&gt;&lt;FQL&gt;&lt;Q&gt;DUMMY^ECON_EXPR_DATA('FDS_ECON[NTCPMIMFGSA@EME]',45356,45199,Q)&lt;/Q&gt;&lt;R&gt;2&lt;/R&gt;&lt;C&gt;1&lt;/C&gt;&lt;D xsi:type="xsd:double"&gt;50.64065&lt;/D&gt;&lt;D xsi:type="xsd:double"&gt;50.814144&lt;/D&gt;&lt;/FQL&gt;&lt;FQL&gt;&lt;Q&gt;DUMMY^ECON_EXPR_DATA('FDS_ECON[NTCPMIMFGSA@NZ]',45356,45199,Q)&lt;/Q&gt;&lt;R&gt;2&lt;/R&gt;&lt;C&gt;1&lt;/C&gt;&lt;D xsi:type="xsd:double"&gt;44.258175&lt;/D&gt;&lt;D xsi:type="xsd:double"&gt;45.88497&lt;/D&gt;&lt;/FQL&gt;&lt;FQL&gt;&lt;Q&gt;DUMMY^ECON_EXPR_DATA('FDS_ECON[NTCPMIMFGSA@AU]',45356,45199,Q)&lt;/Q&gt;&lt;R&gt;2&lt;/R&gt;&lt;C&gt;1&lt;/C&gt;&lt;D xsi:type="xsd:double"&gt;47.862293&lt;/D&gt;&lt;D xsi:type="xsd:double"&gt;49.327065&lt;/D&gt;&lt;/FQL&gt;&lt;FQL&gt;&lt;Q&gt;DUMMY^ECON_EXPR_DATA('FDS_ECON[NTCPMIMFGSA@CA]',45356,45199,Q)&lt;/Q&gt;&lt;R&gt;2&lt;/R&gt;&lt;C&gt;1&lt;/C&gt;&lt;D xsi:type="xsd:double"&gt;47.255585&lt;/D&gt;&lt;D xsi:type="xsd:double"&gt;48.335907&lt;/D&gt;&lt;/FQL&gt;&lt;FQL&gt;&lt;Q&gt;DUMMY^ECON_EXPR_DATA('FDS_ECON[NTCPMIMFGSA@DE]',45356,45199,Q)&lt;/Q&gt;&lt;R&gt;2&lt;/R&gt;&lt;C&gt;1&lt;/C&gt;&lt;D xsi:type="xsd:double"&gt;42.238945&lt;/D&gt;&lt;D xsi:type="xsd:double"&gt;39.155674&lt;/D&gt;&lt;/FQL&gt;&lt;FQL&gt;&lt;Q&gt;DUMMY^ECON_EXPR_DATA('FDS_ECON[NTCPMIMFGSA@JP]',45356,45199,Q)&lt;/Q&gt;&lt;R&gt;2&lt;/R&gt;&lt;C&gt;1&lt;/C&gt;&lt;D xsi:type="xsd:double"&gt;48.31877&lt;/D&gt;&lt;D xsi:type="xsd:double"&gt;49.252666&lt;/D&gt;&lt;/FQL&gt;&lt;FQL&gt;&lt;Q&gt;DUMMY^ECON_EXPR_DATA('FDS_ECON[NTCPMIMFGSA@CH]',45356,45199,Q)&lt;/Q&gt;&lt;R&gt;2&lt;/R&gt;&lt;C&gt;1&lt;/C&gt;&lt;D xsi:type="xsd:double"&gt;41.921543&lt;/D&gt;&lt;D xsi:type="xsd:double"&gt;41.102364&lt;/D&gt;&lt;/FQL&gt;&lt;FQL&gt;&lt;Q&gt;DUMMY^ECON_EXPR_DATA('FDS_ECON[NTCPMIMFGSA@GB]',45356,45199,Q)&lt;/Q&gt;&lt;R&gt;2&lt;/R&gt;&lt;C&gt;1&lt;/C&gt;&lt;D xsi:type="xsd:double"&gt;46.0587&lt;/D&gt;&lt;D xsi:type="xsd:double"&gt;44.209953&lt;/D&gt;&lt;/FQL&gt;&lt;FQL&gt;&lt;Q&gt;DUMMY^ECON_EXPR_DATA('FDS_ECON[NTCPMIMFGMESA@US]',45356,45199,Q)&lt;/Q&gt;&lt;R&gt;2&lt;/R&gt;&lt;C&gt;1&lt;/C&gt;&lt;D xsi:type="xsd:double"&gt;49.098827&lt;/D&gt;&lt;D xsi:type="xsd:double"&gt;48.91491&lt;/D&gt;&lt;/FQL&gt;&lt;FQL&gt;&lt;Q&gt;DUMMY^ECON_EXPR_DATA('FDS_ECON[NTCPMIMFGSA@FR]',45356,45199,Q)&lt;/Q&gt;&lt;R&gt;2&lt;/R&gt;&lt;C&gt;1&lt;/C&gt;&lt;D xsi:type="xsd:double"&gt;42.573967&lt;/D&gt;&lt;D xsi:type="xsd:double"&gt;45.09797&lt;/D&gt;&lt;/FQL&gt;&lt;FQL&gt;&lt;Q&gt;DUMMY^ECON_EXPR_DATA('FDS_ECON[NTCPMIMFGSA@NL]',45356,45199,Q)&lt;/Q&gt;&lt;R&gt;2&lt;/R&gt;&lt;C&gt;1&lt;/C&gt;&lt;D xsi:type="xsd:double"&gt;44.495136&lt;/D&gt;&lt;D xsi:type="xsd:double"&gt;44.945713&lt;/D&gt;&lt;/FQL&gt;&lt;FQL&gt;&lt;Q&gt;DUMMY^ECON_EXPR_DATA('FDS_ECON[]',45356,45199,Q)&lt;/Q&gt;&lt;R&gt;0&lt;/R&gt;&lt;C&gt;0&lt;/C&gt;&lt;/FQL&gt;&lt;FQL&gt;&lt;Q&gt;DUMMY^ECON_EXPR_DATA('FDS_ECON[NTCPMIMFGSA@IT]',45356,45199,Q)&lt;/Q&gt;&lt;R&gt;2&lt;/R&gt;&lt;C&gt;1&lt;/C&gt;&lt;D xsi:type="xsd:double"&gt;44.859455&lt;/D&gt;&lt;D xsi:type="xsd:double"&gt;45.562866&lt;/D&gt;&lt;/FQL&gt;&lt;FQL&gt;&lt;Q&gt;DUMMY^ECON_DATE(45357,45199,'Q', 'MM/YYYY')&lt;/Q&gt;&lt;R&gt;2&lt;/R&gt;&lt;C&gt;1&lt;/C&gt;&lt;D xsi:type="xsd:string"&gt;12/2023&lt;/D&gt;&lt;D xsi:type="xsd:string"&gt;09/2023&lt;/D&gt;&lt;/FQL&gt;&lt;FQL&gt;&lt;Q&gt;DUMMY^ECON_EXPR_DATA('FDS_ECON[PMIDMMANHE]',45357,45199,Q)&lt;/Q&gt;&lt;R&gt;2&lt;/R&gt;&lt;C&gt;1&lt;/C&gt;&lt;D xsi:type="xsd:double"&gt;47.378044&lt;/D&gt;&lt;D xsi:type="xsd:double"&gt;47.086407&lt;/D&gt;&lt;/FQL&gt;&lt;FQL&gt;&lt;Q&gt;DUMMY^ECON_EXPR_DATA('FDS_ECON[NTCPMIMFGSA@EME]',45357,45199,Q)&lt;/Q&gt;&lt;R&gt;2&lt;/R&gt;&lt;C&gt;1&lt;/C&gt;&lt;D xsi:type="xsd:double"&gt;50.64065&lt;/D&gt;&lt;D xsi:type="xsd:double"&gt;50.814144&lt;/D&gt;&lt;/FQL&gt;&lt;FQL&gt;&lt;Q&gt;DUMMY^ECON_EXPR_DATA('FDS_ECON[NTCPMIMFGSA@NZ]',45357,45199,Q)&lt;/Q&gt;&lt;R&gt;2&lt;/R&gt;&lt;C&gt;1&lt;/C&gt;&lt;D xsi:type="xsd:double"&gt;44.258175&lt;/D&gt;&lt;D xsi:type="xsd:double"&gt;45.88497&lt;/D&gt;&lt;/FQL&gt;&lt;FQL&gt;&lt;Q&gt;DUMMY^ECON_EXPR_DATA('FDS_ECON[NTCPMIMFGSA@AU]',45357,45199,Q)&lt;/Q&gt;&lt;R&gt;2&lt;/R&gt;&lt;C&gt;1&lt;/C&gt;&lt;D xsi:type="xsd:double"&gt;47.862293&lt;/D&gt;&lt;D xsi:type="xsd:double"&gt;49.327065&lt;/D&gt;&lt;/FQL&gt;&lt;FQL&gt;&lt;Q&gt;DUMMY^ECON_EXPR_DATA('FDS_ECON[NTCPMIMFGSA@CA]',45357,45199,Q)&lt;/Q&gt;&lt;R&gt;2&lt;/R&gt;&lt;C&gt;1&lt;/C&gt;&lt;D xsi:type="xsd:double"&gt;47.255585&lt;/D&gt;&lt;D xsi:type="xsd:double"&gt;48.335907&lt;/D&gt;&lt;/FQL&gt;&lt;FQL&gt;&lt;Q&gt;DUMMY^ECON_EXPR_DATA('FDS_ECON[NTCPMIMFGSA@DE]',45357,45199,Q)&lt;/Q&gt;&lt;R&gt;2&lt;/R&gt;&lt;C&gt;1&lt;/C&gt;&lt;D xsi:type="xsd:double"&gt;42.238945&lt;/D&gt;&lt;D xsi:type="xsd:double"&gt;39.155674&lt;/D&gt;&lt;/FQL&gt;&lt;FQL&gt;&lt;Q&gt;DUMMY^ECON_EXPR_DATA('FDS_ECON[NTCPMIMFGSA@JP]',45357,45199,Q)&lt;/Q&gt;&lt;R&gt;2&lt;/R&gt;&lt;C&gt;1&lt;/C&gt;&lt;D xsi:type="xsd:double"&gt;48.31877&lt;/D&gt;&lt;D xsi:type="xsd:double"&gt;49.252666&lt;/D&gt;&lt;/FQL&gt;&lt;FQL&gt;&lt;Q&gt;DUMMY^ECON_EXPR_DATA('FDS_ECON[NTCPMIMFGSA@CH]',45357,45199,Q)&lt;/Q&gt;&lt;R&gt;2&lt;/R&gt;&lt;C&gt;1&lt;/C&gt;&lt;D xsi:type="xsd:double"&gt;41.921543&lt;/D&gt;&lt;D xsi:type="xsd:double"&gt;41.102364&lt;/D&gt;&lt;/FQL&gt;&lt;FQL&gt;&lt;Q&gt;DUMMY^ECON_EXPR_DATA('FDS_ECON[NTCPMIMFGSA@GB]',45357,45199,Q)&lt;/Q&gt;&lt;R&gt;2&lt;/R&gt;&lt;C&gt;1&lt;/C&gt;&lt;D xsi:type="xsd:double"&gt;46.0587&lt;/D&gt;&lt;D xsi:type="xsd:double"&gt;44.209953&lt;/D&gt;&lt;/FQL&gt;&lt;FQL&gt;&lt;Q&gt;DUMMY^ECON_EXPR_DATA('FDS_ECON[NTCPMIMFGMESA@US]',45357,45199,Q)&lt;/Q&gt;&lt;R&gt;2&lt;/R&gt;&lt;C&gt;1&lt;/C&gt;&lt;D xsi:type="xsd:double"&gt;49.098827&lt;/D&gt;&lt;D xsi:type="xsd:double"&gt;48.91491&lt;/D&gt;&lt;/FQL&gt;&lt;FQL&gt;&lt;Q&gt;DUMMY^ECON_EXPR_DATA('FDS_ECON[NTCPMIMFGSA@FR]',45357,45199,Q)&lt;/Q&gt;&lt;R&gt;2&lt;/R&gt;&lt;C&gt;1&lt;/C&gt;&lt;D xsi:type="xsd:double"&gt;42.573967&lt;/D&gt;&lt;D xsi:type="xsd:double"&gt;45.09797&lt;/D&gt;&lt;/FQL&gt;&lt;FQL&gt;&lt;Q&gt;DUMMY^ECON_EXPR_DATA('FDS_ECON[NTCPMIMFGSA@NL]',45357,45199,Q)&lt;/Q&gt;&lt;R&gt;2&lt;/R&gt;&lt;C&gt;1&lt;/C&gt;&lt;D xsi:type="xsd:double"&gt;44.495136&lt;/D&gt;&lt;D xsi:type="xsd:double"&gt;44.945713&lt;/D&gt;&lt;/FQL&gt;&lt;FQL&gt;&lt;Q&gt;DUMMY^ECON_EXPR_DATA('FDS_ECON[]',45357,45199,Q)&lt;/Q&gt;&lt;R&gt;0&lt;/R&gt;&lt;C&gt;0&lt;/C&gt;&lt;/FQL&gt;&lt;FQL&gt;&lt;Q&gt;DUMMY^ECON_EXPR_DATA('FDS_ECON[NTCPMIMFGSA@IT]',45357,45199,Q)&lt;/Q&gt;&lt;R&gt;2&lt;/R&gt;&lt;C&gt;1&lt;/C&gt;&lt;D xsi:type="xsd:double"&gt;44.859455&lt;/D&gt;&lt;D xsi:type="xsd:double"&gt;45.562866&lt;/D&gt;&lt;/FQL&gt;&lt;FQL&gt;&lt;Q&gt;DUMMY^ECON_DATE(45357,45199,'M', 'MM/YYYY')&lt;/Q&gt;&lt;R&gt;6&lt;/R&gt;&lt;C&gt;1&lt;/C&gt;&lt;D xsi:type="xsd:string"&gt;02/2024&lt;/D&gt;&lt;D xsi:type="xsd:string"&gt;01/2024&lt;/D&gt;&lt;D xsi:type="xsd:string"&gt;12/2023&lt;/D&gt;&lt;D xsi:type="xsd:string"&gt;11/2023&lt;/D&gt;&lt;D xsi:type="xsd:string"&gt;10/2023&lt;/D&gt;&lt;D xsi:type="xsd:string"&gt;09/2023&lt;/D&gt;&lt;/FQL&gt;&lt;FQL&gt;&lt;Q&gt;DUMMY^ECON_DATE(45357,45199,Q', 'MM/YYYY')&lt;/Q&gt;&lt;R&gt;1&lt;/R&gt;&lt;C&gt;1&lt;/C&gt;&lt;D xsi:type="xsd:string"&gt;#NUM&lt;/D&gt;&lt;/FQL&gt;&lt;FQL&gt;&lt;Q&gt;DUMMY^ECON_EXPR_DATA('FDS_ECON[NTCPMIMFGSA@NZ]',12/2023,09/2023,Q)&lt;/Q&gt;&lt;R&gt;2&lt;/R&gt;&lt;C&gt;1&lt;/C&gt;&lt;D xsi:type="xsd:double"&gt;44.258175&lt;/D&gt;&lt;D xsi:type="xsd:double"&gt;45.88497&lt;/D&gt;&lt;/FQL&gt;&lt;FQL&gt;&lt;Q&gt;DUMMY^ECON_DATE(45357,,, 'MM/YYYY')&lt;/Q&gt;&lt;R&gt;1&lt;/R&gt;&lt;C&gt;1&lt;/C&gt;&lt;D xsi:type="xsd:string"&gt;03/2024&lt;/D&gt;&lt;/FQL&gt;&lt;FQL&gt;&lt;Q&gt;DUMMY^ECON_DATE(45266,,, 'MM/YYYY')&lt;/Q&gt;&lt;R&gt;1&lt;/R&gt;&lt;C&gt;1&lt;/C&gt;&lt;D xsi:type="xsd:string"&gt;12/2023&lt;/D&gt;&lt;/FQL&gt;&lt;FQL&gt;&lt;Q&gt;DUMMY^ECON_EXPR_DATA('FDS_ECON[NTCPMIMFGSA@NZ]',03/2024,12/2023,Q)&lt;/Q&gt;&lt;R&gt;2&lt;/R&gt;&lt;C&gt;1&lt;/C&gt;&lt;D xsi:type="xsd:string"&gt;@NA&lt;/D&gt;&lt;D xsi:type="xsd:double"&gt;44.258175&lt;/D&gt;&lt;/FQL&gt;&lt;FQL&gt;&lt;Q&gt;DUMMY^ECON_DATE(45236,,, 'MM/YYYY')&lt;/Q&gt;&lt;R&gt;1&lt;/R&gt;&lt;C&gt;1&lt;/C&gt;&lt;D xsi:type="xsd:string"&gt;11/2023&lt;/D&gt;&lt;/FQL&gt;&lt;FQL&gt;&lt;Q&gt;DUMMY^ECON_DATE(45328,,, 'MM/YYYY')&lt;/Q&gt;&lt;R&gt;1&lt;/R&gt;&lt;C&gt;1&lt;/C&gt;&lt;D xsi:type="xsd:string"&gt;02/2024&lt;/D&gt;&lt;/FQL&gt;&lt;FQL&gt;&lt;Q&gt;DUMMY^ECON_EXPR_DATA('FDS_ECON[NTCPMIMFGSA@NZ]',02/2024,11/2023,Q)&lt;/Q&gt;&lt;R&gt;1&lt;/R&gt;&lt;C&gt;1&lt;/C&gt;&lt;D xsi:type="xsd:double"&gt;44.258175&lt;/D&gt;&lt;/FQL&gt;&lt;FQL&gt;&lt;Q&gt;DUMMY^ECON_EXPR_DATA('FDS_ECON[NTCPMIMFGSA@AU]',02/2024,,Q)&lt;/Q&gt;&lt;R&gt;1&lt;/R&gt;&lt;C&gt;1&lt;/C&gt;&lt;D xsi:type="xsd:double"&gt;47.862293&lt;/D&gt;&lt;/FQL&gt;&lt;FQL&gt;&lt;Q&gt;DUMMY^ECON_EXPR_DATA('FDS_ECON[NTCPMIMFGSA@NZ]',02/2024,,Q)&lt;/Q&gt;&lt;R&gt;1&lt;/R&gt;&lt;C&gt;1&lt;/C&gt;&lt;D xsi:type="xsd:double"&gt;44.258175&lt;/D&gt;&lt;/FQL&gt;&lt;FQL&gt;&lt;Q&gt;DUMMY^ECON_EXPR_DATA('FDS_ECON[NTCPMIMFGSA@CA]',02/2024,,Q)&lt;/Q&gt;&lt;R&gt;1&lt;/R&gt;&lt;C&gt;1&lt;/C&gt;&lt;D xsi:type="xsd:double"&gt;47.255585&lt;/D&gt;&lt;/FQL&gt;&lt;FQL&gt;&lt;Q&gt;DUMMY^ECON_EXPR_DATA('FDS_ECON[NTCPMIMFGSA@DE]',02/2024,,Q)&lt;/Q&gt;&lt;R&gt;1&lt;/R&gt;&lt;C&gt;1&lt;/C&gt;&lt;D xsi:type="xsd:double"&gt;42.238945&lt;/D&gt;&lt;/FQL&gt;&lt;FQL&gt;&lt;Q&gt;DUMMY^ECON_EXPR_DATA('FDS_ECON[NTCPMIMFGSA@JP]',02/2024,,Q)&lt;/Q&gt;&lt;R&gt;1&lt;/R&gt;&lt;C&gt;1&lt;/C&gt;&lt;D xsi:type="xsd:double"&gt;48.31877&lt;/D&gt;&lt;/FQL&gt;&lt;FQL&gt;&lt;Q&gt;DUMMY^ECON_EXPR_DATA('FDS_ECON[NTCPMIMFGSA@CH]',02/2024,,Q)&lt;/Q&gt;&lt;R&gt;1&lt;/R&gt;&lt;C&gt;1&lt;/C&gt;&lt;D xsi:type="xsd:double"&gt;41.921543&lt;/D&gt;&lt;/FQL&gt;&lt;FQL&gt;&lt;Q&gt;DUMMY^ECON_EXPR_DATA('FDS_ECON[NTCPMIMFGSA@GB]',02/2024,,Q)&lt;/Q&gt;&lt;R&gt;1&lt;/R&gt;&lt;C&gt;1&lt;/C&gt;&lt;D xsi:type="xsd:double"&gt;46.0587&lt;/D&gt;&lt;/FQL&gt;&lt;FQL&gt;&lt;Q&gt;DUMMY^ECON_EXPR_DATA('FDS_ECON[NTCPMIMFGMESA@US]',02/2024,,Q)&lt;/Q&gt;&lt;R&gt;1&lt;/R&gt;&lt;C&gt;1&lt;/C&gt;&lt;D xsi:type="xsd:double"&gt;49.098827&lt;/D&gt;&lt;/FQL&gt;&lt;FQL&gt;&lt;Q&gt;DUMMY^ECON_EXPR_DATA('FDS_ECON[NTCPMIMFGSA@FR]',02/2024,,Q)&lt;/Q&gt;&lt;R&gt;1&lt;/R&gt;&lt;C&gt;1&lt;/C&gt;&lt;D xsi:type="xsd:double"&gt;42.573967&lt;/D&gt;&lt;/FQL&gt;&lt;FQL&gt;&lt;Q&gt;DUMMY^ECON_EXPR_DATA('FDS_ECON[NTCPMIMFGSA@NL]',02/2024,,Q)&lt;/Q&gt;&lt;R&gt;1&lt;/R&gt;&lt;C&gt;1&lt;/C&gt;&lt;D xsi:type="xsd:double"&gt;44.495136&lt;/D&gt;&lt;/FQL&gt;&lt;FQL&gt;&lt;Q&gt;DUMMY^ECON_EXPR_DATA('FDS_ECON[]',02/2024,,Q)&lt;/Q&gt;&lt;R&gt;0&lt;/R&gt;&lt;C&gt;0&lt;/C&gt;&lt;/FQL&gt;&lt;FQL&gt;&lt;Q&gt;DUMMY^ECON_EXPR_DATA('FDS_ECON[NTCPMIMFGSA@IT]',02/2024,,Q)&lt;/Q&gt;&lt;R&gt;1&lt;/R&gt;&lt;C&gt;1&lt;/C&gt;&lt;D xsi:type="xsd:double"&gt;44.859455&lt;/D&gt;&lt;/FQL&gt;&lt;FQL&gt;&lt;Q&gt;DUMMY^ECON_EXPR_DATA('FDS_ECON[NTCPMIMFGSA@NZ]',11/2023,,Q)&lt;/Q&gt;&lt;R&gt;1&lt;/R&gt;&lt;C&gt;1&lt;/C&gt;&lt;D xsi:type="xsd:double"&gt;45.88497&lt;/D&gt;&lt;/FQL&gt;&lt;FQL&gt;&lt;Q&gt;DUMMY^ECON_EXPR_DATA('FDS_ECON[NTCPMIMFGSA@AU]',11/2023,,Q)&lt;/Q&gt;&lt;R&gt;1&lt;/R&gt;&lt;C&gt;1&lt;/C&gt;&lt;D xsi:type="xsd:double"&gt;49.327065&lt;/D&gt;&lt;/FQL&gt;&lt;FQL&gt;&lt;Q&gt;DUMMY^ECON_EXPR_DATA('FDS_ECON[NTCPMIMFGSA@CA]',11/2023,,Q)&lt;/Q&gt;&lt;R&gt;1&lt;/R&gt;&lt;C&gt;1&lt;/C&gt;&lt;D xsi:type="xsd:double"&gt;48.335907&lt;/D&gt;&lt;/FQL&gt;&lt;FQL&gt;&lt;Q&gt;DUMMY^ECON_EXPR_DATA('FDS_ECON[NTCPMIMFGSA@DE]',11/2023,,Q)&lt;/Q&gt;&lt;R&gt;1&lt;/R&gt;&lt;C&gt;1&lt;/C&gt;&lt;D xsi:type="xsd:double"&gt;39.155674&lt;/D&gt;&lt;/FQL&gt;&lt;FQL&gt;&lt;Q&gt;DUMMY^ECON_EXPR_DATA('FDS_ECON[NTCPMIMFGSA@JP]',11/2023,,Q)&lt;/Q&gt;&lt;R&gt;1&lt;/R&gt;&lt;C&gt;1&lt;/C&gt;&lt;D xsi:type="xsd:double"&gt;49.252666&lt;/D&gt;&lt;/FQL&gt;&lt;FQL&gt;&lt;Q&gt;DUMMY^ECON_EXPR_DATA('FDS_ECON[NTCPMIMFGSA@CH]',11/2023,,Q)&lt;/Q&gt;&lt;R&gt;1&lt;/R&gt;&lt;C&gt;1&lt;/C&gt;&lt;D xsi:type="xsd:double"&gt;41.102364&lt;/D&gt;&lt;/FQL&gt;&lt;FQL&gt;&lt;Q&gt;DUMMY^ECON_EXPR_DATA('FDS_ECON[NTCPMIMFGSA@GB]',11/2023,,Q)&lt;/Q&gt;&lt;R&gt;1&lt;/R&gt;&lt;C&gt;1&lt;/C&gt;&lt;D xsi:type="xsd:double"&gt;44.209953&lt;/D&gt;&lt;/FQL&gt;&lt;FQL&gt;&lt;Q&gt;DUMMY^ECON_EXPR_DATA('FDS_ECON[NTCPMIMFGMESA@US]',11/2023,,Q)&lt;/Q&gt;&lt;R&gt;1&lt;/R&gt;&lt;C&gt;1&lt;/C&gt;&lt;D xsi:type="xsd:double"&gt;48.91491&lt;/D&gt;&lt;/FQL&gt;&lt;FQL&gt;&lt;Q&gt;DUMMY^ECON_EXPR_DATA('FDS_ECON[NTCPMIMFGSA@FR]',11/2023,,Q)&lt;/Q&gt;&lt;R&gt;1&lt;/R&gt;&lt;C&gt;1&lt;/C&gt;&lt;D xsi:type="xsd:double"&gt;45.09797&lt;/D&gt;&lt;/FQL&gt;&lt;FQL&gt;&lt;Q&gt;DUMMY^ECON_EXPR_DATA('FDS_ECON[NTCPMIMFGSA@NL]',11/2023,,Q)&lt;/Q&gt;&lt;R&gt;1&lt;/R&gt;&lt;C&gt;1&lt;/C&gt;&lt;D xsi:type="xsd:double"&gt;44.945713&lt;/D&gt;&lt;/FQL&gt;&lt;FQL&gt;&lt;Q&gt;DUMMY^ECON_EXPR_DATA('FDS_ECON[]',11/2023,,Q)&lt;/Q&gt;&lt;R&gt;0&lt;/R&gt;&lt;C&gt;0&lt;/C&gt;&lt;/FQL&gt;&lt;FQL&gt;&lt;Q&gt;DUMMY^ECON_EXPR_DATA('FDS_ECON[NTCPMIMFGSA@IT]',11/2023,,Q)&lt;/Q&gt;&lt;R&gt;1&lt;/R&gt;&lt;C&gt;1&lt;/C&gt;&lt;D xsi:type="xsd:double"&gt;45.562866&lt;/D&gt;&lt;/FQL&gt;&lt;FQL&gt;&lt;Q&gt;DUMMY^ECON_EXPR_DATA('FDS_ECON[PMIDMMANHE]',02/2024,,Q)&lt;/Q&gt;&lt;R&gt;1&lt;/R&gt;&lt;C&gt;1&lt;/C&gt;&lt;D xsi:type="xsd:double"&gt;47.378044&lt;/D&gt;&lt;/FQL&gt;&lt;FQL&gt;&lt;Q&gt;DUMMY^ECON_EXPR_DATA('FDS_ECON[NTCPMIMFGSA@EME]',02/2024,,Q)&lt;/Q&gt;&lt;R&gt;1&lt;/R&gt;&lt;C&gt;1&lt;/C&gt;&lt;D xsi:type="xsd:double"&gt;50.64065&lt;/D&gt;&lt;/FQL&gt;&lt;FQL&gt;&lt;Q&gt;DUMMY^ECON_EXPR_DATA('FDS_ECON[PMIDMMANHE]',11/2023,,Q)&lt;/Q&gt;&lt;R&gt;1&lt;/R&gt;&lt;C&gt;1&lt;/C&gt;&lt;D xsi:type="xsd:double"&gt;47.086407&lt;/D&gt;&lt;/FQL&gt;&lt;FQL&gt;&lt;Q&gt;DUMMY^ECON_EXPR_DATA('FDS_ECON[NTCPMIMFGSA@EME]',11/2023,,Q)&lt;/Q&gt;&lt;R&gt;1&lt;/R&gt;&lt;C&gt;1&lt;/C&gt;&lt;D xsi:type="xsd:double"&gt;50.814144&lt;/D&gt;&lt;/FQL&gt;&lt;/Schema&gt;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<sst xmlns="http://schemas.openxmlformats.org/spreadsheetml/2006/main" count="2166" uniqueCount="915">
  <si>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</si>
  <si>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</si>
  <si>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</si>
  <si>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</si>
  <si>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</si>
  <si>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</si>
  <si>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</si>
  <si>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</si>
  <si>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</si>
  <si>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</si>
  <si>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</si>
  <si>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</si>
  <si>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</si>
  <si>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</si>
  <si>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</si>
  <si>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</si>
  <si>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</si>
  <si>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</si>
  <si>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</si>
  <si>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</si>
  <si>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</si>
  <si>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</si>
  <si>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</si>
  <si>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</si>
  <si>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</si>
  <si>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</si>
  <si>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</si>
  <si>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</si>
  <si>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</si>
  <si>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</si>
  <si>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</si>
  <si>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</si>
  <si>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</si>
  <si>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</si>
  <si>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</si>
  <si>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</si>
  <si>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</si>
  <si>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</si>
  <si>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</si>
  <si>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</si>
  <si>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</si>
  <si>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</si>
  <si>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</si>
  <si>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</si>
  <si>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</si>
  <si>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</si>
  <si>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</si>
  <si>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</si>
  <si>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</si>
  <si>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</si>
  <si>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</si>
  <si>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</si>
  <si>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</si>
  <si>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</si>
  <si>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</si>
  <si>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</si>
  <si>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</si>
  <si>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</si>
  <si>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</si>
  <si>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 month percentile</t>
  </si>
  <si>
    <t>12 month percentile</t>
  </si>
  <si>
    <t>Value</t>
  </si>
  <si>
    <t>Price</t>
  </si>
  <si>
    <t>Upgardes</t>
  </si>
  <si>
    <t>1 month%</t>
  </si>
  <si>
    <t>3 month%</t>
  </si>
  <si>
    <t>Risk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</si>
  <si>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</si>
  <si>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</si>
  <si>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</si>
  <si>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</si>
  <si>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</si>
  <si>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</si>
  <si>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</si>
  <si>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</si>
  <si>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</si>
  <si>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</si>
  <si>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</si>
  <si>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</si>
  <si>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</si>
  <si>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</si>
  <si>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</si>
  <si>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</si>
  <si>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</si>
  <si>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% of  model</t>
  </si>
  <si>
    <t>weights</t>
  </si>
  <si>
    <t>weight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</si>
  <si>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</si>
  <si>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</si>
  <si>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</si>
  <si>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</si>
  <si>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</si>
  <si>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</si>
  <si>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</si>
  <si>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</si>
  <si>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</si>
  <si>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</si>
  <si>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</si>
  <si>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</si>
  <si>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</si>
  <si>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</si>
  <si>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</si>
  <si>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</si>
  <si>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</si>
  <si>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</si>
  <si>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</si>
  <si>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</si>
  <si>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</si>
  <si>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</si>
  <si>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</si>
  <si>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</si>
  <si>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</si>
  <si>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</si>
  <si>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</si>
  <si>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</si>
  <si>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</si>
  <si>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</si>
  <si>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</si>
  <si>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</si>
  <si>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</si>
  <si>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</si>
  <si>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</si>
  <si>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</si>
  <si>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</si>
  <si>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</si>
  <si>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</si>
  <si>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</si>
  <si>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</si>
  <si>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</si>
  <si>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</si>
  <si>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</si>
  <si>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</si>
  <si>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</si>
  <si>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</si>
  <si>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</si>
  <si>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</si>
  <si>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</si>
  <si>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</si>
  <si>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</si>
  <si>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</si>
  <si>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</si>
  <si>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</si>
  <si>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</si>
  <si>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</si>
  <si>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</si>
  <si>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</si>
  <si>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</si>
  <si>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</si>
  <si>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</si>
  <si>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</si>
  <si>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</si>
  <si>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</si>
  <si>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</si>
  <si>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</si>
  <si>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</si>
  <si>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</si>
  <si>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</si>
  <si>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</si>
  <si>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</si>
  <si>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</si>
  <si>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</si>
  <si>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</si>
  <si>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</si>
  <si>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</si>
  <si>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</si>
  <si>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</si>
  <si>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</si>
  <si>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</si>
  <si>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</si>
  <si>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</si>
  <si>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</si>
  <si>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</si>
  <si>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</si>
  <si>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</si>
  <si>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</si>
  <si>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</si>
  <si>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</si>
  <si>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</si>
  <si>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</si>
  <si>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</si>
  <si>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</si>
  <si>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</si>
  <si>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</si>
  <si>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</si>
  <si>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</si>
  <si>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</si>
  <si>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</si>
  <si>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</si>
  <si>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</si>
  <si>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</si>
  <si>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</si>
  <si>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</si>
  <si>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</si>
  <si>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</si>
  <si>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</si>
  <si>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</si>
  <si>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</si>
  <si>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</si>
  <si>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</si>
  <si>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</si>
  <si>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</si>
  <si>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</si>
  <si>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</si>
  <si>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</si>
  <si>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</si>
  <si>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</si>
  <si>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</si>
  <si>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</si>
  <si>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</si>
  <si>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</si>
  <si>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</si>
  <si>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</si>
  <si>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</si>
  <si>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</si>
  <si>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</si>
  <si>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</si>
  <si>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</si>
  <si>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</si>
  <si>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</si>
  <si>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</si>
  <si>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</si>
  <si>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</si>
  <si>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</si>
  <si>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</si>
  <si>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</si>
  <si>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</si>
  <si>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</si>
  <si>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</si>
  <si>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</si>
  <si>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</si>
  <si>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</si>
  <si>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</si>
  <si>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</si>
  <si>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</si>
  <si>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</si>
  <si>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</si>
  <si>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</si>
  <si>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</si>
  <si>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</si>
  <si>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</si>
  <si>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</si>
  <si>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</si>
  <si>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</si>
  <si>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</si>
  <si>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</si>
  <si>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</si>
  <si>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</si>
  <si>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</si>
  <si>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</si>
  <si>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</si>
  <si>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</si>
  <si>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</si>
  <si>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</si>
  <si>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</si>
  <si>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</si>
  <si>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</si>
  <si>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</si>
  <si>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</si>
  <si>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</si>
  <si>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</si>
  <si>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</si>
  <si>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</si>
  <si>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</si>
  <si>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</si>
  <si>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</si>
  <si>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</si>
  <si>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</si>
  <si>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</si>
  <si>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</si>
  <si>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</si>
  <si>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</si>
  <si>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</si>
  <si>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</si>
  <si>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</si>
  <si>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</si>
  <si>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</si>
  <si>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</si>
  <si>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</si>
  <si>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</si>
  <si>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</si>
  <si>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</si>
  <si>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</si>
  <si>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</si>
  <si>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</si>
  <si>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</si>
  <si>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</si>
  <si>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</si>
  <si>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</si>
  <si>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</si>
  <si>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</si>
  <si>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</si>
  <si>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</si>
  <si>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</si>
  <si>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</si>
  <si>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</si>
  <si>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</si>
  <si>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</si>
  <si>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</si>
  <si>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</si>
  <si>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</si>
  <si>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</si>
  <si>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</si>
  <si>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</si>
  <si>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</si>
  <si>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</si>
  <si>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</si>
  <si>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</si>
  <si>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</si>
  <si>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</si>
  <si>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</si>
  <si>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</si>
  <si>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</si>
  <si>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</si>
  <si>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</si>
  <si>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</si>
  <si>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</si>
  <si>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</si>
  <si>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</si>
  <si>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</si>
  <si>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</si>
  <si>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</si>
  <si>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</si>
  <si>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</si>
  <si>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</si>
  <si>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</si>
  <si>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</si>
  <si>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</si>
  <si>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</si>
  <si>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</si>
  <si>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</si>
  <si>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</si>
  <si>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</si>
  <si>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</si>
  <si>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</si>
  <si>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</si>
  <si>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</si>
  <si>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</si>
  <si>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</si>
  <si>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</si>
  <si>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</si>
  <si>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</si>
  <si>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</si>
  <si>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</si>
  <si>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</si>
  <si>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</si>
  <si>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</si>
  <si>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</si>
  <si>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</si>
  <si>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</si>
  <si>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</si>
  <si>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</si>
  <si>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</si>
  <si>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</si>
  <si>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</si>
  <si>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</si>
  <si>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</si>
  <si>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</si>
  <si>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</si>
  <si>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</si>
  <si>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</si>
  <si>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</si>
  <si>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</si>
  <si>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</si>
  <si>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</si>
  <si>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</si>
  <si>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</si>
  <si>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</si>
  <si>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</si>
  <si>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</si>
  <si>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</si>
  <si>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</si>
  <si>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</si>
  <si>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</si>
  <si>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</si>
  <si>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</si>
  <si>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</si>
  <si>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</si>
  <si>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</si>
  <si>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</si>
  <si>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</si>
  <si>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</si>
  <si>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</si>
  <si>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</si>
  <si>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</si>
  <si>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</si>
  <si>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</si>
  <si>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</si>
  <si>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</si>
  <si>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</si>
  <si>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</si>
  <si>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</si>
  <si>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</si>
  <si>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</si>
  <si>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</si>
  <si>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</si>
  <si>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</si>
  <si>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</si>
  <si>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</si>
  <si>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</si>
  <si>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</si>
  <si>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</si>
  <si>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</si>
  <si>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</si>
  <si>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</si>
  <si>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</si>
  <si>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</si>
  <si>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</si>
  <si>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</si>
  <si>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</si>
  <si>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</si>
  <si>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</si>
  <si>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</si>
  <si>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</si>
  <si>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</si>
  <si>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</si>
  <si>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</si>
  <si>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</si>
  <si>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</si>
  <si>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</si>
  <si>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</si>
  <si>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</si>
  <si>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</si>
  <si>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</si>
  <si>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</si>
  <si>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</si>
  <si>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</si>
  <si>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</si>
  <si>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</si>
  <si>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</si>
  <si>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</si>
  <si>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</si>
  <si>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</si>
  <si>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</si>
  <si>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</si>
  <si>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</si>
  <si>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</si>
  <si>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</si>
  <si>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</si>
  <si>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</si>
  <si>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</si>
  <si>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</si>
  <si>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</si>
  <si>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</si>
  <si>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</si>
  <si>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</si>
  <si>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</si>
  <si>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</si>
  <si>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</si>
  <si>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</si>
  <si>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</si>
  <si>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</si>
  <si>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</si>
  <si>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</si>
  <si>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</si>
  <si>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</si>
  <si>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</si>
  <si>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</si>
  <si>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</si>
  <si>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</si>
  <si>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</si>
  <si>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</si>
  <si>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</si>
  <si>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</si>
  <si>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</si>
  <si>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</si>
  <si>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</si>
  <si>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</si>
  <si>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</si>
  <si>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</si>
  <si>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</si>
  <si>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</si>
  <si>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</si>
  <si>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</si>
  <si>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</si>
  <si>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</si>
  <si>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</si>
  <si>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</si>
  <si>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</si>
  <si>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</si>
  <si>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</si>
  <si>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</si>
  <si>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</si>
  <si>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</si>
  <si>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</si>
  <si>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</si>
  <si>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</si>
  <si>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</si>
  <si>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</si>
  <si>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</si>
  <si>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</si>
  <si>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</si>
  <si>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</si>
  <si>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</si>
  <si>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</si>
  <si>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</si>
  <si>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</si>
  <si>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</si>
  <si>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</si>
  <si>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</si>
  <si>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</si>
  <si>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</si>
  <si>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</si>
  <si>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</si>
  <si>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</si>
  <si>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</si>
  <si>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</si>
  <si>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</si>
  <si>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</si>
  <si>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</si>
  <si>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</si>
  <si>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</si>
  <si>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</si>
  <si>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</si>
  <si>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</si>
  <si>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</si>
  <si>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</si>
  <si>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</si>
  <si>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</si>
  <si>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</si>
  <si>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</si>
  <si>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</si>
  <si>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</si>
  <si>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</si>
  <si>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</si>
  <si>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Montlky freq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</si>
  <si>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</si>
  <si>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</si>
  <si>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</si>
  <si>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</si>
  <si>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</si>
  <si>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</si>
  <si>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</si>
  <si>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</si>
  <si>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</si>
  <si>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</si>
  <si>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</si>
  <si>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Overall Risk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</si>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</sst>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8"/>
    <xf numFmtId="0" fontId="28" fillId="0" borderId="28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4"/>
    <xf numFmtId="0" fontId="34" fillId="17" borderId="14"/>
    <xf numFmtId="0" fontId="35" fillId="17" borderId="14"/>
    <xf numFmtId="0" fontId="36" fillId="0" borderId="29"/>
    <xf numFmtId="0" fontId="23" fillId="18" borderId="30"/>
    <xf numFmtId="0" fontId="24" fillId="0" borderId="0"/>
    <xf numFmtId="0" fontId="21" fillId="13" borderId="14"/>
    <xf numFmtId="0" fontId="37" fillId="0" borderId="0"/>
    <xf numFmtId="0" fontId="18" fillId="0" borderId="31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1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8" xfId="0" applyFont="1" applyBorder="1"/>
    <xf numFmtId="9" fontId="4" fillId="0" borderId="9" xfId="0" applyNumberFormat="1" applyFont="1" applyBorder="1"/>
    <xf numFmtId="0" fontId="3" fillId="0" borderId="0" xfId="0" applyFont="1"/>
    <xf numFmtId="0" fontId="1" fillId="0" borderId="8" xfId="0" applyFont="1" applyBorder="1"/>
    <xf numFmtId="166" fontId="0" fillId="0" borderId="9" xfId="0" applyNumberFormat="1" applyBorder="1"/>
    <xf numFmtId="9" fontId="0" fillId="0" borderId="9" xfId="0" applyNumberFormat="1" applyBorder="1"/>
    <xf numFmtId="0" fontId="0" fillId="0" borderId="10" xfId="0" applyBorder="1"/>
    <xf numFmtId="167" fontId="4" fillId="0" borderId="9" xfId="0" applyNumberFormat="1" applyFont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9" fontId="0" fillId="0" borderId="10" xfId="0" applyNumberFormat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1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2" xfId="0" applyFont="1" applyBorder="1"/>
    <xf numFmtId="167" fontId="4" fillId="0" borderId="13" xfId="0" applyNumberFormat="1" applyFont="1" applyBorder="1"/>
    <xf numFmtId="0" fontId="0" fillId="0" borderId="12" xfId="0" applyBorder="1"/>
    <xf numFmtId="167" fontId="0" fillId="0" borderId="13" xfId="0" applyNumberFormat="1" applyBorder="1"/>
    <xf numFmtId="0" fontId="0" fillId="0" borderId="13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3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8" xfId="0" applyBorder="1"/>
    <xf numFmtId="0" fontId="0" fillId="0" borderId="22" xfId="0" applyBorder="1"/>
    <xf numFmtId="0" fontId="0" fillId="0" borderId="20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1" xfId="4" applyNumberFormat="1" applyFont="1" applyFill="1" applyBorder="1" applyAlignment="1">
      <alignment horizontal="right" vertical="center"/>
    </xf>
    <xf numFmtId="165" fontId="19" fillId="0" borderId="22" xfId="4" applyNumberFormat="1" applyFont="1" applyBorder="1"/>
    <xf numFmtId="165" fontId="19" fillId="0" borderId="0" xfId="4" applyNumberFormat="1" applyFont="1"/>
    <xf numFmtId="165" fontId="19" fillId="0" borderId="23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3" xfId="4" applyFont="1" applyBorder="1" applyAlignment="1">
      <alignment horizontal="center"/>
    </xf>
    <xf numFmtId="3" fontId="19" fillId="0" borderId="0" xfId="4" applyNumberFormat="1" applyFont="1"/>
    <xf numFmtId="0" fontId="18" fillId="11" borderId="25" xfId="4" applyFont="1" applyFill="1" applyBorder="1" applyAlignment="1">
      <alignment horizontal="center" vertical="center" wrapText="1"/>
    </xf>
    <xf numFmtId="0" fontId="18" fillId="11" borderId="27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2" xfId="4" applyFont="1" applyBorder="1" applyAlignment="1">
      <alignment horizontal="center"/>
    </xf>
    <xf numFmtId="0" fontId="18" fillId="11" borderId="20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1" xfId="4" applyFont="1" applyFill="1" applyBorder="1" applyAlignment="1">
      <alignment horizontal="right" vertical="center"/>
    </xf>
    <xf numFmtId="0" fontId="20" fillId="0" borderId="22" xfId="4" applyFont="1" applyBorder="1" applyAlignment="1">
      <alignment horizontal="center"/>
    </xf>
    <xf numFmtId="0" fontId="19" fillId="0" borderId="22" xfId="4" applyFont="1" applyBorder="1"/>
    <xf numFmtId="1" fontId="18" fillId="11" borderId="20" xfId="4" applyNumberFormat="1" applyFont="1" applyFill="1" applyBorder="1" applyAlignment="1">
      <alignment horizontal="right" vertical="center"/>
    </xf>
    <xf numFmtId="0" fontId="21" fillId="13" borderId="14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22" fillId="0" borderId="4" xfId="5" quotePrefix="1" applyNumberFormat="1" applyBorder="1"/>
    <xf numFmtId="14" fontId="22" fillId="0" borderId="7" xfId="5" quotePrefix="1" applyNumberFormat="1" applyBorder="1"/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7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0" fontId="13" fillId="0" borderId="0" xfId="0" applyNumberFormat="1" applyFont="1"/>
    <xf numFmtId="165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3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2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3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3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9" fontId="0" fillId="0" borderId="24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3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4" xfId="0" applyBorder="1"/>
    <xf numFmtId="165" fontId="0" fillId="0" borderId="18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8" xfId="4" applyFont="1" applyBorder="1" applyAlignment="1">
      <alignment horizontal="center" vertical="center"/>
    </xf>
    <xf numFmtId="0" fontId="18" fillId="0" borderId="24" xfId="4" applyFont="1" applyBorder="1" applyAlignment="1">
      <alignment horizontal="center" vertical="center"/>
    </xf>
    <xf numFmtId="0" fontId="18" fillId="0" borderId="19" xfId="4" applyFont="1" applyBorder="1" applyAlignment="1">
      <alignment horizontal="center" vertical="center"/>
    </xf>
    <xf numFmtId="14" fontId="43" fillId="0" borderId="4" xfId="0" applyNumberFormat="1" applyFont="1" applyBorder="1"/>
    <xf numFmtId="14" fontId="43" fillId="0" borderId="7" xfId="0" applyNumberFormat="1" applyFont="1" applyBorder="1"/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5"/>
  <sheetViews>
    <sheetView topLeftCell="A19" zoomScale="70" zoomScaleNormal="70" workbookViewId="0">
      <selection activeCell="D55" sqref="D55"/>
    </sheetView>
  </sheetViews>
  <sheetFormatPr defaultRowHeight="14.5" x14ac:dyDescent="0.35"/>
  <cols>
    <col min="3" max="3" width="18.54296875" customWidth="1"/>
    <col min="4" max="4" width="26.90625" customWidth="1"/>
    <col min="5" max="5" width="21" customWidth="1"/>
    <col min="6" max="6" width="18.90625" customWidth="1"/>
    <col min="7" max="7" width="27" customWidth="1"/>
    <col min="8" max="8" width="22.453125" customWidth="1"/>
    <col min="9" max="9" width="19.453125" customWidth="1"/>
    <col min="10" max="10" width="24.36328125" customWidth="1"/>
    <col min="11" max="11" width="16.36328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60" t="s">
        <v>419</v>
      </c>
      <c r="D8" s="60" t="s">
        <v>55</v>
      </c>
    </row>
    <row r="9" spans="3:19" x14ac:dyDescent="0.35">
      <c r="M9" t="s">
        <v>477</v>
      </c>
      <c r="N9" s="75">
        <v>0.06</v>
      </c>
      <c r="S9" s="74"/>
    </row>
    <row r="10" spans="3:19" x14ac:dyDescent="0.35">
      <c r="C10" s="1" t="s">
        <v>420</v>
      </c>
      <c r="D10" t="s">
        <v>62</v>
      </c>
      <c r="E10" s="1" t="s">
        <v>9</v>
      </c>
      <c r="F10" s="1" t="s">
        <v>56</v>
      </c>
      <c r="G10" s="1" t="s">
        <v>57</v>
      </c>
    </row>
    <row r="11" spans="3:19" ht="15" thickBot="1" x14ac:dyDescent="0.4">
      <c r="D11" s="1" t="s">
        <v>85</v>
      </c>
      <c r="E11" s="77">
        <v>0.4</v>
      </c>
      <c r="F11" s="77">
        <v>0.3</v>
      </c>
      <c r="G11" s="77">
        <v>0.3</v>
      </c>
    </row>
    <row r="12" spans="3:19" s="19" customFormat="1" ht="15" thickBot="1" x14ac:dyDescent="0.4">
      <c r="D12" s="20" t="s">
        <v>83</v>
      </c>
      <c r="E12" s="21">
        <f>E11*$E$33</f>
        <v>0.4</v>
      </c>
      <c r="F12" s="21">
        <f t="shared" ref="F12:G12" si="0">F11*$E$33</f>
        <v>0.3</v>
      </c>
      <c r="G12" s="21">
        <f t="shared" si="0"/>
        <v>0.3</v>
      </c>
      <c r="H12" s="18"/>
      <c r="M12" s="69" t="s">
        <v>454</v>
      </c>
      <c r="N12" s="70"/>
      <c r="O12" s="72" t="s">
        <v>476</v>
      </c>
    </row>
    <row r="13" spans="3:19" s="19" customFormat="1" ht="15" thickBot="1" x14ac:dyDescent="0.4">
      <c r="D13" s="22"/>
      <c r="E13" s="18"/>
      <c r="F13" s="18"/>
      <c r="G13" s="18"/>
      <c r="M13" s="63" t="s">
        <v>455</v>
      </c>
      <c r="N13" s="64">
        <f>(1/'Value -2 '!H11)</f>
        <v>4.3888189084304308E-2</v>
      </c>
      <c r="O13" s="64">
        <f>N13*(1+N9)</f>
        <v>4.652148042936257E-2</v>
      </c>
    </row>
    <row r="14" spans="3:19" ht="15" thickBot="1" x14ac:dyDescent="0.4">
      <c r="C14" s="1" t="s">
        <v>421</v>
      </c>
      <c r="D14" s="23" t="s">
        <v>80</v>
      </c>
      <c r="E14" s="24" t="s">
        <v>64</v>
      </c>
      <c r="F14" s="25" t="s">
        <v>65</v>
      </c>
      <c r="G14" s="25" t="s">
        <v>81</v>
      </c>
      <c r="H14" s="26" t="s">
        <v>79</v>
      </c>
      <c r="M14" s="65" t="s">
        <v>456</v>
      </c>
      <c r="N14" s="66">
        <f>(1/'Value -2 '!G11)</f>
        <v>3.9492823467860233E-2</v>
      </c>
      <c r="O14" s="67"/>
    </row>
    <row r="15" spans="3:19" ht="15" thickBot="1" x14ac:dyDescent="0.4">
      <c r="D15" s="1" t="s">
        <v>85</v>
      </c>
      <c r="E15" s="75">
        <v>0.2</v>
      </c>
      <c r="F15" s="75">
        <v>0.2</v>
      </c>
      <c r="G15" s="75">
        <v>0.3</v>
      </c>
      <c r="H15" s="75">
        <v>0.3</v>
      </c>
      <c r="M15" s="65"/>
      <c r="N15" s="67"/>
      <c r="O15" s="67"/>
    </row>
    <row r="16" spans="3:19" ht="15" thickBot="1" x14ac:dyDescent="0.4">
      <c r="D16" s="20" t="s">
        <v>83</v>
      </c>
      <c r="E16" s="21">
        <f t="shared" ref="E16:F16" si="1">E15*$F$33</f>
        <v>0</v>
      </c>
      <c r="F16" s="21">
        <f t="shared" si="1"/>
        <v>0</v>
      </c>
      <c r="G16" s="21">
        <f>G15*$F$33</f>
        <v>0</v>
      </c>
      <c r="H16" s="21">
        <f>H15*$F$33</f>
        <v>0</v>
      </c>
      <c r="M16" s="65" t="s">
        <v>457</v>
      </c>
      <c r="N16" s="66">
        <f>'LIQIDITY 2'!L11/100</f>
        <v>5.5E-2</v>
      </c>
      <c r="O16" s="73">
        <v>4.4999999999999998E-2</v>
      </c>
    </row>
    <row r="17" spans="3:22" ht="15" thickBot="1" x14ac:dyDescent="0.4">
      <c r="D17" s="22"/>
      <c r="E17" s="18"/>
      <c r="F17" s="18"/>
      <c r="G17" s="18"/>
      <c r="H17" s="18"/>
      <c r="M17" s="65" t="s">
        <v>458</v>
      </c>
      <c r="N17" s="66">
        <f>'LIQIDITY 2'!E10/100</f>
        <v>4.2160000000000003E-2</v>
      </c>
      <c r="O17" s="67"/>
    </row>
    <row r="18" spans="3:22" ht="15" thickBot="1" x14ac:dyDescent="0.4">
      <c r="C18" s="1" t="s">
        <v>422</v>
      </c>
      <c r="D18" s="28" t="s">
        <v>72</v>
      </c>
      <c r="E18" s="32" t="s">
        <v>75</v>
      </c>
      <c r="F18" s="5"/>
      <c r="M18" s="65"/>
      <c r="N18" s="67"/>
      <c r="O18" s="67"/>
    </row>
    <row r="19" spans="3:22" ht="15" thickBot="1" x14ac:dyDescent="0.4">
      <c r="D19" t="s">
        <v>86</v>
      </c>
      <c r="E19" s="75">
        <v>1</v>
      </c>
      <c r="F19" s="5"/>
      <c r="G19" s="5"/>
      <c r="M19" s="65"/>
      <c r="N19" s="67"/>
      <c r="O19" s="67"/>
    </row>
    <row r="20" spans="3:22" ht="15" thickBot="1" x14ac:dyDescent="0.4">
      <c r="D20" s="20" t="s">
        <v>84</v>
      </c>
      <c r="E20" s="27">
        <f>E19*G33</f>
        <v>0</v>
      </c>
      <c r="F20" s="5"/>
      <c r="G20" s="5"/>
      <c r="M20" s="65"/>
      <c r="N20" s="67"/>
      <c r="O20" s="67"/>
    </row>
    <row r="21" spans="3:22" ht="15" thickBot="1" x14ac:dyDescent="0.4">
      <c r="G21" s="5"/>
      <c r="M21" s="65" t="s">
        <v>459</v>
      </c>
      <c r="N21" s="66">
        <f>N13-N16</f>
        <v>-1.1111810915695693E-2</v>
      </c>
      <c r="O21" s="66">
        <f>O13-O16</f>
        <v>1.5214804293625719E-3</v>
      </c>
    </row>
    <row r="22" spans="3:22" ht="15" thickBot="1" x14ac:dyDescent="0.4">
      <c r="C22" s="1" t="s">
        <v>509</v>
      </c>
      <c r="D22" s="15" t="s">
        <v>58</v>
      </c>
      <c r="E22" s="16" t="s">
        <v>507</v>
      </c>
      <c r="F22" s="10" t="s">
        <v>59</v>
      </c>
      <c r="G22" s="11" t="s">
        <v>60</v>
      </c>
      <c r="M22" s="12" t="s">
        <v>460</v>
      </c>
      <c r="N22" s="68">
        <f>N13-N17</f>
        <v>1.7281890843043046E-3</v>
      </c>
      <c r="O22" s="66"/>
    </row>
    <row r="23" spans="3:22" x14ac:dyDescent="0.35">
      <c r="D23" s="65" t="s">
        <v>85</v>
      </c>
      <c r="E23" s="75">
        <v>0</v>
      </c>
      <c r="F23" s="5"/>
      <c r="G23" s="67"/>
      <c r="M23" s="9"/>
      <c r="N23" s="5"/>
      <c r="T23" s="9"/>
    </row>
    <row r="24" spans="3:22" ht="15" thickBot="1" x14ac:dyDescent="0.4">
      <c r="D24" s="12" t="s">
        <v>83</v>
      </c>
      <c r="E24" s="17">
        <f>E23*H33</f>
        <v>0</v>
      </c>
      <c r="F24" s="13"/>
      <c r="G24" s="14"/>
      <c r="Q24" s="5"/>
      <c r="R24" s="62"/>
      <c r="T24" s="9"/>
      <c r="V24" s="9"/>
    </row>
    <row r="25" spans="3:22" ht="15" thickBot="1" x14ac:dyDescent="0.4"/>
    <row r="26" spans="3:22" x14ac:dyDescent="0.35">
      <c r="C26" s="123" t="s">
        <v>772</v>
      </c>
      <c r="D26" s="161" t="s">
        <v>773</v>
      </c>
      <c r="E26" s="10" t="s">
        <v>771</v>
      </c>
      <c r="F26" s="11" t="s">
        <v>774</v>
      </c>
    </row>
    <row r="27" spans="3:22" ht="15" thickBot="1" x14ac:dyDescent="0.4">
      <c r="D27" s="12"/>
      <c r="E27" s="17">
        <v>0.6</v>
      </c>
      <c r="F27" s="162">
        <v>0.4</v>
      </c>
    </row>
    <row r="28" spans="3:22" ht="15" thickBot="1" x14ac:dyDescent="0.4"/>
    <row r="29" spans="3:22" ht="15" thickBot="1" x14ac:dyDescent="0.4">
      <c r="C29" t="s">
        <v>866</v>
      </c>
      <c r="D29" s="23" t="s">
        <v>867</v>
      </c>
      <c r="E29" s="32">
        <v>0.2</v>
      </c>
    </row>
    <row r="31" spans="3:22" ht="15" thickBot="1" x14ac:dyDescent="0.4"/>
    <row r="32" spans="3:22" x14ac:dyDescent="0.35">
      <c r="D32" s="15" t="s">
        <v>76</v>
      </c>
      <c r="E32" s="15" t="s">
        <v>62</v>
      </c>
      <c r="F32" s="16" t="s">
        <v>82</v>
      </c>
      <c r="G32" s="16" t="s">
        <v>72</v>
      </c>
      <c r="H32" s="16" t="s">
        <v>508</v>
      </c>
      <c r="I32" s="130" t="s">
        <v>773</v>
      </c>
      <c r="J32" s="130" t="s">
        <v>867</v>
      </c>
    </row>
    <row r="33" spans="3:12" ht="15" thickBot="1" x14ac:dyDescent="0.4">
      <c r="D33" s="12"/>
      <c r="E33" s="78">
        <v>1</v>
      </c>
      <c r="F33" s="79">
        <v>0</v>
      </c>
      <c r="G33" s="79">
        <v>0</v>
      </c>
      <c r="H33" s="79">
        <v>0</v>
      </c>
      <c r="I33" s="80">
        <v>0</v>
      </c>
      <c r="J33" s="80"/>
    </row>
    <row r="37" spans="3:12" x14ac:dyDescent="0.35">
      <c r="C37" s="60" t="s">
        <v>423</v>
      </c>
      <c r="D37" s="60" t="s">
        <v>61</v>
      </c>
    </row>
    <row r="38" spans="3:12" x14ac:dyDescent="0.35">
      <c r="E38" s="1" t="s">
        <v>414</v>
      </c>
      <c r="F38" t="s">
        <v>415</v>
      </c>
      <c r="G38" s="1" t="s">
        <v>416</v>
      </c>
      <c r="H38" t="s">
        <v>417</v>
      </c>
      <c r="I38" s="1" t="s">
        <v>433</v>
      </c>
      <c r="J38" s="1" t="s">
        <v>529</v>
      </c>
      <c r="K38" s="1" t="s">
        <v>752</v>
      </c>
    </row>
    <row r="39" spans="3:12" x14ac:dyDescent="0.35">
      <c r="E39" s="5">
        <v>0.05</v>
      </c>
      <c r="F39" s="5">
        <v>0.25</v>
      </c>
      <c r="G39" s="5">
        <v>0.25</v>
      </c>
      <c r="H39" s="5">
        <v>0.25</v>
      </c>
      <c r="I39" s="5">
        <v>0.1</v>
      </c>
      <c r="J39" s="5">
        <v>0</v>
      </c>
      <c r="K39" s="5">
        <v>0.1</v>
      </c>
      <c r="L39" s="5">
        <f>SUM(E39:K39)</f>
        <v>1</v>
      </c>
    </row>
    <row r="41" spans="3:12" x14ac:dyDescent="0.35">
      <c r="C41" s="60" t="s">
        <v>402</v>
      </c>
      <c r="D41" s="60" t="s">
        <v>10</v>
      </c>
    </row>
    <row r="42" spans="3:12" x14ac:dyDescent="0.35">
      <c r="C42" t="s">
        <v>424</v>
      </c>
      <c r="D42" t="s">
        <v>418</v>
      </c>
      <c r="E42" s="5">
        <v>0.5</v>
      </c>
    </row>
    <row r="43" spans="3:12" x14ac:dyDescent="0.35">
      <c r="C43" t="s">
        <v>425</v>
      </c>
      <c r="D43" t="s">
        <v>464</v>
      </c>
      <c r="E43" s="5">
        <v>0.25</v>
      </c>
      <c r="F43" s="5"/>
    </row>
    <row r="44" spans="3:12" x14ac:dyDescent="0.35">
      <c r="C44" t="s">
        <v>465</v>
      </c>
      <c r="D44" t="s">
        <v>466</v>
      </c>
      <c r="E44" s="5">
        <v>0.25</v>
      </c>
    </row>
    <row r="46" spans="3:12" x14ac:dyDescent="0.35">
      <c r="D46" s="1"/>
    </row>
    <row r="47" spans="3:12" x14ac:dyDescent="0.35">
      <c r="C47" s="60" t="s">
        <v>426</v>
      </c>
      <c r="D47" s="60" t="s">
        <v>66</v>
      </c>
    </row>
    <row r="48" spans="3:12" x14ac:dyDescent="0.35">
      <c r="E48" t="s">
        <v>399</v>
      </c>
      <c r="F48" t="s">
        <v>400</v>
      </c>
    </row>
    <row r="49" spans="3:8" x14ac:dyDescent="0.35">
      <c r="D49" t="s">
        <v>67</v>
      </c>
      <c r="E49" s="82">
        <v>-0.05</v>
      </c>
      <c r="F49">
        <v>-10</v>
      </c>
    </row>
    <row r="51" spans="3:8" x14ac:dyDescent="0.35">
      <c r="E51" s="1" t="s">
        <v>524</v>
      </c>
      <c r="F51" t="s">
        <v>525</v>
      </c>
      <c r="G51" t="s">
        <v>409</v>
      </c>
    </row>
    <row r="52" spans="3:8" x14ac:dyDescent="0.35">
      <c r="D52" s="1" t="s">
        <v>526</v>
      </c>
      <c r="E52" s="5">
        <v>0.25</v>
      </c>
      <c r="F52" s="5">
        <v>0.25</v>
      </c>
      <c r="G52" s="5">
        <v>0.5</v>
      </c>
    </row>
    <row r="54" spans="3:8" x14ac:dyDescent="0.35">
      <c r="C54" s="60" t="s">
        <v>428</v>
      </c>
      <c r="D54" s="60" t="s">
        <v>497</v>
      </c>
      <c r="F54" s="1">
        <v>1</v>
      </c>
      <c r="G54" s="1">
        <v>3</v>
      </c>
      <c r="H54" s="1">
        <v>6</v>
      </c>
    </row>
    <row r="55" spans="3:8" x14ac:dyDescent="0.35">
      <c r="C55" s="60" t="s">
        <v>429</v>
      </c>
      <c r="D55" t="s">
        <v>482</v>
      </c>
      <c r="E55" s="5">
        <v>0.5</v>
      </c>
      <c r="F55" s="5">
        <v>0.2</v>
      </c>
      <c r="G55" s="5">
        <v>0.4</v>
      </c>
      <c r="H55" s="5">
        <v>0.4</v>
      </c>
    </row>
    <row r="56" spans="3:8" x14ac:dyDescent="0.35">
      <c r="C56" t="s">
        <v>429</v>
      </c>
      <c r="D56" t="s">
        <v>430</v>
      </c>
      <c r="E56" s="5">
        <v>0.3</v>
      </c>
    </row>
    <row r="57" spans="3:8" x14ac:dyDescent="0.35">
      <c r="C57" t="s">
        <v>431</v>
      </c>
      <c r="D57" t="s">
        <v>432</v>
      </c>
      <c r="E57" s="5">
        <v>0.2</v>
      </c>
    </row>
    <row r="59" spans="3:8" x14ac:dyDescent="0.35">
      <c r="C59" s="60" t="s">
        <v>504</v>
      </c>
      <c r="D59" s="60" t="s">
        <v>499</v>
      </c>
    </row>
    <row r="60" spans="3:8" x14ac:dyDescent="0.35">
      <c r="D60" t="s">
        <v>501</v>
      </c>
      <c r="F60" s="5">
        <v>0.25</v>
      </c>
      <c r="G60" t="s">
        <v>532</v>
      </c>
    </row>
    <row r="61" spans="3:8" x14ac:dyDescent="0.35">
      <c r="D61" t="s">
        <v>502</v>
      </c>
      <c r="F61" s="5">
        <v>0.25</v>
      </c>
    </row>
    <row r="62" spans="3:8" x14ac:dyDescent="0.35">
      <c r="D62" t="s">
        <v>503</v>
      </c>
      <c r="F62" s="5">
        <v>0.25</v>
      </c>
    </row>
    <row r="63" spans="3:8" x14ac:dyDescent="0.35">
      <c r="D63" t="s">
        <v>545</v>
      </c>
      <c r="F63" s="5">
        <v>0.25</v>
      </c>
    </row>
    <row r="64" spans="3:8" x14ac:dyDescent="0.35">
      <c r="F64" s="5"/>
    </row>
    <row r="66" spans="3:9" x14ac:dyDescent="0.35">
      <c r="D66" s="1"/>
      <c r="E66" s="1"/>
      <c r="F66" s="1"/>
      <c r="G66" s="1"/>
      <c r="H66" s="1"/>
      <c r="I66" s="1"/>
    </row>
    <row r="67" spans="3:9" x14ac:dyDescent="0.35">
      <c r="D67" s="5"/>
      <c r="E67" s="5"/>
      <c r="F67" s="5"/>
      <c r="G67" s="5"/>
      <c r="H67" s="5"/>
      <c r="I67" s="5"/>
    </row>
    <row r="68" spans="3:9" x14ac:dyDescent="0.35">
      <c r="C68" s="60" t="s">
        <v>498</v>
      </c>
      <c r="D68" s="60" t="s">
        <v>427</v>
      </c>
    </row>
    <row r="70" spans="3:9" x14ac:dyDescent="0.35">
      <c r="C70" s="123" t="s">
        <v>784</v>
      </c>
      <c r="D70" s="6">
        <v>0.3</v>
      </c>
    </row>
    <row r="71" spans="3:9" x14ac:dyDescent="0.35">
      <c r="C71" s="19" t="s">
        <v>551</v>
      </c>
      <c r="D71" s="18">
        <v>0.33329999999999999</v>
      </c>
    </row>
    <row r="72" spans="3:9" x14ac:dyDescent="0.35">
      <c r="C72" s="19" t="s">
        <v>553</v>
      </c>
      <c r="D72" s="18">
        <v>0.33329999999999999</v>
      </c>
    </row>
    <row r="73" spans="3:9" x14ac:dyDescent="0.35">
      <c r="C73" s="19" t="s">
        <v>554</v>
      </c>
      <c r="D73" s="18">
        <v>0.33329999999999999</v>
      </c>
    </row>
    <row r="75" spans="3:9" x14ac:dyDescent="0.35">
      <c r="C75" s="123" t="s">
        <v>552</v>
      </c>
      <c r="D75" s="5">
        <v>0.2</v>
      </c>
    </row>
    <row r="76" spans="3:9" x14ac:dyDescent="0.35">
      <c r="G76" s="1"/>
      <c r="H76" s="1"/>
    </row>
    <row r="77" spans="3:9" x14ac:dyDescent="0.35">
      <c r="C77" s="123" t="s">
        <v>549</v>
      </c>
      <c r="D77" s="5">
        <v>0.4</v>
      </c>
    </row>
    <row r="79" spans="3:9" x14ac:dyDescent="0.35">
      <c r="C79" s="123" t="s">
        <v>555</v>
      </c>
      <c r="D79" s="5">
        <v>0.1</v>
      </c>
    </row>
    <row r="81" spans="3:8" x14ac:dyDescent="0.35">
      <c r="C81" t="s">
        <v>822</v>
      </c>
      <c r="D81" s="5">
        <f>D70+D75+D77+D79</f>
        <v>1</v>
      </c>
      <c r="G81" s="1"/>
      <c r="H81" s="1"/>
    </row>
    <row r="85" spans="3:8" x14ac:dyDescent="0.35">
      <c r="G85" s="1"/>
      <c r="H85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6328125" customWidth="1"/>
    <col min="3" max="3" width="20.6328125" customWidth="1"/>
    <col min="4" max="4" width="12.6328125" customWidth="1"/>
    <col min="5" max="5" width="14.54296875" customWidth="1"/>
    <col min="6" max="6" width="10.54296875" customWidth="1"/>
    <col min="7" max="7" width="12" customWidth="1"/>
    <col min="8" max="8" width="26.90625" bestFit="1" customWidth="1"/>
    <col min="9" max="9" width="20.08984375" customWidth="1"/>
    <col min="12" max="12" width="13.90625" customWidth="1"/>
    <col min="13" max="13" width="14.36328125" customWidth="1"/>
    <col min="14" max="14" width="14.6328125" customWidth="1"/>
    <col min="15" max="15" width="14.453125" customWidth="1"/>
    <col min="16" max="16" width="12" customWidth="1"/>
    <col min="17" max="17" width="15.08984375" customWidth="1"/>
  </cols>
  <sheetData>
    <row r="6" spans="3:9" x14ac:dyDescent="0.35">
      <c r="C6" s="1" t="s">
        <v>893</v>
      </c>
    </row>
    <row r="7" spans="3:9" ht="15" thickBot="1" x14ac:dyDescent="0.4">
      <c r="D7" t="s">
        <v>894</v>
      </c>
      <c r="H7" s="1" t="s">
        <v>909</v>
      </c>
    </row>
    <row r="8" spans="3:9" ht="15" thickBot="1" x14ac:dyDescent="0.4">
      <c r="C8" s="71" t="s">
        <v>6</v>
      </c>
      <c r="D8" s="10">
        <f>'Asset class'!S3</f>
        <v>7</v>
      </c>
      <c r="E8" s="11">
        <f t="shared" ref="E8:E17" si="0">D8</f>
        <v>7</v>
      </c>
    </row>
    <row r="9" spans="3:9" x14ac:dyDescent="0.35">
      <c r="C9" s="65" t="s">
        <v>1</v>
      </c>
      <c r="D9">
        <f>'Asset class'!S4</f>
        <v>2</v>
      </c>
      <c r="E9" s="67">
        <f t="shared" si="0"/>
        <v>2</v>
      </c>
      <c r="H9" s="71" t="s">
        <v>910</v>
      </c>
      <c r="I9" s="182">
        <f>Timing!L22</f>
        <v>0.84615384615384615</v>
      </c>
    </row>
    <row r="10" spans="3:9" x14ac:dyDescent="0.35">
      <c r="C10" s="65" t="s">
        <v>895</v>
      </c>
      <c r="D10">
        <f>'Asset class'!S5</f>
        <v>5</v>
      </c>
      <c r="E10" s="67">
        <f t="shared" si="0"/>
        <v>5</v>
      </c>
      <c r="H10" s="65" t="s">
        <v>911</v>
      </c>
      <c r="I10" s="66">
        <f>Timing!M22</f>
        <v>0.84615384615384615</v>
      </c>
    </row>
    <row r="11" spans="3:9" ht="15" thickBot="1" x14ac:dyDescent="0.4">
      <c r="C11" s="65" t="s">
        <v>896</v>
      </c>
      <c r="D11">
        <f>'Asset class'!S6</f>
        <v>9</v>
      </c>
      <c r="E11" s="67">
        <f t="shared" si="0"/>
        <v>9</v>
      </c>
      <c r="H11" s="12" t="s">
        <v>912</v>
      </c>
      <c r="I11" s="68">
        <f>Timing!N22</f>
        <v>0.92307692307692313</v>
      </c>
    </row>
    <row r="12" spans="3:9" x14ac:dyDescent="0.35">
      <c r="C12" s="65" t="s">
        <v>51</v>
      </c>
      <c r="D12">
        <f>'Asset class'!S7</f>
        <v>1</v>
      </c>
      <c r="E12" s="67">
        <f t="shared" si="0"/>
        <v>1</v>
      </c>
    </row>
    <row r="13" spans="3:9" x14ac:dyDescent="0.35">
      <c r="C13" s="65" t="s">
        <v>897</v>
      </c>
      <c r="D13">
        <f>'Asset class'!S8</f>
        <v>6</v>
      </c>
      <c r="E13" s="67">
        <f t="shared" si="0"/>
        <v>6</v>
      </c>
    </row>
    <row r="14" spans="3:9" ht="15" thickBot="1" x14ac:dyDescent="0.4">
      <c r="C14" s="12" t="s">
        <v>461</v>
      </c>
      <c r="D14">
        <f>'Asset class'!S9</f>
        <v>8</v>
      </c>
      <c r="E14" s="14">
        <f t="shared" si="0"/>
        <v>8</v>
      </c>
    </row>
    <row r="15" spans="3:9" ht="15" thickBot="1" x14ac:dyDescent="0.4">
      <c r="C15" s="155" t="s">
        <v>898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89" t="s">
        <v>542</v>
      </c>
      <c r="D16">
        <f>'Asset class'!S11</f>
        <v>4</v>
      </c>
      <c r="E16" s="14">
        <f t="shared" si="0"/>
        <v>4</v>
      </c>
    </row>
    <row r="17" spans="2:15" ht="15" thickBot="1" x14ac:dyDescent="0.4">
      <c r="C17" s="159" t="s">
        <v>46</v>
      </c>
      <c r="D17">
        <f>'Asset class'!S12</f>
        <v>4</v>
      </c>
      <c r="E17" s="14">
        <f t="shared" si="0"/>
        <v>4</v>
      </c>
    </row>
    <row r="20" spans="2:15" x14ac:dyDescent="0.35">
      <c r="C20" s="1" t="s">
        <v>899</v>
      </c>
    </row>
    <row r="22" spans="2:15" ht="15" thickBot="1" x14ac:dyDescent="0.4">
      <c r="C22" s="1" t="s">
        <v>900</v>
      </c>
      <c r="D22" s="1"/>
      <c r="E22" s="1" t="s">
        <v>901</v>
      </c>
    </row>
    <row r="23" spans="2:15" x14ac:dyDescent="0.35">
      <c r="B23" s="71" t="s">
        <v>1</v>
      </c>
      <c r="C23" s="181">
        <f>'Momnetum ranking'!H22</f>
        <v>0.47420634920634919</v>
      </c>
      <c r="D23" s="181"/>
      <c r="E23" s="182">
        <f>'Momnetum ranking'!I22</f>
        <v>0.18650793650793651</v>
      </c>
    </row>
    <row r="24" spans="2:15" x14ac:dyDescent="0.35">
      <c r="B24" s="65" t="s">
        <v>51</v>
      </c>
      <c r="C24" s="9">
        <f>'Momnetum ranking'!H10</f>
        <v>0.41176470588235292</v>
      </c>
      <c r="D24" s="9"/>
      <c r="E24" s="66">
        <f>'Momnetum ranking'!I10</f>
        <v>0.46078431372549017</v>
      </c>
    </row>
    <row r="25" spans="2:15" x14ac:dyDescent="0.35">
      <c r="B25" s="65" t="s">
        <v>902</v>
      </c>
      <c r="C25" s="9">
        <f>'Momnetum ranking'!H23</f>
        <v>0.25490196078431371</v>
      </c>
      <c r="D25" s="9"/>
      <c r="E25" s="66">
        <f>'Momnetum ranking'!I23</f>
        <v>0.39215686274509803</v>
      </c>
    </row>
    <row r="26" spans="2:15" x14ac:dyDescent="0.35">
      <c r="B26" s="65" t="s">
        <v>46</v>
      </c>
      <c r="C26" s="9">
        <f>'Momnetum ranking'!H21</f>
        <v>0.49315068493150682</v>
      </c>
      <c r="D26" s="9"/>
      <c r="E26" s="66">
        <f>'Momnetum ranking'!I21</f>
        <v>0.46118721461187212</v>
      </c>
    </row>
    <row r="27" spans="2:15" ht="15" thickBot="1" x14ac:dyDescent="0.4">
      <c r="B27" s="12" t="s">
        <v>542</v>
      </c>
      <c r="C27" s="183">
        <f>'Momnetum ranking'!H18</f>
        <v>0.33462432223082883</v>
      </c>
      <c r="D27" s="183"/>
      <c r="E27" s="68">
        <f>'Momnetum ranking'!I18</f>
        <v>0.42215336948102244</v>
      </c>
    </row>
    <row r="28" spans="2:15" x14ac:dyDescent="0.35">
      <c r="B28" s="71" t="s">
        <v>6</v>
      </c>
      <c r="C28" s="181">
        <f>'Momnetum ranking'!H19</f>
        <v>0.16527688689330769</v>
      </c>
      <c r="D28" s="181"/>
      <c r="E28" s="182">
        <f>'Momnetum ranking'!I19</f>
        <v>0.25614710284370323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84" t="s">
        <v>903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65"/>
      <c r="E33" t="s">
        <v>79</v>
      </c>
      <c r="F33" t="s">
        <v>72</v>
      </c>
      <c r="G33" s="81" t="s">
        <v>906</v>
      </c>
      <c r="H33" t="s">
        <v>4</v>
      </c>
      <c r="K33" t="s">
        <v>79</v>
      </c>
      <c r="L33" t="s">
        <v>72</v>
      </c>
      <c r="M33" s="81" t="s">
        <v>904</v>
      </c>
      <c r="N33" t="s">
        <v>4</v>
      </c>
      <c r="O33" s="185" t="s">
        <v>398</v>
      </c>
    </row>
    <row r="34" spans="3:15" x14ac:dyDescent="0.35">
      <c r="C34" s="65"/>
      <c r="O34" s="67"/>
    </row>
    <row r="35" spans="3:15" x14ac:dyDescent="0.35">
      <c r="C35" s="65" t="s">
        <v>231</v>
      </c>
      <c r="E35" s="9">
        <f>'Momnetum ranking'!J18</f>
        <v>-8.7529047250193615E-2</v>
      </c>
      <c r="F35" s="5">
        <f>'Momnetum ranking'!K18</f>
        <v>0.61242138364779897</v>
      </c>
      <c r="G35" s="9">
        <f>'Momnetum ranking'!Q18</f>
        <v>0.99820816999999995</v>
      </c>
      <c r="H35" s="3">
        <f>'Momnetum ranking'!O18</f>
        <v>6.9257499999999999</v>
      </c>
      <c r="K35">
        <f>_xlfn.RANK.EQ(E35,$E$35:$E$39)</f>
        <v>4</v>
      </c>
      <c r="L35">
        <f>_xlfn.RANK.EQ(F35,$F$35:$F$39)</f>
        <v>4</v>
      </c>
      <c r="M35">
        <f>_xlfn.RANK.EQ(G35,$G$35:$G$39)</f>
        <v>1</v>
      </c>
      <c r="N35">
        <f>_xlfn.RANK.EQ(H35,$H$35:$H$39)</f>
        <v>4</v>
      </c>
      <c r="O35" s="67">
        <f>MEDIAN(K35:N35)</f>
        <v>4</v>
      </c>
    </row>
    <row r="36" spans="3:15" x14ac:dyDescent="0.35">
      <c r="C36" s="65" t="s">
        <v>755</v>
      </c>
      <c r="E36" s="9">
        <f>'Momnetum ranking'!J19</f>
        <v>-9.0870215950395544E-2</v>
      </c>
      <c r="F36" s="5">
        <f>'Momnetum ranking'!K19</f>
        <v>0.32702464788732399</v>
      </c>
      <c r="G36" s="9">
        <f>'Momnetum ranking'!Q19</f>
        <v>0.96055690000000005</v>
      </c>
      <c r="H36" s="3">
        <f>'Momnetum ranking'!O19</f>
        <v>4.5764564999999999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5</v>
      </c>
      <c r="N36">
        <f t="shared" ref="N36:N39" si="4">_xlfn.RANK.EQ(H36,$H$35:$H$39)</f>
        <v>5</v>
      </c>
      <c r="O36" s="67">
        <f t="shared" ref="O36:O39" si="5">MEDIAN(K36:N36)</f>
        <v>5</v>
      </c>
    </row>
    <row r="37" spans="3:15" x14ac:dyDescent="0.35">
      <c r="C37" s="65" t="s">
        <v>787</v>
      </c>
      <c r="E37" s="9">
        <f>'Momnetum ranking'!J20</f>
        <v>0.14908100748808711</v>
      </c>
      <c r="F37" s="5">
        <f>'Momnetum ranking'!K20</f>
        <v>0.67253044654939098</v>
      </c>
      <c r="G37" s="9">
        <f>'Momnetum ranking'!Q20</f>
        <v>0.99672145000000001</v>
      </c>
      <c r="H37" s="3">
        <f>'Momnetum ranking'!O20</f>
        <v>11.331557999999999</v>
      </c>
      <c r="K37">
        <f t="shared" si="1"/>
        <v>2</v>
      </c>
      <c r="L37">
        <f t="shared" si="2"/>
        <v>3</v>
      </c>
      <c r="M37">
        <f t="shared" si="3"/>
        <v>2</v>
      </c>
      <c r="N37">
        <f t="shared" si="4"/>
        <v>3</v>
      </c>
      <c r="O37" s="67">
        <f t="shared" si="5"/>
        <v>2.5</v>
      </c>
    </row>
    <row r="38" spans="3:15" x14ac:dyDescent="0.35">
      <c r="C38" s="65" t="s">
        <v>823</v>
      </c>
      <c r="E38" s="9">
        <f>'Momnetum ranking'!J21</f>
        <v>3.1963470319634701E-2</v>
      </c>
      <c r="F38" s="5">
        <f>'Momnetum ranking'!K21</f>
        <v>0.69911504424778803</v>
      </c>
      <c r="G38" s="9">
        <f>'Momnetum ranking'!Q21</f>
        <v>0.99325240000000004</v>
      </c>
      <c r="H38" s="3">
        <f>'Momnetum ranking'!O21</f>
        <v>13.904451999999999</v>
      </c>
      <c r="K38">
        <f t="shared" si="1"/>
        <v>3</v>
      </c>
      <c r="L38">
        <f t="shared" si="2"/>
        <v>2</v>
      </c>
      <c r="M38">
        <f t="shared" si="3"/>
        <v>4</v>
      </c>
      <c r="N38">
        <f t="shared" si="4"/>
        <v>1</v>
      </c>
      <c r="O38" s="67">
        <f t="shared" si="5"/>
        <v>2.5</v>
      </c>
    </row>
    <row r="39" spans="3:15" ht="15" thickBot="1" x14ac:dyDescent="0.4">
      <c r="C39" s="12" t="s">
        <v>123</v>
      </c>
      <c r="D39" s="13"/>
      <c r="E39" s="183">
        <f>'Momnetum ranking'!J22</f>
        <v>0.28769841269841268</v>
      </c>
      <c r="F39" s="17">
        <f>'Momnetum ranking'!K22</f>
        <v>0.72962226640159</v>
      </c>
      <c r="G39" s="183">
        <f>'Momnetum ranking'!Q22</f>
        <v>0.99630487000000001</v>
      </c>
      <c r="H39" s="186">
        <f>'Momnetum ranking'!O22</f>
        <v>12.632334</v>
      </c>
      <c r="I39" s="13"/>
      <c r="J39" s="13"/>
      <c r="K39" s="13">
        <f t="shared" si="1"/>
        <v>1</v>
      </c>
      <c r="L39" s="13">
        <f t="shared" si="2"/>
        <v>1</v>
      </c>
      <c r="M39" s="13">
        <f t="shared" si="3"/>
        <v>3</v>
      </c>
      <c r="N39" s="13">
        <f t="shared" si="4"/>
        <v>2</v>
      </c>
      <c r="O39" s="14">
        <f t="shared" si="5"/>
        <v>1.5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36328125" customWidth="1"/>
    <col min="3" max="3" width="20.90625" customWidth="1"/>
    <col min="4" max="4" width="0.36328125" customWidth="1"/>
    <col min="5" max="5" width="18" customWidth="1"/>
    <col min="6" max="6" width="13.453125" customWidth="1"/>
    <col min="7" max="7" width="15.36328125" customWidth="1"/>
    <col min="8" max="8" width="16.36328125" customWidth="1"/>
    <col min="9" max="9" width="7.36328125" customWidth="1"/>
    <col min="10" max="10" width="6.54296875" customWidth="1"/>
    <col min="11" max="11" width="18.90625" customWidth="1"/>
    <col min="12" max="12" width="13.36328125" customWidth="1"/>
    <col min="13" max="13" width="13" customWidth="1"/>
    <col min="14" max="14" width="13.453125" customWidth="1"/>
    <col min="15" max="15" width="5" customWidth="1"/>
    <col min="16" max="16" width="9.6328125" customWidth="1"/>
  </cols>
  <sheetData>
    <row r="1" spans="1:19" ht="15" thickBot="1" x14ac:dyDescent="0.4">
      <c r="C1" t="s">
        <v>0</v>
      </c>
      <c r="E1" t="s">
        <v>905</v>
      </c>
      <c r="F1" t="s">
        <v>4</v>
      </c>
      <c r="G1" t="s">
        <v>5</v>
      </c>
      <c r="H1" t="s">
        <v>9</v>
      </c>
      <c r="K1" t="s">
        <v>906</v>
      </c>
      <c r="L1" t="s">
        <v>4</v>
      </c>
      <c r="M1" t="s">
        <v>73</v>
      </c>
      <c r="N1" t="s">
        <v>74</v>
      </c>
      <c r="P1" s="1" t="s">
        <v>87</v>
      </c>
      <c r="Q1" t="s">
        <v>88</v>
      </c>
      <c r="S1" t="s">
        <v>907</v>
      </c>
    </row>
    <row r="2" spans="1:19" s="30" customFormat="1" ht="15" thickBot="1" x14ac:dyDescent="0.4">
      <c r="A2" s="29"/>
      <c r="K2" s="187">
        <v>0.33</v>
      </c>
      <c r="L2" s="187">
        <v>0.33</v>
      </c>
      <c r="M2" s="187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4.4663190000000004</v>
      </c>
      <c r="F3" s="3" cm="1">
        <f t="array" ref="F3">_xll.FDS(C3,"FG_TOTAL_RETURNC(0,-3AM)")</f>
        <v>4.5764564999999999</v>
      </c>
      <c r="G3" s="3" cm="1">
        <f t="array" ref="G3">_xll.FDS(C3,"FG_TOTAL_RETURNC(0,-6AM)")</f>
        <v>4.0655970000000003</v>
      </c>
      <c r="H3" s="9" cm="1">
        <f t="array" ref="H3">_xll.FDS(C3,"P_PRICE(0)/P_PRICE_HIGH_PR(0,,,USD,,,""PRICE"",""INTRA"",""52W"")")</f>
        <v>0.96055690000000005</v>
      </c>
      <c r="K3" s="4">
        <f>_xlfn.RANK.EQ(H3,H$3:H$12)</f>
        <v>7</v>
      </c>
      <c r="L3" s="4">
        <f>_xlfn.RANK.EQ(F3,F$3:F$12)</f>
        <v>7</v>
      </c>
      <c r="M3" s="4">
        <f>_xlfn.RANK.EQ(G3,G$3:G$12)</f>
        <v>7</v>
      </c>
      <c r="N3" s="4"/>
      <c r="P3" s="3">
        <f t="shared" ref="P3:P12" si="0">SUMPRODUCT($K$2:$M$2,K3:M3)</f>
        <v>6.93</v>
      </c>
      <c r="Q3">
        <f t="shared" ref="Q3:Q12" si="1">COUNTIF(K3:N3,"&gt;70")</f>
        <v>0</v>
      </c>
      <c r="S3" s="3">
        <f>11-_xlfn.RANK.EQ(P3,$P$3:$P$12)</f>
        <v>7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3.6310315000000002</v>
      </c>
      <c r="F4" s="3" cm="1">
        <f t="array" ref="F4">_xll.FDS(C4,"FG_TOTAL_RETURNC(0,-3AM)")</f>
        <v>12.632334</v>
      </c>
      <c r="G4" s="3" cm="1">
        <f t="array" ref="G4">_xll.FDS(C4,"FG_TOTAL_RETURNC(0,-6AM)")</f>
        <v>14.412402999999999</v>
      </c>
      <c r="H4" s="9" cm="1">
        <f t="array" ref="H4">_xll.FDS(C4,"P_PRICE(0)/P_PRICE_HIGH_PR(0,,,USD,,,""PRICE"",""INTRA"",""52W"")")</f>
        <v>0.99630487000000001</v>
      </c>
      <c r="I4" s="188"/>
      <c r="K4" s="4">
        <f t="shared" ref="K4:K12" si="3">_xlfn.RANK.EQ(H4,H$3:H$12)</f>
        <v>3</v>
      </c>
      <c r="L4" s="4">
        <f t="shared" ref="L4:M12" si="4">_xlfn.RANK.EQ(F4,F$3:F$12)</f>
        <v>3</v>
      </c>
      <c r="M4" s="4">
        <f t="shared" si="4"/>
        <v>2</v>
      </c>
      <c r="N4" s="4"/>
      <c r="P4" s="3">
        <f t="shared" si="0"/>
        <v>2.64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895</v>
      </c>
      <c r="C5" t="str">
        <f t="shared" si="2"/>
        <v>GLD</v>
      </c>
      <c r="E5" s="3" cm="1">
        <f t="array" ref="E5">_xll.FDS(C5,"FG_TOTAL_RETURNC(0,-1AM)")</f>
        <v>3.9234399999999998</v>
      </c>
      <c r="F5" s="3" cm="1">
        <f t="array" ref="F5">_xll.FDS(C5,"FG_TOTAL_RETURNC(0,-3AM)")</f>
        <v>4.338336</v>
      </c>
      <c r="G5" s="3" cm="1">
        <f t="array" ref="G5">_xll.FDS(C5,"FG_TOTAL_RETURNC(0,-6AM)")</f>
        <v>8.8279359999999993</v>
      </c>
      <c r="H5" s="9" cm="1">
        <f t="array" ref="H5">_xll.FDS(C5,"P_PRICE(0)/P_PRICE_HIGH_PR(0,,,USD,,,""PRICE"",""INTRA"",""52W"")")</f>
        <v>0.9983706</v>
      </c>
      <c r="I5" s="188"/>
      <c r="K5" s="4">
        <f t="shared" si="3"/>
        <v>1</v>
      </c>
      <c r="L5" s="4">
        <f t="shared" si="4"/>
        <v>8</v>
      </c>
      <c r="M5" s="4">
        <f t="shared" si="4"/>
        <v>5</v>
      </c>
      <c r="N5" s="4"/>
      <c r="P5" s="3">
        <f t="shared" si="0"/>
        <v>4.62</v>
      </c>
      <c r="Q5">
        <f t="shared" si="1"/>
        <v>0</v>
      </c>
      <c r="S5" s="3">
        <f t="shared" si="5"/>
        <v>5</v>
      </c>
    </row>
    <row r="6" spans="1:19" x14ac:dyDescent="0.35">
      <c r="A6" t="s">
        <v>896</v>
      </c>
      <c r="C6" t="str">
        <f t="shared" si="2"/>
        <v>UUP</v>
      </c>
      <c r="E6" s="3" cm="1">
        <f t="array" ref="E6">_xll.FDS(C6,"FG_TOTAL_RETURNC(0,-1AM)")</f>
        <v>0.35791397000000003</v>
      </c>
      <c r="F6" s="3" cm="1">
        <f t="array" ref="F6">_xll.FDS(C6,"FG_TOTAL_RETURNC(0,-3AM)")</f>
        <v>1.7054914999999999</v>
      </c>
      <c r="G6" s="3" cm="1">
        <f t="array" ref="G6">_xll.FDS(C6,"FG_TOTAL_RETURNC(0,-6AM)")</f>
        <v>2.6151537999999999</v>
      </c>
      <c r="H6" s="9" cm="1">
        <f t="array" ref="H6">_xll.FDS(C6,"P_PRICE(0)/P_PRICE_HIGH_PR(0,,,USD,,,""PRICE"",""INTRA"",""52W"")")</f>
        <v>0.92955410000000005</v>
      </c>
      <c r="I6" s="188"/>
      <c r="K6" s="4">
        <f t="shared" si="3"/>
        <v>8</v>
      </c>
      <c r="L6" s="4">
        <f t="shared" si="4"/>
        <v>10</v>
      </c>
      <c r="M6" s="4">
        <f t="shared" si="4"/>
        <v>8</v>
      </c>
      <c r="N6" s="4"/>
      <c r="P6" s="3">
        <f t="shared" si="0"/>
        <v>8.58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3.498745</v>
      </c>
      <c r="F7" s="3" cm="1">
        <f t="array" ref="F7">_xll.FDS(C7,"FG_TOTAL_RETURNC(0,-3AM)")</f>
        <v>15.224398000000001</v>
      </c>
      <c r="G7" s="3" cm="1">
        <f t="array" ref="G7">_xll.FDS(C7,"FG_TOTAL_RETURNC(0,-6AM)")</f>
        <v>18.058754</v>
      </c>
      <c r="H7" s="9" cm="1">
        <f t="array" ref="H7">_xll.FDS(C7,"P_PRICE(0)/P_PRICE_HIGH_PR(0,,,USD,,,""PRICE"",""INTRA"",""52W"")")</f>
        <v>0.99426749999999997</v>
      </c>
      <c r="I7" s="1"/>
      <c r="K7" s="4">
        <f t="shared" si="3"/>
        <v>5</v>
      </c>
      <c r="L7" s="4">
        <f t="shared" si="4"/>
        <v>1</v>
      </c>
      <c r="M7" s="4">
        <f t="shared" si="4"/>
        <v>1</v>
      </c>
      <c r="N7" s="4"/>
      <c r="P7" s="3">
        <f t="shared" si="0"/>
        <v>2.31</v>
      </c>
      <c r="Q7">
        <f t="shared" si="1"/>
        <v>0</v>
      </c>
      <c r="S7" s="3">
        <f t="shared" si="5"/>
        <v>1</v>
      </c>
    </row>
    <row r="8" spans="1:19" x14ac:dyDescent="0.35">
      <c r="A8" t="s">
        <v>897</v>
      </c>
      <c r="C8" t="str">
        <f t="shared" si="2"/>
        <v>DBA</v>
      </c>
      <c r="E8" s="3" cm="1">
        <f t="array" ref="E8">_xll.FDS(C8,"FG_TOTAL_RETURNC(0,-1AM)")</f>
        <v>3.456223</v>
      </c>
      <c r="F8" s="3" cm="1">
        <f t="array" ref="F8">_xll.FDS(C8,"FG_TOTAL_RETURNC(0,-3AM)")</f>
        <v>6.8052409999999997</v>
      </c>
      <c r="G8" s="3" cm="1">
        <f t="array" ref="G8">_xll.FDS(C8,"FG_TOTAL_RETURNC(0,-6AM)")</f>
        <v>7.7859999999999996</v>
      </c>
      <c r="H8" s="9" cm="1">
        <f t="array" ref="H8">_xll.FDS(C8,"P_PRICE(0)/P_PRICE_HIGH_PR(0,,,USD,,,""PRICE"",""INTRA"",""52W"")")</f>
        <v>0.99556549999999999</v>
      </c>
      <c r="I8" s="1"/>
      <c r="K8" s="4">
        <f t="shared" si="3"/>
        <v>4</v>
      </c>
      <c r="L8" s="4">
        <f t="shared" si="4"/>
        <v>6</v>
      </c>
      <c r="M8" s="4">
        <f t="shared" si="4"/>
        <v>6</v>
      </c>
      <c r="N8" s="4"/>
      <c r="P8" s="3">
        <f t="shared" si="0"/>
        <v>5.2799999999999994</v>
      </c>
      <c r="Q8">
        <f t="shared" si="1"/>
        <v>0</v>
      </c>
      <c r="S8" s="3">
        <f t="shared" si="5"/>
        <v>6</v>
      </c>
    </row>
    <row r="9" spans="1:19" x14ac:dyDescent="0.35">
      <c r="A9" t="s">
        <v>908</v>
      </c>
      <c r="C9" t="str">
        <f t="shared" si="2"/>
        <v>USO</v>
      </c>
      <c r="E9" s="3" cm="1">
        <f t="array" ref="E9">_xll.FDS(C9,"FG_TOTAL_RETURNC(0,-1AM)")</f>
        <v>9.6282010000000007</v>
      </c>
      <c r="F9" s="3" cm="1">
        <f t="array" ref="F9">_xll.FDS(C9,"FG_TOTAL_RETURNC(0,-3AM)")</f>
        <v>8.0911399999999993</v>
      </c>
      <c r="G9" s="3" cm="1">
        <f t="array" ref="G9">_xll.FDS(C9,"FG_TOTAL_RETURNC(0,-6AM)")</f>
        <v>-3.7831484999999998</v>
      </c>
      <c r="H9" s="9" cm="1">
        <f t="array" ref="H9">_xll.FDS(C9,"P_PRICE(0)/P_PRICE_HIGH_PR(0,,,USD,,,""PRICE"",""INTRA"",""52W"")")</f>
        <v>0.88858205000000001</v>
      </c>
      <c r="I9" s="1"/>
      <c r="K9" s="4">
        <f t="shared" si="3"/>
        <v>9</v>
      </c>
      <c r="L9" s="4">
        <f t="shared" si="4"/>
        <v>4</v>
      </c>
      <c r="M9" s="4">
        <f t="shared" si="4"/>
        <v>10</v>
      </c>
      <c r="N9" s="4"/>
      <c r="P9" s="3">
        <f t="shared" si="0"/>
        <v>7.59</v>
      </c>
      <c r="Q9">
        <f t="shared" si="1"/>
        <v>0</v>
      </c>
      <c r="S9" s="3">
        <f t="shared" si="5"/>
        <v>8</v>
      </c>
    </row>
    <row r="10" spans="1:19" x14ac:dyDescent="0.35">
      <c r="A10" t="s">
        <v>898</v>
      </c>
      <c r="C10" t="str">
        <f t="shared" si="2"/>
        <v>TLT</v>
      </c>
      <c r="E10" s="3" cm="1">
        <f t="array" ref="E10">_xll.FDS(C10,"FG_TOTAL_RETURNC(0,-1AM)")</f>
        <v>-1.7549216999999999</v>
      </c>
      <c r="F10" s="3" cm="1">
        <f t="array" ref="F10">_xll.FDS(C10,"FG_TOTAL_RETURNC(0,-3AM)")</f>
        <v>2.5523543000000002</v>
      </c>
      <c r="G10" s="3" cm="1">
        <f t="array" ref="G10">_xll.FDS(C10,"FG_TOTAL_RETURNC(0,-6AM)")</f>
        <v>1.1095405</v>
      </c>
      <c r="H10" s="9" cm="1">
        <f t="array" ref="H10">_xll.FDS(C10,"P_PRICE(0)/P_PRICE_HIGH_PR(0,,,USD,,,""PRICE"",""INTRA"",""52W"")")</f>
        <v>0.86241979999999996</v>
      </c>
      <c r="K10" s="4">
        <f t="shared" si="3"/>
        <v>10</v>
      </c>
      <c r="L10" s="4">
        <f t="shared" si="4"/>
        <v>9</v>
      </c>
      <c r="M10" s="4">
        <f t="shared" si="4"/>
        <v>9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542</v>
      </c>
      <c r="C11" t="str">
        <f t="shared" si="2"/>
        <v>VGK</v>
      </c>
      <c r="E11" s="3" cm="1">
        <f t="array" ref="E11">_xll.FDS(C11,"FG_TOTAL_RETURNC(0,-1AM)")</f>
        <v>3.1083226000000002</v>
      </c>
      <c r="F11" s="3" cm="1">
        <f t="array" ref="F11">_xll.FDS(C11,"FG_TOTAL_RETURNC(0,-3AM)")</f>
        <v>6.9257499999999999</v>
      </c>
      <c r="G11" s="3" cm="1">
        <f t="array" ref="G11">_xll.FDS(C11,"FG_TOTAL_RETURNC(0,-6AM)")</f>
        <v>9.4459900000000001</v>
      </c>
      <c r="H11" s="9" cm="1">
        <f t="array" ref="H11">_xll.FDS(C11,"P_PRICE(0)/P_PRICE_HIGH_PR(0,,,USD,,,""PRICE"",""INTRA"",""52W"")")</f>
        <v>0.99820816999999995</v>
      </c>
      <c r="K11" s="4">
        <f t="shared" si="3"/>
        <v>2</v>
      </c>
      <c r="L11" s="4">
        <f t="shared" si="4"/>
        <v>5</v>
      </c>
      <c r="M11" s="4">
        <f t="shared" si="4"/>
        <v>4</v>
      </c>
      <c r="P11" s="3">
        <f t="shared" si="0"/>
        <v>3.63</v>
      </c>
      <c r="Q11">
        <f t="shared" si="1"/>
        <v>0</v>
      </c>
      <c r="S11" s="3">
        <f t="shared" si="5"/>
        <v>4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5.1270366000000003</v>
      </c>
      <c r="F12" s="3" cm="1">
        <f t="array" ref="F12">_xll.FDS(C12,"FG_TOTAL_RETURNC(0,-3AM)")</f>
        <v>13.904451999999999</v>
      </c>
      <c r="G12" s="3" cm="1">
        <f t="array" ref="G12">_xll.FDS(C12,"FG_TOTAL_RETURNC(0,-6AM)")</f>
        <v>14.290010000000001</v>
      </c>
      <c r="H12" s="9" cm="1">
        <f t="array" ref="H12">_xll.FDS(C12,"P_PRICE(0)/P_PRICE_HIGH_PR(0,,,USD,,,""PRICE"",""INTRA"",""52W"")")</f>
        <v>0.99325240000000004</v>
      </c>
      <c r="K12" s="4">
        <f t="shared" si="3"/>
        <v>6</v>
      </c>
      <c r="L12" s="4">
        <f t="shared" si="4"/>
        <v>2</v>
      </c>
      <c r="M12" s="4">
        <f t="shared" si="4"/>
        <v>3</v>
      </c>
      <c r="P12" s="3">
        <f t="shared" si="0"/>
        <v>3.63</v>
      </c>
      <c r="Q12">
        <f t="shared" si="1"/>
        <v>0</v>
      </c>
      <c r="S12" s="3">
        <f t="shared" si="5"/>
        <v>4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opLeftCell="C1" zoomScale="85" zoomScaleNormal="85" workbookViewId="0">
      <selection activeCell="J31" sqref="J31"/>
    </sheetView>
  </sheetViews>
  <sheetFormatPr defaultRowHeight="14.5" x14ac:dyDescent="0.35"/>
  <cols>
    <col min="2" max="2" width="13.453125" customWidth="1"/>
    <col min="3" max="3" width="34.36328125" customWidth="1"/>
    <col min="4" max="4" width="12.36328125" bestFit="1" customWidth="1"/>
    <col min="5" max="6" width="12.36328125" customWidth="1"/>
    <col min="7" max="7" width="15" hidden="1" customWidth="1"/>
    <col min="8" max="8" width="15" customWidth="1"/>
    <col min="9" max="9" width="15.36328125" bestFit="1" customWidth="1"/>
    <col min="10" max="10" width="11" customWidth="1"/>
    <col min="11" max="11" width="11.36328125" bestFit="1" customWidth="1"/>
    <col min="12" max="12" width="16.36328125" bestFit="1" customWidth="1"/>
    <col min="13" max="13" width="18.08984375" customWidth="1"/>
    <col min="14" max="14" width="17.08984375" customWidth="1"/>
  </cols>
  <sheetData>
    <row r="2" spans="2:16" ht="18.75" customHeight="1" x14ac:dyDescent="0.35">
      <c r="D2" s="134">
        <f>Assumption!D71*Assumption!$D$70</f>
        <v>9.9989999999999996E-2</v>
      </c>
      <c r="E2" s="134">
        <f>Assumption!D72*Assumption!$D$70</f>
        <v>9.9989999999999996E-2</v>
      </c>
      <c r="F2" s="134">
        <f>Assumption!D73*Assumption!$D$70</f>
        <v>9.9989999999999996E-2</v>
      </c>
      <c r="G2" s="134"/>
      <c r="H2" s="134"/>
      <c r="I2" s="134">
        <f>Assumption!D75</f>
        <v>0.2</v>
      </c>
      <c r="J2" s="134">
        <f>Assumption!D77</f>
        <v>0.4</v>
      </c>
      <c r="K2" s="123"/>
      <c r="L2" s="134">
        <f>Assumption!D79</f>
        <v>0.1</v>
      </c>
      <c r="P2" s="59">
        <f>SUM(D2:N2)</f>
        <v>0.99996999999999991</v>
      </c>
    </row>
    <row r="4" spans="2:16" ht="60.75" customHeight="1" x14ac:dyDescent="0.35">
      <c r="B4" s="199" t="s">
        <v>550</v>
      </c>
      <c r="C4" s="200"/>
      <c r="D4" s="204" t="s">
        <v>784</v>
      </c>
      <c r="E4" s="205"/>
      <c r="F4" s="206"/>
      <c r="G4" s="207" t="s">
        <v>819</v>
      </c>
      <c r="H4" s="207" t="s">
        <v>819</v>
      </c>
      <c r="I4" s="197" t="s">
        <v>552</v>
      </c>
      <c r="J4" s="203" t="s">
        <v>549</v>
      </c>
      <c r="K4" s="203"/>
      <c r="L4" s="197" t="s">
        <v>555</v>
      </c>
      <c r="M4" s="197" t="s">
        <v>556</v>
      </c>
      <c r="N4" s="197" t="s">
        <v>743</v>
      </c>
    </row>
    <row r="5" spans="2:16" x14ac:dyDescent="0.35">
      <c r="B5" s="201"/>
      <c r="C5" s="202"/>
      <c r="D5" s="129" t="s">
        <v>551</v>
      </c>
      <c r="E5" s="129" t="s">
        <v>553</v>
      </c>
      <c r="F5" s="129" t="s">
        <v>554</v>
      </c>
      <c r="G5" s="208"/>
      <c r="H5" s="208"/>
      <c r="I5" s="198"/>
      <c r="J5" s="163" t="s">
        <v>559</v>
      </c>
      <c r="K5" s="163" t="s">
        <v>557</v>
      </c>
      <c r="L5" s="198"/>
      <c r="M5" s="198"/>
      <c r="N5" s="198"/>
    </row>
    <row r="6" spans="2:16" x14ac:dyDescent="0.35">
      <c r="B6" s="86" t="s">
        <v>42</v>
      </c>
      <c r="C6" s="177" t="str" cm="1">
        <f t="array" ref="C6">_xll.FDS(B6,"FG_COMPANY_NAME")</f>
        <v>iShares MSCI Switzerland ETF</v>
      </c>
      <c r="D6" s="164">
        <f>VLOOKUP(B6,'Value -2 '!$D$3:$AC$15,26,FALSE)</f>
        <v>71.399999999999991</v>
      </c>
      <c r="E6" s="131">
        <f>VLOOKUP(B6,'Quality - 2'!$B$2:$S$14,18,FALSE)</f>
        <v>78.5</v>
      </c>
      <c r="F6" s="164">
        <f>VLOOKUP(B6,Risk!$B$4:$R$16,17,FALSE)</f>
        <v>92.800000000000011</v>
      </c>
      <c r="G6" s="190">
        <f t="shared" ref="G6:G18" si="0">(D6*$D$2 +E6*$E$2 +F6*$F$2)/($D$2+$E$2+$F$2)</f>
        <v>80.900000000000006</v>
      </c>
      <c r="H6" s="135" cm="1">
        <f t="array" ref="H6">_xlfn.PERCENTRANK.EXC(_xlfn._xlws.FILTER($G$6:G$18, ISNUMBER($G$6:G$18)),G6)*100</f>
        <v>92.800000000000011</v>
      </c>
      <c r="I6" s="164">
        <f>VLOOKUP(B6,'LIQIDITY 2'!$A$3:$X$15,24,FALSE)</f>
        <v>85.7</v>
      </c>
      <c r="J6" s="131">
        <f>VLOOKUP(B6,'Momnetum ranking'!$A$3:$AH$15,34,FALSE)</f>
        <v>14.2</v>
      </c>
      <c r="K6" s="174">
        <f>VLOOKUP(B6,'Momnetum ranking'!$A$3:$H$15,8,FALSE)</f>
        <v>0.28260869565217389</v>
      </c>
      <c r="L6" s="131">
        <f>VLOOKUP(B6,'Currency- 2'!$A$3:$U$15,21,FALSE)</f>
        <v>35.699999999999996</v>
      </c>
      <c r="M6" s="173">
        <f t="shared" ref="M6:M18" si="1">D6*$D$2 + E6*$E$2 + F6*$F$2 + I6*$I$2 + J6*$J$2 + L6*$L$2</f>
        <v>50.657572999999999</v>
      </c>
      <c r="N6" s="131" cm="1">
        <f t="array" ref="N6">_xlfn.PERCENTRANK.EXC(_xlfn._xlws.FILTER($M$6:M$18, ISNUMBER($M$6:M$18)),M6)*100</f>
        <v>64.2</v>
      </c>
    </row>
    <row r="7" spans="2:16" x14ac:dyDescent="0.35">
      <c r="B7" s="87" t="s">
        <v>46</v>
      </c>
      <c r="C7" s="178" t="str" cm="1">
        <f t="array" ref="C7">_xll.FDS(B7,"FG_COMPANY_NAME")</f>
        <v>iShares MSCI Japan ETF</v>
      </c>
      <c r="D7" s="170">
        <f>VLOOKUP(B7,'Value -2 '!$D$3:$AC$15,26,FALSE)</f>
        <v>42.8</v>
      </c>
      <c r="E7" s="132">
        <f>VLOOKUP(B7,'Quality - 2'!$B$2:$S$14,18,FALSE)</f>
        <v>64.2</v>
      </c>
      <c r="F7" s="170">
        <f>VLOOKUP(B7,Risk!$B$4:$R$16,17,FALSE)</f>
        <v>35.699999999999996</v>
      </c>
      <c r="G7" s="191">
        <f t="shared" si="0"/>
        <v>47.56666666666667</v>
      </c>
      <c r="H7" s="136" cm="1">
        <f t="array" ref="H7">_xlfn.PERCENTRANK.EXC(_xlfn._xlws.FILTER($G$6:G$18, ISNUMBER($G$6:G$18)),G7)*100</f>
        <v>57.099999999999994</v>
      </c>
      <c r="I7" s="170">
        <f>VLOOKUP(B7,'LIQIDITY 2'!$A$3:$X$15,24,FALSE)</f>
        <v>85.7</v>
      </c>
      <c r="J7" s="132">
        <f>VLOOKUP(B7,'Momnetum ranking'!$A$3:$AH$15,34,FALSE)</f>
        <v>71.399999999999991</v>
      </c>
      <c r="K7" s="172">
        <f>VLOOKUP(B7,'Momnetum ranking'!$A$3:$H$15,8,FALSE)</f>
        <v>0.49315068493150682</v>
      </c>
      <c r="L7" s="132">
        <f>VLOOKUP(B7,'Currency- 2'!$A$3:$U$15,21,FALSE)</f>
        <v>7.1</v>
      </c>
      <c r="M7" s="171">
        <f t="shared" si="1"/>
        <v>60.678573</v>
      </c>
      <c r="N7" s="132" cm="1">
        <f t="array" ref="N7">_xlfn.PERCENTRANK.EXC(_xlfn._xlws.FILTER($M$6:M$18, ISNUMBER($M$6:M$18)),M7)*100</f>
        <v>92.800000000000011</v>
      </c>
    </row>
    <row r="8" spans="2:16" x14ac:dyDescent="0.35">
      <c r="B8" s="87" t="s">
        <v>51</v>
      </c>
      <c r="C8" s="178" t="str" cm="1">
        <f t="array" ref="C8">_xll.FDS(B8,"FG_COMPANY_NAME")</f>
        <v>Invesco QQQ Trust Series I</v>
      </c>
      <c r="D8" s="170">
        <f>VLOOKUP(B8,'Value -2 '!$D$3:$AC$15,26,FALSE)</f>
        <v>14.2</v>
      </c>
      <c r="E8" s="132">
        <f>VLOOKUP(B8,'Quality - 2'!$B$2:$S$14,18,FALSE)</f>
        <v>85.7</v>
      </c>
      <c r="F8" s="170">
        <f>VLOOKUP(B8,Risk!$B$4:$R$16,17,FALSE)</f>
        <v>21.4</v>
      </c>
      <c r="G8" s="191">
        <f t="shared" si="0"/>
        <v>40.433333333333337</v>
      </c>
      <c r="H8" s="136" cm="1">
        <f t="array" ref="H8">_xlfn.PERCENTRANK.EXC(_xlfn._xlws.FILTER($G$6:G$18, ISNUMBER($G$6:G$18)),G8)*100</f>
        <v>42.8</v>
      </c>
      <c r="I8" s="170">
        <f>VLOOKUP(B8,'LIQIDITY 2'!$A$3:$X$15,24,FALSE)</f>
        <v>28.499999999999996</v>
      </c>
      <c r="J8" s="132">
        <f>VLOOKUP(B8,'Momnetum ranking'!$A$3:$AH$15,34,FALSE)</f>
        <v>92.800000000000011</v>
      </c>
      <c r="K8" s="172">
        <f>VLOOKUP(B8,'Momnetum ranking'!$A$3:$H$15,8,FALSE)</f>
        <v>0.41176470588235292</v>
      </c>
      <c r="L8" s="132">
        <f>VLOOKUP(B8,'Currency- 2'!$A$3:$U$15,21,FALSE)</f>
        <v>57.099999999999994</v>
      </c>
      <c r="M8" s="171">
        <f t="shared" si="1"/>
        <v>60.658787000000004</v>
      </c>
      <c r="N8" s="132" cm="1">
        <f t="array" ref="N8">_xlfn.PERCENTRANK.EXC(_xlfn._xlws.FILTER($M$6:M$18, ISNUMBER($M$6:M$18)),M8)*100</f>
        <v>85.7</v>
      </c>
    </row>
    <row r="9" spans="2:16" x14ac:dyDescent="0.35">
      <c r="B9" s="87" t="s">
        <v>1</v>
      </c>
      <c r="C9" s="178" t="str" cm="1">
        <f t="array" ref="C9">_xll.FDS(B9,"FG_COMPANY_NAME")</f>
        <v>SPDR S&amp;P 500 ETF Trust</v>
      </c>
      <c r="D9" s="170">
        <f>VLOOKUP(B9,'Value -2 '!$D$3:$AC$15,26,FALSE)</f>
        <v>21.4</v>
      </c>
      <c r="E9" s="132">
        <f>VLOOKUP(B9,'Quality - 2'!$B$2:$S$14,18,FALSE)</f>
        <v>92.800000000000011</v>
      </c>
      <c r="F9" s="170">
        <f>VLOOKUP(B9,Risk!$B$4:$R$16,17,FALSE)</f>
        <v>50</v>
      </c>
      <c r="G9" s="191">
        <f t="shared" si="0"/>
        <v>54.733333333333334</v>
      </c>
      <c r="H9" s="136" cm="1">
        <f t="array" ref="H9">_xlfn.PERCENTRANK.EXC(_xlfn._xlws.FILTER($G$6:G$18, ISNUMBER($G$6:G$18)),G9)*100</f>
        <v>64.2</v>
      </c>
      <c r="I9" s="170">
        <f>VLOOKUP(B9,'LIQIDITY 2'!$A$3:$X$15,24,FALSE)</f>
        <v>28.499999999999996</v>
      </c>
      <c r="J9" s="132">
        <f>VLOOKUP(B9,'Momnetum ranking'!$A$3:$AH$15,34,FALSE)</f>
        <v>78.5</v>
      </c>
      <c r="K9" s="172">
        <f>VLOOKUP(B9,'Momnetum ranking'!$A$3:$H$15,8,FALSE)</f>
        <v>0.47420634920634919</v>
      </c>
      <c r="L9" s="132">
        <f>VLOOKUP(B9,'Currency- 2'!$A$3:$U$15,21,FALSE)</f>
        <v>57.099999999999994</v>
      </c>
      <c r="M9" s="171">
        <f t="shared" si="1"/>
        <v>59.228358</v>
      </c>
      <c r="N9" s="132" cm="1">
        <f t="array" ref="N9">_xlfn.PERCENTRANK.EXC(_xlfn._xlws.FILTER($M$6:M$18, ISNUMBER($M$6:M$18)),M9)*100</f>
        <v>78.5</v>
      </c>
    </row>
    <row r="10" spans="2:16" x14ac:dyDescent="0.35">
      <c r="B10" s="87" t="s">
        <v>11</v>
      </c>
      <c r="C10" s="178" t="str" cm="1">
        <f t="array" ref="C10">_xll.FDS(B10,"FG_COMPANY_NAME")</f>
        <v>iShares MSCI Germany ETF</v>
      </c>
      <c r="D10" s="170">
        <f>VLOOKUP(B10,'Value -2 '!$D$3:$AC$15,26,FALSE)</f>
        <v>71.399999999999991</v>
      </c>
      <c r="E10" s="132">
        <f>VLOOKUP(B10,'Quality - 2'!$B$2:$S$14,18,FALSE)</f>
        <v>28.499999999999996</v>
      </c>
      <c r="F10" s="170">
        <f>VLOOKUP(B10,Risk!$B$4:$R$16,17,FALSE)</f>
        <v>14.2</v>
      </c>
      <c r="G10" s="191">
        <f t="shared" si="0"/>
        <v>38.033333333333331</v>
      </c>
      <c r="H10" s="136" cm="1">
        <f t="array" ref="H10">_xlfn.PERCENTRANK.EXC(_xlfn._xlws.FILTER($G$6:G$18, ISNUMBER($G$6:G$18)),G10)*100</f>
        <v>28.499999999999996</v>
      </c>
      <c r="I10" s="170">
        <f>VLOOKUP(B10,'LIQIDITY 2'!$A$3:$X$15,24,FALSE)</f>
        <v>7.1</v>
      </c>
      <c r="J10" s="132">
        <f>VLOOKUP(B10,'Momnetum ranking'!$A$3:$AH$15,34,FALSE)</f>
        <v>50</v>
      </c>
      <c r="K10" s="172">
        <f>VLOOKUP(B10,'Momnetum ranking'!$A$3:$H$15,8,FALSE)</f>
        <v>0.42105263157894735</v>
      </c>
      <c r="L10" s="132">
        <f>VLOOKUP(B10,'Currency- 2'!$A$3:$U$15,21,FALSE)</f>
        <v>85.7</v>
      </c>
      <c r="M10" s="171">
        <f t="shared" si="1"/>
        <v>41.398858999999995</v>
      </c>
      <c r="N10" s="132" cm="1">
        <f t="array" ref="N10">_xlfn.PERCENTRANK.EXC(_xlfn._xlws.FILTER($M$6:M$18, ISNUMBER($M$6:M$18)),M10)*100</f>
        <v>35.699999999999996</v>
      </c>
    </row>
    <row r="11" spans="2:16" x14ac:dyDescent="0.35">
      <c r="B11" s="87" t="s">
        <v>48</v>
      </c>
      <c r="C11" s="178" t="str" cm="1">
        <f t="array" ref="C11">_xll.FDS(B11,"FG_COMPANY_NAME")</f>
        <v>iShares MSCI United Kingdom ETF</v>
      </c>
      <c r="D11" s="170">
        <f>VLOOKUP(B11,'Value -2 '!$D$3:$AC$15,26,FALSE)</f>
        <v>85.7</v>
      </c>
      <c r="E11" s="132">
        <f>VLOOKUP(B11,'Quality - 2'!$B$2:$S$14,18,FALSE)</f>
        <v>50</v>
      </c>
      <c r="F11" s="170">
        <f>VLOOKUP(B11,Risk!$B$4:$R$16,17,FALSE)</f>
        <v>78.5</v>
      </c>
      <c r="G11" s="191">
        <f t="shared" si="0"/>
        <v>71.400000000000006</v>
      </c>
      <c r="H11" s="136" cm="1">
        <f t="array" ref="H11">_xlfn.PERCENTRANK.EXC(_xlfn._xlws.FILTER($G$6:G$18, ISNUMBER($G$6:G$18)),G11)*100</f>
        <v>85.7</v>
      </c>
      <c r="I11" s="170">
        <f>VLOOKUP(B11,'LIQIDITY 2'!$A$3:$X$15,24,FALSE)</f>
        <v>7.1</v>
      </c>
      <c r="J11" s="132">
        <f>VLOOKUP(B11,'Momnetum ranking'!$A$3:$AH$15,34,FALSE)</f>
        <v>21.4</v>
      </c>
      <c r="K11" s="172">
        <f>VLOOKUP(B11,'Momnetum ranking'!$A$3:$H$15,8,FALSE)</f>
        <v>0.45882352941176469</v>
      </c>
      <c r="L11" s="132">
        <f>VLOOKUP(B11,'Currency- 2'!$A$3:$U$15,21,FALSE)</f>
        <v>50</v>
      </c>
      <c r="M11" s="171">
        <f t="shared" si="1"/>
        <v>36.397857999999999</v>
      </c>
      <c r="N11" s="132" cm="1">
        <f t="array" ref="N11">_xlfn.PERCENTRANK.EXC(_xlfn._xlws.FILTER($M$6:M$18, ISNUMBER($M$6:M$18)),M11)*100</f>
        <v>21.4</v>
      </c>
    </row>
    <row r="12" spans="2:16" x14ac:dyDescent="0.35">
      <c r="B12" s="87" t="s">
        <v>49</v>
      </c>
      <c r="C12" s="178" t="str" cm="1">
        <f t="array" ref="C12">_xll.FDS(B12,"FG_COMPANY_NAME")</f>
        <v>iShares MSCI Canada ETF</v>
      </c>
      <c r="D12" s="170">
        <f>VLOOKUP(B12,'Value -2 '!$D$3:$AC$15,26,FALSE)</f>
        <v>50</v>
      </c>
      <c r="E12" s="132">
        <f>VLOOKUP(B12,'Quality - 2'!$B$2:$S$14,18,FALSE)</f>
        <v>57.099999999999994</v>
      </c>
      <c r="F12" s="170">
        <f>VLOOKUP(B12,Risk!$B$4:$R$16,17,FALSE)</f>
        <v>57.099999999999994</v>
      </c>
      <c r="G12" s="191">
        <f t="shared" si="0"/>
        <v>54.733333333333334</v>
      </c>
      <c r="H12" s="136" cm="1">
        <f t="array" ref="H12">_xlfn.PERCENTRANK.EXC(_xlfn._xlws.FILTER($G$6:G$18, ISNUMBER($G$6:G$18)),G12)*100</f>
        <v>64.2</v>
      </c>
      <c r="I12" s="170">
        <f>VLOOKUP(B12,'LIQIDITY 2'!$A$3:$X$15,24,FALSE)</f>
        <v>28.499999999999996</v>
      </c>
      <c r="J12" s="132">
        <f>VLOOKUP(B12,'Momnetum ranking'!$A$3:$AH$15,34,FALSE)</f>
        <v>35.699999999999996</v>
      </c>
      <c r="K12" s="172">
        <f>VLOOKUP(B12,'Momnetum ranking'!$A$3:$H$15,8,FALSE)</f>
        <v>0.5</v>
      </c>
      <c r="L12" s="132">
        <f>VLOOKUP(B12,'Currency- 2'!$A$3:$U$15,21,FALSE)</f>
        <v>42.8</v>
      </c>
      <c r="M12" s="171">
        <f t="shared" si="1"/>
        <v>40.678357999999996</v>
      </c>
      <c r="N12" s="132" cm="1">
        <f t="array" ref="N12">_xlfn.PERCENTRANK.EXC(_xlfn._xlws.FILTER($M$6:M$18, ISNUMBER($M$6:M$18)),M12)*100</f>
        <v>28.499999999999996</v>
      </c>
    </row>
    <row r="13" spans="2:16" x14ac:dyDescent="0.35">
      <c r="B13" s="87" t="s">
        <v>44</v>
      </c>
      <c r="C13" s="178" t="str" cm="1">
        <f t="array" ref="C13">_xll.FDS(B13,"FG_COMPANY_NAME")</f>
        <v>iShares MSCI Australia ETF</v>
      </c>
      <c r="D13" s="170">
        <f>VLOOKUP(B13,'Value -2 '!$D$3:$AC$15,26,FALSE)</f>
        <v>28.499999999999996</v>
      </c>
      <c r="E13" s="132">
        <f>VLOOKUP(B13,'Quality - 2'!$B$2:$S$14,18,FALSE)</f>
        <v>7.1</v>
      </c>
      <c r="F13" s="170">
        <f>VLOOKUP(B13,Risk!$B$4:$R$16,17,FALSE)</f>
        <v>71.399999999999991</v>
      </c>
      <c r="G13" s="191">
        <f t="shared" si="0"/>
        <v>35.666666666666664</v>
      </c>
      <c r="H13" s="136" cm="1">
        <f t="array" ref="H13">_xlfn.PERCENTRANK.EXC(_xlfn._xlws.FILTER($G$6:G$18, ISNUMBER($G$6:G$18)),G13)*100</f>
        <v>7.1</v>
      </c>
      <c r="I13" s="170">
        <f>VLOOKUP(B13,'LIQIDITY 2'!$A$3:$X$15,24,FALSE)</f>
        <v>28.499999999999996</v>
      </c>
      <c r="J13" s="132">
        <f>VLOOKUP(B13,'Momnetum ranking'!$A$3:$AH$15,34,FALSE)</f>
        <v>28.499999999999996</v>
      </c>
      <c r="K13" s="172">
        <f>VLOOKUP(B13,'Momnetum ranking'!$A$3:$H$15,8,FALSE)</f>
        <v>0.5</v>
      </c>
      <c r="L13" s="132">
        <f>VLOOKUP(B13,'Currency- 2'!$A$3:$U$15,21,FALSE)</f>
        <v>28.499999999999996</v>
      </c>
      <c r="M13" s="171">
        <f t="shared" si="1"/>
        <v>30.648929999999993</v>
      </c>
      <c r="N13" s="132" cm="1">
        <f t="array" ref="N13">_xlfn.PERCENTRANK.EXC(_xlfn._xlws.FILTER($M$6:M$18, ISNUMBER($M$6:M$18)),M13)*100</f>
        <v>14.2</v>
      </c>
    </row>
    <row r="14" spans="2:16" x14ac:dyDescent="0.35">
      <c r="B14" s="87" t="s">
        <v>435</v>
      </c>
      <c r="C14" s="178" t="str" cm="1">
        <f t="array" ref="C14">_xll.FDS(B14,"FG_COMPANY_NAME")</f>
        <v>iShares MSCI New Zealand ETF</v>
      </c>
      <c r="D14" s="170">
        <f>VLOOKUP(B14,'Value -2 '!$D$3:$AC$15,26,FALSE)</f>
        <v>7.1</v>
      </c>
      <c r="E14" s="132">
        <f>VLOOKUP(B14,'Quality - 2'!$B$2:$S$14,18,FALSE)</f>
        <v>21.4</v>
      </c>
      <c r="F14" s="170">
        <f>VLOOKUP(B14,Risk!$B$4:$R$16,17,FALSE)</f>
        <v>85.7</v>
      </c>
      <c r="G14" s="191">
        <f t="shared" si="0"/>
        <v>38.06666666666667</v>
      </c>
      <c r="H14" s="136" cm="1">
        <f t="array" ref="H14">_xlfn.PERCENTRANK.EXC(_xlfn._xlws.FILTER($G$6:G$18, ISNUMBER($G$6:G$18)),G14)*100</f>
        <v>35.699999999999996</v>
      </c>
      <c r="I14" s="170">
        <f>VLOOKUP(B14,'LIQIDITY 2'!$A$3:$X$15,24,FALSE)</f>
        <v>28.499999999999996</v>
      </c>
      <c r="J14" s="132">
        <f>VLOOKUP(B14,'Momnetum ranking'!$A$3:$AH$15,34,FALSE)</f>
        <v>7.1</v>
      </c>
      <c r="K14" s="172">
        <f>VLOOKUP(B14,'Momnetum ranking'!$A$3:$H$15,8,FALSE)</f>
        <v>0.26666666666666666</v>
      </c>
      <c r="L14" s="132">
        <f>VLOOKUP(B14,'Currency- 2'!$A$3:$U$15,21,FALSE)</f>
        <v>14.2</v>
      </c>
      <c r="M14" s="171">
        <f t="shared" si="1"/>
        <v>21.378858000000001</v>
      </c>
      <c r="N14" s="132" cm="1">
        <f t="array" ref="N14">_xlfn.PERCENTRANK.EXC(_xlfn._xlws.FILTER($M$6:M$18, ISNUMBER($M$6:M$18)),M14)*100</f>
        <v>7.1</v>
      </c>
    </row>
    <row r="15" spans="2:16" x14ac:dyDescent="0.35">
      <c r="B15" s="87" t="s">
        <v>872</v>
      </c>
      <c r="C15" s="178" t="str" cm="1">
        <f t="array" ref="C15">_xll.FDS(B15,"FG_COMPANY_NAME")</f>
        <v>iShares MSCI France ETF</v>
      </c>
      <c r="D15" s="170">
        <f>VLOOKUP(B15,'Value -2 '!$D$3:$AC$15,26,FALSE)</f>
        <v>64.2</v>
      </c>
      <c r="E15" s="132">
        <f>VLOOKUP(B15,'Quality - 2'!$B$2:$S$14,18,FALSE)</f>
        <v>71.399999999999991</v>
      </c>
      <c r="F15" s="170">
        <f>VLOOKUP(B15,Risk!$B$4:$R$16,17,FALSE)</f>
        <v>57.099999999999994</v>
      </c>
      <c r="G15" s="191">
        <f t="shared" si="0"/>
        <v>64.233333333333334</v>
      </c>
      <c r="H15" s="136" cm="1">
        <f t="array" ref="H15">_xlfn.PERCENTRANK.EXC(_xlfn._xlws.FILTER($G$6:G$18, ISNUMBER($G$6:G$18)),G15)*100</f>
        <v>78.5</v>
      </c>
      <c r="I15" s="170">
        <f>VLOOKUP(B15,'LIQIDITY 2'!$A$3:$X$15,24,FALSE)</f>
        <v>28.499999999999996</v>
      </c>
      <c r="J15" s="132">
        <f>VLOOKUP(B15,'Momnetum ranking'!$A$3:$AH$15,34,FALSE)</f>
        <v>57.099999999999994</v>
      </c>
      <c r="K15" s="172">
        <f>VLOOKUP(B15,'Momnetum ranking'!$A$3:$H$15,8,FALSE)</f>
        <v>0.3125</v>
      </c>
      <c r="L15" s="132">
        <f>VLOOKUP(B15,'Currency- 2'!$A$3:$U$15,21,FALSE)</f>
        <v>21.4</v>
      </c>
      <c r="M15" s="171">
        <f t="shared" si="1"/>
        <v>49.948072999999994</v>
      </c>
      <c r="N15" s="132" cm="1">
        <f t="array" ref="N15">_xlfn.PERCENTRANK.EXC(_xlfn._xlws.FILTER($M$6:M$18, ISNUMBER($M$6:M$18)),M15)*100</f>
        <v>57.099999999999994</v>
      </c>
    </row>
    <row r="16" spans="2:16" x14ac:dyDescent="0.35">
      <c r="B16" s="87" t="s">
        <v>874</v>
      </c>
      <c r="C16" s="178" t="str" cm="1">
        <f t="array" ref="C16">_xll.FDS(B16,"FG_COMPANY_NAME")</f>
        <v>iShares MSCI Netherlands ETF</v>
      </c>
      <c r="D16" s="170">
        <f>VLOOKUP(B16,'Value -2 '!$D$3:$AC$15,26,FALSE)</f>
        <v>35.699999999999996</v>
      </c>
      <c r="E16" s="132">
        <f>VLOOKUP(B16,'Quality - 2'!$B$2:$S$14,18,FALSE)</f>
        <v>28.499999999999996</v>
      </c>
      <c r="F16" s="170">
        <f>VLOOKUP(B16,Risk!$B$4:$R$16,17,FALSE)</f>
        <v>42.8</v>
      </c>
      <c r="G16" s="191">
        <f t="shared" si="0"/>
        <v>35.666666666666671</v>
      </c>
      <c r="H16" s="136" cm="1">
        <f t="array" ref="H16">_xlfn.PERCENTRANK.EXC(_xlfn._xlws.FILTER($G$6:G$18, ISNUMBER($G$6:G$18)),G16)*100</f>
        <v>14.2</v>
      </c>
      <c r="I16" s="170">
        <f>VLOOKUP(B16,'LIQIDITY 2'!$A$3:$X$15,24,FALSE)</f>
        <v>7.1</v>
      </c>
      <c r="J16" s="132">
        <f>VLOOKUP(B16,'Momnetum ranking'!$A$3:$AH$15,34,FALSE)</f>
        <v>85.7</v>
      </c>
      <c r="K16" s="172">
        <f>VLOOKUP(B16,'Momnetum ranking'!$A$3:$H$15,8,FALSE)</f>
        <v>0.47272727272727272</v>
      </c>
      <c r="L16" s="132">
        <f>VLOOKUP(B16,'Currency- 2'!$A$3:$U$15,21,FALSE)</f>
        <v>92.800000000000011</v>
      </c>
      <c r="M16" s="171">
        <f t="shared" si="1"/>
        <v>55.678930000000001</v>
      </c>
      <c r="N16" s="132" cm="1">
        <f t="array" ref="N16">_xlfn.PERCENTRANK.EXC(_xlfn._xlws.FILTER($M$6:M$18, ISNUMBER($M$6:M$18)),M16)*100</f>
        <v>71.399999999999991</v>
      </c>
    </row>
    <row r="17" spans="2:14" x14ac:dyDescent="0.35">
      <c r="B17" s="87" t="s">
        <v>871</v>
      </c>
      <c r="C17" s="178" t="str" cm="1">
        <f t="array" ref="C17">_xll.FDS(B17,"FG_COMPANY_NAME")</f>
        <v>iShares MSCI Sweden ETF</v>
      </c>
      <c r="D17" s="170">
        <f>VLOOKUP(B17,'Value -2 '!$D$3:$AC$15,26,FALSE)</f>
        <v>57.099999999999994</v>
      </c>
      <c r="E17" s="132">
        <f>VLOOKUP(B17,'Quality - 2'!$B$2:$S$14,18,FALSE)</f>
        <v>42.8</v>
      </c>
      <c r="F17" s="170">
        <f>VLOOKUP(B17,Risk!$B$4:$R$16,17,FALSE)</f>
        <v>28.499999999999996</v>
      </c>
      <c r="G17" s="191">
        <f t="shared" si="0"/>
        <v>42.8</v>
      </c>
      <c r="H17" s="136" cm="1">
        <f t="array" ref="H17">_xlfn.PERCENTRANK.EXC(_xlfn._xlws.FILTER($G$6:G$18, ISNUMBER($G$6:G$18)),G17)*100</f>
        <v>50</v>
      </c>
      <c r="I17" s="170">
        <f>VLOOKUP(B17,'LIQIDITY 2'!$A$3:$X$15,24,FALSE)</f>
        <v>28.499999999999996</v>
      </c>
      <c r="J17" s="132">
        <f>VLOOKUP(B17,'Momnetum ranking'!$A$3:$AH$15,34,FALSE)</f>
        <v>42.8</v>
      </c>
      <c r="K17" s="172">
        <f>VLOOKUP(B17,'Momnetum ranking'!$A$3:$H$15,8,FALSE)</f>
        <v>0.23255813953488372</v>
      </c>
      <c r="L17" s="132">
        <f>VLOOKUP(B17,'Currency- 2'!$A$3:$U$15,21,FALSE)</f>
        <v>71.399999999999991</v>
      </c>
      <c r="M17" s="171">
        <f t="shared" si="1"/>
        <v>42.798715999999999</v>
      </c>
      <c r="N17" s="132" cm="1">
        <f t="array" ref="N17">_xlfn.PERCENTRANK.EXC(_xlfn._xlws.FILTER($M$6:M$18, ISNUMBER($M$6:M$18)),M17)*100</f>
        <v>42.8</v>
      </c>
    </row>
    <row r="18" spans="2:14" x14ac:dyDescent="0.35">
      <c r="B18" s="88" t="s">
        <v>873</v>
      </c>
      <c r="C18" s="179" t="str" cm="1">
        <f t="array" ref="C18">_xll.FDS(B18,"FG_COMPANY_NAME")</f>
        <v>iShares MSCI Italy ETF</v>
      </c>
      <c r="D18" s="165">
        <f>VLOOKUP(B18,'Value -2 '!$D$3:$AC$15,26,FALSE)</f>
        <v>92.800000000000011</v>
      </c>
      <c r="E18" s="133">
        <f>VLOOKUP(B18,'Quality - 2'!$B$2:$S$14,18,FALSE)</f>
        <v>7.1</v>
      </c>
      <c r="F18" s="165">
        <f>VLOOKUP(B18,Risk!$B$4:$R$16,17,FALSE)</f>
        <v>7.1</v>
      </c>
      <c r="G18" s="192">
        <f t="shared" si="0"/>
        <v>35.666666666666679</v>
      </c>
      <c r="H18" s="137" cm="1">
        <f t="array" ref="H18">_xlfn.PERCENTRANK.EXC(_xlfn._xlws.FILTER($G$6:G$18, ISNUMBER($G$6:G$18)),G18)*100</f>
        <v>21.4</v>
      </c>
      <c r="I18" s="165">
        <f>VLOOKUP(B18,'LIQIDITY 2'!$A$3:$X$15,24,FALSE)</f>
        <v>28.499999999999996</v>
      </c>
      <c r="J18" s="133">
        <f>VLOOKUP(B18,'Momnetum ranking'!$A$3:$AH$15,34,FALSE)</f>
        <v>64.2</v>
      </c>
      <c r="K18" s="176">
        <f>VLOOKUP(B18,'Momnetum ranking'!$A$3:$H$15,8,FALSE)</f>
        <v>0.42307692307692307</v>
      </c>
      <c r="L18" s="133">
        <f>VLOOKUP(B18,'Currency- 2'!$A$3:$U$15,21,FALSE)</f>
        <v>78.5</v>
      </c>
      <c r="M18" s="175">
        <f t="shared" si="1"/>
        <v>49.928930000000001</v>
      </c>
      <c r="N18" s="133" cm="1">
        <f t="array" ref="N18">_xlfn.PERCENTRANK.EXC(_xlfn._xlws.FILTER($M$6:M$18, ISNUMBER($M$6:M$18)),M18)*100</f>
        <v>50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Q27" sqref="Q27"/>
    </sheetView>
  </sheetViews>
  <sheetFormatPr defaultRowHeight="14.5" x14ac:dyDescent="0.35"/>
  <cols>
    <col min="2" max="2" width="12.08984375" bestFit="1" customWidth="1"/>
    <col min="3" max="3" width="25.36328125" customWidth="1"/>
    <col min="4" max="4" width="15.453125" customWidth="1"/>
    <col min="5" max="5" width="14.453125" customWidth="1"/>
    <col min="6" max="6" width="11.6328125" bestFit="1" customWidth="1"/>
    <col min="7" max="7" width="7.36328125" bestFit="1" customWidth="1"/>
    <col min="8" max="8" width="10.08984375" bestFit="1" customWidth="1"/>
    <col min="9" max="9" width="11.453125" bestFit="1" customWidth="1"/>
    <col min="10" max="10" width="14.453125" hidden="1" customWidth="1"/>
    <col min="11" max="11" width="20.08984375" bestFit="1" customWidth="1"/>
    <col min="12" max="12" width="12" hidden="1" customWidth="1"/>
    <col min="13" max="13" width="15.36328125" bestFit="1" customWidth="1"/>
    <col min="14" max="14" width="12.6328125" hidden="1" customWidth="1"/>
    <col min="15" max="15" width="18.453125" bestFit="1" customWidth="1"/>
    <col min="16" max="16" width="13.36328125" hidden="1" customWidth="1"/>
    <col min="17" max="17" width="19.90625" bestFit="1" customWidth="1"/>
    <col min="18" max="18" width="20.6328125" bestFit="1" customWidth="1"/>
    <col min="19" max="19" width="21.6328125" bestFit="1" customWidth="1"/>
  </cols>
  <sheetData>
    <row r="1" spans="2:21" ht="15" thickBot="1" x14ac:dyDescent="0.4"/>
    <row r="2" spans="2:21" x14ac:dyDescent="0.35">
      <c r="C2" s="140" t="s">
        <v>829</v>
      </c>
      <c r="D2" s="141">
        <v>0.5</v>
      </c>
      <c r="E2" s="71" t="s">
        <v>843</v>
      </c>
      <c r="F2" s="138">
        <v>0.1</v>
      </c>
      <c r="R2" s="155" t="s">
        <v>858</v>
      </c>
      <c r="S2" s="155" t="s">
        <v>858</v>
      </c>
    </row>
    <row r="3" spans="2:21" ht="15" thickBot="1" x14ac:dyDescent="0.4">
      <c r="C3" s="142" t="s">
        <v>830</v>
      </c>
      <c r="D3" s="143">
        <v>70</v>
      </c>
      <c r="E3" s="65" t="s">
        <v>831</v>
      </c>
      <c r="F3" s="67">
        <v>50</v>
      </c>
      <c r="R3" s="159">
        <f>COUNTIF(R9:R17,"&gt;0")</f>
        <v>6</v>
      </c>
      <c r="S3" s="159">
        <f>COUNTIF(S9:S17,"&gt;0")</f>
        <v>6</v>
      </c>
    </row>
    <row r="4" spans="2:21" ht="15" thickBot="1" x14ac:dyDescent="0.4">
      <c r="C4" s="142" t="s">
        <v>832</v>
      </c>
      <c r="D4" s="144">
        <v>0.3</v>
      </c>
      <c r="E4" s="65" t="s">
        <v>838</v>
      </c>
      <c r="F4" s="139">
        <v>0.1</v>
      </c>
    </row>
    <row r="5" spans="2:21" ht="15" thickBot="1" x14ac:dyDescent="0.4">
      <c r="C5" s="145" t="s">
        <v>833</v>
      </c>
      <c r="D5" s="146">
        <v>70</v>
      </c>
      <c r="E5" s="12" t="s">
        <v>830</v>
      </c>
      <c r="F5" s="14">
        <v>60</v>
      </c>
      <c r="Q5" s="71" t="s">
        <v>856</v>
      </c>
      <c r="R5" s="11"/>
    </row>
    <row r="6" spans="2:21" ht="15" thickBot="1" x14ac:dyDescent="0.4">
      <c r="Q6" s="12" t="s">
        <v>857</v>
      </c>
      <c r="R6" s="158">
        <v>0.01</v>
      </c>
    </row>
    <row r="7" spans="2:21" ht="15" thickBot="1" x14ac:dyDescent="0.4"/>
    <row r="8" spans="2:21" x14ac:dyDescent="0.35">
      <c r="B8" s="150" t="s">
        <v>834</v>
      </c>
      <c r="C8" s="150" t="s">
        <v>522</v>
      </c>
      <c r="D8" s="151" t="s">
        <v>550</v>
      </c>
      <c r="E8" s="151" t="s">
        <v>835</v>
      </c>
      <c r="F8" s="151" t="s">
        <v>549</v>
      </c>
      <c r="G8" s="151" t="s">
        <v>551</v>
      </c>
      <c r="H8" s="151" t="s">
        <v>552</v>
      </c>
      <c r="I8" s="151" t="s">
        <v>555</v>
      </c>
      <c r="J8" s="151" t="s">
        <v>839</v>
      </c>
      <c r="K8" s="151" t="s">
        <v>860</v>
      </c>
      <c r="L8" s="151" t="s">
        <v>840</v>
      </c>
      <c r="M8" s="151" t="s">
        <v>865</v>
      </c>
      <c r="N8" s="151" t="s">
        <v>841</v>
      </c>
      <c r="O8" s="151" t="s">
        <v>861</v>
      </c>
      <c r="P8" s="151" t="s">
        <v>842</v>
      </c>
      <c r="Q8" s="151" t="s">
        <v>862</v>
      </c>
      <c r="R8" s="166" t="s">
        <v>863</v>
      </c>
      <c r="S8" s="166" t="s">
        <v>864</v>
      </c>
    </row>
    <row r="9" spans="2:21" x14ac:dyDescent="0.35">
      <c r="B9" s="65" t="s">
        <v>435</v>
      </c>
      <c r="C9" s="65" t="str" cm="1">
        <f t="array" ref="C9">_xll.FDS(B9,"FG_COMPANY_NAME")</f>
        <v>iShares MSCI New Zealand ETF</v>
      </c>
      <c r="D9" t="s">
        <v>680</v>
      </c>
      <c r="E9" s="147">
        <f>HLOOKUP(B9,'Monthly Returns'!$A$1:$N$139,139,FALSE)</f>
        <v>0.17816279165055843</v>
      </c>
      <c r="F9">
        <f>VLOOKUP(B9,OUTPUT_COUNTRY!$B$6:$N$18, 9, FALSE)</f>
        <v>7.1</v>
      </c>
      <c r="G9" s="56">
        <f>IFERROR(VLOOKUP(B9,OUTPUT_COUNTRY!$B$6:$N$18, 7, FALSE),0)</f>
        <v>35.699999999999996</v>
      </c>
      <c r="H9">
        <f>VLOOKUP(B9,OUTPUT_COUNTRY!$B$6:$N$18, 8, FALSE)</f>
        <v>28.499999999999996</v>
      </c>
      <c r="I9">
        <f>VLOOKUP(B9,OUTPUT_COUNTRY!$B$6:$N$18, 11, FALSE)</f>
        <v>14.2</v>
      </c>
      <c r="J9" s="56">
        <f t="shared" ref="J9:J21" si="0">IF(F9&gt;=$D$3,1/E9,0)</f>
        <v>0</v>
      </c>
      <c r="K9" s="147">
        <f>J9/$J$22</f>
        <v>0</v>
      </c>
      <c r="L9">
        <f t="shared" ref="L9:L21" si="1">IF(G9&gt;=$D$5,1/E9,0)</f>
        <v>0</v>
      </c>
      <c r="M9" s="147">
        <f>L9/$L$22</f>
        <v>0</v>
      </c>
      <c r="N9">
        <f t="shared" ref="N9:N21" si="2">IF(H9&gt;=$F$3,1/E9,0)</f>
        <v>0</v>
      </c>
      <c r="O9" s="147">
        <f>N9/$N$22</f>
        <v>0</v>
      </c>
      <c r="P9">
        <f t="shared" ref="P9:P21" si="3">IF(I9&gt;=$F$5,1/E9,0)</f>
        <v>0</v>
      </c>
      <c r="Q9" s="147">
        <f>P9/$P$22</f>
        <v>0</v>
      </c>
      <c r="R9" s="167" t="str">
        <f t="shared" ref="R9:R21" si="4">IF($D$2*K9+$D$4*M9+$F$2*O9+$F$4*Q9 = 0,"",$D$2*K9+$D$4*M9+$F$2*O9+$F$4*Q9)</f>
        <v/>
      </c>
      <c r="S9" s="167" t="str">
        <f t="shared" ref="S9:S21" si="5">IFERROR(IF(R9&gt;=$R$6, R9/SUMIF($R$9:$R$17,"&gt;="&amp;$R$6), ""),"")</f>
        <v/>
      </c>
      <c r="U9" s="59"/>
    </row>
    <row r="10" spans="2:21" x14ac:dyDescent="0.35">
      <c r="B10" s="65" t="s">
        <v>44</v>
      </c>
      <c r="C10" s="65" t="str" cm="1">
        <f t="array" ref="C10">_xll.FDS(B10,"FG_COMPANY_NAME")</f>
        <v>iShares MSCI Australia ETF</v>
      </c>
      <c r="D10" t="s">
        <v>582</v>
      </c>
      <c r="E10" s="147">
        <f>HLOOKUP(B10,'Monthly Returns'!$A$1:$N$139,139,FALSE)</f>
        <v>0.20728202280183716</v>
      </c>
      <c r="F10">
        <f>VLOOKUP(B10,OUTPUT_COUNTRY!$B$6:$N$18, 9, FALSE)</f>
        <v>28.499999999999996</v>
      </c>
      <c r="G10" s="56">
        <f>IFERROR(VLOOKUP(B10,OUTPUT_COUNTRY!$B$6:$N$18, 7, FALSE),0)</f>
        <v>7.1</v>
      </c>
      <c r="H10">
        <f>VLOOKUP(B10,OUTPUT_COUNTRY!$B$6:$N$18, 8, FALSE)</f>
        <v>28.499999999999996</v>
      </c>
      <c r="I10">
        <f>VLOOKUP(B10,OUTPUT_COUNTRY!$B$6:$N$18, 11, FALSE)</f>
        <v>28.499999999999996</v>
      </c>
      <c r="J10" s="56">
        <f t="shared" si="0"/>
        <v>0</v>
      </c>
      <c r="K10" s="147">
        <f t="shared" ref="K10:K21" si="6">J10/$J$22</f>
        <v>0</v>
      </c>
      <c r="L10">
        <f t="shared" si="1"/>
        <v>0</v>
      </c>
      <c r="M10" s="147">
        <f t="shared" ref="M10:M21" si="7">L10/$L$22</f>
        <v>0</v>
      </c>
      <c r="N10">
        <f t="shared" si="2"/>
        <v>0</v>
      </c>
      <c r="O10" s="147">
        <f t="shared" ref="O10:O21" si="8">N10/$N$22</f>
        <v>0</v>
      </c>
      <c r="P10">
        <f t="shared" si="3"/>
        <v>0</v>
      </c>
      <c r="Q10" s="147">
        <f t="shared" ref="Q10:Q21" si="9">P10/$P$22</f>
        <v>0</v>
      </c>
      <c r="R10" s="167" t="str">
        <f t="shared" si="4"/>
        <v/>
      </c>
      <c r="S10" s="167" t="str">
        <f t="shared" si="5"/>
        <v/>
      </c>
      <c r="U10" s="59"/>
    </row>
    <row r="11" spans="2:21" x14ac:dyDescent="0.35">
      <c r="B11" s="65" t="s">
        <v>49</v>
      </c>
      <c r="C11" s="65" t="str" cm="1">
        <f t="array" ref="C11">_xll.FDS(B11,"FG_COMPANY_NAME")</f>
        <v>iShares MSCI Canada ETF</v>
      </c>
      <c r="D11" t="s">
        <v>604</v>
      </c>
      <c r="E11" s="147">
        <f>HLOOKUP(B11,'Monthly Returns'!$A$1:$N$139,139,FALSE)</f>
        <v>0.18176471824840604</v>
      </c>
      <c r="F11">
        <f>VLOOKUP(B11,OUTPUT_COUNTRY!$B$6:$N$18, 9, FALSE)</f>
        <v>35.699999999999996</v>
      </c>
      <c r="G11" s="56">
        <f>IFERROR(VLOOKUP(B11,OUTPUT_COUNTRY!$B$6:$N$18, 7, FALSE),0)</f>
        <v>64.2</v>
      </c>
      <c r="H11">
        <f>VLOOKUP(B11,OUTPUT_COUNTRY!$B$6:$N$18, 8, FALSE)</f>
        <v>28.499999999999996</v>
      </c>
      <c r="I11">
        <f>VLOOKUP(B11,OUTPUT_COUNTRY!$B$6:$N$18, 11, FALSE)</f>
        <v>42.8</v>
      </c>
      <c r="J11" s="56">
        <f t="shared" si="0"/>
        <v>0</v>
      </c>
      <c r="K11" s="147">
        <f t="shared" si="6"/>
        <v>0</v>
      </c>
      <c r="L11">
        <f t="shared" si="1"/>
        <v>0</v>
      </c>
      <c r="M11" s="147">
        <f t="shared" si="7"/>
        <v>0</v>
      </c>
      <c r="N11">
        <f t="shared" si="2"/>
        <v>0</v>
      </c>
      <c r="O11" s="147">
        <f t="shared" si="8"/>
        <v>0</v>
      </c>
      <c r="P11">
        <f t="shared" si="3"/>
        <v>0</v>
      </c>
      <c r="Q11" s="147">
        <f t="shared" si="9"/>
        <v>0</v>
      </c>
      <c r="R11" s="167" t="str">
        <f t="shared" si="4"/>
        <v/>
      </c>
      <c r="S11" s="167" t="str">
        <f t="shared" si="5"/>
        <v/>
      </c>
      <c r="U11" s="59"/>
    </row>
    <row r="12" spans="2:21" x14ac:dyDescent="0.35">
      <c r="B12" s="65" t="s">
        <v>11</v>
      </c>
      <c r="C12" s="65" t="str" cm="1">
        <f t="array" ref="C12">_xll.FDS(B12,"FG_COMPANY_NAME")</f>
        <v>iShares MSCI Germany ETF</v>
      </c>
      <c r="D12" t="s">
        <v>631</v>
      </c>
      <c r="E12" s="147">
        <f>HLOOKUP(B12,'Monthly Returns'!$A$1:$N$139,139,FALSE)</f>
        <v>0.22973706032995483</v>
      </c>
      <c r="F12">
        <f>VLOOKUP(B12,OUTPUT_COUNTRY!$B$6:$N$18, 9, FALSE)</f>
        <v>50</v>
      </c>
      <c r="G12" s="56">
        <f>IFERROR(VLOOKUP(B12,OUTPUT_COUNTRY!$B$6:$N$18, 7, FALSE),0)</f>
        <v>28.499999999999996</v>
      </c>
      <c r="H12">
        <f>VLOOKUP(B12,OUTPUT_COUNTRY!$B$6:$N$18, 8, FALSE)</f>
        <v>7.1</v>
      </c>
      <c r="I12">
        <f>VLOOKUP(B12,OUTPUT_COUNTRY!$B$6:$N$18, 11, FALSE)</f>
        <v>85.7</v>
      </c>
      <c r="J12" s="56">
        <f t="shared" si="0"/>
        <v>0</v>
      </c>
      <c r="K12" s="147">
        <f t="shared" si="6"/>
        <v>0</v>
      </c>
      <c r="L12">
        <f t="shared" si="1"/>
        <v>0</v>
      </c>
      <c r="M12" s="147">
        <f t="shared" si="7"/>
        <v>0</v>
      </c>
      <c r="N12">
        <f t="shared" si="2"/>
        <v>0</v>
      </c>
      <c r="O12" s="147">
        <f t="shared" si="8"/>
        <v>0</v>
      </c>
      <c r="P12">
        <f t="shared" si="3"/>
        <v>4.352802279979433</v>
      </c>
      <c r="Q12" s="147">
        <f t="shared" si="9"/>
        <v>0.25859788058828687</v>
      </c>
      <c r="R12" s="167">
        <f t="shared" si="4"/>
        <v>2.5859788058828687E-2</v>
      </c>
      <c r="S12" s="167">
        <f t="shared" si="5"/>
        <v>3.4784785059799449E-2</v>
      </c>
      <c r="U12" s="59"/>
    </row>
    <row r="13" spans="2:21" x14ac:dyDescent="0.35">
      <c r="B13" s="65" t="s">
        <v>46</v>
      </c>
      <c r="C13" s="65" t="str" cm="1">
        <f t="array" ref="C13">_xll.FDS(B13,"FG_COMPANY_NAME")</f>
        <v>iShares MSCI Japan ETF</v>
      </c>
      <c r="D13" t="s">
        <v>649</v>
      </c>
      <c r="E13" s="147">
        <f>HLOOKUP(B13,'Monthly Returns'!$A$1:$N$139,139,FALSE)</f>
        <v>0.15300535971183205</v>
      </c>
      <c r="F13">
        <f>VLOOKUP(B13,OUTPUT_COUNTRY!$B$6:$N$18, 9, FALSE)</f>
        <v>71.399999999999991</v>
      </c>
      <c r="G13" s="56">
        <f>IFERROR(VLOOKUP(B13,OUTPUT_COUNTRY!$B$6:$N$18, 7, FALSE),0)</f>
        <v>57.099999999999994</v>
      </c>
      <c r="H13">
        <f>VLOOKUP(B13,OUTPUT_COUNTRY!$B$6:$N$18, 8, FALSE)</f>
        <v>85.7</v>
      </c>
      <c r="I13">
        <f>VLOOKUP(B13,OUTPUT_COUNTRY!$B$6:$N$18, 11, FALSE)</f>
        <v>7.1</v>
      </c>
      <c r="J13" s="56">
        <f t="shared" si="0"/>
        <v>6.5357187609857901</v>
      </c>
      <c r="K13" s="147">
        <f t="shared" si="6"/>
        <v>0.30856163400849002</v>
      </c>
      <c r="L13">
        <f t="shared" si="1"/>
        <v>0</v>
      </c>
      <c r="M13" s="147">
        <f t="shared" si="7"/>
        <v>0</v>
      </c>
      <c r="N13">
        <f t="shared" si="2"/>
        <v>6.5357187609857901</v>
      </c>
      <c r="O13" s="147">
        <f t="shared" si="8"/>
        <v>0.49359890232204373</v>
      </c>
      <c r="P13">
        <f t="shared" si="3"/>
        <v>0</v>
      </c>
      <c r="Q13" s="147">
        <f t="shared" si="9"/>
        <v>0</v>
      </c>
      <c r="R13" s="167">
        <f t="shared" si="4"/>
        <v>0.20364070723644939</v>
      </c>
      <c r="S13" s="167">
        <f t="shared" si="5"/>
        <v>0.27392329026560047</v>
      </c>
      <c r="U13" s="59"/>
    </row>
    <row r="14" spans="2:21" x14ac:dyDescent="0.35">
      <c r="B14" s="65" t="s">
        <v>42</v>
      </c>
      <c r="C14" s="65" t="str" cm="1">
        <f t="array" ref="C14">_xll.FDS(B14,"FG_COMPANY_NAME")</f>
        <v>iShares MSCI Switzerland ETF</v>
      </c>
      <c r="D14" t="s">
        <v>712</v>
      </c>
      <c r="E14" s="147">
        <f>HLOOKUP(B14,'Monthly Returns'!$A$1:$N$139,139,FALSE)</f>
        <v>0.14913727073154662</v>
      </c>
      <c r="F14">
        <f>VLOOKUP(B14,OUTPUT_COUNTRY!$B$6:$N$18, 9, FALSE)</f>
        <v>14.2</v>
      </c>
      <c r="G14" s="56">
        <f>IFERROR(VLOOKUP(B14,OUTPUT_COUNTRY!$B$6:$N$18, 7, FALSE),0)</f>
        <v>92.800000000000011</v>
      </c>
      <c r="H14">
        <f>VLOOKUP(B14,OUTPUT_COUNTRY!$B$6:$N$18, 8, FALSE)</f>
        <v>85.7</v>
      </c>
      <c r="I14">
        <f>VLOOKUP(B14,OUTPUT_COUNTRY!$B$6:$N$18, 11, FALSE)</f>
        <v>35.699999999999996</v>
      </c>
      <c r="J14" s="56">
        <f t="shared" si="0"/>
        <v>0</v>
      </c>
      <c r="K14" s="147">
        <f t="shared" si="6"/>
        <v>0</v>
      </c>
      <c r="L14">
        <f t="shared" si="1"/>
        <v>6.705231999317208</v>
      </c>
      <c r="M14" s="147">
        <f t="shared" si="7"/>
        <v>0.39923801352386434</v>
      </c>
      <c r="N14">
        <f t="shared" si="2"/>
        <v>6.705231999317208</v>
      </c>
      <c r="O14" s="147">
        <f t="shared" si="8"/>
        <v>0.50640109767795627</v>
      </c>
      <c r="P14">
        <f t="shared" si="3"/>
        <v>0</v>
      </c>
      <c r="Q14" s="147">
        <f t="shared" si="9"/>
        <v>0</v>
      </c>
      <c r="R14" s="167">
        <f t="shared" si="4"/>
        <v>0.17041151382495492</v>
      </c>
      <c r="S14" s="167">
        <f t="shared" si="5"/>
        <v>0.22922569460472966</v>
      </c>
      <c r="U14" s="59"/>
    </row>
    <row r="15" spans="2:21" x14ac:dyDescent="0.35">
      <c r="B15" s="65" t="s">
        <v>48</v>
      </c>
      <c r="C15" s="65" t="str" cm="1">
        <f t="array" ref="C15">_xll.FDS(B15,"FG_COMPANY_NAME")</f>
        <v>iShares MSCI United Kingdom ETF</v>
      </c>
      <c r="D15" t="s">
        <v>725</v>
      </c>
      <c r="E15" s="147">
        <f>HLOOKUP(B15,'Monthly Returns'!$A$1:$N$139,139,FALSE)</f>
        <v>0.18005188998015093</v>
      </c>
      <c r="F15">
        <f>VLOOKUP(B15,OUTPUT_COUNTRY!$B$6:$N$18, 9, FALSE)</f>
        <v>21.4</v>
      </c>
      <c r="G15" s="56">
        <f>IFERROR(VLOOKUP(B15,OUTPUT_COUNTRY!$B$6:$N$18, 7, FALSE),0)</f>
        <v>85.7</v>
      </c>
      <c r="H15">
        <f>VLOOKUP(B15,OUTPUT_COUNTRY!$B$6:$N$18, 8, FALSE)</f>
        <v>7.1</v>
      </c>
      <c r="I15">
        <f>VLOOKUP(B15,OUTPUT_COUNTRY!$B$6:$N$18, 11, FALSE)</f>
        <v>50</v>
      </c>
      <c r="J15" s="56">
        <f t="shared" si="0"/>
        <v>0</v>
      </c>
      <c r="K15" s="147">
        <f t="shared" si="6"/>
        <v>0</v>
      </c>
      <c r="L15">
        <f t="shared" si="1"/>
        <v>5.5539544745142129</v>
      </c>
      <c r="M15" s="147">
        <f t="shared" si="7"/>
        <v>0.3306894902119456</v>
      </c>
      <c r="N15">
        <f t="shared" si="2"/>
        <v>0</v>
      </c>
      <c r="O15" s="147">
        <f t="shared" si="8"/>
        <v>0</v>
      </c>
      <c r="P15">
        <f t="shared" si="3"/>
        <v>0</v>
      </c>
      <c r="Q15" s="147">
        <f t="shared" si="9"/>
        <v>0</v>
      </c>
      <c r="R15" s="167">
        <f t="shared" si="4"/>
        <v>9.9206847063583681E-2</v>
      </c>
      <c r="S15" s="167">
        <f t="shared" si="5"/>
        <v>0.13344613821724655</v>
      </c>
      <c r="U15" s="59"/>
    </row>
    <row r="16" spans="2:21" x14ac:dyDescent="0.35">
      <c r="B16" s="65" t="s">
        <v>51</v>
      </c>
      <c r="C16" s="65" t="str" cm="1">
        <f t="array" ref="C16">_xll.FDS(B16,"FG_COMPANY_NAME")</f>
        <v>Invesco QQQ Trust Series I</v>
      </c>
      <c r="D16" t="s">
        <v>726</v>
      </c>
      <c r="E16" s="147">
        <f>HLOOKUP(B16,'Monthly Returns'!$A$1:$N$139,139,FALSE)</f>
        <v>0.22398139813876064</v>
      </c>
      <c r="F16">
        <f>VLOOKUP(B16,OUTPUT_COUNTRY!$B$6:$N$18, 9, FALSE)</f>
        <v>92.800000000000011</v>
      </c>
      <c r="G16" s="56">
        <f>IFERROR(VLOOKUP(B16,OUTPUT_COUNTRY!$B$6:$N$18, 7, FALSE),0)</f>
        <v>42.8</v>
      </c>
      <c r="H16">
        <f>VLOOKUP(B16,OUTPUT_COUNTRY!$B$6:$N$18, 8, FALSE)</f>
        <v>28.499999999999996</v>
      </c>
      <c r="I16">
        <f>VLOOKUP(B16,OUTPUT_COUNTRY!$B$6:$N$18, 11, FALSE)</f>
        <v>57.099999999999994</v>
      </c>
      <c r="J16" s="56">
        <f t="shared" si="0"/>
        <v>4.4646564773226451</v>
      </c>
      <c r="K16" s="147">
        <f t="shared" si="6"/>
        <v>0.21078350343849189</v>
      </c>
      <c r="L16">
        <f t="shared" si="1"/>
        <v>0</v>
      </c>
      <c r="M16" s="147">
        <f t="shared" si="7"/>
        <v>0</v>
      </c>
      <c r="N16">
        <f t="shared" si="2"/>
        <v>0</v>
      </c>
      <c r="O16" s="147">
        <f t="shared" si="8"/>
        <v>0</v>
      </c>
      <c r="P16">
        <f t="shared" si="3"/>
        <v>0</v>
      </c>
      <c r="Q16" s="147">
        <f t="shared" si="9"/>
        <v>0</v>
      </c>
      <c r="R16" s="167">
        <f t="shared" si="4"/>
        <v>0.10539175171924595</v>
      </c>
      <c r="S16" s="167">
        <f t="shared" si="5"/>
        <v>0.14176564101336922</v>
      </c>
      <c r="U16" s="59"/>
    </row>
    <row r="17" spans="2:21" x14ac:dyDescent="0.35">
      <c r="B17" s="65" t="s">
        <v>1</v>
      </c>
      <c r="C17" s="65" t="str" cm="1">
        <f t="array" ref="C17">_xll.FDS(B17,"FG_COMPANY_NAME")</f>
        <v>SPDR S&amp;P 500 ETF Trust</v>
      </c>
      <c r="D17" t="s">
        <v>726</v>
      </c>
      <c r="E17" s="147">
        <f>HLOOKUP(B17,'Monthly Returns'!$A$1:$N$139,139,FALSE)</f>
        <v>0.16993369084650867</v>
      </c>
      <c r="F17">
        <f>VLOOKUP(B17,OUTPUT_COUNTRY!$B$6:$N$18, 9, FALSE)</f>
        <v>78.5</v>
      </c>
      <c r="G17" s="56">
        <f>IFERROR(VLOOKUP(B17,OUTPUT_COUNTRY!$B$6:$N$18, 7, FALSE),0)</f>
        <v>64.2</v>
      </c>
      <c r="H17">
        <f>VLOOKUP(B17,OUTPUT_COUNTRY!$B$6:$N$18, 8, FALSE)</f>
        <v>28.499999999999996</v>
      </c>
      <c r="I17">
        <f>VLOOKUP(B17,OUTPUT_COUNTRY!$B$6:$N$18, 11, FALSE)</f>
        <v>57.099999999999994</v>
      </c>
      <c r="J17" s="56">
        <f t="shared" si="0"/>
        <v>5.8846482708554984</v>
      </c>
      <c r="K17" s="147">
        <f t="shared" si="6"/>
        <v>0.27782356500091077</v>
      </c>
      <c r="L17">
        <f t="shared" si="1"/>
        <v>0</v>
      </c>
      <c r="M17" s="147">
        <f t="shared" si="7"/>
        <v>0</v>
      </c>
      <c r="N17">
        <f t="shared" si="2"/>
        <v>0</v>
      </c>
      <c r="O17" s="147">
        <f t="shared" si="8"/>
        <v>0</v>
      </c>
      <c r="P17">
        <f t="shared" si="3"/>
        <v>0</v>
      </c>
      <c r="Q17" s="147">
        <f t="shared" si="9"/>
        <v>0</v>
      </c>
      <c r="R17" s="167">
        <f t="shared" si="4"/>
        <v>0.13891178250045538</v>
      </c>
      <c r="S17" s="167">
        <f t="shared" si="5"/>
        <v>0.18685445083925473</v>
      </c>
      <c r="U17" s="59"/>
    </row>
    <row r="18" spans="2:21" x14ac:dyDescent="0.35">
      <c r="B18" s="65" t="s">
        <v>872</v>
      </c>
      <c r="C18" s="65" t="str" cm="1">
        <f t="array" ref="C18">_xll.FDS(B18,"FG_COMPANY_NAME")</f>
        <v>iShares MSCI France ETF</v>
      </c>
      <c r="D18" t="s">
        <v>627</v>
      </c>
      <c r="E18" s="147">
        <f>HLOOKUP(B18,'Monthly Returns'!$A$1:$N$139,139,FALSE)</f>
        <v>0.22046401811678371</v>
      </c>
      <c r="F18">
        <f>VLOOKUP(B18,OUTPUT_COUNTRY!$B$6:$N$18, 9, FALSE)</f>
        <v>57.099999999999994</v>
      </c>
      <c r="G18" s="56">
        <f>IFERROR(VLOOKUP(B18,OUTPUT_COUNTRY!$B$6:$N$18, 7, FALSE),0)</f>
        <v>78.5</v>
      </c>
      <c r="H18">
        <f>VLOOKUP(B18,OUTPUT_COUNTRY!$B$6:$N$18, 8, FALSE)</f>
        <v>28.499999999999996</v>
      </c>
      <c r="I18">
        <f>VLOOKUP(B18,OUTPUT_COUNTRY!$B$6:$N$18, 11, FALSE)</f>
        <v>21.4</v>
      </c>
      <c r="J18" s="56">
        <f t="shared" si="0"/>
        <v>0</v>
      </c>
      <c r="K18" s="147">
        <f t="shared" si="6"/>
        <v>0</v>
      </c>
      <c r="L18">
        <f t="shared" si="1"/>
        <v>4.5358875726844561</v>
      </c>
      <c r="M18" s="147">
        <f t="shared" si="7"/>
        <v>0.27007249626419016</v>
      </c>
      <c r="N18">
        <f t="shared" si="2"/>
        <v>0</v>
      </c>
      <c r="O18" s="147">
        <f t="shared" si="8"/>
        <v>0</v>
      </c>
      <c r="P18">
        <f t="shared" si="3"/>
        <v>0</v>
      </c>
      <c r="Q18" s="147">
        <f t="shared" si="9"/>
        <v>0</v>
      </c>
      <c r="R18" s="167">
        <f t="shared" si="4"/>
        <v>8.1021748879257047E-2</v>
      </c>
      <c r="S18" s="167">
        <f t="shared" si="5"/>
        <v>0.10898481122593001</v>
      </c>
    </row>
    <row r="19" spans="2:21" x14ac:dyDescent="0.35">
      <c r="B19" s="65" t="s">
        <v>874</v>
      </c>
      <c r="C19" s="65" t="str" cm="1">
        <f t="array" ref="C19">_xll.FDS(B19,"FG_COMPANY_NAME")</f>
        <v>iShares MSCI Netherlands ETF</v>
      </c>
      <c r="D19" t="s">
        <v>679</v>
      </c>
      <c r="E19" s="147">
        <f>HLOOKUP(B19,'Monthly Returns'!$A$1:$N$139,139,FALSE)</f>
        <v>0.23276281508089769</v>
      </c>
      <c r="F19">
        <f>VLOOKUP(B19,OUTPUT_COUNTRY!$B$6:$N$18, 9, FALSE)</f>
        <v>85.7</v>
      </c>
      <c r="G19" s="56">
        <f>IFERROR(VLOOKUP(B19,OUTPUT_COUNTRY!$B$6:$N$18, 7, FALSE),0)</f>
        <v>14.2</v>
      </c>
      <c r="H19">
        <f>VLOOKUP(B19,OUTPUT_COUNTRY!$B$6:$N$18, 8, FALSE)</f>
        <v>7.1</v>
      </c>
      <c r="I19">
        <f>VLOOKUP(B19,OUTPUT_COUNTRY!$B$6:$N$18, 11, FALSE)</f>
        <v>92.800000000000011</v>
      </c>
      <c r="J19" s="56">
        <f t="shared" si="0"/>
        <v>4.296218876938938</v>
      </c>
      <c r="K19" s="147">
        <f t="shared" si="6"/>
        <v>0.20283129755210724</v>
      </c>
      <c r="L19">
        <f t="shared" si="1"/>
        <v>0</v>
      </c>
      <c r="M19" s="147">
        <f t="shared" si="7"/>
        <v>0</v>
      </c>
      <c r="N19">
        <f t="shared" si="2"/>
        <v>0</v>
      </c>
      <c r="O19" s="147">
        <f t="shared" si="8"/>
        <v>0</v>
      </c>
      <c r="P19">
        <f t="shared" si="3"/>
        <v>4.296218876938938</v>
      </c>
      <c r="Q19" s="147">
        <f t="shared" si="9"/>
        <v>0.25523628794943765</v>
      </c>
      <c r="R19" s="167">
        <f t="shared" si="4"/>
        <v>0.12693927757099738</v>
      </c>
      <c r="S19" s="167">
        <f t="shared" si="5"/>
        <v>0.17074987141844994</v>
      </c>
    </row>
    <row r="20" spans="2:21" x14ac:dyDescent="0.35">
      <c r="B20" s="65" t="s">
        <v>871</v>
      </c>
      <c r="C20" s="65" t="str" cm="1">
        <f t="array" ref="C20">_xll.FDS(B20,"FG_COMPANY_NAME")</f>
        <v>iShares MSCI Sweden ETF</v>
      </c>
      <c r="D20" t="s">
        <v>711</v>
      </c>
      <c r="E20" s="147">
        <f>HLOOKUP(B20,'Monthly Returns'!$A$1:$N$139,139,FALSE)</f>
        <v>0.25072329009598593</v>
      </c>
      <c r="F20">
        <f>VLOOKUP(B20,OUTPUT_COUNTRY!$B$6:$N$18, 9, FALSE)</f>
        <v>42.8</v>
      </c>
      <c r="G20" s="56">
        <f>IFERROR(VLOOKUP(B20,OUTPUT_COUNTRY!$B$6:$N$18, 7, FALSE),0)</f>
        <v>50</v>
      </c>
      <c r="H20">
        <f>VLOOKUP(B20,OUTPUT_COUNTRY!$B$6:$N$18, 8, FALSE)</f>
        <v>28.499999999999996</v>
      </c>
      <c r="I20">
        <f>VLOOKUP(B20,OUTPUT_COUNTRY!$B$6:$N$18, 11, FALSE)</f>
        <v>71.399999999999991</v>
      </c>
      <c r="J20" s="56">
        <f t="shared" si="0"/>
        <v>0</v>
      </c>
      <c r="K20" s="147">
        <f t="shared" si="6"/>
        <v>0</v>
      </c>
      <c r="L20">
        <f t="shared" si="1"/>
        <v>0</v>
      </c>
      <c r="M20" s="147">
        <f t="shared" si="7"/>
        <v>0</v>
      </c>
      <c r="N20">
        <f t="shared" si="2"/>
        <v>0</v>
      </c>
      <c r="O20" s="147">
        <f t="shared" si="8"/>
        <v>0</v>
      </c>
      <c r="P20">
        <f t="shared" si="3"/>
        <v>3.9884607433843255</v>
      </c>
      <c r="Q20" s="147">
        <f t="shared" si="9"/>
        <v>0.23695252591478677</v>
      </c>
      <c r="R20" s="167">
        <f t="shared" si="4"/>
        <v>2.3695252591478679E-2</v>
      </c>
      <c r="S20" s="167">
        <f t="shared" si="5"/>
        <v>3.1873202767833328E-2</v>
      </c>
    </row>
    <row r="21" spans="2:21" ht="15" thickBot="1" x14ac:dyDescent="0.4">
      <c r="B21" s="12" t="s">
        <v>873</v>
      </c>
      <c r="C21" s="12" t="str" cm="1">
        <f t="array" ref="C21">_xll.FDS(B21,"FG_COMPANY_NAME")</f>
        <v>iShares MSCI Italy ETF</v>
      </c>
      <c r="D21" s="13" t="s">
        <v>647</v>
      </c>
      <c r="E21" s="148">
        <f>HLOOKUP(B21,'Monthly Returns'!$A$1:$N$139,139,FALSE)</f>
        <v>0.23838822234388674</v>
      </c>
      <c r="F21" s="13">
        <f>VLOOKUP(B21,OUTPUT_COUNTRY!$B$6:$N$18, 9, FALSE)</f>
        <v>64.2</v>
      </c>
      <c r="G21" s="149">
        <f>IFERROR(VLOOKUP(B21,OUTPUT_COUNTRY!$B$6:$N$18, 7, FALSE),0)</f>
        <v>21.4</v>
      </c>
      <c r="H21" s="13">
        <f>VLOOKUP(B21,OUTPUT_COUNTRY!$B$6:$N$18, 8, FALSE)</f>
        <v>28.499999999999996</v>
      </c>
      <c r="I21" s="13">
        <f>VLOOKUP(B21,OUTPUT_COUNTRY!$B$6:$N$18, 11, FALSE)</f>
        <v>78.5</v>
      </c>
      <c r="J21" s="149">
        <f t="shared" si="0"/>
        <v>0</v>
      </c>
      <c r="K21" s="148">
        <f t="shared" si="6"/>
        <v>0</v>
      </c>
      <c r="L21" s="13">
        <f t="shared" si="1"/>
        <v>0</v>
      </c>
      <c r="M21" s="148">
        <f t="shared" si="7"/>
        <v>0</v>
      </c>
      <c r="N21" s="13">
        <f t="shared" si="2"/>
        <v>0</v>
      </c>
      <c r="O21" s="148">
        <f t="shared" si="8"/>
        <v>0</v>
      </c>
      <c r="P21" s="13">
        <f t="shared" si="3"/>
        <v>4.1948381097345102</v>
      </c>
      <c r="Q21" s="148">
        <f t="shared" si="9"/>
        <v>0.24921330554748866</v>
      </c>
      <c r="R21" s="168">
        <f t="shared" si="4"/>
        <v>2.4921330554748867E-2</v>
      </c>
      <c r="S21" s="168">
        <f t="shared" si="5"/>
        <v>3.3522437414377527E-2</v>
      </c>
    </row>
    <row r="22" spans="2:21" x14ac:dyDescent="0.35">
      <c r="J22" s="56">
        <f>SUM(J9:J21)</f>
        <v>21.181242386102873</v>
      </c>
      <c r="K22" s="180"/>
      <c r="L22">
        <f>SUM(L9:L21)</f>
        <v>16.795074046515875</v>
      </c>
      <c r="N22">
        <f>SUM(N9:N21)</f>
        <v>13.240950760302997</v>
      </c>
      <c r="P22">
        <f>SUM(P9:P21)</f>
        <v>16.832320010037208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4" zoomScale="95" zoomScaleNormal="95" workbookViewId="0">
      <selection activeCell="I20" sqref="I20"/>
    </sheetView>
  </sheetViews>
  <sheetFormatPr defaultRowHeight="14.5" x14ac:dyDescent="0.35"/>
  <cols>
    <col min="3" max="3" width="8.36328125" bestFit="1" customWidth="1"/>
    <col min="4" max="4" width="34.36328125" customWidth="1"/>
    <col min="5" max="5" width="9.6328125" customWidth="1"/>
    <col min="6" max="6" width="8.6328125" bestFit="1" customWidth="1"/>
    <col min="7" max="7" width="8" customWidth="1"/>
    <col min="8" max="8" width="14.36328125" customWidth="1"/>
    <col min="9" max="9" width="11.453125" customWidth="1"/>
    <col min="10" max="10" width="12.90625" customWidth="1"/>
    <col min="11" max="11" width="13.08984375" customWidth="1"/>
    <col min="12" max="12" width="17" customWidth="1"/>
  </cols>
  <sheetData>
    <row r="2" spans="3:12" x14ac:dyDescent="0.35">
      <c r="C2" s="203" t="s">
        <v>550</v>
      </c>
      <c r="D2" s="203"/>
      <c r="E2" s="203" t="s">
        <v>784</v>
      </c>
      <c r="F2" s="203"/>
      <c r="G2" s="203"/>
      <c r="H2" s="209" t="s">
        <v>784</v>
      </c>
      <c r="I2" s="203" t="s">
        <v>552</v>
      </c>
      <c r="J2" s="203" t="s">
        <v>549</v>
      </c>
      <c r="K2" s="203" t="s">
        <v>555</v>
      </c>
      <c r="L2" s="203" t="s">
        <v>743</v>
      </c>
    </row>
    <row r="3" spans="3:12" x14ac:dyDescent="0.35">
      <c r="C3" s="197"/>
      <c r="D3" s="197"/>
      <c r="E3" s="163" t="s">
        <v>551</v>
      </c>
      <c r="F3" s="163" t="s">
        <v>553</v>
      </c>
      <c r="G3" s="163" t="s">
        <v>554</v>
      </c>
      <c r="H3" s="207"/>
      <c r="I3" s="197"/>
      <c r="J3" s="197"/>
      <c r="K3" s="197"/>
      <c r="L3" s="197"/>
    </row>
    <row r="4" spans="3:12" x14ac:dyDescent="0.35">
      <c r="C4" s="86" t="s">
        <v>42</v>
      </c>
      <c r="D4" s="177" t="str" cm="1">
        <f t="array" ref="D4">_xll.FDS(C4,"FG_COMPANY_NAME")</f>
        <v>iShares MSCI Switzerland ETF</v>
      </c>
      <c r="E4" s="164" t="str">
        <f>IF(VLOOKUP(C4,OUTPUT_COUNTRY!$B$6:$N$18,3,FALSE)&gt;75,"++",(IF(VLOOKUP(C4,OUTPUT_COUNTRY!$B$6:$N$18,3,FALSE)&gt;50,"+",(IF(VLOOKUP(C4,OUTPUT_COUNTRY!$B$6:$N$18,3,FALSE)&gt;25,"-","--")))))</f>
        <v>+</v>
      </c>
      <c r="F4" s="131" t="str">
        <f>IF(VLOOKUP(C4,OUTPUT_COUNTRY!$B$6:$N$18,4,FALSE)&gt;75,"++",(IF(VLOOKUP(C4,OUTPUT_COUNTRY!$B$6:$N$18,4,FALSE)&gt;50,"+",(IF(VLOOKUP(C4,OUTPUT_COUNTRY!$B$6:$N$18,4,FALSE)&gt;25,"-","--")))))</f>
        <v>++</v>
      </c>
      <c r="G4" s="164" t="str">
        <f>IF(VLOOKUP(C4,OUTPUT_COUNTRY!$B$6:$N$18,5,FALSE)&gt;75,"++",(IF(VLOOKUP(C4,OUTPUT_COUNTRY!$B$6:$N$18,5,FALSE)&gt;50,"+",(IF(VLOOKUP(C4,OUTPUT_COUNTRY!$B$6:$N$18,5,FALSE)&gt;25,"-","--")))))</f>
        <v>++</v>
      </c>
      <c r="H4" s="131" t="str">
        <f>IF(VLOOKUP(C4,OUTPUT_COUNTRY!$B$6:$N$18,7,FALSE)&gt;75,"++",(IF(VLOOKUP(C4,OUTPUT_COUNTRY!$B$6:$N$18,7,FALSE)&gt;50,"+",(IF(VLOOKUP(C4,OUTPUT_COUNTRY!$B$6:$N$18,7,FALSE)&gt;25,"-","--")))))</f>
        <v>++</v>
      </c>
      <c r="I4" s="164" t="str">
        <f>IF(VLOOKUP(C4,OUTPUT_COUNTRY!$B$6:$N$18,8,FALSE)&gt;75,"++",(IF(VLOOKUP(C4,OUTPUT_COUNTRY!$B$6:$N$18,8,FALSE)&gt;50,"+",(IF(VLOOKUP(C4,OUTPUT_COUNTRY!$B$6:$N$18,8,FALSE)&gt;25,"-","--")))))</f>
        <v>++</v>
      </c>
      <c r="J4" s="131" t="str">
        <f>IF(VLOOKUP(C4,OUTPUT_COUNTRY!$B$6:$N$18,9,FALSE)&gt;75,"++",(IF(VLOOKUP(C4,OUTPUT_COUNTRY!$B$6:$N$18,9,FALSE)&gt;50,"+",(IF(VLOOKUP(C4,OUTPUT_COUNTRY!$B$6:$N$18,9,FALSE)&gt;25,"-","--")))))</f>
        <v>--</v>
      </c>
      <c r="K4" s="164" t="str">
        <f>IF(VLOOKUP(C4,OUTPUT_COUNTRY!$B$6:$N$18,11,FALSE)&gt;75,"++",(IF(VLOOKUP(C4,OUTPUT_COUNTRY!$B$6:$N$18,11,FALSE)&gt;50,"+",(IF(VLOOKUP(C4,OUTPUT_COUNTRY!$B$6:$N$18,11,FALSE)&gt;25,"-","--")))))</f>
        <v>-</v>
      </c>
      <c r="L4" s="131" t="str">
        <f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87" t="s">
        <v>46</v>
      </c>
      <c r="D5" s="178" t="str" cm="1">
        <f t="array" ref="D5">_xll.FDS(C5,"FG_COMPANY_NAME")</f>
        <v>iShares MSCI Japan ETF</v>
      </c>
      <c r="E5" s="170" t="str">
        <f>IF(VLOOKUP(C5,OUTPUT_COUNTRY!$B$6:$N$18,3,FALSE)&gt;75,"++",(IF(VLOOKUP(C5,OUTPUT_COUNTRY!$B$6:$N$18,3,FALSE)&gt;50,"+",(IF(VLOOKUP(C5,OUTPUT_COUNTRY!$B$6:$N$18,3,FALSE)&gt;25,"-","--")))))</f>
        <v>-</v>
      </c>
      <c r="F5" s="132" t="str">
        <f>IF(VLOOKUP(C5,OUTPUT_COUNTRY!$B$6:$N$18,4,FALSE)&gt;75,"++",(IF(VLOOKUP(C5,OUTPUT_COUNTRY!$B$6:$N$18,4,FALSE)&gt;50,"+",(IF(VLOOKUP(C5,OUTPUT_COUNTRY!$B$6:$N$18,4,FALSE)&gt;25,"-","--")))))</f>
        <v>+</v>
      </c>
      <c r="G5" s="170" t="str">
        <f>IF(VLOOKUP(C5,OUTPUT_COUNTRY!$B$6:$N$18,5,FALSE)&gt;75,"++",(IF(VLOOKUP(C5,OUTPUT_COUNTRY!$B$6:$N$18,5,FALSE)&gt;50,"+",(IF(VLOOKUP(C5,OUTPUT_COUNTRY!$B$6:$N$18,5,FALSE)&gt;25,"-","--")))))</f>
        <v>-</v>
      </c>
      <c r="H5" s="132" t="str">
        <f>IF(VLOOKUP(C5,OUTPUT_COUNTRY!$B$6:$N$18,7,FALSE)&gt;75,"++",(IF(VLOOKUP(C5,OUTPUT_COUNTRY!$B$6:$N$18,7,FALSE)&gt;50,"+",(IF(VLOOKUP(C5,OUTPUT_COUNTRY!$B$6:$N$18,7,FALSE)&gt;25,"-","--")))))</f>
        <v>+</v>
      </c>
      <c r="I5" s="170" t="str">
        <f>IF(VLOOKUP(C5,OUTPUT_COUNTRY!$B$6:$N$18,8,FALSE)&gt;75,"++",(IF(VLOOKUP(C5,OUTPUT_COUNTRY!$B$6:$N$18,8,FALSE)&gt;50,"+",(IF(VLOOKUP(C5,OUTPUT_COUNTRY!$B$6:$N$18,8,FALSE)&gt;25,"-","--")))))</f>
        <v>++</v>
      </c>
      <c r="J5" s="132" t="str">
        <f>IF(VLOOKUP(C5,OUTPUT_COUNTRY!$B$6:$N$18,9,FALSE)&gt;75,"++",(IF(VLOOKUP(C5,OUTPUT_COUNTRY!$B$6:$N$18,9,FALSE)&gt;50,"+",(IF(VLOOKUP(C5,OUTPUT_COUNTRY!$B$6:$N$18,9,FALSE)&gt;25,"-","--")))))</f>
        <v>+</v>
      </c>
      <c r="K5" s="170" t="str">
        <f>IF(VLOOKUP(C5,OUTPUT_COUNTRY!$B$6:$N$18,11,FALSE)&gt;75,"++",(IF(VLOOKUP(C5,OUTPUT_COUNTRY!$B$6:$N$18,11,FALSE)&gt;50,"+",(IF(VLOOKUP(C5,OUTPUT_COUNTRY!$B$6:$N$18,11,FALSE)&gt;25,"-","--")))))</f>
        <v>--</v>
      </c>
      <c r="L5" s="132" t="str">
        <f>IF(VLOOKUP(C5,OUTPUT_COUNTRY!$B$6:$N$18,13,FALSE)&gt;75,"++",(IF(VLOOKUP(C5,OUTPUT_COUNTRY!$B$6:$N$18,13,FALSE)&gt;50,"+",(IF(VLOOKUP(C5,OUTPUT_COUNTRY!$B$6:$N$18,13,FALSE)&gt;25,"-","--")))))</f>
        <v>++</v>
      </c>
    </row>
    <row r="6" spans="3:12" x14ac:dyDescent="0.35">
      <c r="C6" s="87" t="s">
        <v>51</v>
      </c>
      <c r="D6" s="178" t="str" cm="1">
        <f t="array" ref="D6">_xll.FDS(C6,"FG_COMPANY_NAME")</f>
        <v>Invesco QQQ Trust Series I</v>
      </c>
      <c r="E6" s="170" t="str">
        <f>IF(VLOOKUP(C6,OUTPUT_COUNTRY!$B$6:$N$18,3,FALSE)&gt;75,"++",(IF(VLOOKUP(C6,OUTPUT_COUNTRY!$B$6:$N$18,3,FALSE)&gt;50,"+",(IF(VLOOKUP(C6,OUTPUT_COUNTRY!$B$6:$N$18,3,FALSE)&gt;25,"-","--")))))</f>
        <v>--</v>
      </c>
      <c r="F6" s="132" t="str">
        <f>IF(VLOOKUP(C6,OUTPUT_COUNTRY!$B$6:$N$18,4,FALSE)&gt;75,"++",(IF(VLOOKUP(C6,OUTPUT_COUNTRY!$B$6:$N$18,4,FALSE)&gt;50,"+",(IF(VLOOKUP(C6,OUTPUT_COUNTRY!$B$6:$N$18,4,FALSE)&gt;25,"-","--")))))</f>
        <v>++</v>
      </c>
      <c r="G6" s="170" t="str">
        <f>IF(VLOOKUP(C6,OUTPUT_COUNTRY!$B$6:$N$18,5,FALSE)&gt;75,"++",(IF(VLOOKUP(C6,OUTPUT_COUNTRY!$B$6:$N$18,5,FALSE)&gt;50,"+",(IF(VLOOKUP(C6,OUTPUT_COUNTRY!$B$6:$N$18,5,FALSE)&gt;25,"-","--")))))</f>
        <v>--</v>
      </c>
      <c r="H6" s="132" t="str">
        <f>IF(VLOOKUP(C6,OUTPUT_COUNTRY!$B$6:$N$18,7,FALSE)&gt;75,"++",(IF(VLOOKUP(C6,OUTPUT_COUNTRY!$B$6:$N$18,7,FALSE)&gt;50,"+",(IF(VLOOKUP(C6,OUTPUT_COUNTRY!$B$6:$N$18,7,FALSE)&gt;25,"-","--")))))</f>
        <v>-</v>
      </c>
      <c r="I6" s="170" t="str">
        <f>IF(VLOOKUP(C6,OUTPUT_COUNTRY!$B$6:$N$18,8,FALSE)&gt;75,"++",(IF(VLOOKUP(C6,OUTPUT_COUNTRY!$B$6:$N$18,8,FALSE)&gt;50,"+",(IF(VLOOKUP(C6,OUTPUT_COUNTRY!$B$6:$N$18,8,FALSE)&gt;25,"-","--")))))</f>
        <v>-</v>
      </c>
      <c r="J6" s="132" t="str">
        <f>IF(VLOOKUP(C6,OUTPUT_COUNTRY!$B$6:$N$18,9,FALSE)&gt;75,"++",(IF(VLOOKUP(C6,OUTPUT_COUNTRY!$B$6:$N$18,9,FALSE)&gt;50,"+",(IF(VLOOKUP(C6,OUTPUT_COUNTRY!$B$6:$N$18,9,FALSE)&gt;25,"-","--")))))</f>
        <v>++</v>
      </c>
      <c r="K6" s="170" t="str">
        <f>IF(VLOOKUP(C6,OUTPUT_COUNTRY!$B$6:$N$18,11,FALSE)&gt;75,"++",(IF(VLOOKUP(C6,OUTPUT_COUNTRY!$B$6:$N$18,11,FALSE)&gt;50,"+",(IF(VLOOKUP(C6,OUTPUT_COUNTRY!$B$6:$N$18,11,FALSE)&gt;25,"-","--")))))</f>
        <v>+</v>
      </c>
      <c r="L6" s="132" t="str">
        <f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87" t="s">
        <v>1</v>
      </c>
      <c r="D7" s="178" t="str" cm="1">
        <f t="array" ref="D7">_xll.FDS(C7,"FG_COMPANY_NAME")</f>
        <v>SPDR S&amp;P 500 ETF Trust</v>
      </c>
      <c r="E7" s="170" t="str">
        <f>IF(VLOOKUP(C7,OUTPUT_COUNTRY!$B$6:$N$18,3,FALSE)&gt;75,"++",(IF(VLOOKUP(C7,OUTPUT_COUNTRY!$B$6:$N$18,3,FALSE)&gt;50,"+",(IF(VLOOKUP(C7,OUTPUT_COUNTRY!$B$6:$N$18,3,FALSE)&gt;25,"-","--")))))</f>
        <v>--</v>
      </c>
      <c r="F7" s="132" t="str">
        <f>IF(VLOOKUP(C7,OUTPUT_COUNTRY!$B$6:$N$18,4,FALSE)&gt;75,"++",(IF(VLOOKUP(C7,OUTPUT_COUNTRY!$B$6:$N$18,4,FALSE)&gt;50,"+",(IF(VLOOKUP(C7,OUTPUT_COUNTRY!$B$6:$N$18,4,FALSE)&gt;25,"-","--")))))</f>
        <v>++</v>
      </c>
      <c r="G7" s="170" t="str">
        <f>IF(VLOOKUP(C7,OUTPUT_COUNTRY!$B$6:$N$18,5,FALSE)&gt;75,"++",(IF(VLOOKUP(C7,OUTPUT_COUNTRY!$B$6:$N$18,5,FALSE)&gt;50,"+",(IF(VLOOKUP(C7,OUTPUT_COUNTRY!$B$6:$N$18,5,FALSE)&gt;25,"-","--")))))</f>
        <v>-</v>
      </c>
      <c r="H7" s="132" t="str">
        <f>IF(VLOOKUP(C7,OUTPUT_COUNTRY!$B$6:$N$18,7,FALSE)&gt;75,"++",(IF(VLOOKUP(C7,OUTPUT_COUNTRY!$B$6:$N$18,7,FALSE)&gt;50,"+",(IF(VLOOKUP(C7,OUTPUT_COUNTRY!$B$6:$N$18,7,FALSE)&gt;25,"-","--")))))</f>
        <v>+</v>
      </c>
      <c r="I7" s="170" t="str">
        <f>IF(VLOOKUP(C7,OUTPUT_COUNTRY!$B$6:$N$18,8,FALSE)&gt;75,"++",(IF(VLOOKUP(C7,OUTPUT_COUNTRY!$B$6:$N$18,8,FALSE)&gt;50,"+",(IF(VLOOKUP(C7,OUTPUT_COUNTRY!$B$6:$N$18,8,FALSE)&gt;25,"-","--")))))</f>
        <v>-</v>
      </c>
      <c r="J7" s="132" t="str">
        <f>IF(VLOOKUP(C7,OUTPUT_COUNTRY!$B$6:$N$18,9,FALSE)&gt;75,"++",(IF(VLOOKUP(C7,OUTPUT_COUNTRY!$B$6:$N$18,9,FALSE)&gt;50,"+",(IF(VLOOKUP(C7,OUTPUT_COUNTRY!$B$6:$N$18,9,FALSE)&gt;25,"-","--")))))</f>
        <v>++</v>
      </c>
      <c r="K7" s="170" t="str">
        <f>IF(VLOOKUP(C7,OUTPUT_COUNTRY!$B$6:$N$18,11,FALSE)&gt;75,"++",(IF(VLOOKUP(C7,OUTPUT_COUNTRY!$B$6:$N$18,11,FALSE)&gt;50,"+",(IF(VLOOKUP(C7,OUTPUT_COUNTRY!$B$6:$N$18,11,FALSE)&gt;25,"-","--")))))</f>
        <v>+</v>
      </c>
      <c r="L7" s="132" t="str">
        <f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87" t="s">
        <v>11</v>
      </c>
      <c r="D8" s="178" t="str" cm="1">
        <f t="array" ref="D8">_xll.FDS(C8,"FG_COMPANY_NAME")</f>
        <v>iShares MSCI Germany ETF</v>
      </c>
      <c r="E8" s="170" t="str">
        <f>IF(VLOOKUP(C8,OUTPUT_COUNTRY!$B$6:$N$18,3,FALSE)&gt;75,"++",(IF(VLOOKUP(C8,OUTPUT_COUNTRY!$B$6:$N$18,3,FALSE)&gt;50,"+",(IF(VLOOKUP(C8,OUTPUT_COUNTRY!$B$6:$N$18,3,FALSE)&gt;25,"-","--")))))</f>
        <v>+</v>
      </c>
      <c r="F8" s="132" t="str">
        <f>IF(VLOOKUP(C8,OUTPUT_COUNTRY!$B$6:$N$18,4,FALSE)&gt;75,"++",(IF(VLOOKUP(C8,OUTPUT_COUNTRY!$B$6:$N$18,4,FALSE)&gt;50,"+",(IF(VLOOKUP(C8,OUTPUT_COUNTRY!$B$6:$N$18,4,FALSE)&gt;25,"-","--")))))</f>
        <v>-</v>
      </c>
      <c r="G8" s="170" t="str">
        <f>IF(VLOOKUP(C8,OUTPUT_COUNTRY!$B$6:$N$18,5,FALSE)&gt;75,"++",(IF(VLOOKUP(C8,OUTPUT_COUNTRY!$B$6:$N$18,5,FALSE)&gt;50,"+",(IF(VLOOKUP(C8,OUTPUT_COUNTRY!$B$6:$N$18,5,FALSE)&gt;25,"-","--")))))</f>
        <v>--</v>
      </c>
      <c r="H8" s="132" t="str">
        <f>IF(VLOOKUP(C8,OUTPUT_COUNTRY!$B$6:$N$18,7,FALSE)&gt;75,"++",(IF(VLOOKUP(C8,OUTPUT_COUNTRY!$B$6:$N$18,7,FALSE)&gt;50,"+",(IF(VLOOKUP(C8,OUTPUT_COUNTRY!$B$6:$N$18,7,FALSE)&gt;25,"-","--")))))</f>
        <v>-</v>
      </c>
      <c r="I8" s="170" t="str">
        <f>IF(VLOOKUP(C8,OUTPUT_COUNTRY!$B$6:$N$18,8,FALSE)&gt;75,"++",(IF(VLOOKUP(C8,OUTPUT_COUNTRY!$B$6:$N$18,8,FALSE)&gt;50,"+",(IF(VLOOKUP(C8,OUTPUT_COUNTRY!$B$6:$N$18,8,FALSE)&gt;25,"-","--")))))</f>
        <v>--</v>
      </c>
      <c r="J8" s="132" t="str">
        <f>IF(VLOOKUP(C8,OUTPUT_COUNTRY!$B$6:$N$18,9,FALSE)&gt;75,"++",(IF(VLOOKUP(C8,OUTPUT_COUNTRY!$B$6:$N$18,9,FALSE)&gt;50,"+",(IF(VLOOKUP(C8,OUTPUT_COUNTRY!$B$6:$N$18,9,FALSE)&gt;25,"-","--")))))</f>
        <v>-</v>
      </c>
      <c r="K8" s="170" t="str">
        <f>IF(VLOOKUP(C8,OUTPUT_COUNTRY!$B$6:$N$18,11,FALSE)&gt;75,"++",(IF(VLOOKUP(C8,OUTPUT_COUNTRY!$B$6:$N$18,11,FALSE)&gt;50,"+",(IF(VLOOKUP(C8,OUTPUT_COUNTRY!$B$6:$N$18,11,FALSE)&gt;25,"-","--")))))</f>
        <v>++</v>
      </c>
      <c r="L8" s="132" t="str">
        <f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87" t="s">
        <v>48</v>
      </c>
      <c r="D9" s="178" t="str" cm="1">
        <f t="array" ref="D9">_xll.FDS(C9,"FG_COMPANY_NAME")</f>
        <v>iShares MSCI United Kingdom ETF</v>
      </c>
      <c r="E9" s="170" t="str">
        <f>IF(VLOOKUP(C9,OUTPUT_COUNTRY!$B$6:$N$18,3,FALSE)&gt;75,"++",(IF(VLOOKUP(C9,OUTPUT_COUNTRY!$B$6:$N$18,3,FALSE)&gt;50,"+",(IF(VLOOKUP(C9,OUTPUT_COUNTRY!$B$6:$N$18,3,FALSE)&gt;25,"-","--")))))</f>
        <v>++</v>
      </c>
      <c r="F9" s="132" t="str">
        <f>IF(VLOOKUP(C9,OUTPUT_COUNTRY!$B$6:$N$18,4,FALSE)&gt;75,"++",(IF(VLOOKUP(C9,OUTPUT_COUNTRY!$B$6:$N$18,4,FALSE)&gt;50,"+",(IF(VLOOKUP(C9,OUTPUT_COUNTRY!$B$6:$N$18,4,FALSE)&gt;25,"-","--")))))</f>
        <v>-</v>
      </c>
      <c r="G9" s="170" t="str">
        <f>IF(VLOOKUP(C9,OUTPUT_COUNTRY!$B$6:$N$18,5,FALSE)&gt;75,"++",(IF(VLOOKUP(C9,OUTPUT_COUNTRY!$B$6:$N$18,5,FALSE)&gt;50,"+",(IF(VLOOKUP(C9,OUTPUT_COUNTRY!$B$6:$N$18,5,FALSE)&gt;25,"-","--")))))</f>
        <v>++</v>
      </c>
      <c r="H9" s="132" t="str">
        <f>IF(VLOOKUP(C9,OUTPUT_COUNTRY!$B$6:$N$18,7,FALSE)&gt;75,"++",(IF(VLOOKUP(C9,OUTPUT_COUNTRY!$B$6:$N$18,7,FALSE)&gt;50,"+",(IF(VLOOKUP(C9,OUTPUT_COUNTRY!$B$6:$N$18,7,FALSE)&gt;25,"-","--")))))</f>
        <v>++</v>
      </c>
      <c r="I9" s="170" t="str">
        <f>IF(VLOOKUP(C9,OUTPUT_COUNTRY!$B$6:$N$18,8,FALSE)&gt;75,"++",(IF(VLOOKUP(C9,OUTPUT_COUNTRY!$B$6:$N$18,8,FALSE)&gt;50,"+",(IF(VLOOKUP(C9,OUTPUT_COUNTRY!$B$6:$N$18,8,FALSE)&gt;25,"-","--")))))</f>
        <v>--</v>
      </c>
      <c r="J9" s="132" t="str">
        <f>IF(VLOOKUP(C9,OUTPUT_COUNTRY!$B$6:$N$18,9,FALSE)&gt;75,"++",(IF(VLOOKUP(C9,OUTPUT_COUNTRY!$B$6:$N$18,9,FALSE)&gt;50,"+",(IF(VLOOKUP(C9,OUTPUT_COUNTRY!$B$6:$N$18,9,FALSE)&gt;25,"-","--")))))</f>
        <v>--</v>
      </c>
      <c r="K9" s="170" t="str">
        <f>IF(VLOOKUP(C9,OUTPUT_COUNTRY!$B$6:$N$18,11,FALSE)&gt;75,"++",(IF(VLOOKUP(C9,OUTPUT_COUNTRY!$B$6:$N$18,11,FALSE)&gt;50,"+",(IF(VLOOKUP(C9,OUTPUT_COUNTRY!$B$6:$N$18,11,FALSE)&gt;25,"-","--")))))</f>
        <v>-</v>
      </c>
      <c r="L9" s="132" t="str">
        <f>IF(VLOOKUP(C9,OUTPUT_COUNTRY!$B$6:$N$18,13,FALSE)&gt;75,"++",(IF(VLOOKUP(C9,OUTPUT_COUNTRY!$B$6:$N$18,13,FALSE)&gt;50,"+",(IF(VLOOKUP(C9,OUTPUT_COUNTRY!$B$6:$N$18,13,FALSE)&gt;25,"-","--")))))</f>
        <v>--</v>
      </c>
    </row>
    <row r="10" spans="3:12" x14ac:dyDescent="0.35">
      <c r="C10" s="87" t="s">
        <v>49</v>
      </c>
      <c r="D10" s="178" t="str" cm="1">
        <f t="array" ref="D10">_xll.FDS(C10,"FG_COMPANY_NAME")</f>
        <v>iShares MSCI Canada ETF</v>
      </c>
      <c r="E10" s="170" t="str">
        <f>IF(VLOOKUP(C10,OUTPUT_COUNTRY!$B$6:$N$18,3,FALSE)&gt;75,"++",(IF(VLOOKUP(C10,OUTPUT_COUNTRY!$B$6:$N$18,3,FALSE)&gt;50,"+",(IF(VLOOKUP(C10,OUTPUT_COUNTRY!$B$6:$N$18,3,FALSE)&gt;25,"-","--")))))</f>
        <v>-</v>
      </c>
      <c r="F10" s="132" t="str">
        <f>IF(VLOOKUP(C10,OUTPUT_COUNTRY!$B$6:$N$18,4,FALSE)&gt;75,"++",(IF(VLOOKUP(C10,OUTPUT_COUNTRY!$B$6:$N$18,4,FALSE)&gt;50,"+",(IF(VLOOKUP(C10,OUTPUT_COUNTRY!$B$6:$N$18,4,FALSE)&gt;25,"-","--")))))</f>
        <v>+</v>
      </c>
      <c r="G10" s="170" t="str">
        <f>IF(VLOOKUP(C10,OUTPUT_COUNTRY!$B$6:$N$18,5,FALSE)&gt;75,"++",(IF(VLOOKUP(C10,OUTPUT_COUNTRY!$B$6:$N$18,5,FALSE)&gt;50,"+",(IF(VLOOKUP(C10,OUTPUT_COUNTRY!$B$6:$N$18,5,FALSE)&gt;25,"-","--")))))</f>
        <v>+</v>
      </c>
      <c r="H10" s="132" t="str">
        <f>IF(VLOOKUP(C10,OUTPUT_COUNTRY!$B$6:$N$18,7,FALSE)&gt;75,"++",(IF(VLOOKUP(C10,OUTPUT_COUNTRY!$B$6:$N$18,7,FALSE)&gt;50,"+",(IF(VLOOKUP(C10,OUTPUT_COUNTRY!$B$6:$N$18,7,FALSE)&gt;25,"-","--")))))</f>
        <v>+</v>
      </c>
      <c r="I10" s="170" t="str">
        <f>IF(VLOOKUP(C10,OUTPUT_COUNTRY!$B$6:$N$18,8,FALSE)&gt;75,"++",(IF(VLOOKUP(C10,OUTPUT_COUNTRY!$B$6:$N$18,8,FALSE)&gt;50,"+",(IF(VLOOKUP(C10,OUTPUT_COUNTRY!$B$6:$N$18,8,FALSE)&gt;25,"-","--")))))</f>
        <v>-</v>
      </c>
      <c r="J10" s="132" t="str">
        <f>IF(VLOOKUP(C10,OUTPUT_COUNTRY!$B$6:$N$18,9,FALSE)&gt;75,"++",(IF(VLOOKUP(C10,OUTPUT_COUNTRY!$B$6:$N$18,9,FALSE)&gt;50,"+",(IF(VLOOKUP(C10,OUTPUT_COUNTRY!$B$6:$N$18,9,FALSE)&gt;25,"-","--")))))</f>
        <v>-</v>
      </c>
      <c r="K10" s="170" t="str">
        <f>IF(VLOOKUP(C10,OUTPUT_COUNTRY!$B$6:$N$18,11,FALSE)&gt;75,"++",(IF(VLOOKUP(C10,OUTPUT_COUNTRY!$B$6:$N$18,11,FALSE)&gt;50,"+",(IF(VLOOKUP(C10,OUTPUT_COUNTRY!$B$6:$N$18,11,FALSE)&gt;25,"-","--")))))</f>
        <v>-</v>
      </c>
      <c r="L10" s="132" t="str">
        <f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87" t="s">
        <v>44</v>
      </c>
      <c r="D11" s="178" t="str" cm="1">
        <f t="array" ref="D11">_xll.FDS(C11,"FG_COMPANY_NAME")</f>
        <v>iShares MSCI Australia ETF</v>
      </c>
      <c r="E11" s="170" t="str">
        <f>IF(VLOOKUP(C11,OUTPUT_COUNTRY!$B$6:$N$18,3,FALSE)&gt;75,"++",(IF(VLOOKUP(C11,OUTPUT_COUNTRY!$B$6:$N$18,3,FALSE)&gt;50,"+",(IF(VLOOKUP(C11,OUTPUT_COUNTRY!$B$6:$N$18,3,FALSE)&gt;25,"-","--")))))</f>
        <v>-</v>
      </c>
      <c r="F11" s="132" t="str">
        <f>IF(VLOOKUP(C11,OUTPUT_COUNTRY!$B$6:$N$18,4,FALSE)&gt;75,"++",(IF(VLOOKUP(C11,OUTPUT_COUNTRY!$B$6:$N$18,4,FALSE)&gt;50,"+",(IF(VLOOKUP(C11,OUTPUT_COUNTRY!$B$6:$N$18,4,FALSE)&gt;25,"-","--")))))</f>
        <v>--</v>
      </c>
      <c r="G11" s="170" t="str">
        <f>IF(VLOOKUP(C11,OUTPUT_COUNTRY!$B$6:$N$18,5,FALSE)&gt;75,"++",(IF(VLOOKUP(C11,OUTPUT_COUNTRY!$B$6:$N$18,5,FALSE)&gt;50,"+",(IF(VLOOKUP(C11,OUTPUT_COUNTRY!$B$6:$N$18,5,FALSE)&gt;25,"-","--")))))</f>
        <v>+</v>
      </c>
      <c r="H11" s="132" t="str">
        <f>IF(VLOOKUP(C11,OUTPUT_COUNTRY!$B$6:$N$18,7,FALSE)&gt;75,"++",(IF(VLOOKUP(C11,OUTPUT_COUNTRY!$B$6:$N$18,7,FALSE)&gt;50,"+",(IF(VLOOKUP(C11,OUTPUT_COUNTRY!$B$6:$N$18,7,FALSE)&gt;25,"-","--")))))</f>
        <v>--</v>
      </c>
      <c r="I11" s="170" t="str">
        <f>IF(VLOOKUP(C11,OUTPUT_COUNTRY!$B$6:$N$18,8,FALSE)&gt;75,"++",(IF(VLOOKUP(C11,OUTPUT_COUNTRY!$B$6:$N$18,8,FALSE)&gt;50,"+",(IF(VLOOKUP(C11,OUTPUT_COUNTRY!$B$6:$N$18,8,FALSE)&gt;25,"-","--")))))</f>
        <v>-</v>
      </c>
      <c r="J11" s="132" t="str">
        <f>IF(VLOOKUP(C11,OUTPUT_COUNTRY!$B$6:$N$18,9,FALSE)&gt;75,"++",(IF(VLOOKUP(C11,OUTPUT_COUNTRY!$B$6:$N$18,9,FALSE)&gt;50,"+",(IF(VLOOKUP(C11,OUTPUT_COUNTRY!$B$6:$N$18,9,FALSE)&gt;25,"-","--")))))</f>
        <v>-</v>
      </c>
      <c r="K11" s="170" t="str">
        <f>IF(VLOOKUP(C11,OUTPUT_COUNTRY!$B$6:$N$18,11,FALSE)&gt;75,"++",(IF(VLOOKUP(C11,OUTPUT_COUNTRY!$B$6:$N$18,11,FALSE)&gt;50,"+",(IF(VLOOKUP(C11,OUTPUT_COUNTRY!$B$6:$N$18,11,FALSE)&gt;25,"-","--")))))</f>
        <v>-</v>
      </c>
      <c r="L11" s="132" t="str">
        <f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87" t="s">
        <v>435</v>
      </c>
      <c r="D12" s="178" t="str" cm="1">
        <f t="array" ref="D12">_xll.FDS(C12,"FG_COMPANY_NAME")</f>
        <v>iShares MSCI New Zealand ETF</v>
      </c>
      <c r="E12" s="170" t="str">
        <f>IF(VLOOKUP(C12,OUTPUT_COUNTRY!$B$6:$N$18,3,FALSE)&gt;75,"++",(IF(VLOOKUP(C12,OUTPUT_COUNTRY!$B$6:$N$18,3,FALSE)&gt;50,"+",(IF(VLOOKUP(C12,OUTPUT_COUNTRY!$B$6:$N$18,3,FALSE)&gt;25,"-","--")))))</f>
        <v>--</v>
      </c>
      <c r="F12" s="132" t="str">
        <f>IF(VLOOKUP(C12,OUTPUT_COUNTRY!$B$6:$N$18,4,FALSE)&gt;75,"++",(IF(VLOOKUP(C12,OUTPUT_COUNTRY!$B$6:$N$18,4,FALSE)&gt;50,"+",(IF(VLOOKUP(C12,OUTPUT_COUNTRY!$B$6:$N$18,4,FALSE)&gt;25,"-","--")))))</f>
        <v>--</v>
      </c>
      <c r="G12" s="170" t="str">
        <f>IF(VLOOKUP(C12,OUTPUT_COUNTRY!$B$6:$N$18,5,FALSE)&gt;75,"++",(IF(VLOOKUP(C12,OUTPUT_COUNTRY!$B$6:$N$18,5,FALSE)&gt;50,"+",(IF(VLOOKUP(C12,OUTPUT_COUNTRY!$B$6:$N$18,5,FALSE)&gt;25,"-","--")))))</f>
        <v>++</v>
      </c>
      <c r="H12" s="132" t="str">
        <f>IF(VLOOKUP(C12,OUTPUT_COUNTRY!$B$6:$N$18,7,FALSE)&gt;75,"++",(IF(VLOOKUP(C12,OUTPUT_COUNTRY!$B$6:$N$18,7,FALSE)&gt;50,"+",(IF(VLOOKUP(C12,OUTPUT_COUNTRY!$B$6:$N$18,7,FALSE)&gt;25,"-","--")))))</f>
        <v>-</v>
      </c>
      <c r="I12" s="170" t="str">
        <f>IF(VLOOKUP(C12,OUTPUT_COUNTRY!$B$6:$N$18,8,FALSE)&gt;75,"++",(IF(VLOOKUP(C12,OUTPUT_COUNTRY!$B$6:$N$18,8,FALSE)&gt;50,"+",(IF(VLOOKUP(C12,OUTPUT_COUNTRY!$B$6:$N$18,8,FALSE)&gt;25,"-","--")))))</f>
        <v>-</v>
      </c>
      <c r="J12" s="132" t="str">
        <f>IF(VLOOKUP(C12,OUTPUT_COUNTRY!$B$6:$N$18,9,FALSE)&gt;75,"++",(IF(VLOOKUP(C12,OUTPUT_COUNTRY!$B$6:$N$18,9,FALSE)&gt;50,"+",(IF(VLOOKUP(C12,OUTPUT_COUNTRY!$B$6:$N$18,9,FALSE)&gt;25,"-","--")))))</f>
        <v>--</v>
      </c>
      <c r="K12" s="170" t="str">
        <f>IF(VLOOKUP(C12,OUTPUT_COUNTRY!$B$6:$N$18,11,FALSE)&gt;75,"++",(IF(VLOOKUP(C12,OUTPUT_COUNTRY!$B$6:$N$18,11,FALSE)&gt;50,"+",(IF(VLOOKUP(C12,OUTPUT_COUNTRY!$B$6:$N$18,11,FALSE)&gt;25,"-","--")))))</f>
        <v>--</v>
      </c>
      <c r="L12" s="132" t="str">
        <f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87" t="s">
        <v>872</v>
      </c>
      <c r="D13" s="178" t="str" cm="1">
        <f t="array" ref="D13">_xll.FDS(C13,"FG_COMPANY_NAME")</f>
        <v>iShares MSCI France ETF</v>
      </c>
      <c r="E13" s="170" t="str">
        <f>IF(VLOOKUP(C13,OUTPUT_COUNTRY!$B$6:$N$18,3,FALSE)&gt;75,"++",(IF(VLOOKUP(C13,OUTPUT_COUNTRY!$B$6:$N$18,3,FALSE)&gt;50,"+",(IF(VLOOKUP(C13,OUTPUT_COUNTRY!$B$6:$N$18,3,FALSE)&gt;25,"-","--")))))</f>
        <v>+</v>
      </c>
      <c r="F13" s="132" t="str">
        <f>IF(VLOOKUP(C13,OUTPUT_COUNTRY!$B$6:$N$18,4,FALSE)&gt;75,"++",(IF(VLOOKUP(C13,OUTPUT_COUNTRY!$B$6:$N$18,4,FALSE)&gt;50,"+",(IF(VLOOKUP(C13,OUTPUT_COUNTRY!$B$6:$N$18,4,FALSE)&gt;25,"-","--")))))</f>
        <v>+</v>
      </c>
      <c r="G13" s="170" t="str">
        <f>IF(VLOOKUP(C13,OUTPUT_COUNTRY!$B$6:$N$18,5,FALSE)&gt;75,"++",(IF(VLOOKUP(C13,OUTPUT_COUNTRY!$B$6:$N$18,5,FALSE)&gt;50,"+",(IF(VLOOKUP(C13,OUTPUT_COUNTRY!$B$6:$N$18,5,FALSE)&gt;25,"-","--")))))</f>
        <v>+</v>
      </c>
      <c r="H13" s="132" t="str">
        <f>IF(VLOOKUP(C13,OUTPUT_COUNTRY!$B$6:$N$18,7,FALSE)&gt;75,"++",(IF(VLOOKUP(C13,OUTPUT_COUNTRY!$B$6:$N$18,7,FALSE)&gt;50,"+",(IF(VLOOKUP(C13,OUTPUT_COUNTRY!$B$6:$N$18,7,FALSE)&gt;25,"-","--")))))</f>
        <v>++</v>
      </c>
      <c r="I13" s="170" t="str">
        <f>IF(VLOOKUP(C13,OUTPUT_COUNTRY!$B$6:$N$18,8,FALSE)&gt;75,"++",(IF(VLOOKUP(C13,OUTPUT_COUNTRY!$B$6:$N$18,8,FALSE)&gt;50,"+",(IF(VLOOKUP(C13,OUTPUT_COUNTRY!$B$6:$N$18,8,FALSE)&gt;25,"-","--")))))</f>
        <v>-</v>
      </c>
      <c r="J13" s="132" t="str">
        <f>IF(VLOOKUP(C13,OUTPUT_COUNTRY!$B$6:$N$18,9,FALSE)&gt;75,"++",(IF(VLOOKUP(C13,OUTPUT_COUNTRY!$B$6:$N$18,9,FALSE)&gt;50,"+",(IF(VLOOKUP(C13,OUTPUT_COUNTRY!$B$6:$N$18,9,FALSE)&gt;25,"-","--")))))</f>
        <v>+</v>
      </c>
      <c r="K13" s="170" t="str">
        <f>IF(VLOOKUP(C13,OUTPUT_COUNTRY!$B$6:$N$18,11,FALSE)&gt;75,"++",(IF(VLOOKUP(C13,OUTPUT_COUNTRY!$B$6:$N$18,11,FALSE)&gt;50,"+",(IF(VLOOKUP(C13,OUTPUT_COUNTRY!$B$6:$N$18,11,FALSE)&gt;25,"-","--")))))</f>
        <v>--</v>
      </c>
      <c r="L13" s="132" t="str">
        <f>IF(VLOOKUP(C13,OUTPUT_COUNTRY!$B$6:$N$18,13,FALSE)&gt;75,"++",(IF(VLOOKUP(C13,OUTPUT_COUNTRY!$B$6:$N$18,13,FALSE)&gt;50,"+",(IF(VLOOKUP(C13,OUTPUT_COUNTRY!$B$6:$N$18,13,FALSE)&gt;25,"-","--")))))</f>
        <v>+</v>
      </c>
    </row>
    <row r="14" spans="3:12" x14ac:dyDescent="0.35">
      <c r="C14" s="87" t="s">
        <v>874</v>
      </c>
      <c r="D14" s="178" t="str" cm="1">
        <f t="array" ref="D14">_xll.FDS(C14,"FG_COMPANY_NAME")</f>
        <v>iShares MSCI Netherlands ETF</v>
      </c>
      <c r="E14" s="170" t="str">
        <f>IF(VLOOKUP(C14,OUTPUT_COUNTRY!$B$6:$N$18,3,FALSE)&gt;75,"++",(IF(VLOOKUP(C14,OUTPUT_COUNTRY!$B$6:$N$18,3,FALSE)&gt;50,"+",(IF(VLOOKUP(C14,OUTPUT_COUNTRY!$B$6:$N$18,3,FALSE)&gt;25,"-","--")))))</f>
        <v>-</v>
      </c>
      <c r="F14" s="132" t="str">
        <f>IF(VLOOKUP(C14,OUTPUT_COUNTRY!$B$6:$N$18,4,FALSE)&gt;75,"++",(IF(VLOOKUP(C14,OUTPUT_COUNTRY!$B$6:$N$18,4,FALSE)&gt;50,"+",(IF(VLOOKUP(C14,OUTPUT_COUNTRY!$B$6:$N$18,4,FALSE)&gt;25,"-","--")))))</f>
        <v>-</v>
      </c>
      <c r="G14" s="170" t="str">
        <f>IF(VLOOKUP(C14,OUTPUT_COUNTRY!$B$6:$N$18,5,FALSE)&gt;75,"++",(IF(VLOOKUP(C14,OUTPUT_COUNTRY!$B$6:$N$18,5,FALSE)&gt;50,"+",(IF(VLOOKUP(C14,OUTPUT_COUNTRY!$B$6:$N$18,5,FALSE)&gt;25,"-","--")))))</f>
        <v>-</v>
      </c>
      <c r="H14" s="132" t="str">
        <f>IF(VLOOKUP(C14,OUTPUT_COUNTRY!$B$6:$N$18,7,FALSE)&gt;75,"++",(IF(VLOOKUP(C14,OUTPUT_COUNTRY!$B$6:$N$18,7,FALSE)&gt;50,"+",(IF(VLOOKUP(C14,OUTPUT_COUNTRY!$B$6:$N$18,7,FALSE)&gt;25,"-","--")))))</f>
        <v>--</v>
      </c>
      <c r="I14" s="170" t="str">
        <f>IF(VLOOKUP(C14,OUTPUT_COUNTRY!$B$6:$N$18,8,FALSE)&gt;75,"++",(IF(VLOOKUP(C14,OUTPUT_COUNTRY!$B$6:$N$18,8,FALSE)&gt;50,"+",(IF(VLOOKUP(C14,OUTPUT_COUNTRY!$B$6:$N$18,8,FALSE)&gt;25,"-","--")))))</f>
        <v>--</v>
      </c>
      <c r="J14" s="132" t="str">
        <f>IF(VLOOKUP(C14,OUTPUT_COUNTRY!$B$6:$N$18,9,FALSE)&gt;75,"++",(IF(VLOOKUP(C14,OUTPUT_COUNTRY!$B$6:$N$18,9,FALSE)&gt;50,"+",(IF(VLOOKUP(C14,OUTPUT_COUNTRY!$B$6:$N$18,9,FALSE)&gt;25,"-","--")))))</f>
        <v>++</v>
      </c>
      <c r="K14" s="170" t="str">
        <f>IF(VLOOKUP(C14,OUTPUT_COUNTRY!$B$6:$N$18,11,FALSE)&gt;75,"++",(IF(VLOOKUP(C14,OUTPUT_COUNTRY!$B$6:$N$18,11,FALSE)&gt;50,"+",(IF(VLOOKUP(C14,OUTPUT_COUNTRY!$B$6:$N$18,11,FALSE)&gt;25,"-","--")))))</f>
        <v>++</v>
      </c>
      <c r="L14" s="132" t="str">
        <f>IF(VLOOKUP(C14,OUTPUT_COUNTRY!$B$6:$N$18,13,FALSE)&gt;75,"++",(IF(VLOOKUP(C14,OUTPUT_COUNTRY!$B$6:$N$18,13,FALSE)&gt;50,"+",(IF(VLOOKUP(C14,OUTPUT_COUNTRY!$B$6:$N$18,13,FALSE)&gt;25,"-","--")))))</f>
        <v>+</v>
      </c>
    </row>
    <row r="15" spans="3:12" x14ac:dyDescent="0.35">
      <c r="C15" s="87" t="s">
        <v>871</v>
      </c>
      <c r="D15" s="178" t="str" cm="1">
        <f t="array" ref="D15">_xll.FDS(C15,"FG_COMPANY_NAME")</f>
        <v>iShares MSCI Sweden ETF</v>
      </c>
      <c r="E15" s="170" t="str">
        <f>IF(VLOOKUP(C15,OUTPUT_COUNTRY!$B$6:$N$18,3,FALSE)&gt;75,"++",(IF(VLOOKUP(C15,OUTPUT_COUNTRY!$B$6:$N$18,3,FALSE)&gt;50,"+",(IF(VLOOKUP(C15,OUTPUT_COUNTRY!$B$6:$N$18,3,FALSE)&gt;25,"-","--")))))</f>
        <v>+</v>
      </c>
      <c r="F15" s="132" t="str">
        <f>IF(VLOOKUP(C15,OUTPUT_COUNTRY!$B$6:$N$18,4,FALSE)&gt;75,"++",(IF(VLOOKUP(C15,OUTPUT_COUNTRY!$B$6:$N$18,4,FALSE)&gt;50,"+",(IF(VLOOKUP(C15,OUTPUT_COUNTRY!$B$6:$N$18,4,FALSE)&gt;25,"-","--")))))</f>
        <v>-</v>
      </c>
      <c r="G15" s="170" t="str">
        <f>IF(VLOOKUP(C15,OUTPUT_COUNTRY!$B$6:$N$18,5,FALSE)&gt;75,"++",(IF(VLOOKUP(C15,OUTPUT_COUNTRY!$B$6:$N$18,5,FALSE)&gt;50,"+",(IF(VLOOKUP(C15,OUTPUT_COUNTRY!$B$6:$N$18,5,FALSE)&gt;25,"-","--")))))</f>
        <v>-</v>
      </c>
      <c r="H15" s="132" t="str">
        <f>IF(VLOOKUP(C15,OUTPUT_COUNTRY!$B$6:$N$18,7,FALSE)&gt;75,"++",(IF(VLOOKUP(C15,OUTPUT_COUNTRY!$B$6:$N$18,7,FALSE)&gt;50,"+",(IF(VLOOKUP(C15,OUTPUT_COUNTRY!$B$6:$N$18,7,FALSE)&gt;25,"-","--")))))</f>
        <v>-</v>
      </c>
      <c r="I15" s="170" t="str">
        <f>IF(VLOOKUP(C15,OUTPUT_COUNTRY!$B$6:$N$18,8,FALSE)&gt;75,"++",(IF(VLOOKUP(C15,OUTPUT_COUNTRY!$B$6:$N$18,8,FALSE)&gt;50,"+",(IF(VLOOKUP(C15,OUTPUT_COUNTRY!$B$6:$N$18,8,FALSE)&gt;25,"-","--")))))</f>
        <v>-</v>
      </c>
      <c r="J15" s="132" t="str">
        <f>IF(VLOOKUP(C15,OUTPUT_COUNTRY!$B$6:$N$18,9,FALSE)&gt;75,"++",(IF(VLOOKUP(C15,OUTPUT_COUNTRY!$B$6:$N$18,9,FALSE)&gt;50,"+",(IF(VLOOKUP(C15,OUTPUT_COUNTRY!$B$6:$N$18,9,FALSE)&gt;25,"-","--")))))</f>
        <v>-</v>
      </c>
      <c r="K15" s="170" t="str">
        <f>IF(VLOOKUP(C15,OUTPUT_COUNTRY!$B$6:$N$18,11,FALSE)&gt;75,"++",(IF(VLOOKUP(C15,OUTPUT_COUNTRY!$B$6:$N$18,11,FALSE)&gt;50,"+",(IF(VLOOKUP(C15,OUTPUT_COUNTRY!$B$6:$N$18,11,FALSE)&gt;25,"-","--")))))</f>
        <v>+</v>
      </c>
      <c r="L15" s="132" t="str">
        <f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88" t="s">
        <v>873</v>
      </c>
      <c r="D16" s="179" t="str" cm="1">
        <f t="array" ref="D16">_xll.FDS(C16,"FG_COMPANY_NAME")</f>
        <v>iShares MSCI Italy ETF</v>
      </c>
      <c r="E16" s="165" t="str">
        <f>IF(VLOOKUP(C16,OUTPUT_COUNTRY!$B$6:$N$18,3,FALSE)&gt;75,"++",(IF(VLOOKUP(C16,OUTPUT_COUNTRY!$B$6:$N$18,3,FALSE)&gt;50,"+",(IF(VLOOKUP(C16,OUTPUT_COUNTRY!$B$6:$N$18,3,FALSE)&gt;25,"-","--")))))</f>
        <v>++</v>
      </c>
      <c r="F16" s="133" t="str">
        <f>IF(VLOOKUP(C16,OUTPUT_COUNTRY!$B$6:$N$18,4,FALSE)&gt;75,"++",(IF(VLOOKUP(C16,OUTPUT_COUNTRY!$B$6:$N$18,4,FALSE)&gt;50,"+",(IF(VLOOKUP(C16,OUTPUT_COUNTRY!$B$6:$N$18,4,FALSE)&gt;25,"-","--")))))</f>
        <v>--</v>
      </c>
      <c r="G16" s="165" t="str">
        <f>IF(VLOOKUP(C16,OUTPUT_COUNTRY!$B$6:$N$18,5,FALSE)&gt;75,"++",(IF(VLOOKUP(C16,OUTPUT_COUNTRY!$B$6:$N$18,5,FALSE)&gt;50,"+",(IF(VLOOKUP(C16,OUTPUT_COUNTRY!$B$6:$N$18,5,FALSE)&gt;25,"-","--")))))</f>
        <v>--</v>
      </c>
      <c r="H16" s="133" t="str">
        <f>IF(VLOOKUP(C16,OUTPUT_COUNTRY!$B$6:$N$18,7,FALSE)&gt;75,"++",(IF(VLOOKUP(C16,OUTPUT_COUNTRY!$B$6:$N$18,7,FALSE)&gt;50,"+",(IF(VLOOKUP(C16,OUTPUT_COUNTRY!$B$6:$N$18,7,FALSE)&gt;25,"-","--")))))</f>
        <v>--</v>
      </c>
      <c r="I16" s="165" t="str">
        <f>IF(VLOOKUP(C16,OUTPUT_COUNTRY!$B$6:$N$18,8,FALSE)&gt;75,"++",(IF(VLOOKUP(C16,OUTPUT_COUNTRY!$B$6:$N$18,8,FALSE)&gt;50,"+",(IF(VLOOKUP(C16,OUTPUT_COUNTRY!$B$6:$N$18,8,FALSE)&gt;25,"-","--")))))</f>
        <v>-</v>
      </c>
      <c r="J16" s="133" t="str">
        <f>IF(VLOOKUP(C16,OUTPUT_COUNTRY!$B$6:$N$18,9,FALSE)&gt;75,"++",(IF(VLOOKUP(C16,OUTPUT_COUNTRY!$B$6:$N$18,9,FALSE)&gt;50,"+",(IF(VLOOKUP(C16,OUTPUT_COUNTRY!$B$6:$N$18,9,FALSE)&gt;25,"-","--")))))</f>
        <v>+</v>
      </c>
      <c r="K16" s="165" t="str">
        <f>IF(VLOOKUP(C16,OUTPUT_COUNTRY!$B$6:$N$18,11,FALSE)&gt;75,"++",(IF(VLOOKUP(C16,OUTPUT_COUNTRY!$B$6:$N$18,11,FALSE)&gt;50,"+",(IF(VLOOKUP(C16,OUTPUT_COUNTRY!$B$6:$N$18,11,FALSE)&gt;25,"-","--")))))</f>
        <v>++</v>
      </c>
      <c r="L16" s="133" t="str">
        <f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36328125" style="36" customWidth="1"/>
    <col min="2" max="2" width="16.36328125" customWidth="1"/>
    <col min="3" max="3" width="66.08984375" bestFit="1" customWidth="1"/>
    <col min="4" max="4" width="16.453125" bestFit="1" customWidth="1"/>
  </cols>
  <sheetData>
    <row r="1" spans="1:4" x14ac:dyDescent="0.35">
      <c r="C1" s="1" t="s">
        <v>155</v>
      </c>
    </row>
    <row r="2" spans="1:4" x14ac:dyDescent="0.35">
      <c r="A2" s="37" t="s">
        <v>156</v>
      </c>
      <c r="B2" s="38" t="s">
        <v>157</v>
      </c>
      <c r="C2" s="39" t="s">
        <v>158</v>
      </c>
      <c r="D2" s="39" t="s">
        <v>159</v>
      </c>
    </row>
    <row r="3" spans="1:4" x14ac:dyDescent="0.35">
      <c r="C3" s="40" t="s">
        <v>160</v>
      </c>
      <c r="D3" s="41"/>
    </row>
    <row r="4" spans="1:4" x14ac:dyDescent="0.35">
      <c r="A4" s="36" t="s">
        <v>120</v>
      </c>
      <c r="B4" t="s">
        <v>161</v>
      </c>
      <c r="C4" t="s">
        <v>162</v>
      </c>
      <c r="D4" t="s">
        <v>163</v>
      </c>
    </row>
    <row r="5" spans="1:4" x14ac:dyDescent="0.35">
      <c r="A5" s="36" t="s">
        <v>164</v>
      </c>
      <c r="B5" t="s">
        <v>165</v>
      </c>
      <c r="C5" t="s">
        <v>166</v>
      </c>
      <c r="D5" t="s">
        <v>167</v>
      </c>
    </row>
    <row r="6" spans="1:4" x14ac:dyDescent="0.35">
      <c r="A6" s="36" t="s">
        <v>118</v>
      </c>
      <c r="B6" t="s">
        <v>168</v>
      </c>
      <c r="C6" t="s">
        <v>169</v>
      </c>
      <c r="D6" t="s">
        <v>170</v>
      </c>
    </row>
    <row r="7" spans="1:4" x14ac:dyDescent="0.35">
      <c r="A7" s="36" t="s">
        <v>119</v>
      </c>
      <c r="B7" t="s">
        <v>171</v>
      </c>
      <c r="C7" t="s">
        <v>172</v>
      </c>
      <c r="D7" t="s">
        <v>173</v>
      </c>
    </row>
    <row r="8" spans="1:4" x14ac:dyDescent="0.35">
      <c r="A8" s="36" t="s">
        <v>123</v>
      </c>
      <c r="B8" t="s">
        <v>174</v>
      </c>
      <c r="C8" t="s">
        <v>175</v>
      </c>
      <c r="D8" t="s">
        <v>176</v>
      </c>
    </row>
    <row r="9" spans="1:4" x14ac:dyDescent="0.35">
      <c r="A9" s="36" t="s">
        <v>154</v>
      </c>
      <c r="C9" s="40" t="s">
        <v>177</v>
      </c>
      <c r="D9" s="42"/>
    </row>
    <row r="10" spans="1:4" x14ac:dyDescent="0.35">
      <c r="A10" s="36" t="s">
        <v>117</v>
      </c>
      <c r="B10" t="s">
        <v>178</v>
      </c>
      <c r="C10" t="s">
        <v>179</v>
      </c>
      <c r="D10" t="s">
        <v>180</v>
      </c>
    </row>
    <row r="11" spans="1:4" x14ac:dyDescent="0.35">
      <c r="A11" s="36" t="s">
        <v>108</v>
      </c>
      <c r="B11" t="s">
        <v>181</v>
      </c>
      <c r="C11" t="s">
        <v>182</v>
      </c>
      <c r="D11" t="s">
        <v>183</v>
      </c>
    </row>
    <row r="12" spans="1:4" x14ac:dyDescent="0.35">
      <c r="A12" s="36" t="s">
        <v>184</v>
      </c>
      <c r="B12" t="s">
        <v>185</v>
      </c>
      <c r="C12" t="s">
        <v>186</v>
      </c>
      <c r="D12" t="s">
        <v>187</v>
      </c>
    </row>
    <row r="13" spans="1:4" x14ac:dyDescent="0.35">
      <c r="A13" s="36" t="s">
        <v>122</v>
      </c>
      <c r="B13" t="s">
        <v>188</v>
      </c>
      <c r="C13" t="s">
        <v>189</v>
      </c>
      <c r="D13" t="s">
        <v>190</v>
      </c>
    </row>
    <row r="14" spans="1:4" x14ac:dyDescent="0.35">
      <c r="A14" s="36" t="s">
        <v>128</v>
      </c>
      <c r="B14" t="s">
        <v>191</v>
      </c>
      <c r="C14" t="s">
        <v>192</v>
      </c>
      <c r="D14" t="s">
        <v>193</v>
      </c>
    </row>
    <row r="15" spans="1:4" x14ac:dyDescent="0.35">
      <c r="A15" s="36" t="s">
        <v>118</v>
      </c>
      <c r="B15" t="s">
        <v>168</v>
      </c>
      <c r="C15" t="s">
        <v>169</v>
      </c>
      <c r="D15" t="s">
        <v>170</v>
      </c>
    </row>
    <row r="16" spans="1:4" x14ac:dyDescent="0.35">
      <c r="A16" s="36" t="s">
        <v>194</v>
      </c>
      <c r="B16" t="s">
        <v>195</v>
      </c>
      <c r="C16" t="s">
        <v>196</v>
      </c>
      <c r="D16" t="s">
        <v>197</v>
      </c>
    </row>
    <row r="17" spans="1:4" x14ac:dyDescent="0.35">
      <c r="A17" s="36" t="s">
        <v>126</v>
      </c>
      <c r="B17" t="s">
        <v>198</v>
      </c>
      <c r="C17" t="s">
        <v>199</v>
      </c>
      <c r="D17" t="s">
        <v>200</v>
      </c>
    </row>
    <row r="18" spans="1:4" x14ac:dyDescent="0.35">
      <c r="A18" s="36" t="s">
        <v>201</v>
      </c>
      <c r="B18" t="s">
        <v>202</v>
      </c>
      <c r="C18" t="s">
        <v>203</v>
      </c>
      <c r="D18" t="s">
        <v>204</v>
      </c>
    </row>
    <row r="19" spans="1:4" x14ac:dyDescent="0.35">
      <c r="A19" s="36" t="s">
        <v>205</v>
      </c>
      <c r="B19" t="s">
        <v>206</v>
      </c>
      <c r="C19" t="s">
        <v>207</v>
      </c>
      <c r="D19" t="s">
        <v>208</v>
      </c>
    </row>
    <row r="20" spans="1:4" x14ac:dyDescent="0.35">
      <c r="A20" s="36" t="s">
        <v>121</v>
      </c>
      <c r="B20" t="s">
        <v>209</v>
      </c>
      <c r="C20" t="s">
        <v>210</v>
      </c>
      <c r="D20" t="s">
        <v>211</v>
      </c>
    </row>
    <row r="21" spans="1:4" x14ac:dyDescent="0.35">
      <c r="A21" s="36" t="s">
        <v>212</v>
      </c>
      <c r="B21" t="s">
        <v>213</v>
      </c>
    </row>
    <row r="22" spans="1:4" x14ac:dyDescent="0.35">
      <c r="A22" s="36" t="s">
        <v>105</v>
      </c>
      <c r="B22" t="s">
        <v>214</v>
      </c>
      <c r="C22" t="s">
        <v>215</v>
      </c>
      <c r="D22" t="s">
        <v>216</v>
      </c>
    </row>
    <row r="23" spans="1:4" x14ac:dyDescent="0.35">
      <c r="A23" s="36" t="s">
        <v>217</v>
      </c>
      <c r="B23" t="s">
        <v>218</v>
      </c>
      <c r="C23" t="s">
        <v>219</v>
      </c>
      <c r="D23" t="s">
        <v>220</v>
      </c>
    </row>
    <row r="24" spans="1:4" x14ac:dyDescent="0.35">
      <c r="A24" s="36" t="s">
        <v>107</v>
      </c>
      <c r="B24" t="s">
        <v>221</v>
      </c>
      <c r="C24" t="s">
        <v>222</v>
      </c>
      <c r="D24" t="s">
        <v>223</v>
      </c>
    </row>
    <row r="25" spans="1:4" x14ac:dyDescent="0.35">
      <c r="A25" s="36" t="s">
        <v>224</v>
      </c>
      <c r="B25" t="s">
        <v>225</v>
      </c>
      <c r="C25" t="s">
        <v>226</v>
      </c>
      <c r="D25" t="s">
        <v>227</v>
      </c>
    </row>
    <row r="26" spans="1:4" x14ac:dyDescent="0.35">
      <c r="A26" s="36" t="s">
        <v>130</v>
      </c>
      <c r="B26" t="s">
        <v>228</v>
      </c>
      <c r="C26" t="s">
        <v>229</v>
      </c>
      <c r="D26" t="s">
        <v>230</v>
      </c>
    </row>
    <row r="27" spans="1:4" x14ac:dyDescent="0.35">
      <c r="A27" s="36" t="s">
        <v>154</v>
      </c>
      <c r="C27" s="40" t="s">
        <v>231</v>
      </c>
    </row>
    <row r="28" spans="1:4" x14ac:dyDescent="0.35">
      <c r="A28" s="36" t="s">
        <v>232</v>
      </c>
      <c r="B28" t="s">
        <v>233</v>
      </c>
      <c r="C28" t="s">
        <v>234</v>
      </c>
      <c r="D28" t="s">
        <v>235</v>
      </c>
    </row>
    <row r="29" spans="1:4" x14ac:dyDescent="0.35">
      <c r="A29" s="36" t="s">
        <v>236</v>
      </c>
      <c r="B29" t="s">
        <v>237</v>
      </c>
      <c r="C29" t="s">
        <v>238</v>
      </c>
      <c r="D29" t="s">
        <v>239</v>
      </c>
    </row>
    <row r="30" spans="1:4" x14ac:dyDescent="0.35">
      <c r="A30" s="36" t="s">
        <v>240</v>
      </c>
      <c r="B30" t="s">
        <v>241</v>
      </c>
      <c r="C30" t="s">
        <v>242</v>
      </c>
      <c r="D30" t="s">
        <v>243</v>
      </c>
    </row>
    <row r="31" spans="1:4" x14ac:dyDescent="0.35">
      <c r="A31" s="36" t="s">
        <v>244</v>
      </c>
      <c r="B31" t="s">
        <v>245</v>
      </c>
      <c r="C31" t="s">
        <v>246</v>
      </c>
      <c r="D31" t="s">
        <v>247</v>
      </c>
    </row>
    <row r="32" spans="1:4" x14ac:dyDescent="0.35">
      <c r="A32" s="36" t="s">
        <v>248</v>
      </c>
      <c r="B32" t="s">
        <v>165</v>
      </c>
      <c r="C32" t="s">
        <v>166</v>
      </c>
      <c r="D32" t="s">
        <v>167</v>
      </c>
    </row>
    <row r="33" spans="1:4" x14ac:dyDescent="0.35">
      <c r="A33" s="36" t="s">
        <v>249</v>
      </c>
      <c r="B33" t="s">
        <v>250</v>
      </c>
      <c r="C33" t="s">
        <v>251</v>
      </c>
      <c r="D33" t="s">
        <v>252</v>
      </c>
    </row>
    <row r="34" spans="1:4" x14ac:dyDescent="0.35">
      <c r="A34" s="36" t="s">
        <v>253</v>
      </c>
      <c r="B34" t="s">
        <v>254</v>
      </c>
      <c r="C34" t="s">
        <v>255</v>
      </c>
      <c r="D34" t="s">
        <v>256</v>
      </c>
    </row>
    <row r="35" spans="1:4" x14ac:dyDescent="0.35">
      <c r="A35" s="36" t="s">
        <v>257</v>
      </c>
      <c r="B35" t="s">
        <v>258</v>
      </c>
      <c r="C35" t="s">
        <v>259</v>
      </c>
      <c r="D35" t="s">
        <v>260</v>
      </c>
    </row>
    <row r="36" spans="1:4" x14ac:dyDescent="0.35">
      <c r="A36" s="36" t="s">
        <v>104</v>
      </c>
      <c r="B36" t="s">
        <v>261</v>
      </c>
      <c r="C36" t="s">
        <v>262</v>
      </c>
      <c r="D36" t="s">
        <v>263</v>
      </c>
    </row>
    <row r="37" spans="1:4" x14ac:dyDescent="0.35">
      <c r="A37" s="36" t="s">
        <v>264</v>
      </c>
      <c r="B37" t="s">
        <v>265</v>
      </c>
      <c r="C37" t="s">
        <v>266</v>
      </c>
      <c r="D37" t="s">
        <v>267</v>
      </c>
    </row>
    <row r="38" spans="1:4" x14ac:dyDescent="0.35">
      <c r="A38" s="36" t="s">
        <v>268</v>
      </c>
      <c r="B38" t="s">
        <v>269</v>
      </c>
      <c r="C38" t="s">
        <v>270</v>
      </c>
      <c r="D38" t="s">
        <v>271</v>
      </c>
    </row>
    <row r="39" spans="1:4" x14ac:dyDescent="0.35">
      <c r="A39" s="36" t="s">
        <v>272</v>
      </c>
      <c r="B39" t="s">
        <v>273</v>
      </c>
      <c r="C39" t="s">
        <v>274</v>
      </c>
      <c r="D39" t="s">
        <v>275</v>
      </c>
    </row>
    <row r="40" spans="1:4" x14ac:dyDescent="0.35">
      <c r="A40" s="36" t="s">
        <v>276</v>
      </c>
      <c r="B40" t="s">
        <v>277</v>
      </c>
      <c r="C40" t="s">
        <v>278</v>
      </c>
      <c r="D40" t="s">
        <v>279</v>
      </c>
    </row>
    <row r="41" spans="1:4" x14ac:dyDescent="0.35">
      <c r="A41" s="36" t="s">
        <v>114</v>
      </c>
      <c r="B41" t="s">
        <v>280</v>
      </c>
      <c r="C41" t="s">
        <v>281</v>
      </c>
      <c r="D41" t="s">
        <v>282</v>
      </c>
    </row>
    <row r="42" spans="1:4" x14ac:dyDescent="0.35">
      <c r="A42" s="36" t="s">
        <v>109</v>
      </c>
      <c r="B42" t="s">
        <v>283</v>
      </c>
      <c r="C42" t="s">
        <v>284</v>
      </c>
      <c r="D42" t="s">
        <v>285</v>
      </c>
    </row>
    <row r="43" spans="1:4" x14ac:dyDescent="0.35">
      <c r="A43" s="36" t="s">
        <v>286</v>
      </c>
      <c r="B43" t="s">
        <v>287</v>
      </c>
      <c r="C43" t="s">
        <v>288</v>
      </c>
      <c r="D43" t="s">
        <v>289</v>
      </c>
    </row>
    <row r="44" spans="1:4" x14ac:dyDescent="0.35">
      <c r="A44" s="36" t="s">
        <v>119</v>
      </c>
      <c r="B44" t="s">
        <v>171</v>
      </c>
      <c r="C44" t="s">
        <v>172</v>
      </c>
      <c r="D44" t="s">
        <v>173</v>
      </c>
    </row>
    <row r="45" spans="1:4" x14ac:dyDescent="0.35">
      <c r="A45" t="s">
        <v>106</v>
      </c>
      <c r="B45" t="s">
        <v>561</v>
      </c>
      <c r="C45" t="s">
        <v>166</v>
      </c>
      <c r="D45" t="s">
        <v>167</v>
      </c>
    </row>
    <row r="46" spans="1:4" x14ac:dyDescent="0.35">
      <c r="A46" s="36" t="s">
        <v>115</v>
      </c>
      <c r="B46" t="s">
        <v>491</v>
      </c>
      <c r="C46" t="s">
        <v>166</v>
      </c>
      <c r="D46" t="s">
        <v>167</v>
      </c>
    </row>
    <row r="47" spans="1:4" x14ac:dyDescent="0.35">
      <c r="A47" s="36" t="s">
        <v>154</v>
      </c>
      <c r="C47" s="40" t="s">
        <v>290</v>
      </c>
      <c r="D47" s="42"/>
    </row>
    <row r="48" spans="1:4" x14ac:dyDescent="0.35">
      <c r="A48" s="36" t="s">
        <v>291</v>
      </c>
      <c r="B48" t="s">
        <v>292</v>
      </c>
      <c r="C48" t="s">
        <v>293</v>
      </c>
      <c r="D48" t="s">
        <v>294</v>
      </c>
    </row>
    <row r="49" spans="1:4" x14ac:dyDescent="0.35">
      <c r="A49" s="36" t="s">
        <v>131</v>
      </c>
      <c r="B49" t="s">
        <v>295</v>
      </c>
      <c r="C49" t="s">
        <v>296</v>
      </c>
      <c r="D49" t="s">
        <v>297</v>
      </c>
    </row>
    <row r="50" spans="1:4" x14ac:dyDescent="0.35">
      <c r="A50" s="36" t="s">
        <v>111</v>
      </c>
      <c r="B50" t="s">
        <v>298</v>
      </c>
      <c r="C50" t="s">
        <v>299</v>
      </c>
      <c r="D50" t="s">
        <v>300</v>
      </c>
    </row>
    <row r="51" spans="1:4" x14ac:dyDescent="0.35">
      <c r="A51" s="36" t="s">
        <v>301</v>
      </c>
      <c r="B51" t="s">
        <v>302</v>
      </c>
      <c r="C51" t="s">
        <v>303</v>
      </c>
      <c r="D51" t="s">
        <v>304</v>
      </c>
    </row>
    <row r="52" spans="1:4" x14ac:dyDescent="0.35">
      <c r="A52" s="36" t="s">
        <v>125</v>
      </c>
      <c r="B52" t="s">
        <v>305</v>
      </c>
      <c r="C52" t="s">
        <v>306</v>
      </c>
      <c r="D52" t="s">
        <v>307</v>
      </c>
    </row>
    <row r="53" spans="1:4" x14ac:dyDescent="0.35">
      <c r="A53" s="36" t="s">
        <v>116</v>
      </c>
      <c r="B53" t="s">
        <v>308</v>
      </c>
      <c r="C53" t="s">
        <v>309</v>
      </c>
      <c r="D53" t="s">
        <v>310</v>
      </c>
    </row>
    <row r="54" spans="1:4" x14ac:dyDescent="0.35">
      <c r="A54" s="36" t="s">
        <v>311</v>
      </c>
      <c r="B54" t="s">
        <v>312</v>
      </c>
      <c r="C54" t="s">
        <v>313</v>
      </c>
      <c r="D54" t="s">
        <v>314</v>
      </c>
    </row>
    <row r="55" spans="1:4" x14ac:dyDescent="0.35">
      <c r="A55" s="36" t="s">
        <v>154</v>
      </c>
      <c r="C55" s="40" t="s">
        <v>315</v>
      </c>
      <c r="D55" s="42"/>
    </row>
    <row r="56" spans="1:4" x14ac:dyDescent="0.35">
      <c r="A56" s="36" t="s">
        <v>316</v>
      </c>
      <c r="B56" t="s">
        <v>317</v>
      </c>
      <c r="C56" t="s">
        <v>318</v>
      </c>
      <c r="D56" t="s">
        <v>319</v>
      </c>
    </row>
    <row r="57" spans="1:4" x14ac:dyDescent="0.35">
      <c r="A57" s="36" t="s">
        <v>320</v>
      </c>
      <c r="B57" t="s">
        <v>321</v>
      </c>
      <c r="C57" t="s">
        <v>322</v>
      </c>
      <c r="D57" t="s">
        <v>323</v>
      </c>
    </row>
    <row r="58" spans="1:4" x14ac:dyDescent="0.35">
      <c r="A58" s="36" t="s">
        <v>324</v>
      </c>
      <c r="B58" t="s">
        <v>325</v>
      </c>
      <c r="C58" t="s">
        <v>326</v>
      </c>
      <c r="D58" t="s">
        <v>327</v>
      </c>
    </row>
    <row r="59" spans="1:4" x14ac:dyDescent="0.35">
      <c r="A59" s="36" t="s">
        <v>328</v>
      </c>
      <c r="B59" t="s">
        <v>329</v>
      </c>
      <c r="C59" t="s">
        <v>330</v>
      </c>
      <c r="D59" t="s">
        <v>331</v>
      </c>
    </row>
    <row r="60" spans="1:4" x14ac:dyDescent="0.35">
      <c r="A60" s="36" t="s">
        <v>332</v>
      </c>
      <c r="B60" t="s">
        <v>333</v>
      </c>
      <c r="C60" t="s">
        <v>334</v>
      </c>
      <c r="D60" t="s">
        <v>335</v>
      </c>
    </row>
    <row r="61" spans="1:4" x14ac:dyDescent="0.35">
      <c r="A61" s="36" t="s">
        <v>336</v>
      </c>
      <c r="B61" t="s">
        <v>337</v>
      </c>
      <c r="C61" t="s">
        <v>338</v>
      </c>
      <c r="D61" t="s">
        <v>339</v>
      </c>
    </row>
    <row r="62" spans="1:4" x14ac:dyDescent="0.35">
      <c r="A62" s="36" t="s">
        <v>340</v>
      </c>
      <c r="B62" t="s">
        <v>341</v>
      </c>
      <c r="C62" t="s">
        <v>342</v>
      </c>
      <c r="D62" t="s">
        <v>343</v>
      </c>
    </row>
    <row r="63" spans="1:4" x14ac:dyDescent="0.35">
      <c r="A63" s="36" t="s">
        <v>344</v>
      </c>
      <c r="B63" t="s">
        <v>345</v>
      </c>
      <c r="C63" t="s">
        <v>346</v>
      </c>
      <c r="D63" t="s">
        <v>347</v>
      </c>
    </row>
    <row r="64" spans="1:4" x14ac:dyDescent="0.35">
      <c r="A64" s="36" t="s">
        <v>348</v>
      </c>
      <c r="B64" t="s">
        <v>349</v>
      </c>
      <c r="C64" t="s">
        <v>350</v>
      </c>
      <c r="D64" t="s">
        <v>351</v>
      </c>
    </row>
    <row r="65" spans="1:4" x14ac:dyDescent="0.35">
      <c r="A65" s="36" t="s">
        <v>352</v>
      </c>
      <c r="B65" t="s">
        <v>353</v>
      </c>
      <c r="C65" t="s">
        <v>354</v>
      </c>
      <c r="D65" t="s">
        <v>355</v>
      </c>
    </row>
    <row r="66" spans="1:4" x14ac:dyDescent="0.35">
      <c r="A66" s="36" t="s">
        <v>356</v>
      </c>
      <c r="B66" t="s">
        <v>357</v>
      </c>
      <c r="C66" t="s">
        <v>358</v>
      </c>
      <c r="D66" t="s">
        <v>359</v>
      </c>
    </row>
    <row r="67" spans="1:4" x14ac:dyDescent="0.35">
      <c r="A67" s="36" t="s">
        <v>360</v>
      </c>
      <c r="B67" t="s">
        <v>361</v>
      </c>
      <c r="C67" t="s">
        <v>362</v>
      </c>
      <c r="D67" t="s">
        <v>363</v>
      </c>
    </row>
    <row r="68" spans="1:4" x14ac:dyDescent="0.35">
      <c r="A68" s="36" t="s">
        <v>124</v>
      </c>
      <c r="B68" t="s">
        <v>364</v>
      </c>
      <c r="C68" t="s">
        <v>365</v>
      </c>
      <c r="D68" t="s">
        <v>366</v>
      </c>
    </row>
    <row r="69" spans="1:4" x14ac:dyDescent="0.35">
      <c r="A69" s="36" t="s">
        <v>129</v>
      </c>
      <c r="B69" t="s">
        <v>367</v>
      </c>
      <c r="C69" t="s">
        <v>368</v>
      </c>
      <c r="D69" t="s">
        <v>369</v>
      </c>
    </row>
    <row r="70" spans="1:4" x14ac:dyDescent="0.35">
      <c r="A70" s="36" t="s">
        <v>103</v>
      </c>
      <c r="B70" t="s">
        <v>370</v>
      </c>
      <c r="C70" t="s">
        <v>371</v>
      </c>
      <c r="D70" t="s">
        <v>372</v>
      </c>
    </row>
    <row r="71" spans="1:4" x14ac:dyDescent="0.35">
      <c r="A71" s="36" t="s">
        <v>373</v>
      </c>
      <c r="B71" t="s">
        <v>374</v>
      </c>
      <c r="C71" t="s">
        <v>375</v>
      </c>
      <c r="D71" t="s">
        <v>376</v>
      </c>
    </row>
    <row r="72" spans="1:4" x14ac:dyDescent="0.35">
      <c r="A72" s="36" t="s">
        <v>127</v>
      </c>
      <c r="B72" t="s">
        <v>377</v>
      </c>
      <c r="C72" t="s">
        <v>378</v>
      </c>
      <c r="D72" t="s">
        <v>379</v>
      </c>
    </row>
    <row r="73" spans="1:4" x14ac:dyDescent="0.35">
      <c r="A73" s="36" t="s">
        <v>380</v>
      </c>
      <c r="B73" t="s">
        <v>381</v>
      </c>
      <c r="C73" t="s">
        <v>382</v>
      </c>
      <c r="D73" t="s">
        <v>383</v>
      </c>
    </row>
    <row r="75" spans="1:4" x14ac:dyDescent="0.35">
      <c r="A75" t="s">
        <v>110</v>
      </c>
      <c r="B75" t="s">
        <v>876</v>
      </c>
      <c r="D75" s="35" t="s">
        <v>167</v>
      </c>
    </row>
    <row r="76" spans="1:4" x14ac:dyDescent="0.35">
      <c r="A76" t="s">
        <v>882</v>
      </c>
      <c r="B76" t="s">
        <v>877</v>
      </c>
      <c r="D76" s="35" t="s">
        <v>167</v>
      </c>
    </row>
    <row r="77" spans="1:4" x14ac:dyDescent="0.35">
      <c r="A77" t="s">
        <v>276</v>
      </c>
      <c r="B77" t="s">
        <v>277</v>
      </c>
      <c r="D77" s="35" t="s">
        <v>279</v>
      </c>
    </row>
    <row r="78" spans="1:4" x14ac:dyDescent="0.35">
      <c r="A78" t="s">
        <v>883</v>
      </c>
      <c r="B78" t="s">
        <v>875</v>
      </c>
      <c r="D78" s="35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8" sqref="O1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08984375" customWidth="1"/>
    <col min="6" max="6" width="11" bestFit="1" customWidth="1"/>
    <col min="7" max="7" width="7.54296875" customWidth="1"/>
    <col min="8" max="8" width="9.36328125" customWidth="1"/>
    <col min="9" max="9" width="8.6328125" customWidth="1"/>
    <col min="10" max="10" width="11" customWidth="1"/>
    <col min="11" max="11" width="12.90625" customWidth="1"/>
    <col min="12" max="12" width="8.6328125" customWidth="1"/>
    <col min="14" max="14" width="10.54296875" customWidth="1"/>
    <col min="15" max="15" width="10.90625" customWidth="1"/>
    <col min="16" max="16" width="15" customWidth="1"/>
    <col min="17" max="17" width="12.453125" customWidth="1"/>
    <col min="18" max="20" width="13.36328125" customWidth="1"/>
    <col min="21" max="21" width="14" customWidth="1"/>
    <col min="22" max="22" width="16.36328125" customWidth="1"/>
    <col min="23" max="23" width="14.6328125" customWidth="1"/>
    <col min="24" max="24" width="14.36328125" customWidth="1"/>
    <col min="25" max="25" width="11.6328125" customWidth="1"/>
    <col min="26" max="26" width="14.6328125" customWidth="1"/>
    <col min="27" max="28" width="11.6328125" customWidth="1"/>
  </cols>
  <sheetData>
    <row r="2" spans="1:29" ht="50.25" customHeight="1" x14ac:dyDescent="0.35">
      <c r="B2" t="s">
        <v>746</v>
      </c>
      <c r="D2" s="81" t="s">
        <v>0</v>
      </c>
      <c r="E2" s="81" t="s">
        <v>567</v>
      </c>
      <c r="F2" s="81"/>
      <c r="G2" s="81" t="s">
        <v>2</v>
      </c>
      <c r="H2" s="81" t="s">
        <v>3</v>
      </c>
      <c r="I2" s="81" t="s">
        <v>410</v>
      </c>
      <c r="J2" s="81" t="s">
        <v>8</v>
      </c>
      <c r="K2" s="81" t="s">
        <v>69</v>
      </c>
      <c r="L2" s="81" t="s">
        <v>411</v>
      </c>
      <c r="M2" s="81" t="s">
        <v>412</v>
      </c>
      <c r="N2" s="81" t="s">
        <v>513</v>
      </c>
      <c r="O2" s="81" t="s">
        <v>747</v>
      </c>
      <c r="P2" s="81" t="s">
        <v>775</v>
      </c>
      <c r="Q2" s="81" t="s">
        <v>514</v>
      </c>
      <c r="R2" s="81" t="s">
        <v>515</v>
      </c>
      <c r="S2" s="81" t="s">
        <v>516</v>
      </c>
      <c r="T2" s="81" t="s">
        <v>748</v>
      </c>
      <c r="U2" s="81" t="s">
        <v>517</v>
      </c>
      <c r="V2" s="81" t="s">
        <v>518</v>
      </c>
      <c r="W2" s="81" t="s">
        <v>519</v>
      </c>
      <c r="X2" s="81" t="s">
        <v>520</v>
      </c>
      <c r="Y2" s="81" t="s">
        <v>521</v>
      </c>
      <c r="Z2" s="81" t="s">
        <v>749</v>
      </c>
      <c r="AA2" s="124" t="s">
        <v>776</v>
      </c>
      <c r="AB2" s="81" t="s">
        <v>535</v>
      </c>
      <c r="AC2" s="81" t="s">
        <v>547</v>
      </c>
    </row>
    <row r="3" spans="1:29" x14ac:dyDescent="0.35">
      <c r="A3" t="s">
        <v>435</v>
      </c>
      <c r="B3" t="s">
        <v>202</v>
      </c>
      <c r="C3" t="str" cm="1">
        <f t="array" ref="C3">_xll.FDS(A3,"FG_COMPANY_NAME")</f>
        <v>iShares MSCI New Zealand ETF</v>
      </c>
      <c r="D3" t="s">
        <v>435</v>
      </c>
      <c r="E3" t="s">
        <v>680</v>
      </c>
      <c r="F3" s="2" cm="1">
        <f t="array" ref="F3">_xll.FDS(D3,"JULIAN(FMA_DIV_YLD(NTMA,NOW,NOW,M,""PORTAGG"",""MEANR"").dates)")</f>
        <v>45350</v>
      </c>
      <c r="G3" s="4" cm="1">
        <f t="array" ref="G3">_xll.FDS(D3,"FMA_PE(LTM,0,,,""PORTAGG"",""MEANR"")")</f>
        <v>29.961530878208102</v>
      </c>
      <c r="H3" s="4" cm="1">
        <f t="array" ref="H3">_xll.FDS(D3,"FMA_PE(NTMA,0,,,""PORTAGG"",""MEANR"")")</f>
        <v>23.383712403852801</v>
      </c>
      <c r="I3" cm="1">
        <f t="array" ref="I3">_xll.FDS(D3,"FMA_DIV_YLD(NTMA,NOW,NOW,M,""PORTAGG"",""MEANR"")")</f>
        <v>2.88149232887874</v>
      </c>
      <c r="J3" s="61" cm="1">
        <f t="array" ref="J3">IFERROR(_xll.FDS(D3,"FG_FCF_YIELD_NTM(0)"),(1/G3*100))</f>
        <v>0.46814382524878101</v>
      </c>
      <c r="K3" s="3" cm="1">
        <f t="array" ref="K3">_xll.FDS(D3,"FMA_EVAL_EBITDA(NTMA,0,,,""PORTAGG"",""MEANR"")")</f>
        <v>12.9184746975482</v>
      </c>
      <c r="L3" cm="1">
        <f t="array" ref="L3">_xll.FDS(D3,"FMA_EVAL_EBIT(LTMA,NOW,NOW,M,""PORTAGG"",""MEANR"")")</f>
        <v>20.5022640603055</v>
      </c>
      <c r="M3">
        <f>HLOOKUP(D3,'Index ROE'!$A$1:$N$25,25,FALSE)</f>
        <v>6.5791075391831502</v>
      </c>
      <c r="N3">
        <f>VLOOKUP(A3,'LIQIDITY 2'!$A$3:$E$16,5,FALSE)</f>
        <v>4.7393000000000001</v>
      </c>
      <c r="O3" cm="1">
        <f t="array" ref="O3">IFERROR(_xll.FDS(B3,"IMF_IFS_RCPI_Q(0)"),$D$23)</f>
        <v>4.6550289999999999</v>
      </c>
      <c r="P3">
        <f>VLOOKUP(E3,GDP_GROWTH!$B$10:$W$165,22,FALSE)</f>
        <v>2.7196134550164452</v>
      </c>
      <c r="Q3">
        <f t="shared" ref="Q3:Q11" si="0">I3-N3</f>
        <v>-1.8578076711212601</v>
      </c>
      <c r="R3" s="61">
        <f t="shared" ref="R3:R11" si="1">J3-N3</f>
        <v>-4.2711561747512192</v>
      </c>
      <c r="S3">
        <f t="shared" ref="S3:S11" si="2">M3-N3</f>
        <v>1.8398075391831501</v>
      </c>
      <c r="T3">
        <f t="shared" ref="T3:T11" si="3">M3-O3</f>
        <v>1.9240785391831503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U3*Assumption!$E$39 + V3*Assumption!$F$39 + X3*Assumption!$G$39 + Y3*Assumption!$H$39 + W3*Assumption!$I$39 +Z3* Assumption!$K$39 + AA3* Assumption!$J$39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178</v>
      </c>
      <c r="C4" t="str" cm="1">
        <f t="array" ref="C4">_xll.FDS(A4,"FG_COMPANY_NAME")</f>
        <v>iShares MSCI Australia ETF</v>
      </c>
      <c r="D4" t="s">
        <v>44</v>
      </c>
      <c r="E4" t="s">
        <v>582</v>
      </c>
      <c r="F4" s="2" cm="1">
        <f t="array" ref="F4">_xll.FDS(D4,"JULIAN(FMA_DIV_YLD(NTMA,NOW,NOW,M,""PORTAGG"",""MEANR"").dates)")</f>
        <v>45351</v>
      </c>
      <c r="G4" s="4" cm="1">
        <f t="array" ref="G4">_xll.FDS(D4,"FMA_PE(LTM,0,,,""PORTAGG"",""MEANR"")")</f>
        <v>17.7110040211663</v>
      </c>
      <c r="H4" s="4" cm="1">
        <f t="array" ref="H4">_xll.FDS(D4,"FMA_PE(NTMA,0,,,""PORTAGG"",""MEANR"")")</f>
        <v>16.606962296029401</v>
      </c>
      <c r="I4" cm="1">
        <f t="array" ref="I4">_xll.FDS(D4,"FMA_DIV_YLD(NTMA,NOW,NOW,M,""PORTAGG"",""MEANR"")")</f>
        <v>3.9844451919866399</v>
      </c>
      <c r="J4" s="61" cm="1">
        <f t="array" ref="J4">IFERROR(_xll.FDS(D4,"FG_FCF_YIELD_NTM(0)"),(1/G4*100))</f>
        <v>4.58056022006918</v>
      </c>
      <c r="K4" s="3" cm="1">
        <f t="array" ref="K4">_xll.FDS(D4,"FMA_EVAL_EBITDA(NTMA,0,,,""PORTAGG"",""MEANR"")")</f>
        <v>8.8685689721992205</v>
      </c>
      <c r="L4" cm="1">
        <f t="array" ref="L4">_xll.FDS(D4,"FMA_EVAL_EBIT(LTMA,NOW,NOW,M,""PORTAGG"",""MEANR"")")</f>
        <v>12.440025126378901</v>
      </c>
      <c r="M4">
        <f>HLOOKUP(D4,'Index ROE'!$A$1:$N$25,25,FALSE)</f>
        <v>13.226137995013501</v>
      </c>
      <c r="N4">
        <f>VLOOKUP(A4,'LIQIDITY 2'!$A$3:$E$16,5,FALSE)</f>
        <v>4.1050000000000004</v>
      </c>
      <c r="O4" cm="1">
        <f t="array" ref="O4">IFERROR(_xll.FDS(B4,"IMF_IFS_RCPI_Q(0)"),$D$23)</f>
        <v>4.0519879999999997</v>
      </c>
      <c r="P4">
        <f>VLOOKUP(E4,GDP_GROWTH!$B$10:$W$165,22,FALSE)</f>
        <v>2.0879441195558623</v>
      </c>
      <c r="Q4">
        <f t="shared" si="0"/>
        <v>-0.12055480801336049</v>
      </c>
      <c r="R4" s="61">
        <f t="shared" si="1"/>
        <v>0.47556022006917953</v>
      </c>
      <c r="S4">
        <f t="shared" si="2"/>
        <v>9.1211379950135001</v>
      </c>
      <c r="T4">
        <f t="shared" si="3"/>
        <v>9.1741499950135008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50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U4*Assumption!$E$39 + V4*Assumption!$F$39 + X4*Assumption!$G$39 + Y4*Assumption!$H$39 + W4*Assumption!$I$39 +Z4* Assumption!$K$39 + AA4* Assumption!$J$39</f>
        <v>35.704999999999998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161</v>
      </c>
      <c r="C5" t="str" cm="1">
        <f t="array" ref="C5">_xll.FDS(A5,"FG_COMPANY_NAME")</f>
        <v>iShares MSCI Canada ETF</v>
      </c>
      <c r="D5" t="s">
        <v>49</v>
      </c>
      <c r="E5" t="s">
        <v>604</v>
      </c>
      <c r="F5" s="2" cm="1">
        <f t="array" ref="F5">_xll.FDS(D5,"JULIAN(FMA_DIV_YLD(NTMA,NOW,NOW,M,""PORTAGG"",""MEANR"").dates)")</f>
        <v>45351</v>
      </c>
      <c r="G5" s="4" cm="1">
        <f t="array" ref="G5">_xll.FDS(D5,"FMA_PE(LTM,0,,,""PORTAGG"",""MEANR"")")</f>
        <v>16.4884355869725</v>
      </c>
      <c r="H5" s="4" cm="1">
        <f t="array" ref="H5">_xll.FDS(D5,"FMA_PE(NTMA,0,,,""PORTAGG"",""MEANR"")")</f>
        <v>14.8629000203024</v>
      </c>
      <c r="I5" cm="1">
        <f t="array" ref="I5">_xll.FDS(D5,"FMA_DIV_YLD(NTMA,NOW,NOW,M,""PORTAGG"",""MEANR"")")</f>
        <v>3.2619613536148599</v>
      </c>
      <c r="J5" s="61" cm="1">
        <f t="array" ref="J5">IFERROR(_xll.FDS(D5,"FG_FCF_YIELD_NTM(0)"),(1/G5*100))</f>
        <v>4.9567787243007002</v>
      </c>
      <c r="K5" s="3" cm="1">
        <f t="array" ref="K5">_xll.FDS(D5,"FMA_EVAL_EBITDA(NTMA,0,,,""PORTAGG"",""MEANR"")")</f>
        <v>10.2918880046852</v>
      </c>
      <c r="L5" cm="1">
        <f t="array" ref="L5">_xll.FDS(D5,"FMA_EVAL_EBIT(LTMA,NOW,NOW,M,""PORTAGG"",""MEANR"")")</f>
        <v>16.360506075720199</v>
      </c>
      <c r="M5">
        <f>HLOOKUP(D5,'Index ROE'!$A$1:$N$25,25,FALSE)</f>
        <v>13.1440312273413</v>
      </c>
      <c r="N5">
        <f>VLOOKUP(A5,'LIQIDITY 2'!$A$3:$E$16,5,FALSE)</f>
        <v>3.4443999999999999</v>
      </c>
      <c r="O5" cm="1">
        <f t="array" ref="O5">IFERROR(_xll.FDS(B5,"IMF_IFS_RCPI_Q(0)"),$D$23)</f>
        <v>3.2111022</v>
      </c>
      <c r="P5">
        <f>VLOOKUP(E5,GDP_GROWTH!$B$10:$W$165,22,FALSE)</f>
        <v>1.4598842535213041</v>
      </c>
      <c r="Q5">
        <f t="shared" si="0"/>
        <v>-0.18243864638513996</v>
      </c>
      <c r="R5" s="61">
        <f t="shared" si="1"/>
        <v>1.5123787243007003</v>
      </c>
      <c r="S5">
        <f t="shared" si="2"/>
        <v>9.6996312273412997</v>
      </c>
      <c r="T5">
        <f t="shared" si="3"/>
        <v>9.9329290273412987</v>
      </c>
      <c r="U5" cm="1">
        <f t="array" ref="U5">_xlfn.PERCENTRANK.EXC(_xlfn._xlws.FILTER(Q$3:Q$15, ISNUMBER(Q$3:Q$15)),Q5)*100</f>
        <v>35.699999999999996</v>
      </c>
      <c r="V5" cm="1">
        <f t="array" ref="V5">_xlfn.PERCENTRANK.EXC(_xlfn._xlws.FILTER(R$3:R$15, ISNUMBER(R$3:R$15)),R5)*100</f>
        <v>50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U5*Assumption!$E$39 + V5*Assumption!$F$39 + X5*Assumption!$G$39 + Y5*Assumption!$H$39 + W5*Assumption!$I$39 +Z5* Assumption!$K$39 + AA5* Assumption!$J$39</f>
        <v>53.940000000000005</v>
      </c>
      <c r="AC5" cm="1">
        <f t="array" ref="AC5">_xlfn.PERCENTRANK.EXC(_xlfn._xlws.FILTER(AB$3:AB$15, ISNUMBER(AB$3:AB$15)),AB5)*100</f>
        <v>50</v>
      </c>
    </row>
    <row r="6" spans="1:29" x14ac:dyDescent="0.35">
      <c r="A6" t="s">
        <v>11</v>
      </c>
      <c r="B6" t="s">
        <v>561</v>
      </c>
      <c r="C6" t="str" cm="1">
        <f t="array" ref="C6">_xll.FDS(A6,"FG_COMPANY_NAME")</f>
        <v>iShares MSCI Germany ETF</v>
      </c>
      <c r="D6" t="s">
        <v>11</v>
      </c>
      <c r="E6" t="s">
        <v>631</v>
      </c>
      <c r="F6" s="2" cm="1">
        <f t="array" ref="F6">_xll.FDS(D6,"JULIAN(FMA_DIV_YLD(NTMA,NOW,NOW,M,""PORTAGG"",""MEANR"").dates)")</f>
        <v>45350</v>
      </c>
      <c r="G6" s="4" cm="1">
        <f t="array" ref="G6">_xll.FDS(D6,"FMA_PE(LTM,0,,,""PORTAGG"",""MEANR"")")</f>
        <v>12.7256354702503</v>
      </c>
      <c r="H6" s="4" cm="1">
        <f t="array" ref="H6">_xll.FDS(D6,"FMA_PE(NTMA,0,,,""PORTAGG"",""MEANR"")")</f>
        <v>12.463589319483599</v>
      </c>
      <c r="I6" cm="1">
        <f t="array" ref="I6">_xll.FDS(D6,"FMA_DIV_YLD(NTMA,NOW,NOW,M,""PORTAGG"",""MEANR"")")</f>
        <v>3.4553458087945601</v>
      </c>
      <c r="J6" s="61" cm="1">
        <f t="array" ref="J6">IFERROR(_xll.FDS(D6,"FG_FCF_YIELD_NTM(0)"),(1/G6*100))</f>
        <v>5.6212907943054402</v>
      </c>
      <c r="K6" s="3" cm="1">
        <f t="array" ref="K6">_xll.FDS(D6,"FMA_EVAL_EBITDA(NTMA,0,,,""PORTAGG"",""MEANR"")")</f>
        <v>8.6409602483852499</v>
      </c>
      <c r="L6" cm="1">
        <f t="array" ref="L6">_xll.FDS(D6,"FMA_EVAL_EBIT(LTMA,NOW,NOW,M,""PORTAGG"",""MEANR"")")</f>
        <v>13.403279638446101</v>
      </c>
      <c r="M6">
        <f>HLOOKUP(D6,'Index ROE'!$A$1:$N$25,25,FALSE)</f>
        <v>11.930755185031099</v>
      </c>
      <c r="N6">
        <f>VLOOKUP(A6,'LIQIDITY 2'!$A$3:$E$16,5,FALSE)</f>
        <v>2.4049999999999998</v>
      </c>
      <c r="O6" cm="1">
        <f t="array" ref="O6">IFERROR(_xll.FDS(B6,"IMF_IFS_RCPI_Q(0)"),$D$23)</f>
        <v>3.5546435999999999</v>
      </c>
      <c r="P6">
        <f>VLOOKUP(E6,GDP_GROWTH!$B$10:$W$165,22,FALSE)</f>
        <v>0.863192929992318</v>
      </c>
      <c r="Q6">
        <f t="shared" si="0"/>
        <v>1.0503458087945603</v>
      </c>
      <c r="R6" s="61">
        <f t="shared" si="1"/>
        <v>3.2162907943054404</v>
      </c>
      <c r="S6">
        <f t="shared" si="2"/>
        <v>9.5257551850311</v>
      </c>
      <c r="T6">
        <f t="shared" si="3"/>
        <v>8.376111585031099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35.699999999999996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U6*Assumption!$E$39 + V6*Assumption!$F$39 + X6*Assumption!$G$39 + Y6*Assumption!$H$39 + W6*Assumption!$I$39 +Z6* Assumption!$K$39 + AA6* Assumption!$J$39</f>
        <v>70.004999999999995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168</v>
      </c>
      <c r="C7" t="str" cm="1">
        <f t="array" ref="C7">_xll.FDS(A7,"FG_COMPANY_NAME")</f>
        <v>iShares MSCI Japan ETF</v>
      </c>
      <c r="D7" t="s">
        <v>46</v>
      </c>
      <c r="E7" t="s">
        <v>649</v>
      </c>
      <c r="F7" s="2" cm="1">
        <f t="array" ref="F7">_xll.FDS(D7,"JULIAN(FMA_DIV_YLD(NTMA,NOW,NOW,M,""PORTAGG"",""MEANR"").dates)")</f>
        <v>45350</v>
      </c>
      <c r="G7" s="4" cm="1">
        <f t="array" ref="G7">_xll.FDS(D7,"FMA_PE(LTM,0,,,""PORTAGG"",""MEANR"")")</f>
        <v>15.4952354068781</v>
      </c>
      <c r="H7" s="4" cm="1">
        <f t="array" ref="H7">_xll.FDS(D7,"FMA_PE(NTMA,0,,,""PORTAGG"",""MEANR"")")</f>
        <v>17.0299526822646</v>
      </c>
      <c r="I7" cm="1">
        <f t="array" ref="I7">_xll.FDS(D7,"FMA_DIV_YLD(NTMA,NOW,NOW,M,""PORTAGG"",""MEANR"")")</f>
        <v>2.1980878236345198</v>
      </c>
      <c r="J7" s="61" cm="1">
        <f t="array" ref="J7">IFERROR(_xll.FDS(D7,"FG_FCF_YIELD_NTM(0)"),(1/G7*100))</f>
        <v>3.66386635282025</v>
      </c>
      <c r="K7" s="3" cm="1">
        <f t="array" ref="K7">_xll.FDS(D7,"FMA_EVAL_EBITDA(NTMA,0,,,""PORTAGG"",""MEANR"")")</f>
        <v>11.3408946800155</v>
      </c>
      <c r="L7" cm="1">
        <f t="array" ref="L7">_xll.FDS(D7,"FMA_EVAL_EBIT(LTMA,NOW,NOW,M,""PORTAGG"",""MEANR"")")</f>
        <v>17.929361550317399</v>
      </c>
      <c r="M7">
        <f>HLOOKUP(D7,'Index ROE'!$A$1:$N$25,25,FALSE)</f>
        <v>9.2864954445411207</v>
      </c>
      <c r="N7">
        <f>VLOOKUP(A7,'LIQIDITY 2'!$A$3:$E$16,5,FALSE)</f>
        <v>0.71150000000000002</v>
      </c>
      <c r="O7" cm="1">
        <f t="array" ref="O7">IFERROR(_xll.FDS(B7,"IMF_IFS_RCPI_Q(0)"),$D$23)</f>
        <v>2.9194753000000002</v>
      </c>
      <c r="P7">
        <f>VLOOKUP(E7,GDP_GROWTH!$B$10:$W$165,22,FALSE)</f>
        <v>0.31456851442112077</v>
      </c>
      <c r="Q7">
        <f t="shared" si="0"/>
        <v>1.4865878236345198</v>
      </c>
      <c r="R7" s="61">
        <f t="shared" si="1"/>
        <v>2.95236635282025</v>
      </c>
      <c r="S7">
        <f t="shared" si="2"/>
        <v>8.5749954445411198</v>
      </c>
      <c r="T7">
        <f t="shared" si="3"/>
        <v>6.3670201445411205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42.900000000000006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U7*Assumption!$E$39 + V7*Assumption!$F$39 + X7*Assumption!$G$39 + Y7*Assumption!$H$39 + W7*Assumption!$I$39 +Z7* Assumption!$K$39 + AA7* Assumption!$J$39</f>
        <v>51.775000000000006</v>
      </c>
      <c r="AC7" cm="1">
        <f t="array" ref="AC7">_xlfn.PERCENTRANK.EXC(_xlfn._xlws.FILTER(AB$3:AB$15, ISNUMBER(AB$3:AB$15)),AB7)*100</f>
        <v>42.8</v>
      </c>
    </row>
    <row r="8" spans="1:29" x14ac:dyDescent="0.35">
      <c r="A8" t="s">
        <v>42</v>
      </c>
      <c r="B8" t="s">
        <v>280</v>
      </c>
      <c r="C8" t="str" cm="1">
        <f t="array" ref="C8">_xll.FDS(A8,"FG_COMPANY_NAME")</f>
        <v>iShares MSCI Switzerland ETF</v>
      </c>
      <c r="D8" t="s">
        <v>42</v>
      </c>
      <c r="E8" t="s">
        <v>712</v>
      </c>
      <c r="F8" s="2" cm="1">
        <f t="array" ref="F8">_xll.FDS(D8,"JULIAN(FMA_DIV_YLD(NTMA,NOW,NOW,M,""PORTAGG"",""MEANR"").dates)")</f>
        <v>45350</v>
      </c>
      <c r="G8" s="4" cm="1">
        <f t="array" ref="G8">_xll.FDS(D8,"FMA_PE(LTM,0,,,""PORTAGG"",""MEANR"")")</f>
        <v>14.9547484999971</v>
      </c>
      <c r="H8" s="4" cm="1">
        <f t="array" ref="H8">_xll.FDS(D8,"FMA_PE(NTMA,0,,,""PORTAGG"",""MEANR"")")</f>
        <v>19.1591141359456</v>
      </c>
      <c r="I8" cm="1">
        <f t="array" ref="I8">_xll.FDS(D8,"FMA_DIV_YLD(NTMA,NOW,NOW,M,""PORTAGG"",""MEANR"")")</f>
        <v>3.3041333658607099</v>
      </c>
      <c r="J8" s="61" cm="1">
        <f t="array" ref="J8">IFERROR(_xll.FDS(D8,"FG_FCF_YIELD_NTM(0)"),(1/G8*100))</f>
        <v>4.5171195968971896</v>
      </c>
      <c r="K8" s="3" cm="1">
        <f t="array" ref="K8">_xll.FDS(D8,"FMA_EVAL_EBITDA(NTMA,0,,,""PORTAGG"",""MEANR"")")</f>
        <v>13.528299242766099</v>
      </c>
      <c r="L8" cm="1">
        <f t="array" ref="L8">_xll.FDS(D8,"FMA_EVAL_EBIT(LTMA,NOW,NOW,M,""PORTAGG"",""MEANR"")")</f>
        <v>16.637663064905901</v>
      </c>
      <c r="M8">
        <f>HLOOKUP(D8,'Index ROE'!$A$1:$N$25,25,FALSE)</f>
        <v>19.285112932361301</v>
      </c>
      <c r="N8">
        <f>VLOOKUP(A8,'LIQIDITY 2'!$A$3:$E$16,5,FALSE)</f>
        <v>0.78500000000000003</v>
      </c>
      <c r="O8" cm="1">
        <f t="array" ref="O8">IFERROR(_xll.FDS(B8,"IMF_IFS_RCPI_Q(0)"),$D$23)</f>
        <v>1.6172575</v>
      </c>
      <c r="P8">
        <f>VLOOKUP(E8,GDP_GROWTH!$B$10:$W$165,22,FALSE)</f>
        <v>2.077185911672963</v>
      </c>
      <c r="Q8">
        <f t="shared" si="0"/>
        <v>2.5191333658607098</v>
      </c>
      <c r="R8" s="61">
        <f t="shared" si="1"/>
        <v>3.7321195968971894</v>
      </c>
      <c r="S8">
        <f t="shared" si="2"/>
        <v>18.500112932361301</v>
      </c>
      <c r="T8">
        <f t="shared" si="3"/>
        <v>17.6678554323613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71.500000000000014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U8*Assumption!$E$39 + V8*Assumption!$F$39 + X8*Assumption!$G$39 + Y8*Assumption!$H$39 + W8*Assumption!$I$39 +Z8* Assumption!$K$39 + AA8* Assumption!$J$39</f>
        <v>70.004999999999995</v>
      </c>
      <c r="AC8" cm="1">
        <f t="array" ref="AC8">_xlfn.PERCENTRANK.EXC(_xlfn._xlws.FILTER(AB$3:AB$15, ISNUMBER(AB$3:AB$15)),AB8)*100</f>
        <v>71.399999999999991</v>
      </c>
    </row>
    <row r="9" spans="1:29" x14ac:dyDescent="0.35">
      <c r="A9" t="s">
        <v>48</v>
      </c>
      <c r="B9" t="s">
        <v>171</v>
      </c>
      <c r="C9" t="str" cm="1">
        <f t="array" ref="C9">_xll.FDS(A9,"FG_COMPANY_NAME")</f>
        <v>iShares MSCI United Kingdom ETF</v>
      </c>
      <c r="D9" t="s">
        <v>48</v>
      </c>
      <c r="E9" t="s">
        <v>725</v>
      </c>
      <c r="F9" s="2" cm="1">
        <f t="array" ref="F9">_xll.FDS(D9,"JULIAN(FMA_DIV_YLD(NTMA,NOW,NOW,M,""PORTAGG"",""MEANR"").dates)")</f>
        <v>45350</v>
      </c>
      <c r="G9" s="4" cm="1">
        <f t="array" ref="G9">_xll.FDS(D9,"FMA_PE(LTM,0,,,""PORTAGG"",""MEANR"")")</f>
        <v>11.1199564306398</v>
      </c>
      <c r="H9" s="4" cm="1">
        <f t="array" ref="H9">_xll.FDS(D9,"FMA_PE(NTMA,0,,,""PORTAGG"",""MEANR"")")</f>
        <v>11.424759028730101</v>
      </c>
      <c r="I9" cm="1">
        <f t="array" ref="I9">_xll.FDS(D9,"FMA_DIV_YLD(NTMA,NOW,NOW,M,""PORTAGG"",""MEANR"")")</f>
        <v>4.2174119582970802</v>
      </c>
      <c r="J9" s="61" cm="1">
        <f t="array" ref="J9">IFERROR(_xll.FDS(D9,"FG_FCF_YIELD_NTM(0)"),(1/G9*100))</f>
        <v>6.3394502078274302</v>
      </c>
      <c r="K9" s="3" cm="1">
        <f t="array" ref="K9">_xll.FDS(D9,"FMA_EVAL_EBITDA(NTMA,0,,,""PORTAGG"",""MEANR"")")</f>
        <v>7.3576225481632802</v>
      </c>
      <c r="L9" cm="1">
        <f t="array" ref="L9">_xll.FDS(D9,"FMA_EVAL_EBIT(LTMA,NOW,NOW,M,""PORTAGG"",""MEANR"")")</f>
        <v>10.3790862412806</v>
      </c>
      <c r="M9">
        <f>HLOOKUP(D9,'Index ROE'!$A$1:$N$25,25,FALSE)</f>
        <v>14.732463877154</v>
      </c>
      <c r="N9">
        <f>VLOOKUP(A9,'LIQIDITY 2'!$A$3:$E$16,5,FALSE)</f>
        <v>4.2350000000000003</v>
      </c>
      <c r="O9" cm="1">
        <f t="array" ref="O9">IFERROR(_xll.FDS(B9,"IMF_IFS_RCPI_Q(0)"),$D$23)</f>
        <v>4.3536314999999997</v>
      </c>
      <c r="P9">
        <f>VLOOKUP(E9,GDP_GROWTH!$B$10:$W$165,22,FALSE)</f>
        <v>1.0976426250664972</v>
      </c>
      <c r="Q9">
        <f t="shared" si="0"/>
        <v>-1.7588041702920165E-2</v>
      </c>
      <c r="R9" s="61">
        <f t="shared" si="1"/>
        <v>2.1044502078274299</v>
      </c>
      <c r="S9">
        <f t="shared" si="2"/>
        <v>10.497463877154001</v>
      </c>
      <c r="T9">
        <f t="shared" si="3"/>
        <v>10.378832377154001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64.2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U9*Assumption!$E$39 + V9*Assumption!$F$39 + X9*Assumption!$G$39 + Y9*Assumption!$H$39 + W9*Assumption!$I$39 +Z9* Assumption!$K$39 + AA9* Assumption!$J$39</f>
        <v>73.58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174</v>
      </c>
      <c r="C10" t="str" cm="1">
        <f t="array" ref="C10">_xll.FDS(A10,"FG_COMPANY_NAME")</f>
        <v>Invesco QQQ Trust Series I</v>
      </c>
      <c r="D10" t="s">
        <v>51</v>
      </c>
      <c r="E10" t="s">
        <v>726</v>
      </c>
      <c r="F10" s="2" cm="1">
        <f t="array" ref="F10">_xll.FDS(D10,"JULIAN(FMA_DIV_YLD(NTMA,NOW,NOW,M,""PORTAGG"",""MEANR"").dates)")</f>
        <v>45351</v>
      </c>
      <c r="G10" s="4" cm="1">
        <f t="array" ref="G10">_xll.FDS(D10,"FMA_PE(LTM,0,,,""PORTAGG"",""MEANR"")")</f>
        <v>34.890985593623803</v>
      </c>
      <c r="H10" s="4" cm="1">
        <f t="array" ref="H10">_xll.FDS(D10,"FMA_PE(NTMA,0,,,""PORTAGG"",""MEANR"")")</f>
        <v>26.572932649109699</v>
      </c>
      <c r="I10" cm="1">
        <f t="array" ref="I10">_xll.FDS(D10,"FMA_DIV_YLD(NTMA,NOW,NOW,M,""PORTAGG"",""MEANR"")")</f>
        <v>0.873570101366551</v>
      </c>
      <c r="J10" s="61" cm="1">
        <f t="array" ref="J10">IFERROR(_xll.FDS(D10,"FG_FCF_YIELD_NTM(0)"),(1/G10*100))</f>
        <v>3.6099671114241199</v>
      </c>
      <c r="K10" s="3" cm="1">
        <f t="array" ref="K10">_xll.FDS(D10,"FMA_EVAL_EBITDA(NTMA,0,,,""PORTAGG"",""MEANR"")")</f>
        <v>16.4998667742672</v>
      </c>
      <c r="L10" cm="1">
        <f t="array" ref="L10">_xll.FDS(D10,"FMA_EVAL_EBIT(LTMA,NOW,NOW,M,""PORTAGG"",""MEANR"")")</f>
        <v>25.021954763596099</v>
      </c>
      <c r="M10">
        <f>HLOOKUP(D10,'Index ROE'!$A$1:$N$25,25,FALSE)</f>
        <v>25.2987617146125</v>
      </c>
      <c r="N10">
        <f>VLOOKUP(A10,'LIQIDITY 2'!$A$3:$E$16,5,FALSE)</f>
        <v>4.2160000000000002</v>
      </c>
      <c r="O10" cm="1">
        <f t="array" ref="O10">IFERROR(_xll.FDS(B10,"IMF_IFS_RCPI_Q(0)"),$D$23)</f>
        <v>3.2433991</v>
      </c>
      <c r="P10">
        <f>VLOOKUP(E10,GDP_GROWTH!$B$10:$W$165,22,FALSE)</f>
        <v>2.0868572594445189</v>
      </c>
      <c r="Q10">
        <f t="shared" si="0"/>
        <v>-3.3424298986334491</v>
      </c>
      <c r="R10" s="61">
        <f t="shared" si="1"/>
        <v>-0.60603288857588034</v>
      </c>
      <c r="S10">
        <f t="shared" si="2"/>
        <v>21.082761714612499</v>
      </c>
      <c r="T10">
        <f t="shared" si="3"/>
        <v>22.055362614612498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U10*Assumption!$E$39 + V10*Assumption!$F$39 + X10*Assumption!$G$39 + Y10*Assumption!$H$39 + W10*Assumption!$I$39 +Z10* Assumption!$K$39 + AA10* Assumption!$J$39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174</v>
      </c>
      <c r="C11" t="str" cm="1">
        <f t="array" ref="C11">_xll.FDS(A11,"FG_COMPANY_NAME")</f>
        <v>SPDR S&amp;P 500 ETF Trust</v>
      </c>
      <c r="D11" t="s">
        <v>1</v>
      </c>
      <c r="E11" t="s">
        <v>726</v>
      </c>
      <c r="F11" s="2" cm="1">
        <f t="array" ref="F11">_xll.FDS(D11,"JULIAN(FMA_DIV_YLD(NTMA,NOW,NOW,M,""PORTAGG"",""MEANR"").dates)")</f>
        <v>45351</v>
      </c>
      <c r="G11" s="4" cm="1">
        <f t="array" ref="G11">_xll.FDS(D11,"FMA_PE(LTM,0,,,""PORTAGG"",""MEANR"")")</f>
        <v>25.3210561360297</v>
      </c>
      <c r="H11" s="4" cm="1">
        <f t="array" ref="H11">_xll.FDS(D11,"FMA_PE(NTMA,0,,,""PORTAGG"",""MEANR"")")</f>
        <v>22.7851734342265</v>
      </c>
      <c r="I11" cm="1">
        <f t="array" ref="I11">_xll.FDS(D11,"FMA_DIV_YLD(NTMA,NOW,NOW,M,""PORTAGG"",""MEANR"")")</f>
        <v>1.4669920959241101</v>
      </c>
      <c r="J11" s="61" cm="1">
        <f t="array" ref="J11">IFERROR(_xll.FDS(D11,"FG_FCF_YIELD_NTM(0)"),(1/G11*100))</f>
        <v>3.6688148503869802</v>
      </c>
      <c r="K11" s="3" cm="1">
        <f t="array" ref="K11">_xll.FDS(D11,"FMA_EVAL_EBITDA(NTMA,0,,,""PORTAGG"",""MEANR"")")</f>
        <v>15.4246167007626</v>
      </c>
      <c r="L11" cm="1">
        <f t="array" ref="L11">_xll.FDS(D11,"FMA_EVAL_EBIT(LTMA,NOW,NOW,M,""PORTAGG"",""MEANR"")")</f>
        <v>20.812250947787799</v>
      </c>
      <c r="M11">
        <f>HLOOKUP(D11,'Index ROE'!$A$1:$N$25,25,FALSE)</f>
        <v>20.343493959513701</v>
      </c>
      <c r="N11">
        <f>VLOOKUP(A11,'LIQIDITY 2'!$A$3:$E$16,5,FALSE)</f>
        <v>4.2160000000000002</v>
      </c>
      <c r="O11" cm="1">
        <f t="array" ref="O11">IFERROR(_xll.FDS(B11,"IMF_IFS_RCPI_Q(0)"),$D$23)</f>
        <v>3.2433991</v>
      </c>
      <c r="P11">
        <f>VLOOKUP(E11,GDP_GROWTH!$B$10:$W$165,22,FALSE)</f>
        <v>2.0868572594445189</v>
      </c>
      <c r="Q11">
        <f t="shared" si="0"/>
        <v>-2.7490079040758904</v>
      </c>
      <c r="R11" s="61">
        <f t="shared" si="1"/>
        <v>-0.54718514961302001</v>
      </c>
      <c r="S11">
        <f t="shared" si="2"/>
        <v>16.1274939595137</v>
      </c>
      <c r="T11">
        <f t="shared" si="3"/>
        <v>17.1000948595137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U11*Assumption!$E$39 + V11*Assumption!$F$39 + X11*Assumption!$G$39 + Y11*Assumption!$H$39 + W11*Assumption!$I$39 +Z11* Assumption!$K$39 + AA11* Assumption!$J$39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872</v>
      </c>
      <c r="B12" t="s">
        <v>876</v>
      </c>
      <c r="C12" t="str" cm="1">
        <f t="array" ref="C12">_xll.FDS(A12,"FG_COMPANY_NAME")</f>
        <v>iShares MSCI France ETF</v>
      </c>
      <c r="D12" t="s">
        <v>872</v>
      </c>
      <c r="E12" t="s">
        <v>627</v>
      </c>
      <c r="F12" s="2" cm="1">
        <f t="array" ref="F12">_xll.FDS(D12,"JULIAN(FMA_DIV_YLD(NTMA,NOW,NOW,M,""PORTAGG"",""MEANR"").dates)")</f>
        <v>45350</v>
      </c>
      <c r="G12" s="4" cm="1">
        <f t="array" ref="G12">_xll.FDS(D12,"FMA_PE(LTM,0,,,""PORTAGG"",""MEANR"")")</f>
        <v>16.8789044856393</v>
      </c>
      <c r="H12" s="4" cm="1">
        <f t="array" ref="H12">_xll.FDS(D12,"FMA_PE(NTMA,0,,,""PORTAGG"",""MEANR"")")</f>
        <v>15.539703596871099</v>
      </c>
      <c r="I12" cm="1">
        <f t="array" ref="I12">_xll.FDS(D12,"FMA_DIV_YLD(NTMA,NOW,NOW,M,""PORTAGG"",""MEANR"")")</f>
        <v>3.1206630441261498</v>
      </c>
      <c r="J12" s="61" cm="1">
        <f t="array" ref="J12">IFERROR(_xll.FDS(D12,"FG_FCF_YIELD_NTM(0)"),(1/G12*100))</f>
        <v>5.6637316615603304</v>
      </c>
      <c r="K12" s="3" cm="1">
        <f t="array" ref="K12">_xll.FDS(D12,"FMA_EVAL_EBITDA(NTMA,0,,,""PORTAGG"",""MEANR"")")</f>
        <v>9.5249858223321908</v>
      </c>
      <c r="L12" cm="1">
        <f t="array" ref="L12">_xll.FDS(D12,"FMA_EVAL_EBIT(LTMA,NOW,NOW,M,""PORTAGG"",""MEANR"")")</f>
        <v>13.2540205582812</v>
      </c>
      <c r="M12">
        <f>HLOOKUP(D12,'Index ROE'!$A$1:$N$25,25,FALSE)</f>
        <v>13.221059503291199</v>
      </c>
      <c r="N12">
        <f>VLOOKUP(A12,'LIQIDITY 2'!$A$3:$E$16,5,FALSE)</f>
        <v>2.88</v>
      </c>
      <c r="O12" cm="1">
        <f t="array" ref="O12">IFERROR(_xll.FDS(B12,"IMF_IFS_RCPI_Q(0)"),$D$23)</f>
        <v>3.7187451999999999</v>
      </c>
      <c r="P12">
        <f>VLOOKUP(E12,GDP_GROWTH!$B$10:$W$165,22,FALSE)</f>
        <v>0.9426946158151317</v>
      </c>
      <c r="Q12">
        <f t="shared" ref="Q12:Q15" si="4">I12-N12</f>
        <v>0.24066304412614992</v>
      </c>
      <c r="R12" s="61">
        <f t="shared" ref="R12:R15" si="5">J12-N12</f>
        <v>2.7837316615603305</v>
      </c>
      <c r="S12">
        <f t="shared" ref="S12:S15" si="6">M12-N12</f>
        <v>10.341059503291198</v>
      </c>
      <c r="T12">
        <f t="shared" ref="T12:T15" si="7">M12-O12</f>
        <v>9.5023143032912003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42.900000000000006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U12*Assumption!$E$39 + V12*Assumption!$F$39 + X12*Assumption!$G$39 + Y12*Assumption!$H$39 + W12*Assumption!$I$39 +Z12* Assumption!$K$39 + AA12* Assumption!$J$39</f>
        <v>56.784999999999997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874</v>
      </c>
      <c r="B13" t="s">
        <v>877</v>
      </c>
      <c r="C13" t="str" cm="1">
        <f t="array" ref="C13">_xll.FDS(A13,"FG_COMPANY_NAME")</f>
        <v>iShares MSCI Netherlands ETF</v>
      </c>
      <c r="D13" t="s">
        <v>874</v>
      </c>
      <c r="E13" t="s">
        <v>679</v>
      </c>
      <c r="F13" s="2" cm="1">
        <f t="array" ref="F13">_xll.FDS(D13,"JULIAN(FMA_DIV_YLD(NTMA,NOW,NOW,M,""PORTAGG"",""MEANR"").dates)")</f>
        <v>45351</v>
      </c>
      <c r="G13" s="4" cm="1">
        <f t="array" ref="G13">_xll.FDS(D13,"FMA_PE(LTM,0,,,""PORTAGG"",""MEANR"")")</f>
        <v>23.145355964961102</v>
      </c>
      <c r="H13" s="4" cm="1">
        <f t="array" ref="H13">_xll.FDS(D13,"FMA_PE(NTMA,0,,,""PORTAGG"",""MEANR"")")</f>
        <v>18.571548265378901</v>
      </c>
      <c r="I13" cm="1">
        <f t="array" ref="I13">_xll.FDS(D13,"FMA_DIV_YLD(NTMA,NOW,NOW,M,""PORTAGG"",""MEANR"")")</f>
        <v>2.4848618906767999</v>
      </c>
      <c r="J13" s="61" cm="1">
        <f t="array" ref="J13">IFERROR(_xll.FDS(D13,"FG_FCF_YIELD_NTM(0)"),(1/G13*100))</f>
        <v>3.2511719305739102</v>
      </c>
      <c r="K13" s="3" cm="1">
        <f t="array" ref="K13">_xll.FDS(D13,"FMA_EVAL_EBITDA(NTMA,0,,,""PORTAGG"",""MEANR"")")</f>
        <v>13.9337982188975</v>
      </c>
      <c r="L13" cm="1">
        <f t="array" ref="L13">_xll.FDS(D13,"FMA_EVAL_EBIT(LTMA,NOW,NOW,M,""PORTAGG"",""MEANR"")")</f>
        <v>22.478547293745699</v>
      </c>
      <c r="M13">
        <f>HLOOKUP(D13,'Index ROE'!$A$1:$N$25,25,FALSE)</f>
        <v>12.7456586334444</v>
      </c>
      <c r="N13">
        <f>VLOOKUP(A13,'LIQIDITY 2'!$A$3:$E$16,5,FALSE)</f>
        <v>2.7240000000000002</v>
      </c>
      <c r="O13" cm="1">
        <f t="array" ref="O13">IFERROR(_xll.FDS(B13,"IMF_IFS_RCPI_Q(0)"),$D$23)</f>
        <v>0.80520855999999996</v>
      </c>
      <c r="P13">
        <f>VLOOKUP(E13,GDP_GROWTH!$B$10:$W$165,22,FALSE)</f>
        <v>1.7793785730007783</v>
      </c>
      <c r="Q13">
        <f t="shared" si="4"/>
        <v>-0.23913810932320034</v>
      </c>
      <c r="R13" s="61">
        <f t="shared" si="5"/>
        <v>0.52717193057390999</v>
      </c>
      <c r="S13">
        <f t="shared" si="6"/>
        <v>10.0216586334444</v>
      </c>
      <c r="T13">
        <f t="shared" si="7"/>
        <v>11.940450073444399</v>
      </c>
      <c r="U13" cm="1">
        <f t="array" ref="U13">_xlfn.PERCENTRANK.EXC(_xlfn._xlws.FILTER(Q$3:Q$15, ISNUMBER(Q$3:Q$15)),Q13)*100</f>
        <v>28.499999999999996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35.799999999999997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U13*Assumption!$E$39 + V13*Assumption!$F$39 + X13*Assumption!$G$39 + Y13*Assumption!$H$39 + W13*Assumption!$I$39 +Z13* Assumption!$K$39 + AA13* Assumption!$J$39</f>
        <v>37.869999999999997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871</v>
      </c>
      <c r="B14" t="s">
        <v>277</v>
      </c>
      <c r="C14" t="str" cm="1">
        <f t="array" ref="C14">_xll.FDS(A14,"FG_COMPANY_NAME")</f>
        <v>iShares MSCI Sweden ETF</v>
      </c>
      <c r="D14" t="s">
        <v>871</v>
      </c>
      <c r="E14" t="s">
        <v>711</v>
      </c>
      <c r="F14" s="2" cm="1">
        <f t="array" ref="F14">_xll.FDS(D14,"JULIAN(FMA_DIV_YLD(NTMA,NOW,NOW,M,""PORTAGG"",""MEANR"").dates)")</f>
        <v>45350</v>
      </c>
      <c r="G14" s="4" cm="1">
        <f t="array" ref="G14">_xll.FDS(D14,"FMA_PE(LTM,0,,,""PORTAGG"",""MEANR"")")</f>
        <v>15.0664319828547</v>
      </c>
      <c r="H14" s="4" cm="1">
        <f t="array" ref="H14">_xll.FDS(D14,"FMA_PE(NTMA,0,,,""PORTAGG"",""MEANR"")")</f>
        <v>15.870621943014999</v>
      </c>
      <c r="I14" cm="1">
        <f t="array" ref="I14">_xll.FDS(D14,"FMA_DIV_YLD(NTMA,NOW,NOW,M,""PORTAGG"",""MEANR"")")</f>
        <v>3.3006574566334899</v>
      </c>
      <c r="J14" s="61" cm="1">
        <f t="array" ref="J14">IFERROR(_xll.FDS(D14,"FG_FCF_YIELD_NTM(0)"),(1/G14*100))</f>
        <v>3.7559388883393998</v>
      </c>
      <c r="K14" s="3" cm="1">
        <f t="array" ref="K14">_xll.FDS(D14,"FMA_EVAL_EBITDA(NTMA,0,,,""PORTAGG"",""MEANR"")")</f>
        <v>11.6045457894571</v>
      </c>
      <c r="L14" cm="1">
        <f t="array" ref="L14">_xll.FDS(D14,"FMA_EVAL_EBIT(LTMA,NOW,NOW,M,""PORTAGG"",""MEANR"")")</f>
        <v>15.9169250945677</v>
      </c>
      <c r="M14">
        <f>HLOOKUP(D14,'Index ROE'!$A$1:$N$25,25,FALSE)</f>
        <v>15.368050603555201</v>
      </c>
      <c r="N14">
        <f>VLOOKUP(A14,'LIQIDITY 2'!$A$3:$E$16,5,FALSE)</f>
        <v>2.4239999999999999</v>
      </c>
      <c r="O14" cm="1">
        <f t="array" ref="O14">IFERROR(_xll.FDS(B14,"IMF_IFS_RCPI_Q(0)"),$D$23)</f>
        <v>5.5508369999999996</v>
      </c>
      <c r="P14">
        <f>VLOOKUP(E14,GDP_GROWTH!$B$10:$W$165,22,FALSE)</f>
        <v>1.8182767577278436</v>
      </c>
      <c r="Q14">
        <f t="shared" si="4"/>
        <v>0.87665745663348993</v>
      </c>
      <c r="R14" s="61">
        <f t="shared" si="5"/>
        <v>1.3319388883393999</v>
      </c>
      <c r="S14">
        <f t="shared" si="6"/>
        <v>12.944050603555201</v>
      </c>
      <c r="T14">
        <f t="shared" si="7"/>
        <v>9.8172136035552011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42.8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64.3</v>
      </c>
      <c r="Y14" cm="1">
        <f t="array" ref="Y14">(1-_xlfn.PERCENTRANK.EXC(_xlfn._xlws.FILTER(H$3:H$15, ISNUMBER(H$3:H$15)),H14))*100</f>
        <v>57.2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U14*Assumption!$E$39 + V14*Assumption!$F$39 + X14*Assumption!$G$39 + Y14*Assumption!$H$39 + W14*Assumption!$I$39 +Z14* Assumption!$K$39 + AA14* Assumption!$J$39</f>
        <v>55.704999999999998</v>
      </c>
      <c r="AC14" cm="1">
        <f t="array" ref="AC14">_xlfn.PERCENTRANK.EXC(_xlfn._xlws.FILTER(AB$3:AB$15, ISNUMBER(AB$3:AB$15)),AB14)*100</f>
        <v>57.099999999999994</v>
      </c>
    </row>
    <row r="15" spans="1:29" x14ac:dyDescent="0.35">
      <c r="A15" t="s">
        <v>873</v>
      </c>
      <c r="B15" t="s">
        <v>875</v>
      </c>
      <c r="C15" t="str" cm="1">
        <f t="array" ref="C15">_xll.FDS(A15,"FG_COMPANY_NAME")</f>
        <v>iShares MSCI Italy ETF</v>
      </c>
      <c r="D15" t="s">
        <v>873</v>
      </c>
      <c r="E15" t="s">
        <v>647</v>
      </c>
      <c r="F15" s="2" cm="1">
        <f t="array" ref="F15">_xll.FDS(D15,"JULIAN(FMA_DIV_YLD(NTMA,NOW,NOW,M,""PORTAGG"",""MEANR"").dates)")</f>
        <v>45351</v>
      </c>
      <c r="G15" s="4" cm="1">
        <f t="array" ref="G15">_xll.FDS(D15,"FMA_PE(LTM,0,,,""PORTAGG"",""MEANR"")")</f>
        <v>10.5365874581256</v>
      </c>
      <c r="H15" s="4" cm="1">
        <f t="array" ref="H15">_xll.FDS(D15,"FMA_PE(NTMA,0,,,""PORTAGG"",""MEANR"")")</f>
        <v>9.2784963394066207</v>
      </c>
      <c r="I15" cm="1">
        <f t="array" ref="I15">_xll.FDS(D15,"FMA_DIV_YLD(NTMA,NOW,NOW,M,""PORTAGG"",""MEANR"")")</f>
        <v>5.3241085470742204</v>
      </c>
      <c r="J15" s="61" cm="1">
        <f t="array" ref="J15">IFERROR(_xll.FDS(D15,"FG_FCF_YIELD_NTM(0)"),(1/G15*100))</f>
        <v>5.6969257899090904</v>
      </c>
      <c r="K15" s="3" cm="1">
        <f t="array" ref="K15">_xll.FDS(D15,"FMA_EVAL_EBITDA(NTMA,0,,,""PORTAGG"",""MEANR"")")</f>
        <v>7.3560942654929304</v>
      </c>
      <c r="L15" cm="1">
        <f t="array" ref="L15">_xll.FDS(D15,"FMA_EVAL_EBIT(LTMA,NOW,NOW,M,""PORTAGG"",""MEANR"")")</f>
        <v>11.3584541812418</v>
      </c>
      <c r="M15">
        <f>HLOOKUP(D15,'Index ROE'!$A$1:$N$25,25,FALSE)</f>
        <v>13.3572177464321</v>
      </c>
      <c r="N15">
        <f>VLOOKUP(A15,'LIQIDITY 2'!$A$3:$E$16,5,FALSE)</f>
        <v>3.8410000000000002</v>
      </c>
      <c r="O15" cm="1">
        <f t="array" ref="O15">IFERROR(_xll.FDS(B15,"IMF_IFS_RCPI_Q(0)"),$D$23)</f>
        <v>0.98369783</v>
      </c>
      <c r="P15">
        <f>VLOOKUP(E15,GDP_GROWTH!$B$10:$W$165,22,FALSE)</f>
        <v>0.32855305426654491</v>
      </c>
      <c r="Q15">
        <f t="shared" si="4"/>
        <v>1.4831085470742202</v>
      </c>
      <c r="R15" s="61">
        <f t="shared" si="5"/>
        <v>1.8559257899090902</v>
      </c>
      <c r="S15">
        <f t="shared" si="6"/>
        <v>9.5162177464321012</v>
      </c>
      <c r="T15">
        <f t="shared" si="7"/>
        <v>12.3735199164321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U15*Assumption!$E$39 + V15*Assumption!$F$39 + X15*Assumption!$G$39 + Y15*Assumption!$H$39 + W15*Assumption!$I$39 +Z15* Assumption!$K$39 + AA15* Assumption!$J$39</f>
        <v>74.64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61"/>
      <c r="K16" s="3"/>
    </row>
    <row r="17" spans="1:12" x14ac:dyDescent="0.35">
      <c r="F17" s="2"/>
      <c r="G17" s="4"/>
      <c r="H17" s="4"/>
      <c r="J17" s="61"/>
      <c r="K17" s="3"/>
    </row>
    <row r="18" spans="1:12" x14ac:dyDescent="0.35">
      <c r="A18" t="s">
        <v>541</v>
      </c>
      <c r="F18" s="2"/>
      <c r="G18" s="4"/>
      <c r="H18" s="4"/>
      <c r="J18" s="61"/>
      <c r="K18" s="3"/>
    </row>
    <row r="19" spans="1:12" x14ac:dyDescent="0.35">
      <c r="A19" t="s">
        <v>542</v>
      </c>
      <c r="B19" t="s">
        <v>165</v>
      </c>
      <c r="C19" t="s">
        <v>543</v>
      </c>
      <c r="D19" t="str">
        <f>A19</f>
        <v>VGK</v>
      </c>
      <c r="F19" s="2" cm="1">
        <f t="array" ref="F19">_xll.FDS(D19,"JULIAN(FMA_DIV_YLD(NTMA,NOW,NOW,M,""PORTAGG"",""MEANR"").dates)")</f>
        <v>45322</v>
      </c>
      <c r="G19" s="4" cm="1">
        <f t="array" ref="G19">_xll.FDS(D19,"FG_PE(0)")</f>
        <v>12.328865304106399</v>
      </c>
      <c r="H19" s="4" cm="1">
        <f t="array" ref="H19">_xll.FDS(D19,"FG_PE_NTM(0,,,90,0)")</f>
        <v>13.624765946913501</v>
      </c>
      <c r="I19" cm="1">
        <f t="array" ref="I19">_xll.FDS(D19,"FMA_DIV_YLD(NTMA,NOW,NOW,M,""PORTAGG"",""MEANR"")")</f>
        <v>3.6317972639654199</v>
      </c>
      <c r="J19" s="61" cm="1">
        <f t="array" ref="J19">_xll.FDS(D19,"FG_FCF_YIELD_NTM(0)")</f>
        <v>5.04747369188114</v>
      </c>
      <c r="K19" s="3" cm="1">
        <f t="array" ref="K19">_xll.FDS(D19,"FMA_EVAL_EBITDA(NTMA,0,,,""PORTAGG"",""MEANR"")")</f>
        <v>9.0320920697630491</v>
      </c>
      <c r="L19" cm="1">
        <f t="array" ref="L19">_xll.FDS(D19,"FMA_EVAL_EBIT(LTMA,NOW,NOW,M,""PORTAGG"",""MEANR"")")</f>
        <v>13.069898539690101</v>
      </c>
    </row>
    <row r="20" spans="1:12" x14ac:dyDescent="0.35">
      <c r="A20" t="s">
        <v>6</v>
      </c>
      <c r="C20" t="s">
        <v>544</v>
      </c>
      <c r="D20" t="str">
        <f>A20</f>
        <v>VWO</v>
      </c>
      <c r="F20" s="2" cm="1">
        <f t="array" ref="F20">_xll.FDS(D20,"JULIAN(FMA_DIV_YLD(NTMA,NOW,NOW,M,""PORTAGG"",""MEANR"").dates)")</f>
        <v>45322</v>
      </c>
      <c r="G20" s="4" cm="1">
        <f t="array" ref="G20">_xll.FDS(D20,"FG_PE(0)")</f>
        <v>12.8621994203067</v>
      </c>
      <c r="H20" s="4" cm="1">
        <f t="array" ref="H20">_xll.FDS(D20,"FG_PE_NTM(0,,,90,0)")</f>
        <v>13.5805423201849</v>
      </c>
      <c r="I20" cm="1">
        <f t="array" ref="I20">_xll.FDS(D20,"FMA_DIV_YLD(NTMA,NOW,NOW,M,""PORTAGG"",""MEANR"")")</f>
        <v>3.15506497935286</v>
      </c>
      <c r="J20" s="61" cm="1">
        <f t="array" ref="J20">_xll.FDS(D20,"FG_FCF_YIELD_NTM(0)")</f>
        <v>5.0645456119821697</v>
      </c>
      <c r="K20" s="3" cm="1">
        <f t="array" ref="K20">_xll.FDS(D20,"FMA_EVAL_EBITDA(NTMA,0,,,""PORTAGG"",""MEANR"")")</f>
        <v>9.2710247944315807</v>
      </c>
      <c r="L20" cm="1">
        <f t="array" ref="L20">_xll.FDS(D20,"FMA_EVAL_EBIT(LTMA,NOW,NOW,M,""PORTAGG"",""MEANR"")")</f>
        <v>13.873286964619201</v>
      </c>
    </row>
    <row r="21" spans="1:12" x14ac:dyDescent="0.35">
      <c r="F21" s="2"/>
      <c r="G21" s="4"/>
      <c r="H21" s="4"/>
      <c r="J21" s="61"/>
      <c r="K21" s="3"/>
    </row>
    <row r="22" spans="1:12" x14ac:dyDescent="0.35">
      <c r="B22" t="s">
        <v>782</v>
      </c>
      <c r="C22" t="s">
        <v>550</v>
      </c>
      <c r="D22" t="s">
        <v>783</v>
      </c>
      <c r="F22" s="2"/>
      <c r="G22" s="4"/>
      <c r="H22" s="4"/>
      <c r="J22" s="61"/>
      <c r="K22" s="3"/>
    </row>
    <row r="23" spans="1:12" x14ac:dyDescent="0.35">
      <c r="B23" t="s">
        <v>174</v>
      </c>
      <c r="C23" t="s">
        <v>726</v>
      </c>
      <c r="D23" cm="1">
        <f t="array" ref="D23">_xll.FDS(B23,"IMF_IFS_RCPI_Q(0)")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08984375" bestFit="1" customWidth="1"/>
    <col min="3" max="3" width="15.90625" customWidth="1"/>
    <col min="4" max="4" width="53" bestFit="1" customWidth="1"/>
    <col min="5" max="5" width="26.453125" customWidth="1"/>
    <col min="6" max="6" width="12.08984375" customWidth="1"/>
    <col min="7" max="7" width="15.08984375" customWidth="1"/>
    <col min="8" max="8" width="18.54296875" customWidth="1"/>
    <col min="9" max="9" width="17.453125" customWidth="1"/>
    <col min="10" max="10" width="17" customWidth="1"/>
    <col min="11" max="11" width="32.6328125" customWidth="1"/>
    <col min="12" max="12" width="35" customWidth="1"/>
    <col min="13" max="13" width="20.90625" customWidth="1"/>
    <col min="14" max="14" width="9.08984375" style="46"/>
    <col min="20" max="21" width="11.453125" customWidth="1"/>
  </cols>
  <sheetData>
    <row r="1" spans="1:24" x14ac:dyDescent="0.35">
      <c r="S1" s="5">
        <f>Assumption!E42</f>
        <v>0.5</v>
      </c>
      <c r="T1" s="5">
        <f>Assumption!E43</f>
        <v>0.25</v>
      </c>
      <c r="U1" s="5">
        <f>Assumption!E44</f>
        <v>0.25</v>
      </c>
    </row>
    <row r="2" spans="1:24" x14ac:dyDescent="0.35">
      <c r="A2" t="s">
        <v>0</v>
      </c>
      <c r="B2" s="34" t="s">
        <v>100</v>
      </c>
      <c r="C2" s="34" t="s">
        <v>101</v>
      </c>
      <c r="D2" s="34" t="s">
        <v>102</v>
      </c>
      <c r="E2" s="34" t="s">
        <v>530</v>
      </c>
      <c r="G2" s="34" t="s">
        <v>914</v>
      </c>
      <c r="H2" s="34" t="s">
        <v>385</v>
      </c>
      <c r="I2" s="34" t="s">
        <v>494</v>
      </c>
      <c r="L2" s="34" t="s">
        <v>531</v>
      </c>
      <c r="S2" s="5" t="s">
        <v>463</v>
      </c>
      <c r="T2" s="5" t="s">
        <v>462</v>
      </c>
      <c r="U2" t="s">
        <v>386</v>
      </c>
      <c r="V2" s="55"/>
      <c r="X2" t="s">
        <v>558</v>
      </c>
    </row>
    <row r="3" spans="1:24" x14ac:dyDescent="0.35">
      <c r="A3" t="s">
        <v>435</v>
      </c>
      <c r="B3" t="s">
        <v>201</v>
      </c>
      <c r="C3" t="s">
        <v>453</v>
      </c>
      <c r="D3" s="35" t="str" cm="1">
        <f t="array" ref="D3">_xll.FDSB(C3,"FG_YIELD_NAME")</f>
        <v>New Zealand Benchmark Bond - 10 Year</v>
      </c>
      <c r="E3" s="35" cm="1">
        <f t="array" ref="E3">IFERROR(_xll.FDS(C3,"FG_YIELD(0,,,,""YTM"")"),$E$18)</f>
        <v>4.7393000000000001</v>
      </c>
      <c r="G3" s="35" cm="1">
        <f t="array" ref="G3">_xll.FDSB(C3,"PCTCHG(FG_YIELD(0,,,,""YTM""),FG_YIELD(-1AM,,,,""YTM""))")</f>
        <v>3.8705148999999999</v>
      </c>
      <c r="H3" s="35" cm="1">
        <f t="array" ref="H3">_xll.FDSB(C3,"PCTCHG(FG_YIELD(0,,,,""YTM""),FG_YIELD(-3AM,,,,""YTM""))")</f>
        <v>-4.8467130000000003</v>
      </c>
      <c r="I3" s="35"/>
      <c r="J3" s="35" t="str">
        <f>VLOOKUP(B3,mnemonics!$A$4:$D$78, 4, FALSE)</f>
        <v>REFNZOCR-FDS</v>
      </c>
      <c r="K3" s="35" t="str" cm="1">
        <f t="array" ref="K3">_xll.FDSB(J3,"PROPER_NAME(0,,,""SECURITY"",""NAME"")")</f>
        <v>New Zealand Official Cash Rate</v>
      </c>
      <c r="L3" s="35" cm="1">
        <f t="array" ref="L3">_xll.FDSB(J3,"FG_YIELD(NOW,,,0)")</f>
        <v>5.5</v>
      </c>
      <c r="M3" s="45" cm="1">
        <f t="array" ref="M3">_xll.FDSB(J3,"(SUBARRAY(NOT_NA(NO_REPEAT_F(FG_YIELD(now,-10AY,D))),0,1)-SUBARRAY(NOT_NA(NO_REPEAT_F(FG_YIELD(now,-10AY,D))),1,1))*100")</f>
        <v>25</v>
      </c>
      <c r="N3" s="47">
        <f t="shared" ref="N3:N15" si="0">M3*-1</f>
        <v>-25</v>
      </c>
      <c r="O3" s="35">
        <f>L3-E3</f>
        <v>0.76069999999999993</v>
      </c>
      <c r="S3">
        <f t="shared" ref="S3:S15" si="1">IF(M3&gt; 0, 0, 1)</f>
        <v>0</v>
      </c>
      <c r="T3">
        <f t="shared" ref="T3:T15" si="2">IF(G3&lt;0, 1, 0)</f>
        <v>0</v>
      </c>
      <c r="U3">
        <f t="shared" ref="U3:U15" si="3">IF(H3&lt;0, 1, 0)</f>
        <v>1</v>
      </c>
      <c r="V3" s="56">
        <f t="shared" ref="V3:V15" si="4">SUMPRODUCT($S$1:$U$1,S3:U3)</f>
        <v>0.25</v>
      </c>
      <c r="X3">
        <f>_xlfn.PERCENTRANK.EXC($V$3:$V$15,V3)*100</f>
        <v>28.499999999999996</v>
      </c>
    </row>
    <row r="4" spans="1:24" x14ac:dyDescent="0.35">
      <c r="A4" t="s">
        <v>44</v>
      </c>
      <c r="B4" t="s">
        <v>117</v>
      </c>
      <c r="C4" t="s">
        <v>142</v>
      </c>
      <c r="D4" s="35" t="str" cm="1">
        <f t="array" ref="D4">_xll.FDSB(C4,"FG_YIELD_NAME")</f>
        <v>Australia Benchmark Bond - 10 Year</v>
      </c>
      <c r="E4" s="35" cm="1">
        <f t="array" ref="E4">IFERROR(_xll.FDS(C4,"FG_YIELD(0,,,,""YTM"")"),$E$18)</f>
        <v>4.1050000000000004</v>
      </c>
      <c r="G4" s="35" cm="1">
        <f t="array" ref="G4">_xll.FDSB(C4,"PCTCHG(FG_YIELD(0,,,,""YTM""),FG_YIELD(-1AM,,,,""YTM""))")</f>
        <v>3.0888977</v>
      </c>
      <c r="H4" s="35" cm="1">
        <f t="array" ref="H4">_xll.FDSB(C4,"PCTCHG(FG_YIELD(0,,,,""YTM""),FG_YIELD(-3AM,,,,""YTM""))")</f>
        <v>-7.7942524000000004</v>
      </c>
      <c r="I4" s="35"/>
      <c r="J4" s="35" t="str">
        <f>VLOOKUP(B4,mnemonics!$A$4:$D$78, 4, FALSE)</f>
        <v>REFAUCASH-FDS</v>
      </c>
      <c r="K4" s="35" t="str" cm="1">
        <f t="array" ref="K4">_xll.FDSB(J4,"PROPER_NAME(0,,,""SECURITY"",""NAME"")")</f>
        <v>Australia Target Cash Rate</v>
      </c>
      <c r="L4" s="35" cm="1">
        <f t="array" ref="L4">_xll.FDSB(J4,"FG_YIELD(NOW,,,0)")</f>
        <v>4.3499999999999996</v>
      </c>
      <c r="M4" s="45" cm="1">
        <f t="array" ref="M4">_xll.FDSB(J4,"(SUBARRAY(NOT_NA(NO_REPEAT_F(FG_YIELD(now,-10AY,D))),0,1)-SUBARRAY(NOT_NA(NO_REPEAT_F(FG_YIELD(now,-10AY,D))),1,1))*100")</f>
        <v>25</v>
      </c>
      <c r="N4" s="47">
        <f t="shared" si="0"/>
        <v>-25</v>
      </c>
      <c r="O4" s="35">
        <f t="shared" ref="O4:O15" si="5">L4-E4</f>
        <v>0.24499999999999922</v>
      </c>
      <c r="S4">
        <f t="shared" si="1"/>
        <v>0</v>
      </c>
      <c r="T4">
        <f t="shared" si="2"/>
        <v>0</v>
      </c>
      <c r="U4">
        <f t="shared" si="3"/>
        <v>1</v>
      </c>
      <c r="V4" s="56">
        <f t="shared" si="4"/>
        <v>0.25</v>
      </c>
      <c r="X4">
        <f t="shared" ref="X4:X15" si="6">_xlfn.PERCENTRANK.EXC($V$3:$V$15,V4)*100</f>
        <v>28.499999999999996</v>
      </c>
    </row>
    <row r="5" spans="1:24" x14ac:dyDescent="0.35">
      <c r="A5" t="s">
        <v>49</v>
      </c>
      <c r="B5" t="s">
        <v>120</v>
      </c>
      <c r="C5" t="s">
        <v>146</v>
      </c>
      <c r="D5" s="35" t="str" cm="1">
        <f t="array" ref="D5">_xll.FDSB(C5,"FG_YIELD_NAME")</f>
        <v>Canada Benchmark Bond - 10 Year</v>
      </c>
      <c r="E5" s="35" cm="1">
        <f t="array" ref="E5">IFERROR(_xll.FDS(C5,"FG_YIELD(0,,,,""YTM"")"),$E$18)</f>
        <v>3.4443999999999999</v>
      </c>
      <c r="G5" s="35" cm="1">
        <f t="array" ref="G5">_xll.FDSB(C5,"PCTCHG(FG_YIELD(0,,,,""YTM""),FG_YIELD(-1AM,,,,""YTM""))")</f>
        <v>1.9475578</v>
      </c>
      <c r="H5" s="35" cm="1">
        <f t="array" ref="H5">_xll.FDSB(C5,"PCTCHG(FG_YIELD(0,,,,""YTM""),FG_YIELD(-3AM,,,,""YTM""))")</f>
        <v>-0.86345760000000005</v>
      </c>
      <c r="I5" s="35"/>
      <c r="J5" s="35" t="str">
        <f>VLOOKUP(B5,mnemonics!$A$4:$D$78, 4, FALSE)</f>
        <v>REFCATARG-FDS</v>
      </c>
      <c r="K5" s="35" t="str" cm="1">
        <f t="array" ref="K5">_xll.FDSB(J5,"PROPER_NAME(0,,,""SECURITY"",""NAME"")")</f>
        <v>Canada Target Rate</v>
      </c>
      <c r="L5" s="35" cm="1">
        <f t="array" ref="L5">_xll.FDSB(J5,"FG_YIELD(NOW,,,0)")</f>
        <v>5</v>
      </c>
      <c r="M5" s="45" cm="1">
        <f t="array" ref="M5">_xll.FDSB(J5,"(SUBARRAY(NOT_NA(NO_REPEAT_F(FG_YIELD(now,-10AY,D))),0,1)-SUBARRAY(NOT_NA(NO_REPEAT_F(FG_YIELD(now,-10AY,D))),1,1))*100")</f>
        <v>25</v>
      </c>
      <c r="N5" s="47">
        <f t="shared" si="0"/>
        <v>-25</v>
      </c>
      <c r="O5" s="35">
        <f t="shared" si="5"/>
        <v>1.5556000000000001</v>
      </c>
      <c r="S5">
        <f t="shared" si="1"/>
        <v>0</v>
      </c>
      <c r="T5">
        <f t="shared" si="2"/>
        <v>0</v>
      </c>
      <c r="U5">
        <f t="shared" si="3"/>
        <v>1</v>
      </c>
      <c r="V5" s="56">
        <f t="shared" si="4"/>
        <v>0.25</v>
      </c>
      <c r="X5">
        <f t="shared" si="6"/>
        <v>28.499999999999996</v>
      </c>
    </row>
    <row r="6" spans="1:24" x14ac:dyDescent="0.35">
      <c r="A6" t="s">
        <v>11</v>
      </c>
      <c r="B6" t="s">
        <v>106</v>
      </c>
      <c r="C6" t="s">
        <v>19</v>
      </c>
      <c r="D6" s="35" t="str" cm="1">
        <f t="array" ref="D6">_xll.FDSB(C6,"FG_YIELD_NAME")</f>
        <v>Germany Benchmark Bond - 10 Year</v>
      </c>
      <c r="E6" s="35" cm="1">
        <f t="array" ref="E6">IFERROR(_xll.FDS(C6,"FG_YIELD(0,,,,""YTM"")"),$E$18)</f>
        <v>2.4049999999999998</v>
      </c>
      <c r="G6" s="35" cm="1">
        <f t="array" ref="G6">_xll.FDSB(C6,"PCTCHG(FG_YIELD(0,,,,""YTM""),FG_YIELD(-1AM,,,,""YTM""))")</f>
        <v>7.9443469999999996</v>
      </c>
      <c r="H6" s="35" cm="1">
        <f t="array" ref="H6">_xll.FDSB(C6,"PCTCHG(FG_YIELD(0,,,,""YTM""),FG_YIELD(-3AM,,,,""YTM""))")</f>
        <v>3.3075559999999999</v>
      </c>
      <c r="I6" s="35"/>
      <c r="J6" s="35" t="str">
        <f>VLOOKUP(B6,mnemonics!$A$4:$D$78, 4, FALSE)</f>
        <v>REFEUREFI-FDS</v>
      </c>
      <c r="K6" s="35" t="str" cm="1">
        <f t="array" ref="K6">_xll.FDSB(J6,"PROPER_NAME(0,,,""SECURITY"",""NAME"")")</f>
        <v>Eurozone Main Refinancing Operations Minimum Bid Rate</v>
      </c>
      <c r="L6" s="35" cm="1">
        <f t="array" ref="L6">_xll.FDSB(J6,"FG_YIELD(NOW,,,0)")</f>
        <v>4.5</v>
      </c>
      <c r="M6" s="45" cm="1">
        <f t="array" ref="M6">_xll.FDSB(J6,"(SUBARRAY(NOT_NA(NO_REPEAT_F(FG_YIELD(now,-10AY,D))),0,1)-SUBARRAY(NOT_NA(NO_REPEAT_F(FG_YIELD(now,-10AY,D))),1,1))*100")</f>
        <v>25</v>
      </c>
      <c r="N6" s="47">
        <f t="shared" si="0"/>
        <v>-25</v>
      </c>
      <c r="O6" s="35">
        <f t="shared" si="5"/>
        <v>2.0950000000000002</v>
      </c>
      <c r="S6">
        <f t="shared" si="1"/>
        <v>0</v>
      </c>
      <c r="T6">
        <f t="shared" si="2"/>
        <v>0</v>
      </c>
      <c r="U6">
        <f t="shared" si="3"/>
        <v>0</v>
      </c>
      <c r="V6" s="56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118</v>
      </c>
      <c r="C7" t="s">
        <v>143</v>
      </c>
      <c r="D7" s="35" t="str" cm="1">
        <f t="array" ref="D7">_xll.FDSB(C7,"FG_YIELD_NAME")</f>
        <v>Japan Benchmark Bond - 10 Year</v>
      </c>
      <c r="E7" s="35" cm="1">
        <f t="array" ref="E7">IFERROR(_xll.FDS(C7,"FG_YIELD(0,,,,""YTM"")"),$E$18)</f>
        <v>0.71150000000000002</v>
      </c>
      <c r="G7" s="35" cm="1">
        <f t="array" ref="G7">_xll.FDSB(C7,"PCTCHG(FG_YIELD(0,,,,""YTM""),FG_YIELD(-1AM,,,,""YTM""))")</f>
        <v>5.3293876999999998</v>
      </c>
      <c r="H7" s="35" cm="1">
        <f t="array" ref="H7">_xll.FDSB(C7,"PCTCHG(FG_YIELD(0,,,,""YTM""),FG_YIELD(-3AM,,,,""YTM""))")</f>
        <v>3.1159408000000002</v>
      </c>
      <c r="I7" s="35"/>
      <c r="J7" s="35" t="str">
        <f>VLOOKUP(B7,mnemonics!$A$4:$D$78, 4, FALSE)</f>
        <v>REFJPTON-FDS</v>
      </c>
      <c r="K7" s="35" t="str" cm="1">
        <f t="array" ref="K7">_xll.FDSB(J7,"PROPER_NAME(0,,,""SECURITY"",""NAME"")")</f>
        <v>Japan Policy Rate</v>
      </c>
      <c r="L7" s="35" cm="1">
        <f t="array" ref="L7">_xll.FDSB(J7,"FG_YIELD(NOW,,,0)")</f>
        <v>-0.1</v>
      </c>
      <c r="M7" s="45" cm="1">
        <f t="array" ref="M7">_xll.FDSB(J7,"(SUBARRAY(NOT_NA(NO_REPEAT_F(FG_YIELD(now,-10AY,D))),0,1)-SUBARRAY(NOT_NA(NO_REPEAT_F(FG_YIELD(now,-10AY,D))),1,1))*100")</f>
        <v>-20</v>
      </c>
      <c r="N7" s="47">
        <f t="shared" si="0"/>
        <v>20</v>
      </c>
      <c r="O7" s="35">
        <f t="shared" si="5"/>
        <v>-0.8115</v>
      </c>
      <c r="S7">
        <f t="shared" si="1"/>
        <v>1</v>
      </c>
      <c r="T7">
        <f t="shared" si="2"/>
        <v>0</v>
      </c>
      <c r="U7">
        <f t="shared" si="3"/>
        <v>0</v>
      </c>
      <c r="V7" s="56">
        <f t="shared" si="4"/>
        <v>0.5</v>
      </c>
      <c r="X7">
        <f t="shared" si="6"/>
        <v>85.7</v>
      </c>
    </row>
    <row r="8" spans="1:24" x14ac:dyDescent="0.35">
      <c r="A8" t="s">
        <v>42</v>
      </c>
      <c r="B8" t="s">
        <v>114</v>
      </c>
      <c r="C8" t="s">
        <v>139</v>
      </c>
      <c r="D8" s="35" t="str" cm="1">
        <f t="array" ref="D8">_xll.FDSB(C8,"FG_YIELD_NAME")</f>
        <v>Treasury - Switzerland Benchmark Bond 10Y</v>
      </c>
      <c r="E8" s="35" cm="1">
        <f t="array" ref="E8">IFERROR(_xll.FDS(C8,"FG_YIELD(0,,,,""YTM"")"),$E$18)</f>
        <v>0.78500000000000003</v>
      </c>
      <c r="G8" s="35" cm="1">
        <f t="array" ref="G8">_xll.FDSB(C8,"PCTCHG(FG_YIELD(0,,,,""YTM""),FG_YIELD(-1AM,,,,""YTM""))")</f>
        <v>-8.2943899999999999</v>
      </c>
      <c r="H8" s="35" cm="1">
        <f t="array" ref="H8">_xll.FDSB(C8,"PCTCHG(FG_YIELD(0,,,,""YTM""),FG_YIELD(-3AM,,,,""YTM""))")</f>
        <v>-2.7261407000000002</v>
      </c>
      <c r="I8" s="35"/>
      <c r="J8" s="35" t="str">
        <f>VLOOKUP(B8,mnemonics!$A$4:$D$78, 4, FALSE)</f>
        <v>REFCHMPR-FDS</v>
      </c>
      <c r="K8" s="35" t="str" cm="1">
        <f t="array" ref="K8">_xll.FDSB(J8,"PROPER_NAME(0,,,""SECURITY"",""NAME"")")</f>
        <v>Swiss Policy Rate - Sight Deposit Rate</v>
      </c>
      <c r="L8" s="35" cm="1">
        <f t="array" ref="L8">_xll.FDSB(J8,"FG_YIELD(NOW,,,0)")</f>
        <v>1.75</v>
      </c>
      <c r="M8" s="45" cm="1">
        <f t="array" ref="M8">_xll.FDSB(J8,"(SUBARRAY(NOT_NA(NO_REPEAT_F(FG_YIELD(now,-10AY,D))),0,1)-SUBARRAY(NOT_NA(NO_REPEAT_F(FG_YIELD(now,-10AY,D))),1,1))*100")</f>
        <v>25</v>
      </c>
      <c r="N8" s="47">
        <f t="shared" si="0"/>
        <v>-25</v>
      </c>
      <c r="O8" s="35">
        <f t="shared" si="5"/>
        <v>0.96499999999999997</v>
      </c>
      <c r="S8">
        <f t="shared" si="1"/>
        <v>0</v>
      </c>
      <c r="T8">
        <f t="shared" si="2"/>
        <v>1</v>
      </c>
      <c r="U8">
        <f t="shared" si="3"/>
        <v>1</v>
      </c>
      <c r="V8" s="56">
        <f t="shared" si="4"/>
        <v>0.5</v>
      </c>
      <c r="X8">
        <f t="shared" si="6"/>
        <v>85.7</v>
      </c>
    </row>
    <row r="9" spans="1:24" x14ac:dyDescent="0.35">
      <c r="A9" t="s">
        <v>48</v>
      </c>
      <c r="B9" t="s">
        <v>119</v>
      </c>
      <c r="C9" t="s">
        <v>145</v>
      </c>
      <c r="D9" s="35" t="str" cm="1">
        <f t="array" ref="D9">_xll.FDSB(C9,"FG_YIELD_NAME")</f>
        <v>United Kingdom Benchmark Bond - 10 Year</v>
      </c>
      <c r="E9" s="35" cm="1">
        <f t="array" ref="E9">IFERROR(_xll.FDS(C9,"FG_YIELD(0,,,,""YTM"")"),$E$18)</f>
        <v>4.2350000000000003</v>
      </c>
      <c r="G9" s="35" cm="1">
        <f t="array" ref="G9">_xll.FDSB(C9,"PCTCHG(FG_YIELD(0,,,,""YTM""),FG_YIELD(-1AM,,,,""YTM""))")</f>
        <v>8.6454620000000002</v>
      </c>
      <c r="H9" s="35" cm="1">
        <f t="array" ref="H9">_xll.FDSB(C9,"PCTCHG(FG_YIELD(0,,,,""YTM""),FG_YIELD(-3AM,,,,""YTM""))")</f>
        <v>1.7050936000000001</v>
      </c>
      <c r="I9" s="35"/>
      <c r="J9" s="35" t="str">
        <f>VLOOKUP(B9,mnemonics!$A$4:$D$78, 4, FALSE)</f>
        <v>REFGBBANK-FDS</v>
      </c>
      <c r="K9" s="35" t="str" cm="1">
        <f t="array" ref="K9">_xll.FDSB(J9,"PROPER_NAME(0,,,""SECURITY"",""NAME"")")</f>
        <v>UK Bank Rate</v>
      </c>
      <c r="L9" s="35" cm="1">
        <f t="array" ref="L9">_xll.FDSB(J9,"FG_YIELD(NOW,,,0)")</f>
        <v>5.25</v>
      </c>
      <c r="M9" s="45" cm="1">
        <f t="array" ref="M9">_xll.FDSB(J9,"(SUBARRAY(NOT_NA(NO_REPEAT_F(FG_YIELD(now,-10AY,D))),0,1)-SUBARRAY(NOT_NA(NO_REPEAT_F(FG_YIELD(now,-10AY,D))),1,1))*100")</f>
        <v>25</v>
      </c>
      <c r="N9" s="47">
        <f t="shared" si="0"/>
        <v>-25</v>
      </c>
      <c r="O9" s="35">
        <f t="shared" si="5"/>
        <v>1.0149999999999997</v>
      </c>
      <c r="S9">
        <f t="shared" si="1"/>
        <v>0</v>
      </c>
      <c r="T9">
        <f t="shared" si="2"/>
        <v>0</v>
      </c>
      <c r="U9">
        <f t="shared" si="3"/>
        <v>0</v>
      </c>
      <c r="V9" s="56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123</v>
      </c>
      <c r="C10" t="s">
        <v>14</v>
      </c>
      <c r="D10" s="35" t="str" cm="1">
        <f t="array" ref="D10">_xll.FDSB(C10,"FG_YIELD_NAME")</f>
        <v>US Benchmark Bond - 10 Year</v>
      </c>
      <c r="E10" s="35" cm="1">
        <f t="array" ref="E10">IFERROR(_xll.FDS(C10,"FG_YIELD(0,,,,""YTM"")"),$E$18)</f>
        <v>4.2160000000000002</v>
      </c>
      <c r="G10" s="35" cm="1">
        <f t="array" ref="G10">_xll.FDSB(C10,"PCTCHG(FG_YIELD(0,,,,""YTM""),FG_YIELD(-1AM,,,,""YTM""))")</f>
        <v>4.6803210000000002</v>
      </c>
      <c r="H10" s="35" cm="1">
        <f t="array" ref="H10">_xll.FDSB(C10,"PCTCHG(FG_YIELD(0,,,,""YTM""),FG_YIELD(-3AM,,,,""YTM""))")</f>
        <v>-1.0909028000000001</v>
      </c>
      <c r="I10" s="35"/>
      <c r="J10" s="35" t="str">
        <f>VLOOKUP(B10,mnemonics!$A$4:$D$78, 4, FALSE)</f>
        <v>REFFFUND-FDS</v>
      </c>
      <c r="K10" s="35" t="str" cm="1">
        <f t="array" ref="K10">_xll.FDSB(J10,"PROPER_NAME(0,,,""SECURITY"",""NAME"")")</f>
        <v>US Federal Funds Target Rate</v>
      </c>
      <c r="L10" s="35" cm="1">
        <f t="array" ref="L10">_xll.FDSB(J10,"FG_YIELD(NOW,,,0)")</f>
        <v>5.5</v>
      </c>
      <c r="M10" s="45" cm="1">
        <f t="array" ref="M10">_xll.FDSB(J10,"(SUBARRAY(NOT_NA(NO_REPEAT_F(FG_YIELD(now,-10AY,D))),0,1)-SUBARRAY(NOT_NA(NO_REPEAT_F(FG_YIELD(now,-10AY,D))),1,1))*100")</f>
        <v>25</v>
      </c>
      <c r="N10" s="47">
        <f t="shared" si="0"/>
        <v>-25</v>
      </c>
      <c r="O10" s="35">
        <f t="shared" si="5"/>
        <v>1.2839999999999998</v>
      </c>
      <c r="S10">
        <f t="shared" si="1"/>
        <v>0</v>
      </c>
      <c r="T10">
        <f t="shared" si="2"/>
        <v>0</v>
      </c>
      <c r="U10">
        <f t="shared" si="3"/>
        <v>1</v>
      </c>
      <c r="V10" s="56">
        <f t="shared" si="4"/>
        <v>0.25</v>
      </c>
      <c r="X10">
        <f t="shared" si="6"/>
        <v>28.499999999999996</v>
      </c>
    </row>
    <row r="11" spans="1:24" x14ac:dyDescent="0.35">
      <c r="A11" t="s">
        <v>1</v>
      </c>
      <c r="B11" t="s">
        <v>123</v>
      </c>
      <c r="C11" t="s">
        <v>14</v>
      </c>
      <c r="D11" s="35" t="str" cm="1">
        <f t="array" ref="D11">_xll.FDSB(C11,"FG_YIELD_NAME")</f>
        <v>US Benchmark Bond - 10 Year</v>
      </c>
      <c r="E11" s="35" cm="1">
        <f t="array" ref="E11">IFERROR(_xll.FDS(C11,"FG_YIELD(0,,,,""YTM"")"),$E$18)</f>
        <v>4.2160000000000002</v>
      </c>
      <c r="G11" s="35" cm="1">
        <f t="array" ref="G11">_xll.FDSB(C11,"PCTCHG(FG_YIELD(0,,,,""YTM""),FG_YIELD(-1AM,,,,""YTM""))")</f>
        <v>4.6803210000000002</v>
      </c>
      <c r="H11" s="35" cm="1">
        <f t="array" ref="H11">_xll.FDSB(C11,"PCTCHG(FG_YIELD(0,,,,""YTM""),FG_YIELD(-3AM,,,,""YTM""))")</f>
        <v>-1.0909028000000001</v>
      </c>
      <c r="I11" s="35"/>
      <c r="J11" s="35" t="str">
        <f>VLOOKUP(B11,mnemonics!$A$4:$D$78, 4, FALSE)</f>
        <v>REFFFUND-FDS</v>
      </c>
      <c r="K11" s="35" t="str" cm="1">
        <f t="array" ref="K11">_xll.FDSB(J11,"PROPER_NAME(0,,,""SECURITY"",""NAME"")")</f>
        <v>US Federal Funds Target Rate</v>
      </c>
      <c r="L11" s="35" cm="1">
        <f t="array" ref="L11">_xll.FDSB(J11,"FG_YIELD(NOW,,,0)")</f>
        <v>5.5</v>
      </c>
      <c r="M11" s="45" cm="1">
        <f t="array" ref="M11">_xll.FDSB(J11,"(SUBARRAY(NOT_NA(NO_REPEAT_F(FG_YIELD(now,-10AY,D))),0,1)-SUBARRAY(NOT_NA(NO_REPEAT_F(FG_YIELD(now,-10AY,D))),1,1))*100")</f>
        <v>25</v>
      </c>
      <c r="N11" s="47">
        <f t="shared" si="0"/>
        <v>-25</v>
      </c>
      <c r="O11" s="35">
        <f t="shared" si="5"/>
        <v>1.2839999999999998</v>
      </c>
      <c r="S11">
        <f t="shared" si="1"/>
        <v>0</v>
      </c>
      <c r="T11">
        <f t="shared" si="2"/>
        <v>0</v>
      </c>
      <c r="U11">
        <f t="shared" si="3"/>
        <v>1</v>
      </c>
      <c r="V11" s="56">
        <f t="shared" si="4"/>
        <v>0.25</v>
      </c>
      <c r="X11">
        <f t="shared" si="6"/>
        <v>28.499999999999996</v>
      </c>
    </row>
    <row r="12" spans="1:24" x14ac:dyDescent="0.35">
      <c r="A12" t="s">
        <v>872</v>
      </c>
      <c r="B12" t="s">
        <v>110</v>
      </c>
      <c r="C12" t="s">
        <v>137</v>
      </c>
      <c r="D12" s="35" t="str" cm="1">
        <f t="array" ref="D12">_xll.FDSB(C12,"FG_YIELD_NAME")</f>
        <v>France Benchmark Bond - 10 Year</v>
      </c>
      <c r="E12" s="35" cm="1">
        <f t="array" ref="E12">IFERROR(_xll.FDS(C12,"FG_YIELD(0,,,,""YTM"")"),$E$18)</f>
        <v>2.88</v>
      </c>
      <c r="G12" s="35" cm="1">
        <f t="array" ref="G12">_xll.FDSB(C12,"PCTCHG(FG_YIELD(0,,,,""YTM""),FG_YIELD(-1AM,,,,""YTM""))")</f>
        <v>5.3016534000000002</v>
      </c>
      <c r="H12" s="35" cm="1">
        <f t="array" ref="H12">_xll.FDSB(C12,"PCTCHG(FG_YIELD(0,,,,""YTM""),FG_YIELD(-3AM,,,,""YTM""))")</f>
        <v>-0.62111413000000004</v>
      </c>
      <c r="I12" s="35"/>
      <c r="J12" s="35" t="str">
        <f>VLOOKUP(B12,mnemonics!$A$4:$D$78, 4, FALSE)</f>
        <v>REFEUREFI-FDS</v>
      </c>
      <c r="K12" s="35" t="str" cm="1">
        <f t="array" ref="K12">_xll.FDSB(J12,"PROPER_NAME(0,,,""SECURITY"",""NAME"")")</f>
        <v>Eurozone Main Refinancing Operations Minimum Bid Rate</v>
      </c>
      <c r="L12" s="35" cm="1">
        <f t="array" ref="L12">_xll.FDSB(J12,"FG_YIELD(NOW,,,0)")</f>
        <v>4.5</v>
      </c>
      <c r="M12" s="45" cm="1">
        <f t="array" ref="M12">_xll.FDSB(J12,"(SUBARRAY(NOT_NA(NO_REPEAT_F(FG_YIELD(now,-10AY,D))),0,1)-SUBARRAY(NOT_NA(NO_REPEAT_F(FG_YIELD(now,-10AY,D))),1,1))*100")</f>
        <v>25</v>
      </c>
      <c r="N12" s="47">
        <f t="shared" si="0"/>
        <v>-25</v>
      </c>
      <c r="O12" s="35">
        <f t="shared" si="5"/>
        <v>1.62</v>
      </c>
      <c r="S12">
        <f t="shared" si="1"/>
        <v>0</v>
      </c>
      <c r="T12">
        <f t="shared" si="2"/>
        <v>0</v>
      </c>
      <c r="U12">
        <f t="shared" si="3"/>
        <v>1</v>
      </c>
      <c r="V12" s="56">
        <f t="shared" si="4"/>
        <v>0.25</v>
      </c>
      <c r="X12">
        <f t="shared" si="6"/>
        <v>28.499999999999996</v>
      </c>
    </row>
    <row r="13" spans="1:24" x14ac:dyDescent="0.35">
      <c r="A13" t="s">
        <v>874</v>
      </c>
      <c r="B13" t="s">
        <v>882</v>
      </c>
      <c r="C13" t="s">
        <v>884</v>
      </c>
      <c r="D13" s="35" t="str" cm="1">
        <f t="array" ref="D13">_xll.FDSB(C13,"FG_YIELD_NAME")</f>
        <v>Netherlands Benchmark Bond - 10 Year</v>
      </c>
      <c r="E13" s="35" cm="1">
        <f t="array" ref="E13">IFERROR(_xll.FDS(C13,"FG_YIELD(0,,,,""YTM"")"),$E$18)</f>
        <v>2.7240000000000002</v>
      </c>
      <c r="G13" s="35" cm="1">
        <f t="array" ref="G13">_xll.FDSB(C13,"PCTCHG(FG_YIELD(0,,,,""YTM""),FG_YIELD(-1AM,,,,""YTM""))")</f>
        <v>8.4394864999999992</v>
      </c>
      <c r="H13" s="35" cm="1">
        <f t="array" ref="H13">_xll.FDSB(C13,"PCTCHG(FG_YIELD(0,,,,""YTM""),FG_YIELD(-3AM,,,,""YTM""))")</f>
        <v>2.3675296000000001</v>
      </c>
      <c r="I13" s="35"/>
      <c r="J13" s="35" t="str">
        <f>VLOOKUP(B13,mnemonics!$A$4:$D$78, 4, FALSE)</f>
        <v>REFEUREFI-FDS</v>
      </c>
      <c r="K13" s="35" t="str" cm="1">
        <f t="array" ref="K13">_xll.FDSB(J13,"PROPER_NAME(0,,,""SECURITY"",""NAME"")")</f>
        <v>Eurozone Main Refinancing Operations Minimum Bid Rate</v>
      </c>
      <c r="L13" s="35" cm="1">
        <f t="array" ref="L13">_xll.FDSB(J13,"FG_YIELD(NOW,,,0)")</f>
        <v>4.5</v>
      </c>
      <c r="M13" s="45" cm="1">
        <f t="array" ref="M13">_xll.FDSB(J13,"(SUBARRAY(NOT_NA(NO_REPEAT_F(FG_YIELD(now,-10AY,D))),0,1)-SUBARRAY(NOT_NA(NO_REPEAT_F(FG_YIELD(now,-10AY,D))),1,1))*100")</f>
        <v>25</v>
      </c>
      <c r="N13" s="47">
        <f t="shared" si="0"/>
        <v>-25</v>
      </c>
      <c r="O13" s="35">
        <f t="shared" si="5"/>
        <v>1.7759999999999998</v>
      </c>
      <c r="S13">
        <f t="shared" si="1"/>
        <v>0</v>
      </c>
      <c r="T13">
        <f t="shared" si="2"/>
        <v>0</v>
      </c>
      <c r="U13">
        <f t="shared" si="3"/>
        <v>0</v>
      </c>
      <c r="V13" s="56">
        <f t="shared" si="4"/>
        <v>0</v>
      </c>
      <c r="X13">
        <f t="shared" si="6"/>
        <v>7.1</v>
      </c>
    </row>
    <row r="14" spans="1:24" x14ac:dyDescent="0.35">
      <c r="A14" t="s">
        <v>871</v>
      </c>
      <c r="B14" t="s">
        <v>276</v>
      </c>
      <c r="C14" t="s">
        <v>885</v>
      </c>
      <c r="D14" s="35" t="str" cm="1">
        <f t="array" ref="D14">_xll.FDSB(C14,"FG_YIELD_NAME")</f>
        <v>Sweden Benchmark Bond - 10 Year</v>
      </c>
      <c r="E14" s="35" cm="1">
        <f t="array" ref="E14">IFERROR(_xll.FDS(C14,"FG_YIELD(0,,,,""YTM"")"),$E$18)</f>
        <v>2.4239999999999999</v>
      </c>
      <c r="G14" s="35" cm="1">
        <f t="array" ref="G14">_xll.FDSB(C14,"PCTCHG(FG_YIELD(0,,,,""YTM""),FG_YIELD(-1AM,,,,""YTM""))")</f>
        <v>9.9319769999999998</v>
      </c>
      <c r="H14" s="35" cm="1">
        <f t="array" ref="H14">_xll.FDSB(C14,"PCTCHG(FG_YIELD(0,,,,""YTM""),FG_YIELD(-3AM,,,,""YTM""))")</f>
        <v>-1.1015892</v>
      </c>
      <c r="I14" s="35"/>
      <c r="J14" s="35" t="str">
        <f>VLOOKUP(B14,mnemonics!$A$4:$D$78, 4, FALSE)</f>
        <v>REFSEREPO-FDS</v>
      </c>
      <c r="K14" s="35" t="str" cm="1">
        <f t="array" ref="K14">_xll.FDSB(J14,"PROPER_NAME(0,,,""SECURITY"",""NAME"")")</f>
        <v>Sweden Repo Rate</v>
      </c>
      <c r="L14" s="35" cm="1">
        <f t="array" ref="L14">_xll.FDSB(J14,"FG_YIELD(NOW,,,0)")</f>
        <v>4</v>
      </c>
      <c r="M14" s="45" cm="1">
        <f t="array" ref="M14">_xll.FDSB(J14,"(SUBARRAY(NOT_NA(NO_REPEAT_F(FG_YIELD(now,-10AY,D))),0,1)-SUBARRAY(NOT_NA(NO_REPEAT_F(FG_YIELD(now,-10AY,D))),1,1))*100")</f>
        <v>25</v>
      </c>
      <c r="N14" s="47">
        <f t="shared" si="0"/>
        <v>-25</v>
      </c>
      <c r="O14" s="35">
        <f t="shared" si="5"/>
        <v>1.5760000000000001</v>
      </c>
      <c r="S14">
        <f t="shared" si="1"/>
        <v>0</v>
      </c>
      <c r="T14">
        <f t="shared" si="2"/>
        <v>0</v>
      </c>
      <c r="U14">
        <f t="shared" si="3"/>
        <v>1</v>
      </c>
      <c r="V14" s="56">
        <f t="shared" si="4"/>
        <v>0.25</v>
      </c>
      <c r="X14">
        <f t="shared" si="6"/>
        <v>28.499999999999996</v>
      </c>
    </row>
    <row r="15" spans="1:24" x14ac:dyDescent="0.35">
      <c r="A15" t="s">
        <v>873</v>
      </c>
      <c r="B15" t="s">
        <v>883</v>
      </c>
      <c r="C15" t="s">
        <v>886</v>
      </c>
      <c r="D15" s="35" t="str" cm="1">
        <f t="array" ref="D15">_xll.FDSB(C15,"FG_YIELD_NAME")</f>
        <v>Italy Benchmark Bond - 10 Year</v>
      </c>
      <c r="E15" s="35" cm="1">
        <f t="array" ref="E15">IFERROR(_xll.FDS(C15,"FG_YIELD(0,,,,""YTM"")"),$E$18)</f>
        <v>3.8410000000000002</v>
      </c>
      <c r="G15" s="35" cm="1">
        <f t="array" ref="G15">_xll.FDSB(C15,"PCTCHG(FG_YIELD(0,,,,""YTM""),FG_YIELD(-1AM,,,,""YTM""))")</f>
        <v>1.2388026000000001</v>
      </c>
      <c r="H15" s="35" cm="1">
        <f t="array" ref="H15">_xll.FDSB(C15,"PCTCHG(FG_YIELD(0,,,,""YTM""),FG_YIELD(-3AM,,,,""YTM""))")</f>
        <v>-5.9500500000000001</v>
      </c>
      <c r="I15" s="35"/>
      <c r="J15" s="35" t="str">
        <f>VLOOKUP(B15,mnemonics!$A$4:$D$78, 4, FALSE)</f>
        <v>REFEUREFI-FDS</v>
      </c>
      <c r="K15" s="35" t="str" cm="1">
        <f t="array" ref="K15">_xll.FDSB(J15,"PROPER_NAME(0,,,""SECURITY"",""NAME"")")</f>
        <v>Eurozone Main Refinancing Operations Minimum Bid Rate</v>
      </c>
      <c r="L15" s="35" cm="1">
        <f t="array" ref="L15">_xll.FDSB(J15,"FG_YIELD(NOW,,,0)")</f>
        <v>4.5</v>
      </c>
      <c r="M15" s="45" cm="1">
        <f t="array" ref="M15">_xll.FDSB(J15,"(SUBARRAY(NOT_NA(NO_REPEAT_F(FG_YIELD(now,-10AY,D))),0,1)-SUBARRAY(NOT_NA(NO_REPEAT_F(FG_YIELD(now,-10AY,D))),1,1))*100")</f>
        <v>25</v>
      </c>
      <c r="N15" s="47">
        <f t="shared" si="0"/>
        <v>-25</v>
      </c>
      <c r="O15" s="35">
        <f t="shared" si="5"/>
        <v>0.65899999999999981</v>
      </c>
      <c r="S15">
        <f t="shared" si="1"/>
        <v>0</v>
      </c>
      <c r="T15">
        <f t="shared" si="2"/>
        <v>0</v>
      </c>
      <c r="U15">
        <f t="shared" si="3"/>
        <v>1</v>
      </c>
      <c r="V15" s="56">
        <f t="shared" si="4"/>
        <v>0.25</v>
      </c>
      <c r="X15">
        <f t="shared" si="6"/>
        <v>28.499999999999996</v>
      </c>
    </row>
    <row r="16" spans="1:24" x14ac:dyDescent="0.35">
      <c r="D16" s="35"/>
      <c r="E16" s="35"/>
      <c r="G16" s="35"/>
      <c r="H16" s="35"/>
      <c r="J16" s="35"/>
      <c r="K16" s="35"/>
      <c r="L16" s="35"/>
      <c r="M16" s="45"/>
      <c r="N16" s="47"/>
      <c r="V16" s="59"/>
    </row>
    <row r="17" spans="1:22" x14ac:dyDescent="0.35">
      <c r="D17" s="35"/>
      <c r="E17" s="35"/>
      <c r="G17" s="35"/>
      <c r="H17" s="35"/>
      <c r="J17" s="35"/>
      <c r="K17" s="35"/>
      <c r="L17" s="35"/>
      <c r="M17" s="45"/>
      <c r="N17" s="47"/>
      <c r="V17" s="59"/>
    </row>
    <row r="18" spans="1:22" x14ac:dyDescent="0.35">
      <c r="A18" t="s">
        <v>1</v>
      </c>
      <c r="B18" t="s">
        <v>123</v>
      </c>
      <c r="C18" t="s">
        <v>14</v>
      </c>
      <c r="D18" s="35" t="str" cm="1">
        <f t="array" ref="D18">_xll.FDSB(C18,"FG_YIELD_NAME")</f>
        <v>US Benchmark Bond - 10 Year</v>
      </c>
      <c r="E18" s="35" cm="1">
        <f t="array" ref="E18">IFERROR(_xll.FDS(C18,"FG_YIELD(0,,,,""YTM"")"),E47)</f>
        <v>4.2160000000000002</v>
      </c>
      <c r="G18" s="35"/>
      <c r="H18" s="35"/>
      <c r="J18" s="35"/>
      <c r="K18" s="35"/>
      <c r="L18" s="35"/>
      <c r="M18" s="45"/>
      <c r="N18" s="47"/>
      <c r="V18" s="59"/>
    </row>
    <row r="19" spans="1:22" x14ac:dyDescent="0.35">
      <c r="D19" s="35"/>
      <c r="E19" s="35"/>
      <c r="G19" s="35"/>
      <c r="H19" s="35"/>
      <c r="J19" s="35"/>
      <c r="K19" s="35"/>
      <c r="L19" s="35"/>
      <c r="M19" s="45"/>
      <c r="N19" s="47"/>
      <c r="V19" s="59"/>
    </row>
    <row r="20" spans="1:22" x14ac:dyDescent="0.35">
      <c r="D20" s="35"/>
      <c r="E20" s="35"/>
      <c r="G20" s="35"/>
      <c r="H20" s="35"/>
      <c r="J20" s="35"/>
      <c r="K20" s="35"/>
      <c r="L20" s="35"/>
      <c r="M20" s="45"/>
      <c r="N20" s="47"/>
      <c r="V20" s="59"/>
    </row>
    <row r="21" spans="1:22" x14ac:dyDescent="0.35">
      <c r="D21" s="35"/>
      <c r="E21" s="35"/>
      <c r="G21" s="35"/>
      <c r="H21" s="35"/>
      <c r="J21" s="35"/>
      <c r="K21" s="35"/>
      <c r="L21" s="35"/>
      <c r="M21" s="45"/>
      <c r="N21" s="47"/>
      <c r="V21" s="59"/>
    </row>
    <row r="22" spans="1:22" x14ac:dyDescent="0.35">
      <c r="D22" s="35"/>
      <c r="E22" s="35"/>
      <c r="G22" s="35"/>
      <c r="H22" s="35"/>
      <c r="J22" s="35"/>
      <c r="K22" s="35"/>
      <c r="L22" s="35"/>
      <c r="M22" s="45"/>
      <c r="N22" s="47"/>
      <c r="V22" s="59"/>
    </row>
    <row r="27" spans="1:22" ht="18.5" x14ac:dyDescent="0.45">
      <c r="A27" s="43"/>
      <c r="B27" s="44"/>
      <c r="C27" s="44"/>
      <c r="D27" s="44"/>
      <c r="E27" s="44"/>
      <c r="F27" s="44"/>
      <c r="G27" s="44"/>
      <c r="H27" s="44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90625" customWidth="1"/>
    <col min="2" max="2" width="5.6328125" bestFit="1" customWidth="1"/>
    <col min="3" max="3" width="10.36328125" customWidth="1"/>
    <col min="4" max="4" width="14.36328125" customWidth="1"/>
    <col min="5" max="5" width="27.453125" bestFit="1" customWidth="1"/>
    <col min="6" max="6" width="17.36328125" customWidth="1"/>
    <col min="7" max="7" width="12" bestFit="1" customWidth="1"/>
    <col min="8" max="8" width="17.54296875" customWidth="1"/>
    <col min="9" max="9" width="26.90625" bestFit="1" customWidth="1"/>
    <col min="10" max="10" width="20.6328125" customWidth="1"/>
    <col min="11" max="11" width="17.90625" style="83" customWidth="1"/>
    <col min="12" max="13" width="15.08984375" customWidth="1"/>
    <col min="14" max="14" width="11.36328125" customWidth="1"/>
    <col min="15" max="15" width="20" customWidth="1"/>
    <col min="16" max="16" width="15.36328125" customWidth="1"/>
    <col min="17" max="17" width="17.453125" customWidth="1"/>
    <col min="18" max="18" width="14.08984375" customWidth="1"/>
    <col min="19" max="19" width="11.08984375" customWidth="1"/>
  </cols>
  <sheetData>
    <row r="1" spans="1:19" ht="29" x14ac:dyDescent="0.35">
      <c r="A1" s="81" t="s">
        <v>537</v>
      </c>
      <c r="B1" s="81" t="s">
        <v>522</v>
      </c>
      <c r="C1" s="81" t="s">
        <v>523</v>
      </c>
      <c r="D1" s="81" t="s">
        <v>100</v>
      </c>
      <c r="E1" s="81" t="s">
        <v>101</v>
      </c>
      <c r="F1" s="81" t="s">
        <v>102</v>
      </c>
      <c r="G1" s="84" t="s">
        <v>384</v>
      </c>
      <c r="H1" s="84" t="s">
        <v>412</v>
      </c>
      <c r="I1" s="84" t="s">
        <v>534</v>
      </c>
      <c r="J1" s="84" t="s">
        <v>538</v>
      </c>
      <c r="K1" s="85" t="s">
        <v>741</v>
      </c>
      <c r="L1" s="84" t="s">
        <v>533</v>
      </c>
      <c r="M1" s="84" t="s">
        <v>546</v>
      </c>
      <c r="N1" s="81" t="s">
        <v>739</v>
      </c>
      <c r="O1" s="81" t="s">
        <v>740</v>
      </c>
      <c r="P1" s="81" t="s">
        <v>742</v>
      </c>
      <c r="Q1" s="81" t="s">
        <v>539</v>
      </c>
      <c r="R1" s="81" t="s">
        <v>540</v>
      </c>
      <c r="S1" s="81" t="s">
        <v>548</v>
      </c>
    </row>
    <row r="2" spans="1:19" x14ac:dyDescent="0.35">
      <c r="A2" t="s">
        <v>435</v>
      </c>
      <c r="B2" t="s">
        <v>435</v>
      </c>
      <c r="C2" t="str" cm="1">
        <f t="array" ref="C2">_xll.FDS(B2,"FG_COMPANY_NAME")</f>
        <v>iShares MSCI New Zealand ETF</v>
      </c>
      <c r="D2" t="s">
        <v>201</v>
      </c>
      <c r="E2" t="s">
        <v>453</v>
      </c>
      <c r="F2" t="str" cm="1">
        <f t="array" ref="F2">_xll.FDS(E2,"FG_YIELD_NAME")</f>
        <v>New Zealand Benchmark Bond - 10 Year</v>
      </c>
      <c r="G2">
        <f>VLOOKUP(A2,'LIQIDITY 2'!$A$3:$E$15,5,FALSE)</f>
        <v>4.7393000000000001</v>
      </c>
      <c r="H2" cm="1">
        <f t="array" ref="H2">_xll.FDS(B2,"FG_ROE(0)")</f>
        <v>4.9485254090132003</v>
      </c>
      <c r="I2">
        <f>HLOOKUP(B2,'Index ROE'!$B$1:$N$25,24,FALSE)</f>
        <v>9.8238973987983247</v>
      </c>
      <c r="J2" cm="1">
        <f t="array" ref="J2">_xll.FDS(B2, "FMA_RBICS_REV_CURRENT(30, LOC, ""PORTAGG"")")</f>
        <v>13.623899143593199</v>
      </c>
      <c r="K2" s="83">
        <f>HLOOKUP(B2,'Index earnings'!$B$1:$N$25,25,FALSE)</f>
        <v>-9.3828148339384354E-3</v>
      </c>
      <c r="L2">
        <f>HLOOKUP(A2,'Yearly returns'!$B$1:$N$128,126,FALSE)</f>
        <v>-30.241371000000001</v>
      </c>
      <c r="M2">
        <f t="shared" ref="M2:M10" si="0">I2-G2</f>
        <v>5.0845973987983246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50</v>
      </c>
      <c r="R2">
        <f>N2*Assumption!$F$63 + O2*Assumption!$F$60 + P2*Assumption!$F$61 + Q2*Assumption!$F$62</f>
        <v>33.924999999999997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117</v>
      </c>
      <c r="E3" t="s">
        <v>142</v>
      </c>
      <c r="F3" t="str" cm="1">
        <f t="array" ref="F3">_xll.FDS(E3,"FG_YIELD_NAME")</f>
        <v>Australia Benchmark Bond - 10 Year</v>
      </c>
      <c r="G3">
        <f>VLOOKUP(A3,'LIQIDITY 2'!$A$3:$E$15,5,FALSE)</f>
        <v>4.1050000000000004</v>
      </c>
      <c r="H3" cm="1">
        <f t="array" ref="H3">_xll.FDS(B3,"FG_ROE(0)")</f>
        <v>12.666174463172799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40.7151096463949</v>
      </c>
      <c r="K3" s="83">
        <f>HLOOKUP(B3,'Index earnings'!$B$1:$N$25,25,FALSE)</f>
        <v>1.1173841089814562E-2</v>
      </c>
      <c r="L3">
        <f>HLOOKUP(A3,'Yearly returns'!$B$1:$N$128,126,FALSE)</f>
        <v>-31.930900000000001</v>
      </c>
      <c r="M3">
        <f t="shared" si="0"/>
        <v>8.9157332991736986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N3*Assumption!$F$63 + O3*Assumption!$F$60 + P3*Assumption!$F$61 + Q3*Assumption!$F$62</f>
        <v>28.549999999999997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120</v>
      </c>
      <c r="E4" t="s">
        <v>146</v>
      </c>
      <c r="F4" t="str" cm="1">
        <f t="array" ref="F4">_xll.FDS(E4,"FG_YIELD_NAME")</f>
        <v>Canada Benchmark Bond - 10 Year</v>
      </c>
      <c r="G4">
        <f>VLOOKUP(A4,'LIQIDITY 2'!$A$3:$E$15,5,FALSE)</f>
        <v>3.4443999999999999</v>
      </c>
      <c r="H4" cm="1">
        <f t="array" ref="H4">_xll.FDS(B4,"FG_ROE(0)")</f>
        <v>10.9984367232779</v>
      </c>
      <c r="I4">
        <f>HLOOKUP(B4,'Index ROE'!$B$1:$N$25,24,FALSE)</f>
        <v>12.7516875895064</v>
      </c>
      <c r="J4" cm="1">
        <f t="array" ref="J4">_xll.FDS(B4, "FMA_RBICS_REV_CURRENT(30, LOC, ""PORTAGG"")")</f>
        <v>40.919830747367598</v>
      </c>
      <c r="K4" s="83">
        <f>HLOOKUP(B4,'Index earnings'!$B$1:$N$25,25,FALSE)</f>
        <v>4.0909866878857226E-2</v>
      </c>
      <c r="L4">
        <f>HLOOKUP(A4,'Yearly returns'!$B$1:$N$128,126,FALSE)</f>
        <v>-27.210014000000001</v>
      </c>
      <c r="M4">
        <f t="shared" si="0"/>
        <v>9.3072875895063998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N4*Assumption!$F$63 + O4*Assumption!$F$60 + P4*Assumption!$F$61 + Q4*Assumption!$F$62</f>
        <v>46.399999999999991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106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2.4049999999999998</v>
      </c>
      <c r="H5" cm="1">
        <f t="array" ref="H5">_xll.FDS(B5,"FG_ROE(0)")</f>
        <v>11.8485776502836</v>
      </c>
      <c r="I5">
        <f>HLOOKUP(B5,'Index ROE'!$B$1:$N$25,24,FALSE)</f>
        <v>11.97961006340425</v>
      </c>
      <c r="J5" cm="1">
        <f t="array" ref="J5">_xll.FDS(B5, "FMA_RBICS_REV_CURRENT(30, LOC, ""PORTAGG"")")</f>
        <v>22.834593768585702</v>
      </c>
      <c r="K5" s="83">
        <f>HLOOKUP(B5,'Index earnings'!$B$1:$N$25,25,FALSE)</f>
        <v>2.824815242461387E-2</v>
      </c>
      <c r="L5">
        <f>HLOOKUP(A5,'Yearly returns'!$B$1:$N$128,126,FALSE)</f>
        <v>-36.912260000000003</v>
      </c>
      <c r="M5">
        <f t="shared" si="0"/>
        <v>9.5746100634042506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N5*Assumption!$F$63 + O5*Assumption!$F$60 + P5*Assumption!$F$61 + Q5*Assumption!$F$62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118</v>
      </c>
      <c r="E6" t="s">
        <v>143</v>
      </c>
      <c r="F6" t="str" cm="1">
        <f t="array" ref="F6">_xll.FDS(E6,"FG_YIELD_NAME")</f>
        <v>Japan Benchmark Bond - 10 Year</v>
      </c>
      <c r="G6">
        <f>VLOOKUP(A6,'LIQIDITY 2'!$A$3:$E$15,5,FALSE)</f>
        <v>0.71150000000000002</v>
      </c>
      <c r="H6" cm="1">
        <f t="array" ref="H6">_xll.FDS(B6,"FG_ROE(0)")</f>
        <v>9.5072895048947199</v>
      </c>
      <c r="I6">
        <f>HLOOKUP(B6,'Index ROE'!$B$1:$N$25,24,FALSE)</f>
        <v>8.994618118763011</v>
      </c>
      <c r="J6" cm="1">
        <f t="array" ref="J6">_xll.FDS(B6, "FMA_RBICS_REV_CURRENT(30, LOC, ""PORTAGG"")")</f>
        <v>17.608535110813602</v>
      </c>
      <c r="K6" s="83">
        <f>HLOOKUP(B6,'Index earnings'!$B$1:$N$25,25,FALSE)</f>
        <v>2.4028219432087994E-2</v>
      </c>
      <c r="L6">
        <f>HLOOKUP(A6,'Yearly returns'!$B$1:$N$128,126,FALSE)</f>
        <v>-25.928979999999999</v>
      </c>
      <c r="M6">
        <f t="shared" si="0"/>
        <v>8.2831181187630101</v>
      </c>
      <c r="N6" cm="1">
        <f t="array" ref="N6">_xlfn.PERCENTRANK.EXC(_xlfn._xlws.FILTER(M$2:M$14, ISNUMBER(M$2:M$14)),M6)*100</f>
        <v>28.499999999999996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N6*Assumption!$F$63 + O6*Assumption!$F$60 + P6*Assumption!$F$61 + Q6*Assumption!$F$62</f>
        <v>49.974999999999994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114</v>
      </c>
      <c r="E7" t="s">
        <v>139</v>
      </c>
      <c r="F7" t="str" cm="1">
        <f t="array" ref="F7">_xll.FDS(E7,"FG_YIELD_NAME")</f>
        <v>Treasury - Switzerland Benchmark Bond 10Y</v>
      </c>
      <c r="G7">
        <f>VLOOKUP(A7,'LIQIDITY 2'!$A$3:$E$15,5,FALSE)</f>
        <v>0.78500000000000003</v>
      </c>
      <c r="H7" cm="1">
        <f t="array" ref="H7">_xll.FDS(B7,"FG_ROE(0)")</f>
        <v>24.1266840314759</v>
      </c>
      <c r="I7">
        <f>HLOOKUP(B7,'Index ROE'!$B$1:$N$25,24,FALSE)</f>
        <v>15.55096443559315</v>
      </c>
      <c r="J7" cm="1">
        <f t="array" ref="J7">_xll.FDS(B7, "FMA_RBICS_REV_CURRENT(30, LOC, ""PORTAGG"")")</f>
        <v>18.231521838348201</v>
      </c>
      <c r="K7" s="83">
        <f>HLOOKUP(B7,'Index earnings'!$B$1:$N$25,25,FALSE)</f>
        <v>4.6569092795069267E-2</v>
      </c>
      <c r="L7">
        <f>HLOOKUP(A7,'Yearly returns'!$B$1:$N$128,126,FALSE)</f>
        <v>-21.577942</v>
      </c>
      <c r="M7">
        <f t="shared" si="0"/>
        <v>14.765964435593149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N7*Assumption!$F$63 + O7*Assumption!$F$60 + P7*Assumption!$F$61 + Q7*Assumption!$F$62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119</v>
      </c>
      <c r="E8" t="s">
        <v>145</v>
      </c>
      <c r="F8" t="str" cm="1">
        <f t="array" ref="F8">_xll.FDS(E8,"FG_YIELD_NAME")</f>
        <v>United Kingdom Benchmark Bond - 10 Year</v>
      </c>
      <c r="G8">
        <f>VLOOKUP(A8,'LIQIDITY 2'!$A$3:$E$15,5,FALSE)</f>
        <v>4.2350000000000003</v>
      </c>
      <c r="H8" cm="1">
        <f t="array" ref="H8">_xll.FDS(B8,"FG_ROE(0)")</f>
        <v>15.7516914910147</v>
      </c>
      <c r="I8">
        <f>HLOOKUP(B8,'Index ROE'!$B$1:$N$25,24,FALSE)</f>
        <v>14.561964916400001</v>
      </c>
      <c r="J8" cm="1">
        <f t="array" ref="J8">_xll.FDS(B8, "FMA_RBICS_REV_CURRENT(30, LOC, ""PORTAGG"")")</f>
        <v>17.380511824257098</v>
      </c>
      <c r="K8" s="83">
        <f>HLOOKUP(B8,'Index earnings'!$B$1:$N$25,25,FALSE)</f>
        <v>3.7532801015660588E-3</v>
      </c>
      <c r="L8">
        <f>HLOOKUP(A8,'Yearly returns'!$B$1:$N$128,126,FALSE)</f>
        <v>-30.456178999999999</v>
      </c>
      <c r="M8">
        <f t="shared" si="0"/>
        <v>10.326964916400001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64.3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42.8</v>
      </c>
      <c r="R8">
        <f>N8*Assumption!$F$63 + O8*Assumption!$F$60 + P8*Assumption!$F$61 + Q8*Assumption!$F$62</f>
        <v>46.375</v>
      </c>
      <c r="S8" cm="1">
        <f t="array" ref="S8">_xlfn.PERCENTRANK.EXC(_xlfn._xlws.FILTER(R$2:R$14, ISNUMBER(R$2:R$14)),R8)*100</f>
        <v>50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123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4.2160000000000002</v>
      </c>
      <c r="H9" cm="1">
        <f t="array" ref="H9">_xll.FDS(B9,"FG_ROE(0)")</f>
        <v>22.2705069539562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0.86103906844516298</v>
      </c>
      <c r="K9" s="83">
        <f>HLOOKUP(B9,'Index earnings'!$B$1:$N$25,25,FALSE)</f>
        <v>0.1298840725785837</v>
      </c>
      <c r="L9">
        <f>HLOOKUP(A9,'Yearly returns'!$B$1:$N$128,126,FALSE)</f>
        <v>-33.122017</v>
      </c>
      <c r="M9">
        <f t="shared" si="0"/>
        <v>16.820882269896501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N9*Assumption!$F$63 + O9*Assumption!$F$60 + P9*Assumption!$F$61 + Q9*Assumption!$F$62</f>
        <v>76.75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123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4.2160000000000002</v>
      </c>
      <c r="H10" cm="1">
        <f t="array" ref="H10">_xll.FDS(B10,"FG_ROE(0)")</f>
        <v>18.0612862464207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12.5169616849279</v>
      </c>
      <c r="K10" s="83">
        <f>HLOOKUP(B10,'Index earnings'!$B$1:$N$25,25,FALSE)</f>
        <v>5.9891155096343907E-2</v>
      </c>
      <c r="L10">
        <f>HLOOKUP(A10,'Yearly returns'!$B$1:$N$128,126,FALSE)</f>
        <v>-18.332439999999998</v>
      </c>
      <c r="M10">
        <f t="shared" si="0"/>
        <v>12.175058174766846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N10*Assumption!$F$63 + O10*Assumption!$F$60 + P10*Assumption!$F$61 + Q10*Assumption!$F$62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872</v>
      </c>
      <c r="B11" t="s">
        <v>872</v>
      </c>
      <c r="C11" t="str" cm="1">
        <f t="array" ref="C11">_xll.FDS(B11,"FG_COMPANY_NAME")</f>
        <v>iShares MSCI France ETF</v>
      </c>
      <c r="D11" t="s">
        <v>110</v>
      </c>
      <c r="E11" t="s">
        <v>137</v>
      </c>
      <c r="F11" t="str" cm="1">
        <f t="array" ref="F11">_xll.FDS(E11,"FG_YIELD_NAME")</f>
        <v>France Benchmark Bond - 10 Year</v>
      </c>
      <c r="G11">
        <f>VLOOKUP(A11,'LIQIDITY 2'!$A$3:$E$15,5,FALSE)</f>
        <v>2.88</v>
      </c>
      <c r="H11" cm="1">
        <f t="array" ref="H11">_xll.FDS(B11,"FG_ROE(0)")</f>
        <v>11.9153313127968</v>
      </c>
      <c r="I11">
        <f>HLOOKUP(B11,'Index ROE'!$B$1:$N$25,24,FALSE)</f>
        <v>11.16089938202855</v>
      </c>
      <c r="J11" cm="1">
        <f t="array" ref="J11">_xll.FDS(B11, "FMA_RBICS_REV_CURRENT(30, LOC, ""PORTAGG"")")</f>
        <v>11.608719396206</v>
      </c>
      <c r="K11" s="83">
        <f>HLOOKUP(B11,'Index earnings'!$B$1:$N$25,25,FALSE)</f>
        <v>1.8533725345370788E-2</v>
      </c>
      <c r="L11">
        <f>HLOOKUP(A11,'Yearly returns'!$B$1:$N$128,126,FALSE)</f>
        <v>-25.598568</v>
      </c>
      <c r="M11">
        <f t="shared" ref="M11:M14" si="1">I11-G11</f>
        <v>8.2808993820285508</v>
      </c>
      <c r="N11" cm="1">
        <f t="array" ref="N11">_xlfn.PERCENTRANK.EXC(_xlfn._xlws.FILTER(M$2:M$14, ISNUMBER(M$2:M$14)),M11)*100</f>
        <v>21.4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N11*Assumption!$F$63 + O11*Assumption!$F$60 + P11*Assumption!$F$61 + Q11*Assumption!$F$62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874</v>
      </c>
      <c r="B12" t="s">
        <v>874</v>
      </c>
      <c r="C12" t="str" cm="1">
        <f t="array" ref="C12">_xll.FDS(B12,"FG_COMPANY_NAME")</f>
        <v>iShares MSCI Netherlands ETF</v>
      </c>
      <c r="D12" t="s">
        <v>882</v>
      </c>
      <c r="E12" t="s">
        <v>884</v>
      </c>
      <c r="F12" t="str" cm="1">
        <f t="array" ref="F12">_xll.FDS(E12,"FG_YIELD_NAME")</f>
        <v>Netherlands Benchmark Bond - 10 Year</v>
      </c>
      <c r="G12">
        <f>VLOOKUP(A12,'LIQIDITY 2'!$A$3:$E$15,5,FALSE)</f>
        <v>2.7240000000000002</v>
      </c>
      <c r="H12" cm="1">
        <f t="array" ref="H12">_xll.FDS(B12,"FG_ROE(0)")</f>
        <v>10.092811405250901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24.720039405119099</v>
      </c>
      <c r="K12" s="83">
        <f>HLOOKUP(B12,'Index earnings'!$B$1:$N$25,25,FALSE)</f>
        <v>3.4784346207782146E-2</v>
      </c>
      <c r="L12">
        <f>HLOOKUP(A12,'Yearly returns'!$B$1:$N$128,126,FALSE)</f>
        <v>-37.342323</v>
      </c>
      <c r="M12">
        <f t="shared" si="1"/>
        <v>10.325660814670499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N12*Assumption!$F$63 + O12*Assumption!$F$60 + P12*Assumption!$F$61 + Q12*Assumption!$F$62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871</v>
      </c>
      <c r="B13" t="s">
        <v>871</v>
      </c>
      <c r="C13" t="str" cm="1">
        <f t="array" ref="C13">_xll.FDS(B13,"FG_COMPANY_NAME")</f>
        <v>iShares MSCI Sweden ETF</v>
      </c>
      <c r="D13" t="s">
        <v>276</v>
      </c>
      <c r="E13" t="s">
        <v>885</v>
      </c>
      <c r="F13" t="str" cm="1">
        <f t="array" ref="F13">_xll.FDS(E13,"FG_YIELD_NAME")</f>
        <v>Sweden Benchmark Bond - 10 Year</v>
      </c>
      <c r="G13">
        <f>VLOOKUP(A13,'LIQIDITY 2'!$A$3:$E$15,5,FALSE)</f>
        <v>2.4239999999999999</v>
      </c>
      <c r="H13" cm="1">
        <f t="array" ref="H13">_xll.FDS(B13,"FG_ROE(0)")</f>
        <v>15.325738158023499</v>
      </c>
      <c r="I13">
        <f>HLOOKUP(B13,'Index ROE'!$B$1:$N$25,24,FALSE)</f>
        <v>14.44282304978255</v>
      </c>
      <c r="J13" cm="1">
        <f t="array" ref="J13">_xll.FDS(B13, "FMA_RBICS_REV_CURRENT(30, LOC, ""PORTAGG"")")</f>
        <v>25.3194250250599</v>
      </c>
      <c r="K13" s="83">
        <f>HLOOKUP(B13,'Index earnings'!$B$1:$N$25,25,FALSE)</f>
        <v>2.4305006324402134E-2</v>
      </c>
      <c r="L13">
        <f>HLOOKUP(A13,'Yearly returns'!$B$1:$N$128,126,FALSE)</f>
        <v>-36.708280000000002</v>
      </c>
      <c r="M13">
        <f t="shared" si="1"/>
        <v>12.018823049782551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N13*Assumption!$F$63 + O13*Assumption!$F$60 + P13*Assumption!$F$61 + Q13*Assumption!$F$62</f>
        <v>42.85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873</v>
      </c>
      <c r="B14" t="s">
        <v>873</v>
      </c>
      <c r="C14" t="str" cm="1">
        <f t="array" ref="C14">_xll.FDS(B14,"FG_COMPANY_NAME")</f>
        <v>iShares MSCI Italy ETF</v>
      </c>
      <c r="D14" t="s">
        <v>883</v>
      </c>
      <c r="E14" t="s">
        <v>886</v>
      </c>
      <c r="F14" t="str" cm="1">
        <f t="array" ref="F14">_xll.FDS(E14,"FG_YIELD_NAME")</f>
        <v>Italy Benchmark Bond - 10 Year</v>
      </c>
      <c r="G14">
        <f>VLOOKUP(A14,'LIQIDITY 2'!$A$3:$E$15,5,FALSE)</f>
        <v>3.8410000000000002</v>
      </c>
      <c r="H14" cm="1">
        <f t="array" ref="H14">_xll.FDS(B14,"FG_ROE(0)")</f>
        <v>12.7985922948259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</v>
      </c>
      <c r="K14" s="83">
        <f>HLOOKUP(B14,'Index earnings'!$B$1:$N$25,25,FALSE)</f>
        <v>9.2744046638129074E-3</v>
      </c>
      <c r="L14">
        <f>HLOOKUP(A14,'Yearly returns'!$B$1:$N$128,126,FALSE)</f>
        <v>-28.350645</v>
      </c>
      <c r="M14">
        <f t="shared" si="1"/>
        <v>5.8035775045501063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57.099999999999994</v>
      </c>
      <c r="R14">
        <f>N14*Assumption!$F$63 + O14*Assumption!$F$60 + P14*Assumption!$F$61 + Q14*Assumption!$F$62</f>
        <v>28.549999999999997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130" zoomScaleNormal="130" workbookViewId="0">
      <pane xSplit="1" topLeftCell="B1" activePane="topRight" state="frozen"/>
      <selection pane="topRight" activeCell="B1" sqref="B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6328125" bestFit="1" customWidth="1"/>
    <col min="5" max="5" width="13.90625" customWidth="1"/>
    <col min="6" max="6" width="11.36328125" customWidth="1"/>
    <col min="7" max="7" width="10" customWidth="1"/>
    <col min="8" max="8" width="9.36328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08984375" customWidth="1"/>
    <col min="14" max="14" width="0.36328125" customWidth="1"/>
    <col min="15" max="15" width="15.6328125" bestFit="1" customWidth="1"/>
    <col min="16" max="16" width="15.36328125" customWidth="1"/>
    <col min="17" max="17" width="18.453125" customWidth="1"/>
    <col min="18" max="18" width="17.08984375" customWidth="1"/>
    <col min="19" max="19" width="6.54296875" customWidth="1"/>
    <col min="20" max="21" width="17.54296875" customWidth="1"/>
    <col min="22" max="22" width="18.90625" customWidth="1"/>
    <col min="23" max="23" width="13.36328125" customWidth="1"/>
    <col min="24" max="24" width="13" customWidth="1"/>
    <col min="25" max="25" width="13.453125" customWidth="1"/>
    <col min="26" max="26" width="13" customWidth="1"/>
    <col min="27" max="27" width="12.08984375" customWidth="1"/>
    <col min="28" max="28" width="11.453125" customWidth="1"/>
    <col min="29" max="31" width="13.6328125" customWidth="1"/>
    <col min="32" max="32" width="10.36328125" customWidth="1"/>
    <col min="33" max="33" width="7" customWidth="1"/>
    <col min="34" max="34" width="9.6328125" customWidth="1"/>
  </cols>
  <sheetData>
    <row r="1" spans="1:37" ht="62.25" customHeight="1" thickBot="1" x14ac:dyDescent="0.4">
      <c r="C1" t="s">
        <v>0</v>
      </c>
      <c r="D1" s="58" t="s">
        <v>868</v>
      </c>
      <c r="E1" s="81" t="s">
        <v>869</v>
      </c>
      <c r="F1" s="81" t="s">
        <v>16</v>
      </c>
      <c r="G1" s="81" t="s">
        <v>68</v>
      </c>
      <c r="H1" s="81" t="s">
        <v>63</v>
      </c>
      <c r="I1" s="81" t="s">
        <v>71</v>
      </c>
      <c r="J1" s="81" t="s">
        <v>79</v>
      </c>
      <c r="K1" t="s">
        <v>70</v>
      </c>
      <c r="L1" t="s">
        <v>393</v>
      </c>
      <c r="M1" t="s">
        <v>394</v>
      </c>
      <c r="O1" t="s">
        <v>4</v>
      </c>
      <c r="P1" t="s">
        <v>5</v>
      </c>
      <c r="Q1" t="s">
        <v>9</v>
      </c>
      <c r="R1" t="s">
        <v>505</v>
      </c>
      <c r="T1" t="s">
        <v>510</v>
      </c>
      <c r="U1" t="s">
        <v>511</v>
      </c>
      <c r="V1" t="s">
        <v>506</v>
      </c>
      <c r="W1" t="s">
        <v>4</v>
      </c>
      <c r="X1" t="s">
        <v>73</v>
      </c>
      <c r="Y1" t="s">
        <v>74</v>
      </c>
      <c r="Z1" t="s">
        <v>77</v>
      </c>
      <c r="AA1" t="s">
        <v>78</v>
      </c>
      <c r="AB1" t="s">
        <v>79</v>
      </c>
      <c r="AC1" t="s">
        <v>395</v>
      </c>
      <c r="AD1" t="s">
        <v>396</v>
      </c>
      <c r="AE1" s="81" t="s">
        <v>870</v>
      </c>
      <c r="AH1" s="1" t="s">
        <v>87</v>
      </c>
      <c r="AI1" t="s">
        <v>88</v>
      </c>
    </row>
    <row r="2" spans="1:37" s="30" customFormat="1" ht="15" thickBot="1" x14ac:dyDescent="0.4">
      <c r="A2" s="29"/>
      <c r="U2" s="31">
        <f>Assumption!E24</f>
        <v>0</v>
      </c>
      <c r="V2" s="31">
        <f>Assumption!E12</f>
        <v>0.4</v>
      </c>
      <c r="W2" s="31">
        <f>Assumption!F12</f>
        <v>0.3</v>
      </c>
      <c r="X2" s="31">
        <f>Assumption!G12</f>
        <v>0.3</v>
      </c>
      <c r="Z2" s="30">
        <f>Assumption!E20</f>
        <v>0</v>
      </c>
      <c r="AA2" s="31">
        <f>Assumption!G16</f>
        <v>0</v>
      </c>
      <c r="AB2" s="31">
        <f>Assumption!H16</f>
        <v>0</v>
      </c>
      <c r="AC2" s="31">
        <f>Assumption!E16</f>
        <v>0</v>
      </c>
      <c r="AD2" s="31">
        <f>Assumption!F16</f>
        <v>0</v>
      </c>
      <c r="AE2" s="31">
        <f>Assumption!E29</f>
        <v>0.2</v>
      </c>
      <c r="AF2" s="31">
        <f>SUM(V2:AD2)</f>
        <v>1</v>
      </c>
    </row>
    <row r="3" spans="1:37" x14ac:dyDescent="0.35">
      <c r="A3" t="s">
        <v>435</v>
      </c>
      <c r="B3" t="str" cm="1">
        <f t="array" ref="B3">_xll.FDS(A3,"FG_COMPANY_NAME")</f>
        <v>iShares MSCI New Zealand ETF</v>
      </c>
      <c r="C3" t="s">
        <v>435</v>
      </c>
      <c r="D3" s="153">
        <f>VLOOKUP(C3,'Market Capitalisation'!$C$2:$G$14,5,FALSE)</f>
        <v>91122.240000000005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15</v>
      </c>
      <c r="H3" s="9">
        <f t="shared" ref="H3:H11" si="0">E3/$G3</f>
        <v>0.26666666666666666</v>
      </c>
      <c r="I3" s="9">
        <f t="shared" ref="I3:I11" si="1">F3/$G3</f>
        <v>0.6</v>
      </c>
      <c r="J3" s="9">
        <f t="shared" ref="J3:J11" si="2">H3-I3</f>
        <v>-0.33333333333333331</v>
      </c>
      <c r="K3" s="5" cm="1">
        <f t="array" ref="K3">_xll.FDS(A3,"FMA_PCT_ABOVE_MAVG(200,0,,,,""PORTAGG"")")/100</f>
        <v>0.5</v>
      </c>
      <c r="L3" s="50" cm="1">
        <f t="array" ref="L3">_xll.FDSB(A3,"PERCENT_CHANGE(FMA_EPS(+1,0,,,,""PORTAGG"",""MEAN""),FMA_EPS(+1,-1AM,,,,""PORTAGG"",""MEAN""))")</f>
        <v>-5.4847978727104403</v>
      </c>
      <c r="M3" s="50" cm="1">
        <f t="array" ref="M3">_xll.FDSB(A3,"PERCENT_CHANGE(FMA_EPS(+1,0,,,,""PORTAGG"",""MEAN""),FMA_EPS(+1,-3AM,,,,""PORTAGG"",""MEAN""))")</f>
        <v>-10.236572931258801</v>
      </c>
      <c r="O3" s="3" cm="1">
        <f t="array" ref="O3">_xll.FDS(C3,"FG_TOTAL_RETURNC(0,-3AM)")</f>
        <v>-0.43677092000000001</v>
      </c>
      <c r="P3" s="3" cm="1">
        <f t="array" ref="P3">_xll.FDS(C3,"FG_TOTAL_RETURNC(0,-6AM)")</f>
        <v>1.1387229000000001</v>
      </c>
      <c r="Q3" s="9" cm="1">
        <f t="array" ref="Q3">_xll.FDS(C3,"P_PRICE(0)/P_PRICE_HIGH_PR(0,,,USD,,,""PRICE"",""INTRA"",""52W"")")</f>
        <v>0.87875247000000001</v>
      </c>
      <c r="R3" s="9" cm="1">
        <f t="array" ref="R3">_xll.FDS(C3,"P_PRICE(0)/P_PRICE_low_PR(0,,,USD,,,""PRICE"",""INTRA"",""52W"")-1")</f>
        <v>9.870553E-2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50</v>
      </c>
      <c r="AD3" s="4">
        <f>_xlfn.PERCENTRANK.EXC($M$3:$M$15,M3)*100</f>
        <v>35.699999999999996</v>
      </c>
      <c r="AE3" s="4">
        <f>_xlfn.PERCENTRANK.EXC($D$3:$D$15,D3)*100</f>
        <v>7.1</v>
      </c>
      <c r="AF3" s="4">
        <f t="shared" ref="AF3:AF11" si="4">SUMPRODUCT($U$2:$AE$2,U3:AE3)</f>
        <v>8.52</v>
      </c>
      <c r="AH3" s="3" cm="1">
        <f t="array" ref="AH3">_xlfn.PERCENTRANK.EXC(_xlfn._xlws.FILTER($AF$3:$AF$15, ISNUMBER($AF$3:$AF$15)),AF3)*100</f>
        <v>7.1</v>
      </c>
      <c r="AI3">
        <f t="shared" ref="AI3:AI11" si="5">COUNTIF(V3:AB3,"&gt;70")</f>
        <v>0</v>
      </c>
      <c r="AK3" s="4"/>
    </row>
    <row r="4" spans="1:37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53">
        <f>VLOOKUP(C4,'Market Capitalisation'!$C$2:$G$14,5,FALSE)</f>
        <v>1654518.5</v>
      </c>
      <c r="E4" cm="1">
        <f t="array" ref="E4">_xll.FDS(C4,"FMA_COS_UP(""EPS"",""1M"",+1,0,,,""PORTAGG"",""MEANR"")")</f>
        <v>30</v>
      </c>
      <c r="F4" cm="1">
        <f t="array" ref="F4">_xll.FDS(C4,"FMA_COS_DOWN(""EPS"",""1M"",+1,0,,,""PORTAGG"",""MEANR"")")</f>
        <v>25</v>
      </c>
      <c r="G4" cm="1">
        <f t="array" ref="G4">_xll.FDS(A4,"SIZE(FG_CONSTITUENTS)")</f>
        <v>60</v>
      </c>
      <c r="H4" s="9">
        <f t="shared" si="0"/>
        <v>0.5</v>
      </c>
      <c r="I4" s="9">
        <f t="shared" si="1"/>
        <v>0.41666666666666669</v>
      </c>
      <c r="J4" s="9">
        <f t="shared" si="2"/>
        <v>8.3333333333333315E-2</v>
      </c>
      <c r="K4" s="5" cm="1">
        <f t="array" ref="K4">_xll.FDS(A4,"FMA_PCT_ABOVE_MAVG(200,0,,,,""PORTAGG"")")/100</f>
        <v>0.77966101694915291</v>
      </c>
      <c r="L4" s="50" cm="1">
        <f t="array" ref="L4">_xll.FDSB(A4,"PERCENT_CHANGE(FMA_EPS(+1,0,,,,""PORTAGG"",""MEAN""),FMA_EPS(+1,-1AM,,,,""PORTAGG"",""MEAN""))")</f>
        <v>1.4117249122242099</v>
      </c>
      <c r="M4" s="50" cm="1">
        <f t="array" ref="M4">_xll.FDSB(A4,"PERCENT_CHANGE(FMA_EPS(+1,0,,,,""PORTAGG"",""MEAN""),FMA_EPS(+1,-3AM,,,,""PORTAGG"",""MEAN""))")</f>
        <v>-1.6847916733937101</v>
      </c>
      <c r="O4" s="3" cm="1">
        <f t="array" ref="O4">_xll.FDS(C4,"FG_TOTAL_RETURNC(0,-3AM)")</f>
        <v>8.7135079999999991</v>
      </c>
      <c r="P4" s="3" cm="1">
        <f t="array" ref="P4">_xll.FDS(C4,"FG_TOTAL_RETURNC(0,-6AM)")</f>
        <v>10.179304999999999</v>
      </c>
      <c r="Q4" s="9" cm="1">
        <f t="array" ref="Q4">_xll.FDS(C4,"P_PRICE(0)/P_PRICE_HIGH_PR(0,,,USD,,,""PRICE"",""INTRA"",""52W"")")</f>
        <v>0.97365223999999995</v>
      </c>
      <c r="R4" s="9" cm="1">
        <f t="array" ref="R4">_xll.FDS(C4,"P_PRICE(0)/P_PRICE_low_PR(0,,,USD,,,""PRICE"",""INTRA"",""52W"")-1")</f>
        <v>0.17399812000000001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28.499999999999996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92.800000000000011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64.2</v>
      </c>
      <c r="AC4" s="4">
        <f t="shared" ref="AC4:AC15" si="6">_xlfn.PERCENTRANK.EXC($L$3:$L$15,L4)*100</f>
        <v>78.5</v>
      </c>
      <c r="AD4" s="4">
        <f t="shared" ref="AD4:AD15" si="7">_xlfn.PERCENTRANK.EXC($M$3:$M$15,M4)*100</f>
        <v>71.399999999999991</v>
      </c>
      <c r="AE4" s="4">
        <f t="shared" ref="AE4:AE15" si="8">_xlfn.PERCENTRANK.EXC($D$3:$D$15,D4)*100</f>
        <v>35.699999999999996</v>
      </c>
      <c r="AF4" s="4">
        <f t="shared" si="4"/>
        <v>46.379999999999995</v>
      </c>
      <c r="AH4" s="3" cm="1">
        <f t="array" ref="AH4">_xlfn.PERCENTRANK.EXC(_xlfn._xlws.FILTER($AF$3:$AF$15, ISNUMBER($AF$3:$AF$15)),AF4)*100</f>
        <v>28.499999999999996</v>
      </c>
      <c r="AI4">
        <f t="shared" si="5"/>
        <v>2</v>
      </c>
      <c r="AK4" s="4"/>
    </row>
    <row r="5" spans="1:37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53">
        <f>VLOOKUP(C5,'Market Capitalisation'!$C$2:$G$14,5,FALSE)</f>
        <v>2662035.5</v>
      </c>
      <c r="E5" cm="1">
        <f t="array" ref="E5">_xll.FDS(C5,"FMA_COS_UP(""EPS"",""1M"",+1,0,,,""PORTAGG"",""MEANR"")")</f>
        <v>44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88</v>
      </c>
      <c r="H5" s="9">
        <f t="shared" si="0"/>
        <v>0.5</v>
      </c>
      <c r="I5" s="9">
        <f t="shared" si="1"/>
        <v>0.38636363636363635</v>
      </c>
      <c r="J5" s="9">
        <f t="shared" si="2"/>
        <v>0.11363636363636365</v>
      </c>
      <c r="K5" s="5" cm="1">
        <f t="array" ref="K5">_xll.FDS(A5,"FMA_PCT_ABOVE_MAVG(200,0,,,,""PORTAGG"")")/100</f>
        <v>0.61797752808988793</v>
      </c>
      <c r="L5" s="50" cm="1">
        <f t="array" ref="L5">_xll.FDSB(A5,"PERCENT_CHANGE(FMA_EPS(+1,0,,,,""PORTAGG"",""MEAN""),FMA_EPS(+1,-1AM,,,,""PORTAGG"",""MEAN""))")</f>
        <v>-5.5265266878115096</v>
      </c>
      <c r="M5" s="50" cm="1">
        <f t="array" ref="M5">_xll.FDSB(A5,"PERCENT_CHANGE(FMA_EPS(+1,0,,,,""PORTAGG"",""MEAN""),FMA_EPS(+1,-3AM,,,,""PORTAGG"",""MEAN""))")</f>
        <v>-9.4090280112742892</v>
      </c>
      <c r="O5" s="3" cm="1">
        <f t="array" ref="O5">_xll.FDS(C5,"FG_TOTAL_RETURNC(0,-3AM)")</f>
        <v>6.2713264999999998</v>
      </c>
      <c r="P5" s="3" cm="1">
        <f t="array" ref="P5">_xll.FDS(C5,"FG_TOTAL_RETURNC(0,-6AM)")</f>
        <v>7.4274420000000001</v>
      </c>
      <c r="Q5" s="9" cm="1">
        <f t="array" ref="Q5">_xll.FDS(C5,"P_PRICE(0)/P_PRICE_HIGH_PR(0,,,USD,,,""PRICE"",""INTRA"",""52W"")")</f>
        <v>0.99369209999999997</v>
      </c>
      <c r="R5" s="9" cm="1">
        <f t="array" ref="R5">_xll.FDS(C5,"P_PRICE(0)/P_PRICE_low_PR(0,,,USD,,,""PRICE"",""INTRA"",""52W"")-1")</f>
        <v>0.17860556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28.499999999999996</v>
      </c>
      <c r="AA5" s="4" cm="1">
        <f t="array" ref="AA5">_xlfn.PERCENTRANK.EXC(_xlfn._xlws.FILTER($H$3:$H$15, ISNUMBER($H$3:$H$15)),H5)*100</f>
        <v>85.7</v>
      </c>
      <c r="AB5" s="4" cm="1">
        <f t="array" ref="AB5">_xlfn.PERCENTRANK.EXC(_xlfn._xlws.FILTER($J$3:$J$15, ISNUMBER($J$3:$J$15)),J5)*100</f>
        <v>71.399999999999991</v>
      </c>
      <c r="AC5" s="4">
        <f t="shared" si="6"/>
        <v>42.8</v>
      </c>
      <c r="AD5" s="4">
        <f t="shared" si="7"/>
        <v>50</v>
      </c>
      <c r="AE5" s="4">
        <f t="shared" si="8"/>
        <v>57.099999999999994</v>
      </c>
      <c r="AF5" s="4">
        <f t="shared" si="4"/>
        <v>48.519999999999996</v>
      </c>
      <c r="AH5" s="3" cm="1">
        <f t="array" ref="AH5">_xlfn.PERCENTRANK.EXC(_xlfn._xlws.FILTER($AF$3:$AF$15, ISNUMBER($AF$3:$AF$15)),AF5)*100</f>
        <v>35.699999999999996</v>
      </c>
      <c r="AI5">
        <f t="shared" si="5"/>
        <v>2</v>
      </c>
      <c r="AK5" s="4"/>
    </row>
    <row r="6" spans="1:37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53">
        <f>VLOOKUP(C6,'Market Capitalisation'!$C$2:$G$14,5,FALSE)</f>
        <v>2313505.2999999998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57</v>
      </c>
      <c r="H6" s="9">
        <f t="shared" si="0"/>
        <v>0.42105263157894735</v>
      </c>
      <c r="I6" s="9">
        <f t="shared" si="1"/>
        <v>0.40350877192982454</v>
      </c>
      <c r="J6" s="9">
        <f t="shared" si="2"/>
        <v>1.7543859649122806E-2</v>
      </c>
      <c r="K6" s="5" cm="1">
        <f t="array" ref="K6">_xll.FDS(A6,"FMA_PCT_ABOVE_MAVG(200,0,,,,""PORTAGG"")")/100</f>
        <v>0.69491525423728806</v>
      </c>
      <c r="L6" s="50" cm="1">
        <f t="array" ref="L6">_xll.FDSB(A6,"PERCENT_CHANGE(FMA_EPS(+1,0,,,,""PORTAGG"",""MEAN""),FMA_EPS(+1,-1AM,,,,""PORTAGG"",""MEAN""))")</f>
        <v>-3.0252270019413001</v>
      </c>
      <c r="M6" s="50" cm="1">
        <f t="array" ref="M6">_xll.FDSB(A6,"PERCENT_CHANGE(FMA_EPS(+1,0,,,,""PORTAGG"",""MEAN""),FMA_EPS(+1,-3AM,,,,""PORTAGG"",""MEAN""))")</f>
        <v>-6.4478695451806498</v>
      </c>
      <c r="O6" s="3" cm="1">
        <f t="array" ref="O6">_xll.FDS(C6,"FG_TOTAL_RETURNC(0,-3AM)")</f>
        <v>7.3031069999999998</v>
      </c>
      <c r="P6" s="3" cm="1">
        <f t="array" ref="P6">_xll.FDS(C6,"FG_TOTAL_RETURNC(0,-6AM)")</f>
        <v>11.306070999999999</v>
      </c>
      <c r="Q6" s="9" cm="1">
        <f t="array" ref="Q6">_xll.FDS(C6,"P_PRICE(0)/P_PRICE_HIGH_PR(0,,,USD,,,""PRICE"",""INTRA"",""52W"")")</f>
        <v>0.99773049999999996</v>
      </c>
      <c r="R6" s="9" cm="1">
        <f t="array" ref="R6">_xll.FDS(C6,"P_PRICE(0)/P_PRICE_low_PR(0,,,USD,,,""PRICE"",""INTRA"",""52W"")-1")</f>
        <v>0.24387776999999999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57.099999999999994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42.8</v>
      </c>
      <c r="AC6" s="4">
        <f t="shared" si="6"/>
        <v>57.099999999999994</v>
      </c>
      <c r="AD6" s="4">
        <f t="shared" si="7"/>
        <v>64.2</v>
      </c>
      <c r="AE6" s="4">
        <f t="shared" si="8"/>
        <v>50</v>
      </c>
      <c r="AF6" s="4">
        <f t="shared" si="4"/>
        <v>67.11</v>
      </c>
      <c r="AH6" s="3" cm="1">
        <f t="array" ref="AH6">_xlfn.PERCENTRANK.EXC(_xlfn._xlws.FILTER($AF$3:$AF$15, ISNUMBER($AF$3:$AF$15)),AF6)*100</f>
        <v>50</v>
      </c>
      <c r="AI6">
        <f t="shared" si="5"/>
        <v>1</v>
      </c>
      <c r="AK6" s="4"/>
    </row>
    <row r="7" spans="1:37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53">
        <f>VLOOKUP(C7,'Market Capitalisation'!$C$2:$G$14,5,FALSE)</f>
        <v>6661200</v>
      </c>
      <c r="E7" cm="1">
        <f t="array" ref="E7">_xll.FDS(C7,"FMA_COS_UP(""EPS"",""1M"",+1,0,,,""PORTAGG"",""MEANR"")")</f>
        <v>108</v>
      </c>
      <c r="F7" cm="1">
        <f t="array" ref="F7">_xll.FDS(C7,"FMA_COS_DOWN(""EPS"",""1M"",+1,0,,,""PORTAGG"",""MEANR"")")</f>
        <v>101</v>
      </c>
      <c r="G7" cm="1">
        <f t="array" ref="G7">_xll.FDS(A7,"SIZE(FG_CONSTITUENTS)")</f>
        <v>219</v>
      </c>
      <c r="H7" s="9">
        <f t="shared" si="0"/>
        <v>0.49315068493150682</v>
      </c>
      <c r="I7" s="9">
        <f t="shared" si="1"/>
        <v>0.46118721461187212</v>
      </c>
      <c r="J7" s="9">
        <f t="shared" si="2"/>
        <v>3.1963470319634701E-2</v>
      </c>
      <c r="K7" s="5" cm="1">
        <f t="array" ref="K7">_xll.FDS(A7,"FMA_PCT_ABOVE_MAVG(200,0,,,,""PORTAGG"")")/100</f>
        <v>0.69911504424778803</v>
      </c>
      <c r="L7" s="50" cm="1">
        <f t="array" ref="L7">_xll.FDSB(A7,"PERCENT_CHANGE(FMA_EPS(+1,0,,,,""PORTAGG"",""MEAN""),FMA_EPS(+1,-1AM,,,,""PORTAGG"",""MEAN""))")</f>
        <v>-10.0414784091281</v>
      </c>
      <c r="M7" s="50" cm="1">
        <f t="array" ref="M7">_xll.FDSB(A7,"PERCENT_CHANGE(FMA_EPS(+1,0,,,,""PORTAGG"",""MEAN""),FMA_EPS(+1,-3AM,,,,""PORTAGG"",""MEAN""))")</f>
        <v>-10.1999095336708</v>
      </c>
      <c r="O7" s="3" cm="1">
        <f t="array" ref="O7">_xll.FDS(C7,"FG_TOTAL_RETURNC(0,-3AM)")</f>
        <v>13.904451999999999</v>
      </c>
      <c r="P7" s="3" cm="1">
        <f t="array" ref="P7">_xll.FDS(C7,"FG_TOTAL_RETURNC(0,-6AM)")</f>
        <v>14.290010000000001</v>
      </c>
      <c r="Q7" s="9" cm="1">
        <f t="array" ref="Q7">_xll.FDS(C7,"P_PRICE(0)/P_PRICE_HIGH_PR(0,,,USD,,,""PRICE"",""INTRA"",""52W"")")</f>
        <v>0.99325240000000004</v>
      </c>
      <c r="R7" s="9" cm="1">
        <f t="array" ref="R7">_xll.FDS(C7,"P_PRICE(0)/P_PRICE_low_PR(0,,,USD,,,""PRICE"",""INTRA"",""52W"")-1")</f>
        <v>0.28164232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42.8</v>
      </c>
      <c r="W7" s="4" cm="1">
        <f t="array" ref="W7">_xlfn.PERCENTRANK.EXC(_xlfn._xlws.FILTER($O$3:$O$15, ISNUMBER($O$3:$O$15)),O7)*100</f>
        <v>78.5</v>
      </c>
      <c r="X7" s="4" cm="1">
        <f t="array" ref="X7">_xlfn.PERCENTRANK.EXC(_xlfn._xlws.FILTER($P$3:$P$15, ISNUMBER($P$3:$P$15)),P7)*100</f>
        <v>64.2</v>
      </c>
      <c r="Z7" s="4" cm="1">
        <f t="array" ref="Z7">_xlfn.PERCENTRANK.EXC(_xlfn._xlws.FILTER($K$3:$K$15, ISNUMBER($K$3:$K$15)),K7)*100</f>
        <v>64.2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50</v>
      </c>
      <c r="AC7" s="4">
        <f t="shared" si="6"/>
        <v>21.4</v>
      </c>
      <c r="AD7" s="4">
        <f t="shared" si="7"/>
        <v>42.8</v>
      </c>
      <c r="AE7" s="4">
        <f t="shared" si="8"/>
        <v>78.5</v>
      </c>
      <c r="AF7" s="4">
        <f t="shared" si="4"/>
        <v>75.63000000000001</v>
      </c>
      <c r="AH7" s="3" cm="1">
        <f t="array" ref="AH7">_xlfn.PERCENTRANK.EXC(_xlfn._xlws.FILTER($AF$3:$AF$15, ISNUMBER($AF$3:$AF$15)),AF7)*100</f>
        <v>71.399999999999991</v>
      </c>
      <c r="AI7">
        <f t="shared" si="5"/>
        <v>2</v>
      </c>
      <c r="AK7" s="4"/>
    </row>
    <row r="8" spans="1:37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53">
        <f>VLOOKUP(C8,'Market Capitalisation'!$C$2:$G$14,5,FALSE)</f>
        <v>2133620.2999999998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19</v>
      </c>
      <c r="G8" cm="1">
        <f t="array" ref="G8">_xll.FDS(A8,"SIZE(FG_CONSTITUENTS)")</f>
        <v>46</v>
      </c>
      <c r="H8" s="9">
        <f t="shared" si="0"/>
        <v>0.28260869565217389</v>
      </c>
      <c r="I8" s="9">
        <f t="shared" si="1"/>
        <v>0.41304347826086957</v>
      </c>
      <c r="J8" s="9">
        <f t="shared" si="2"/>
        <v>-0.13043478260869568</v>
      </c>
      <c r="K8" s="5" cm="1">
        <f t="array" ref="K8">_xll.FDS(A8,"FMA_PCT_ABOVE_MAVG(200,0,,,,""PORTAGG"")")/100</f>
        <v>0.62222222222222201</v>
      </c>
      <c r="L8" s="50" cm="1">
        <f t="array" ref="L8">_xll.FDSB(A8,"PERCENT_CHANGE(FMA_EPS(+1,0,,,,""PORTAGG"",""MEAN""),FMA_EPS(+1,-1AM,,,,""PORTAGG"",""MEAN""))")</f>
        <v>-11.639664493879399</v>
      </c>
      <c r="M8" s="50" cm="1">
        <f t="array" ref="M8">_xll.FDSB(A8,"PERCENT_CHANGE(FMA_EPS(+1,0,,,,""PORTAGG"",""MEAN""),FMA_EPS(+1,-3AM,,,,""PORTAGG"",""MEAN""))")</f>
        <v>-13.9198715787207</v>
      </c>
      <c r="O8" s="3" cm="1">
        <f t="array" ref="O8">_xll.FDS(C8,"FG_TOTAL_RETURNC(0,-3AM)")</f>
        <v>2.3575544000000002</v>
      </c>
      <c r="P8" s="3" cm="1">
        <f t="array" ref="P8">_xll.FDS(C8,"FG_TOTAL_RETURNC(0,-6AM)")</f>
        <v>2.0901322000000002</v>
      </c>
      <c r="Q8" s="9" cm="1">
        <f t="array" ref="Q8">_xll.FDS(C8,"P_PRICE(0)/P_PRICE_HIGH_PR(0,,,USD,,,""PRICE"",""INTRA"",""52W"")")</f>
        <v>0.9582098</v>
      </c>
      <c r="R8" s="9" cm="1">
        <f t="array" ref="R8">_xll.FDS(C8,"P_PRICE(0)/P_PRICE_low_PR(0,,,USD,,,""PRICE"",""INTRA"",""52W"")-1")</f>
        <v>0.12851989999999999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21.4</v>
      </c>
      <c r="AB8" s="4" cm="1">
        <f t="array" ref="AB8">_xlfn.PERCENTRANK.EXC(_xlfn._xlws.FILTER($J$3:$J$15, ISNUMBER($J$3:$J$15)),J8)*100</f>
        <v>21.4</v>
      </c>
      <c r="AC8" s="4">
        <f t="shared" si="6"/>
        <v>14.2</v>
      </c>
      <c r="AD8" s="4">
        <f t="shared" si="7"/>
        <v>7.1</v>
      </c>
      <c r="AE8" s="4">
        <f t="shared" si="8"/>
        <v>42.8</v>
      </c>
      <c r="AF8" s="4">
        <f t="shared" si="4"/>
        <v>22.759999999999998</v>
      </c>
      <c r="AH8" s="3" cm="1">
        <f t="array" ref="AH8">_xlfn.PERCENTRANK.EXC(_xlfn._xlws.FILTER($AF$3:$AF$15, ISNUMBER($AF$3:$AF$15)),AF8)*100</f>
        <v>14.2</v>
      </c>
      <c r="AI8">
        <f t="shared" si="5"/>
        <v>0</v>
      </c>
      <c r="AK8" s="4"/>
    </row>
    <row r="9" spans="1:37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53">
        <f>VLOOKUP(C9,'Market Capitalisation'!$C$2:$G$14,5,FALSE)</f>
        <v>3041917</v>
      </c>
      <c r="E9" cm="1">
        <f t="array" ref="E9">_xll.FDS(C9,"FMA_COS_UP(""EPS"",""1M"",+1,0,,,""PORTAGG"",""MEANR"")")</f>
        <v>39</v>
      </c>
      <c r="F9" cm="1">
        <f t="array" ref="F9">_xll.FDS(C9,"FMA_COS_DOWN(""EPS"",""1M"",+1,0,,,""PORTAGG"",""MEANR"")")</f>
        <v>34</v>
      </c>
      <c r="G9" cm="1">
        <f t="array" ref="G9">_xll.FDS(A9,"SIZE(FG_CONSTITUENTS)")</f>
        <v>85</v>
      </c>
      <c r="H9" s="9">
        <f t="shared" si="0"/>
        <v>0.45882352941176469</v>
      </c>
      <c r="I9" s="9">
        <f t="shared" si="1"/>
        <v>0.4</v>
      </c>
      <c r="J9" s="9">
        <f t="shared" si="2"/>
        <v>5.8823529411764663E-2</v>
      </c>
      <c r="K9" s="5" cm="1">
        <f t="array" ref="K9">_xll.FDS(A9,"FMA_PCT_ABOVE_MAVG(200,0,,,,""PORTAGG"")")/100</f>
        <v>0.53571428571428603</v>
      </c>
      <c r="L9" s="50" cm="1">
        <f t="array" ref="L9">_xll.FDSB(A9,"PERCENT_CHANGE(FMA_EPS(+1,0,,,,""PORTAGG"",""MEAN""),FMA_EPS(+1,-1AM,,,,""PORTAGG"",""MEAN""))")</f>
        <v>-2.45955859354796</v>
      </c>
      <c r="M9" s="50" cm="1">
        <f t="array" ref="M9">_xll.FDSB(A9,"PERCENT_CHANGE(FMA_EPS(+1,0,,,,""PORTAGG"",""MEAN""),FMA_EPS(+1,-3AM,,,,""PORTAGG"",""MEAN""))")</f>
        <v>-8.2862524441549095</v>
      </c>
      <c r="O9" s="3" cm="1">
        <f t="array" ref="O9">_xll.FDS(C9,"FG_TOTAL_RETURNC(0,-3AM)")</f>
        <v>2.9609559999999999</v>
      </c>
      <c r="P9" s="3" cm="1">
        <f t="array" ref="P9">_xll.FDS(C9,"FG_TOTAL_RETURNC(0,-6AM)")</f>
        <v>4.7272800000000004</v>
      </c>
      <c r="Q9" s="9" cm="1">
        <f t="array" ref="Q9">_xll.FDS(C9,"P_PRICE(0)/P_PRICE_HIGH_PR(0,,,USD,,,""PRICE"",""INTRA"",""52W"")")</f>
        <v>0.96401820000000005</v>
      </c>
      <c r="R9" s="9" cm="1">
        <f t="array" ref="R9">_xll.FDS(C9,"P_PRICE(0)/P_PRICE_low_PR(0,,,USD,,,""PRICE"",""INTRA"",""52W"")-1")</f>
        <v>9.3999979999999997E-2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21.4</v>
      </c>
      <c r="W9" s="4" cm="1">
        <f t="array" ref="W9">_xlfn.PERCENTRANK.EXC(_xlfn._xlws.FILTER($O$3:$O$15, ISNUMBER($O$3:$O$15)),O9)*100</f>
        <v>21.4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57.099999999999994</v>
      </c>
      <c r="AB9" s="4" cm="1">
        <f t="array" ref="AB9">_xlfn.PERCENTRANK.EXC(_xlfn._xlws.FILTER($J$3:$J$15, ISNUMBER($J$3:$J$15)),J9)*100</f>
        <v>57.099999999999994</v>
      </c>
      <c r="AC9" s="4">
        <f t="shared" si="6"/>
        <v>64.2</v>
      </c>
      <c r="AD9" s="4">
        <f t="shared" si="7"/>
        <v>57.099999999999994</v>
      </c>
      <c r="AE9" s="4">
        <f t="shared" si="8"/>
        <v>64.2</v>
      </c>
      <c r="AF9" s="4">
        <f t="shared" si="4"/>
        <v>34.24</v>
      </c>
      <c r="AH9" s="3" cm="1">
        <f t="array" ref="AH9">_xlfn.PERCENTRANK.EXC(_xlfn._xlws.FILTER($AF$3:$AF$15, ISNUMBER($AF$3:$AF$15)),AF9)*100</f>
        <v>21.4</v>
      </c>
      <c r="AI9">
        <f t="shared" si="5"/>
        <v>0</v>
      </c>
      <c r="AK9" s="4"/>
    </row>
    <row r="10" spans="1:37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53">
        <f>VLOOKUP(C10,'Market Capitalisation'!$C$2:$G$14,5,FALSE)</f>
        <v>53679290</v>
      </c>
      <c r="E10" cm="1">
        <f t="array" ref="E10">_xll.FDS(C10,"FMA_COS_UP(""EPS"",""1M"",+1,0,,,""PORTAGG"",""MEANR"")")</f>
        <v>42</v>
      </c>
      <c r="F10" cm="1">
        <f t="array" ref="F10">_xll.FDS(C10,"FMA_COS_DOWN(""EPS"",""1M"",+1,0,,,""PORTAGG"",""MEANR"")")</f>
        <v>47</v>
      </c>
      <c r="G10" cm="1">
        <f t="array" ref="G10">_xll.FDS(A10,"SIZE(FG_CONSTITUENTS)")</f>
        <v>102</v>
      </c>
      <c r="H10" s="9">
        <f t="shared" si="0"/>
        <v>0.41176470588235292</v>
      </c>
      <c r="I10" s="9">
        <f t="shared" si="1"/>
        <v>0.46078431372549017</v>
      </c>
      <c r="J10" s="9">
        <f t="shared" si="2"/>
        <v>-4.9019607843137247E-2</v>
      </c>
      <c r="K10" s="5" cm="1">
        <f t="array" ref="K10">_xll.FDS(A10,"FMA_PCT_ABOVE_MAVG(200,0,,,,""PORTAGG"")")/100</f>
        <v>0.76470588235294101</v>
      </c>
      <c r="L10" s="50" cm="1">
        <f t="array" ref="L10">_xll.FDSB(A10,"PERCENT_CHANGE(FMA_EPS(+1,0,,,,""PORTAGG"",""MEAN""),FMA_EPS(+1,-1AM,,,,""PORTAGG"",""MEAN""))")</f>
        <v>0.38942980100132402</v>
      </c>
      <c r="M10" s="50" cm="1">
        <f t="array" ref="M10">_xll.FDSB(A10,"PERCENT_CHANGE(FMA_EPS(+1,0,,,,""PORTAGG"",""MEAN""),FMA_EPS(+1,-3AM,,,,""PORTAGG"",""MEAN""))")</f>
        <v>0.471225417335842</v>
      </c>
      <c r="O10" s="3" cm="1">
        <f t="array" ref="O10">_xll.FDS(C10,"FG_TOTAL_RETURNC(0,-3AM)")</f>
        <v>15.224398000000001</v>
      </c>
      <c r="P10" s="3" cm="1">
        <f t="array" ref="P10">_xll.FDS(C10,"FG_TOTAL_RETURNC(0,-6AM)")</f>
        <v>18.058754</v>
      </c>
      <c r="Q10" s="9" cm="1">
        <f t="array" ref="Q10">_xll.FDS(C10,"P_PRICE(0)/P_PRICE_HIGH_PR(0,,,USD,,,""PRICE"",""INTRA"",""52W"")")</f>
        <v>0.99426749999999997</v>
      </c>
      <c r="R10" s="9" cm="1">
        <f t="array" ref="R10">_xll.FDS(C10,"P_PRICE(0)/P_PRICE_low_PR(0,,,USD,,,""PRICE"",""INTRA"",""52W"")-1")</f>
        <v>0.55692697000000002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57.099999999999994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78.5</v>
      </c>
      <c r="Z10" s="4" cm="1">
        <f t="array" ref="Z10">_xlfn.PERCENTRANK.EXC(_xlfn._xlws.FILTER($K$3:$K$15, ISNUMBER($K$3:$K$15)),K10)*100</f>
        <v>85.7</v>
      </c>
      <c r="AA10" s="4" cm="1">
        <f t="array" ref="AA10">_xlfn.PERCENTRANK.EXC(_xlfn._xlws.FILTER($H$3:$H$15, ISNUMBER($H$3:$H$15)),H10)*100</f>
        <v>35.699999999999996</v>
      </c>
      <c r="AB10" s="4" cm="1">
        <f t="array" ref="AB10">_xlfn.PERCENTRANK.EXC(_xlfn._xlws.FILTER($J$3:$J$15, ISNUMBER($J$3:$J$15)),J10)*100</f>
        <v>35.699999999999996</v>
      </c>
      <c r="AC10" s="4">
        <f t="shared" si="6"/>
        <v>71.399999999999991</v>
      </c>
      <c r="AD10" s="4">
        <f t="shared" si="7"/>
        <v>85.7</v>
      </c>
      <c r="AE10" s="4">
        <f t="shared" si="8"/>
        <v>85.7</v>
      </c>
      <c r="AF10" s="4">
        <f t="shared" si="4"/>
        <v>89.24</v>
      </c>
      <c r="AH10" s="3" cm="1">
        <f t="array" ref="AH10">_xlfn.PERCENTRANK.EXC(_xlfn._xlws.FILTER($AF$3:$AF$15, ISNUMBER($AF$3:$AF$15)),AF10)*100</f>
        <v>92.800000000000011</v>
      </c>
      <c r="AI10">
        <f t="shared" si="5"/>
        <v>3</v>
      </c>
      <c r="AK10" s="4"/>
    </row>
    <row r="11" spans="1:37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53">
        <f>VLOOKUP(C11,'Market Capitalisation'!$C$2:$G$14,5,FALSE)</f>
        <v>53679290</v>
      </c>
      <c r="E11" cm="1">
        <f t="array" ref="E11">_xll.FDS(C11,"FMA_COS_UP(""EPS"",""1M"",+1,0,,,""PORTAGG"",""MEANR"")")</f>
        <v>239</v>
      </c>
      <c r="F11" cm="1">
        <f t="array" ref="F11">_xll.FDS(C11,"FMA_COS_DOWN(""EPS"",""1M"",+1,0,,,""PORTAGG"",""MEANR"")")</f>
        <v>94</v>
      </c>
      <c r="G11" cm="1">
        <f t="array" ref="G11">_xll.FDS(A11,"SIZE(FG_CONSTITUENTS)")</f>
        <v>504</v>
      </c>
      <c r="H11" s="9">
        <f t="shared" si="0"/>
        <v>0.47420634920634919</v>
      </c>
      <c r="I11" s="9">
        <f t="shared" si="1"/>
        <v>0.18650793650793651</v>
      </c>
      <c r="J11" s="9">
        <f t="shared" si="2"/>
        <v>0.28769841269841268</v>
      </c>
      <c r="K11" s="5" cm="1">
        <f t="array" ref="K11">_xll.FDS(A11,"FMA_PCT_ABOVE_MAVG(200,0,,,,""PORTAGG"")")/100</f>
        <v>0.72962226640159</v>
      </c>
      <c r="L11" s="50" cm="1">
        <f t="array" ref="L11">_xll.FDSB(A11,"PERCENT_CHANGE(FMA_EPS(+1,0,,,,""PORTAGG"",""MEAN""),FMA_EPS(+1,-1AM,,,,""PORTAGG"",""MEAN""))")</f>
        <v>-9.5312553814081191</v>
      </c>
      <c r="M11" s="50" cm="1">
        <f t="array" ref="M11">_xll.FDSB(A11,"PERCENT_CHANGE(FMA_EPS(+1,0,,,,""PORTAGG"",""MEAN""),FMA_EPS(+1,-3AM,,,,""PORTAGG"",""MEAN""))")</f>
        <v>-10.8740778627976</v>
      </c>
      <c r="O11" s="3" cm="1">
        <f t="array" ref="O11">_xll.FDS(C11,"FG_TOTAL_RETURNC(0,-3AM)")</f>
        <v>12.632334</v>
      </c>
      <c r="P11" s="3" cm="1">
        <f t="array" ref="P11">_xll.FDS(C11,"FG_TOTAL_RETURNC(0,-6AM)")</f>
        <v>14.412402999999999</v>
      </c>
      <c r="Q11" s="9" cm="1">
        <f t="array" ref="Q11">_xll.FDS(C11,"P_PRICE(0)/P_PRICE_HIGH_PR(0,,,USD,,,""PRICE"",""INTRA"",""52W"")")</f>
        <v>0.99630487000000001</v>
      </c>
      <c r="R11" s="9" cm="1">
        <f t="array" ref="R11">_xll.FDS(C11,"P_PRICE(0)/P_PRICE_low_PR(0,,,USD,,,""PRICE"",""INTRA"",""52W"")-1")</f>
        <v>0.34585569999999999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71.399999999999991</v>
      </c>
      <c r="AB11" s="4" cm="1">
        <f t="array" ref="AB11">_xlfn.PERCENTRANK.EXC(_xlfn._xlws.FILTER($J$3:$J$15, ISNUMBER($J$3:$J$15)),J11)*100</f>
        <v>92.800000000000011</v>
      </c>
      <c r="AC11" s="4">
        <f t="shared" si="6"/>
        <v>28.499999999999996</v>
      </c>
      <c r="AD11" s="4">
        <f t="shared" si="7"/>
        <v>28.499999999999996</v>
      </c>
      <c r="AE11" s="4">
        <f t="shared" si="8"/>
        <v>85.7</v>
      </c>
      <c r="AF11" s="4">
        <f t="shared" si="4"/>
        <v>85.66</v>
      </c>
      <c r="AH11" s="3" cm="1">
        <f t="array" ref="AH11">_xlfn.PERCENTRANK.EXC(_xlfn._xlws.FILTER($AF$3:$AF$15, ISNUMBER($AF$3:$AF$15)),AF11)*100</f>
        <v>78.5</v>
      </c>
      <c r="AI11">
        <f t="shared" si="5"/>
        <v>5</v>
      </c>
      <c r="AK11" s="4"/>
    </row>
    <row r="12" spans="1:37" x14ac:dyDescent="0.35">
      <c r="A12" t="s">
        <v>872</v>
      </c>
      <c r="B12" t="str" cm="1">
        <f t="array" ref="B12">_xll.FDS(A12,"FG_COMPANY_NAME")</f>
        <v>iShares MSCI France ETF</v>
      </c>
      <c r="C12" t="s">
        <v>872</v>
      </c>
      <c r="D12" s="153">
        <f>VLOOKUP(C12,'Market Capitalisation'!$C$2:$G$14,5,FALSE)</f>
        <v>3375113</v>
      </c>
      <c r="E12" cm="1">
        <f t="array" ref="E12">_xll.FDS(C12,"FMA_COS_UP(""EPS"",""1M"",+1,0,,,""PORTAGG"",""MEANR"")")</f>
        <v>20</v>
      </c>
      <c r="F12" cm="1">
        <f t="array" ref="F12">_xll.FDS(C12,"FMA_COS_DOWN(""EPS"",""1M"",+1,0,,,""PORTAGG"",""MEANR"")")</f>
        <v>30</v>
      </c>
      <c r="G12" cm="1">
        <f t="array" ref="G12">_xll.FDS(A12,"SIZE(FG_CONSTITUENTS)")</f>
        <v>64</v>
      </c>
      <c r="H12" s="9">
        <f t="shared" ref="H12:H15" si="9">E12/$G12</f>
        <v>0.3125</v>
      </c>
      <c r="I12" s="9">
        <f t="shared" ref="I12:I15" si="10">F12/$G12</f>
        <v>0.46875</v>
      </c>
      <c r="J12" s="9">
        <f t="shared" ref="J12:J15" si="11">H12-I12</f>
        <v>-0.15625</v>
      </c>
      <c r="K12" s="5" cm="1">
        <f t="array" ref="K12">_xll.FDS(A12,"FMA_PCT_ABOVE_MAVG(200,0,,,,""PORTAGG"")")/100</f>
        <v>0.66129032258064502</v>
      </c>
      <c r="L12" s="50" cm="1">
        <f t="array" ref="L12">_xll.FDSB(A12,"PERCENT_CHANGE(FMA_EPS(+1,0,,,,""PORTAGG"",""MEAN""),FMA_EPS(+1,-1AM,,,,""PORTAGG"",""MEAN""))")</f>
        <v>-8.7436803184067493</v>
      </c>
      <c r="M12" s="50" cm="1">
        <f t="array" ref="M12">_xll.FDSB(A12,"PERCENT_CHANGE(FMA_EPS(+1,0,,,,""PORTAGG"",""MEAN""),FMA_EPS(+1,-3AM,,,,""PORTAGG"",""MEAN""))")</f>
        <v>-11.854635930735601</v>
      </c>
      <c r="O12" s="3" cm="1">
        <f t="array" ref="O12">_xll.FDS(C12,"FG_TOTAL_RETURNC(0,-3AM)")</f>
        <v>8.2101939999999995</v>
      </c>
      <c r="P12" s="3" cm="1">
        <f t="array" ref="P12">_xll.FDS(C12,"FG_TOTAL_RETURNC(0,-6AM)")</f>
        <v>8.5571169999999999</v>
      </c>
      <c r="Q12" s="9" cm="1">
        <f t="array" ref="Q12">_xll.FDS(C12,"P_PRICE(0)/P_PRICE_HIGH_PR(0,,,USD,,,""PRICE"",""INTRA"",""52W"")")</f>
        <v>0.99826899999999996</v>
      </c>
      <c r="R12" s="9" cm="1">
        <f t="array" ref="R12">_xll.FDS(C12,"P_PRICE(0)/P_PRICE_low_PR(0,,,USD,,,""PRICE"",""INTRA"",""52W"")-1")</f>
        <v>0.19934642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85.7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42.8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14.2</v>
      </c>
      <c r="AC12" s="4">
        <f t="shared" si="6"/>
        <v>35.699999999999996</v>
      </c>
      <c r="AD12" s="4">
        <f t="shared" si="7"/>
        <v>21.4</v>
      </c>
      <c r="AE12" s="4">
        <f t="shared" si="8"/>
        <v>71.399999999999991</v>
      </c>
      <c r="AF12" s="4">
        <f t="shared" ref="AF12:AF15" si="13">SUMPRODUCT($U$2:$AE$2,U12:AE12)</f>
        <v>72.11</v>
      </c>
      <c r="AH12" s="3" cm="1">
        <f t="array" ref="AH12">_xlfn.PERCENTRANK.EXC(_xlfn._xlws.FILTER($AF$3:$AF$15, ISNUMBER($AF$3:$AF$15)),AF12)*100</f>
        <v>57.099999999999994</v>
      </c>
      <c r="AI12">
        <f t="shared" ref="AI12:AI15" si="14">COUNTIF(V12:AB12,"&gt;70")</f>
        <v>1</v>
      </c>
    </row>
    <row r="13" spans="1:37" x14ac:dyDescent="0.35">
      <c r="A13" t="s">
        <v>874</v>
      </c>
      <c r="B13" t="str" cm="1">
        <f t="array" ref="B13">_xll.FDS(A13,"FG_COMPANY_NAME")</f>
        <v>iShares MSCI Netherlands ETF</v>
      </c>
      <c r="C13" t="s">
        <v>874</v>
      </c>
      <c r="D13" s="153">
        <f>VLOOKUP(C13,'Market Capitalisation'!$C$2:$G$14,5,FALSE)</f>
        <v>1122856</v>
      </c>
      <c r="E13" cm="1">
        <f t="array" ref="E13">_xll.FDS(C13,"FMA_COS_UP(""EPS"",""1M"",+1,0,,,""PORTAGG"",""MEANR"")")</f>
        <v>26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55</v>
      </c>
      <c r="H13" s="9">
        <f t="shared" si="9"/>
        <v>0.47272727272727272</v>
      </c>
      <c r="I13" s="9">
        <f t="shared" si="10"/>
        <v>0.32727272727272727</v>
      </c>
      <c r="J13" s="9">
        <f t="shared" si="11"/>
        <v>0.14545454545454545</v>
      </c>
      <c r="K13" s="5" cm="1">
        <f t="array" ref="K13">_xll.FDS(A13,"FMA_PCT_ABOVE_MAVG(200,0,,,,""PORTAGG"")")/100</f>
        <v>0.53703703703703698</v>
      </c>
      <c r="L13" s="50" cm="1">
        <f t="array" ref="L13">_xll.FDSB(A13,"PERCENT_CHANGE(FMA_EPS(+1,0,,,,""PORTAGG"",""MEAN""),FMA_EPS(+1,-1AM,,,,""PORTAGG"",""MEAN""))")</f>
        <v>-11.9403577354406</v>
      </c>
      <c r="M13" s="50" cm="1">
        <f t="array" ref="M13">_xll.FDSB(A13,"PERCENT_CHANGE(FMA_EPS(+1,0,,,,""PORTAGG"",""MEAN""),FMA_EPS(+1,-3AM,,,,""PORTAGG"",""MEAN""))")</f>
        <v>-13.5695809865301</v>
      </c>
      <c r="O13" s="3" cm="1">
        <f t="array" ref="O13">_xll.FDS(C13,"FG_TOTAL_RETURNC(0,-3AM)")</f>
        <v>15.379345000000001</v>
      </c>
      <c r="P13" s="3" cm="1">
        <f t="array" ref="P13">_xll.FDS(C13,"FG_TOTAL_RETURNC(0,-6AM)")</f>
        <v>18.719196</v>
      </c>
      <c r="Q13" s="9" cm="1">
        <f t="array" ref="Q13">_xll.FDS(C13,"P_PRICE(0)/P_PRICE_HIGH_PR(0,,,USD,,,""PRICE"",""INTRA"",""52W"")")</f>
        <v>0.99650276000000004</v>
      </c>
      <c r="R13" s="9" cm="1">
        <f t="array" ref="R13">_xll.FDS(C13,"P_PRICE(0)/P_PRICE_low_PR(0,,,USD,,,""PRICE"",""INTRA"",""52W"")-1")</f>
        <v>0.33480286999999997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64.2</v>
      </c>
      <c r="AB13" s="4" cm="1">
        <f t="array" ref="AB13">_xlfn.PERCENTRANK.EXC(_xlfn._xlws.FILTER($J$3:$J$15, ISNUMBER($J$3:$J$15)),J13)*100</f>
        <v>78.5</v>
      </c>
      <c r="AC13" s="4">
        <f t="shared" si="6"/>
        <v>7.1</v>
      </c>
      <c r="AD13" s="4">
        <f t="shared" si="7"/>
        <v>14.2</v>
      </c>
      <c r="AE13" s="4">
        <f t="shared" si="8"/>
        <v>28.499999999999996</v>
      </c>
      <c r="AF13" s="4">
        <f t="shared" si="13"/>
        <v>87.810000000000016</v>
      </c>
      <c r="AH13" s="3" cm="1">
        <f t="array" ref="AH13">_xlfn.PERCENTRANK.EXC(_xlfn._xlws.FILTER($AF$3:$AF$15, ISNUMBER($AF$3:$AF$15)),AF13)*100</f>
        <v>85.7</v>
      </c>
      <c r="AI13">
        <f t="shared" si="14"/>
        <v>4</v>
      </c>
    </row>
    <row r="14" spans="1:37" x14ac:dyDescent="0.35">
      <c r="A14" t="s">
        <v>871</v>
      </c>
      <c r="B14" t="str" cm="1">
        <f t="array" ref="B14">_xll.FDS(A14,"FG_COMPANY_NAME")</f>
        <v>iShares MSCI Sweden ETF</v>
      </c>
      <c r="C14" t="s">
        <v>871</v>
      </c>
      <c r="D14" s="153">
        <f>VLOOKUP(C14,'Market Capitalisation'!$C$2:$G$14,5,FALSE)</f>
        <v>1031661.5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14</v>
      </c>
      <c r="G14" cm="1">
        <f t="array" ref="G14">_xll.FDS(A14,"SIZE(FG_CONSTITUENTS)")</f>
        <v>43</v>
      </c>
      <c r="H14" s="9">
        <f t="shared" si="9"/>
        <v>0.23255813953488372</v>
      </c>
      <c r="I14" s="9">
        <f t="shared" si="10"/>
        <v>0.32558139534883723</v>
      </c>
      <c r="J14" s="9">
        <f t="shared" si="11"/>
        <v>-9.3023255813953515E-2</v>
      </c>
      <c r="K14" s="5" cm="1">
        <f t="array" ref="K14">_xll.FDS(A14,"FMA_PCT_ABOVE_MAVG(200,0,,,,""PORTAGG"")")/100</f>
        <v>0.7441860465116279</v>
      </c>
      <c r="L14" s="50" cm="1">
        <f t="array" ref="L14">_xll.FDSB(A14,"PERCENT_CHANGE(FMA_EPS(+1,0,,,,""PORTAGG"",""MEAN""),FMA_EPS(+1,-1AM,,,,""PORTAGG"",""MEAN""))")</f>
        <v>5.2169254612775902</v>
      </c>
      <c r="M14" s="50" cm="1">
        <f t="array" ref="M14">_xll.FDSB(A14,"PERCENT_CHANGE(FMA_EPS(+1,0,,,,""PORTAGG"",""MEAN""),FMA_EPS(+1,-3AM,,,,""PORTAGG"",""MEAN""))")</f>
        <v>-0.495966091858695</v>
      </c>
      <c r="O14" s="3" cm="1">
        <f t="array" ref="O14">_xll.FDS(C14,"FG_TOTAL_RETURNC(0,-3AM)")</f>
        <v>10.856617</v>
      </c>
      <c r="P14" s="3" cm="1">
        <f t="array" ref="P14">_xll.FDS(C14,"FG_TOTAL_RETURNC(0,-6AM)")</f>
        <v>22.159635999999999</v>
      </c>
      <c r="Q14" s="9" cm="1">
        <f t="array" ref="Q14">_xll.FDS(C14,"P_PRICE(0)/P_PRICE_HIGH_PR(0,,,USD,,,""PRICE"",""INTRA"",""52W"")")</f>
        <v>0.98731135999999997</v>
      </c>
      <c r="R14" s="9" cm="1">
        <f t="array" ref="R14">_xll.FDS(C14,"P_PRICE(0)/P_PRICE_low_PR(0,,,USD,,,""PRICE"",""INTRA"",""52W"")-1")</f>
        <v>0.28792572</v>
      </c>
      <c r="T14" s="4" cm="1">
        <f t="array" ref="T14">_xlfn.PERCENTRANK.EXC(_xlfn._xlws.FILTER($R$3:$R$15, ISNUMBER($R$3:$R$15)),R14)*100</f>
        <v>64.2</v>
      </c>
      <c r="U14" s="4">
        <f t="shared" si="12"/>
        <v>35.799999999999997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28.499999999999996</v>
      </c>
      <c r="AC14" s="4">
        <f t="shared" si="6"/>
        <v>92.800000000000011</v>
      </c>
      <c r="AD14" s="4">
        <f t="shared" si="7"/>
        <v>78.5</v>
      </c>
      <c r="AE14" s="4">
        <f t="shared" si="8"/>
        <v>21.4</v>
      </c>
      <c r="AF14" s="4">
        <f t="shared" si="13"/>
        <v>65.66</v>
      </c>
      <c r="AH14" s="3" cm="1">
        <f t="array" ref="AH14">_xlfn.PERCENTRANK.EXC(_xlfn._xlws.FILTER($AF$3:$AF$15, ISNUMBER($AF$3:$AF$15)),AF14)*100</f>
        <v>42.8</v>
      </c>
      <c r="AI14">
        <f t="shared" si="14"/>
        <v>2</v>
      </c>
    </row>
    <row r="15" spans="1:37" x14ac:dyDescent="0.35">
      <c r="A15" t="s">
        <v>873</v>
      </c>
      <c r="B15" t="str" cm="1">
        <f t="array" ref="B15">_xll.FDS(A15,"FG_COMPANY_NAME")</f>
        <v>iShares MSCI Italy ETF</v>
      </c>
      <c r="C15" t="s">
        <v>873</v>
      </c>
      <c r="D15" s="153">
        <f>VLOOKUP(C15,'Market Capitalisation'!$C$2:$G$14,5,FALSE)</f>
        <v>857228.7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6</v>
      </c>
      <c r="G15" cm="1">
        <f t="array" ref="G15">_xll.FDS(A15,"SIZE(FG_CONSTITUENTS)")</f>
        <v>26</v>
      </c>
      <c r="H15" s="9">
        <f t="shared" si="9"/>
        <v>0.42307692307692307</v>
      </c>
      <c r="I15" s="9">
        <f t="shared" si="10"/>
        <v>0.23076923076923078</v>
      </c>
      <c r="J15" s="9">
        <f t="shared" si="11"/>
        <v>0.19230769230769229</v>
      </c>
      <c r="K15" s="5" cm="1">
        <f t="array" ref="K15">_xll.FDS(A15,"FMA_PCT_ABOVE_MAVG(200,0,,,,""PORTAGG"")")/100</f>
        <v>0.68</v>
      </c>
      <c r="L15" s="50" cm="1">
        <f t="array" ref="L15">_xll.FDSB(A15,"PERCENT_CHANGE(FMA_EPS(+1,0,,,,""PORTAGG"",""MEAN""),FMA_EPS(+1,-1AM,,,,""PORTAGG"",""MEAN""))")</f>
        <v>3.1770092842383901</v>
      </c>
      <c r="M15" s="50" cm="1">
        <f t="array" ref="M15">_xll.FDSB(A15,"PERCENT_CHANGE(FMA_EPS(+1,0,,,,""PORTAGG"",""MEAN""),FMA_EPS(+1,-3AM,,,,""PORTAGG"",""MEAN""))")</f>
        <v>0.85732367945597199</v>
      </c>
      <c r="O15" s="3" cm="1">
        <f t="array" ref="O15">_xll.FDS(C15,"FG_TOTAL_RETURNC(0,-3AM)")</f>
        <v>10.12162</v>
      </c>
      <c r="P15" s="3" cm="1">
        <f t="array" ref="P15">_xll.FDS(C15,"FG_TOTAL_RETURNC(0,-6AM)")</f>
        <v>14.237344999999999</v>
      </c>
      <c r="Q15" s="9" cm="1">
        <f t="array" ref="Q15">_xll.FDS(C15,"P_PRICE(0)/P_PRICE_HIGH_PR(0,,,USD,,,""PRICE"",""INTRA"",""52W"")")</f>
        <v>0.99843499999999996</v>
      </c>
      <c r="R15" s="9" cm="1">
        <f t="array" ref="R15">_xll.FDS(C15,"P_PRICE(0)/P_PRICE_low_PR(0,,,USD,,,""PRICE"",""INTRA"",""52W"")-1")</f>
        <v>0.29069339999999999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92.800000000000011</v>
      </c>
      <c r="W15" s="4" cm="1">
        <f t="array" ref="W15">_xlfn.PERCENTRANK.EXC(_xlfn._xlws.FILTER($O$3:$O$15, ISNUMBER($O$3:$O$15)),O15)*100</f>
        <v>57.099999999999994</v>
      </c>
      <c r="X15" s="4" cm="1">
        <f t="array" ref="X15">_xlfn.PERCENTRANK.EXC(_xlfn._xlws.FILTER($P$3:$P$15, ISNUMBER($P$3:$P$15)),P15)*100</f>
        <v>57.099999999999994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85.7</v>
      </c>
      <c r="AC15" s="4">
        <f t="shared" si="6"/>
        <v>85.7</v>
      </c>
      <c r="AD15" s="4">
        <f t="shared" si="7"/>
        <v>92.800000000000011</v>
      </c>
      <c r="AE15" s="4">
        <f t="shared" si="8"/>
        <v>14.2</v>
      </c>
      <c r="AF15" s="4">
        <f t="shared" si="13"/>
        <v>74.22</v>
      </c>
      <c r="AH15" s="3" cm="1">
        <f t="array" ref="AH15">_xlfn.PERCENTRANK.EXC(_xlfn._xlws.FILTER($AF$3:$AF$15, ISNUMBER($AF$3:$AF$15)),AF15)*100</f>
        <v>64.2</v>
      </c>
      <c r="AI15">
        <f t="shared" si="14"/>
        <v>2</v>
      </c>
    </row>
    <row r="16" spans="1:37" x14ac:dyDescent="0.35">
      <c r="H16" s="9"/>
      <c r="I16" s="9"/>
      <c r="J16" s="9"/>
      <c r="K16" s="5"/>
      <c r="L16" s="50"/>
      <c r="M16" s="50"/>
      <c r="O16" s="3"/>
      <c r="Q16" s="9"/>
      <c r="R16" s="9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785</v>
      </c>
      <c r="H17" s="9"/>
      <c r="I17" s="9"/>
      <c r="J17" s="9"/>
      <c r="K17" s="5"/>
      <c r="L17" s="50"/>
      <c r="M17" s="50"/>
      <c r="O17" s="3"/>
      <c r="Q17" s="9"/>
      <c r="R17" s="9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542</v>
      </c>
      <c r="B18" t="s">
        <v>231</v>
      </c>
      <c r="C18" t="str">
        <f>A18</f>
        <v>VGK</v>
      </c>
      <c r="E18" cm="1">
        <f t="array" ref="E18">_xll.FDS(C18,"FMA_COS_UP(""EPS"",""1M"",+1,0,,,""PORTAGG"",""MEANR"")")</f>
        <v>432</v>
      </c>
      <c r="F18" cm="1">
        <f t="array" ref="F18">_xll.FDS(C18,"FMA_COS_DOWN(""EPS"",""1M"",+1,0,,,""PORTAGG"",""MEANR"")")</f>
        <v>545</v>
      </c>
      <c r="G18" cm="1">
        <f t="array" ref="G18">_xll.FDS(A18,"SIZE(FG_CONSTITUENTS)")</f>
        <v>1291</v>
      </c>
      <c r="H18" s="9">
        <f>E18/$G18</f>
        <v>0.33462432223082883</v>
      </c>
      <c r="I18" s="9">
        <f>F18/$G18</f>
        <v>0.42215336948102244</v>
      </c>
      <c r="J18" s="9">
        <f t="shared" ref="J18" si="15">H18-I18</f>
        <v>-8.7529047250193615E-2</v>
      </c>
      <c r="K18" s="5" cm="1">
        <f t="array" ref="K18">_xll.FDS(A18,"FMA_PCT_ABOVE_MAVG(200,0,,,,""PORTAGG"")")/100</f>
        <v>0.61242138364779897</v>
      </c>
      <c r="L18" s="50" cm="1">
        <f t="array" ref="L18">_xll.FDSB(A18,"PERCENT_CHANGE(FMA_EPS(+1,0,,,,""PORTAGG"",""MEAN""),FMA_EPS(+1,-1AM,,,,""PORTAGG"",""MEAN""))")</f>
        <v>-4.7349509326329402</v>
      </c>
      <c r="M18" s="50" cm="1">
        <f t="array" ref="M18">_xll.FDSB(A18,"PERCENT_CHANGE(FMA_EPS(+1,0,,,,""PORTAGG"",""MEAN""),FMA_EPS(+1,-3AM,,,,""PORTAGG"",""MEAN""))")</f>
        <v>-8.2774847009123196</v>
      </c>
      <c r="O18" s="3" cm="1">
        <f t="array" ref="O18">_xll.FDS(C18,"FG_TOTAL_RETURNC(0,-3AM)")</f>
        <v>6.9257499999999999</v>
      </c>
      <c r="P18" s="3" cm="1">
        <f t="array" ref="P18">_xll.FDS(C18,"FG_TOTAL_RETURNC(0,-6AM)")</f>
        <v>9.4459900000000001</v>
      </c>
      <c r="Q18" s="9" cm="1">
        <f t="array" ref="Q18">_xll.FDS(C18,"P_PRICE(0)/P_PRICE_HIGH_PR(0,,,USD,,,""PRICE"",""INTRA"",""52W"")")</f>
        <v>0.99820816999999995</v>
      </c>
      <c r="R18" s="9" cm="1">
        <f t="array" ref="R18">_xll.FDS(C18,"P_PRICE(0)/P_PRICE_low_PR(0,,,USD,,,""PRICE"",""INTRA"",""52W"")-1")</f>
        <v>0.19288051000000001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6</v>
      </c>
      <c r="B19" t="s">
        <v>755</v>
      </c>
      <c r="C19" t="str">
        <f>A19</f>
        <v>VWO</v>
      </c>
      <c r="E19" cm="1">
        <f t="array" ref="E19">_xll.FDS(C19,"FMA_COS_UP(""EPS"",""1M"",+1,0,,,""PORTAGG"",""MEANR"")")</f>
        <v>773</v>
      </c>
      <c r="F19" cm="1">
        <f t="array" ref="F19">_xll.FDS(C19,"FMA_COS_DOWN(""EPS"",""1M"",+1,0,,,""PORTAGG"",""MEANR"")")</f>
        <v>1198</v>
      </c>
      <c r="G19" cm="1">
        <f t="array" ref="G19">_xll.FDS(A19,"SIZE(FG_CONSTITUENTS)")</f>
        <v>4677</v>
      </c>
      <c r="H19" s="9">
        <f>E19/$G19</f>
        <v>0.16527688689330769</v>
      </c>
      <c r="I19" s="9">
        <f>F19/$G19</f>
        <v>0.25614710284370323</v>
      </c>
      <c r="J19" s="9">
        <f t="shared" ref="J19" si="16">H19-I19</f>
        <v>-9.0870215950395544E-2</v>
      </c>
      <c r="K19" s="5" cm="1">
        <f t="array" ref="K19">_xll.FDS(A19,"FMA_PCT_ABOVE_MAVG(200,0,,,,""PORTAGG"")")/100</f>
        <v>0.32702464788732399</v>
      </c>
      <c r="L19" s="50" cm="1">
        <f t="array" ref="L19">_xll.FDSB(A19,"PERCENT_CHANGE(FMA_EPS(+1,0,,,,""PORTAGG"",""MEAN""),FMA_EPS(+1,-1AM,,,,""PORTAGG"",""MEAN""))")</f>
        <v>-12.854481938183801</v>
      </c>
      <c r="M19" s="50" cm="1">
        <f t="array" ref="M19">_xll.FDSB(A19,"PERCENT_CHANGE(FMA_EPS(+1,0,,,,""PORTAGG"",""MEAN""),FMA_EPS(+1,-3AM,,,,""PORTAGG"",""MEAN""))")</f>
        <v>-16.641857092308499</v>
      </c>
      <c r="O19" s="3" cm="1">
        <f t="array" ref="O19">_xll.FDS(C19,"FG_TOTAL_RETURNC(0,-3AM)")</f>
        <v>4.5764564999999999</v>
      </c>
      <c r="P19" s="3" cm="1">
        <f t="array" ref="P19">_xll.FDS(C19,"FG_TOTAL_RETURNC(0,-6AM)")</f>
        <v>4.0655970000000003</v>
      </c>
      <c r="Q19" s="9" cm="1">
        <f t="array" ref="Q19">_xll.FDS(C19,"P_PRICE(0)/P_PRICE_HIGH_PR(0,,,USD,,,""PRICE"",""INTRA"",""52W"")")</f>
        <v>0.96055690000000005</v>
      </c>
      <c r="R19" s="9" cm="1">
        <f t="array" ref="R19">_xll.FDS(C19,"P_PRICE(0)/P_PRICE_low_PR(0,,,USD,,,""PRICE"",""INTRA"",""52W"")-1")</f>
        <v>0.10532641399999999</v>
      </c>
    </row>
    <row r="20" spans="1:35" x14ac:dyDescent="0.35">
      <c r="A20" t="s">
        <v>786</v>
      </c>
      <c r="B20" t="s">
        <v>787</v>
      </c>
      <c r="C20" t="str">
        <f t="shared" ref="C20" si="17">A20</f>
        <v>URTH</v>
      </c>
      <c r="E20" cm="1">
        <f t="array" ref="E20">_xll.FDS(C20,"FMA_COS_UP(""EPS"",""1M"",+1,0,,,""PORTAGG"",""MEANR"")")</f>
        <v>714</v>
      </c>
      <c r="F20" cm="1">
        <f t="array" ref="F20">_xll.FDS(C20,"FMA_COS_DOWN(""EPS"",""1M"",+1,0,,,""PORTAGG"",""MEANR"")")</f>
        <v>495</v>
      </c>
      <c r="G20" cm="1">
        <f t="array" ref="G20">_xll.FDS(A20,"SIZE(FG_CONSTITUENTS)")</f>
        <v>1469</v>
      </c>
      <c r="H20" s="9">
        <f t="shared" ref="H20" si="18">E20/$G20</f>
        <v>0.48604492852280462</v>
      </c>
      <c r="I20" s="9">
        <f t="shared" ref="I20" si="19">F20/$G20</f>
        <v>0.33696392103471751</v>
      </c>
      <c r="J20" s="9">
        <f t="shared" ref="J20" si="20">H20-I20</f>
        <v>0.14908100748808711</v>
      </c>
      <c r="K20" s="5" cm="1">
        <f t="array" ref="K20">_xll.FDS(A20,"FMA_PCT_ABOVE_MAVG(200,0,,,,""PORTAGG"")")/100</f>
        <v>0.67253044654939098</v>
      </c>
      <c r="L20" s="50" cm="1">
        <f t="array" ref="L20">_xll.FDSB(A20,"PERCENT_CHANGE(FMA_EPS(+1,0,,,,""PORTAGG"",""MEAN""),FMA_EPS(+1,-1AM,,,,""PORTAGG"",""MEAN""))")</f>
        <v>-7.9352373885257599</v>
      </c>
      <c r="M20" s="50" cm="1">
        <f t="array" ref="M20">_xll.FDSB(A20,"PERCENT_CHANGE(FMA_EPS(+1,0,,,,""PORTAGG"",""MEAN""),FMA_EPS(+1,-3AM,,,,""PORTAGG"",""MEAN""))")</f>
        <v>-9.7513115450031105</v>
      </c>
      <c r="O20" s="3" cm="1">
        <f t="array" ref="O20">_xll.FDS(C20,"FG_TOTAL_RETURNC(0,-3AM)")</f>
        <v>11.331557999999999</v>
      </c>
      <c r="P20" s="3" cm="1">
        <f t="array" ref="P20">_xll.FDS(C20,"FG_TOTAL_RETURNC(0,-6AM)")</f>
        <v>13.214933</v>
      </c>
      <c r="Q20" s="9" cm="1">
        <f t="array" ref="Q20">_xll.FDS(C20,"P_PRICE(0)/P_PRICE_HIGH_PR(0,,,USD,,,""PRICE"",""INTRA"",""52W"")")</f>
        <v>0.99672145000000001</v>
      </c>
      <c r="R20" s="9" cm="1">
        <f t="array" ref="R20">_xll.FDS(C20,"P_PRICE(0)/P_PRICE_low_PR(0,,,USD,,,""PRICE"",""INTRA"",""52W"")-1")</f>
        <v>0.29128599999999999</v>
      </c>
    </row>
    <row r="21" spans="1:35" x14ac:dyDescent="0.35">
      <c r="A21" t="s">
        <v>46</v>
      </c>
      <c r="B21" t="s">
        <v>823</v>
      </c>
      <c r="C21" t="str">
        <f t="shared" ref="C21:C22" si="21">A21</f>
        <v>EWJ</v>
      </c>
      <c r="E21" cm="1">
        <f t="array" ref="E21">_xll.FDS(C21,"FMA_COS_UP(""EPS"",""1M"",+1,0,,,""PORTAGG"",""MEANR"")")</f>
        <v>108</v>
      </c>
      <c r="F21" cm="1">
        <f t="array" ref="F21">_xll.FDS(C21,"FMA_COS_DOWN(""EPS"",""1M"",+1,0,,,""PORTAGG"",""MEANR"")")</f>
        <v>101</v>
      </c>
      <c r="G21" cm="1">
        <f t="array" ref="G21">_xll.FDS(A21,"SIZE(FG_CONSTITUENTS)")</f>
        <v>219</v>
      </c>
      <c r="H21" s="9">
        <f t="shared" ref="H21:H22" si="22">E21/$G21</f>
        <v>0.49315068493150682</v>
      </c>
      <c r="I21" s="9">
        <f t="shared" ref="I21:I22" si="23">F21/$G21</f>
        <v>0.46118721461187212</v>
      </c>
      <c r="J21" s="9">
        <f t="shared" ref="J21:J22" si="24">H21-I21</f>
        <v>3.1963470319634701E-2</v>
      </c>
      <c r="K21" s="5" cm="1">
        <f t="array" ref="K21">_xll.FDS(A21,"FMA_PCT_ABOVE_MAVG(200,0,,,,""PORTAGG"")")/100</f>
        <v>0.69911504424778803</v>
      </c>
      <c r="L21" s="50" cm="1">
        <f t="array" ref="L21">_xll.FDSB(A21,"PERCENT_CHANGE(FMA_EPS(+1,0,,,,""PORTAGG"",""MEAN""),FMA_EPS(+1,-1AM,,,,""PORTAGG"",""MEAN""))")</f>
        <v>-10.0414784091281</v>
      </c>
      <c r="M21" s="50" cm="1">
        <f t="array" ref="M21">_xll.FDSB(A21,"PERCENT_CHANGE(FMA_EPS(+1,0,,,,""PORTAGG"",""MEAN""),FMA_EPS(+1,-3AM,,,,""PORTAGG"",""MEAN""))")</f>
        <v>-10.1999095336708</v>
      </c>
      <c r="O21" s="3" cm="1">
        <f t="array" ref="O21">_xll.FDS(C21,"FG_TOTAL_RETURNC(0,-3AM)")</f>
        <v>13.904451999999999</v>
      </c>
      <c r="P21" s="3" cm="1">
        <f t="array" ref="P21">_xll.FDS(C21,"FG_TOTAL_RETURNC(0,-6AM)")</f>
        <v>14.290010000000001</v>
      </c>
      <c r="Q21" s="9" cm="1">
        <f t="array" ref="Q21">_xll.FDS(C21,"P_PRICE(0)/P_PRICE_HIGH_PR(0,,,USD,,,""PRICE"",""INTRA"",""52W"")")</f>
        <v>0.99325240000000004</v>
      </c>
      <c r="R21" s="9" cm="1">
        <f t="array" ref="R21">_xll.FDS(C21,"P_PRICE(0)/P_PRICE_low_PR(0,,,USD,,,""PRICE"",""INTRA"",""52W"")-1")</f>
        <v>0.28164232</v>
      </c>
    </row>
    <row r="22" spans="1:35" x14ac:dyDescent="0.35">
      <c r="A22" t="s">
        <v>1</v>
      </c>
      <c r="B22" t="s">
        <v>123</v>
      </c>
      <c r="C22" t="str">
        <f t="shared" si="21"/>
        <v>SPY</v>
      </c>
      <c r="E22" cm="1">
        <f t="array" ref="E22">_xll.FDS(C22,"FMA_COS_UP(""EPS"",""1M"",+1,0,,,""PORTAGG"",""MEANR"")")</f>
        <v>239</v>
      </c>
      <c r="F22" cm="1">
        <f t="array" ref="F22">_xll.FDS(C22,"FMA_COS_DOWN(""EPS"",""1M"",+1,0,,,""PORTAGG"",""MEANR"")")</f>
        <v>94</v>
      </c>
      <c r="G22" cm="1">
        <f t="array" ref="G22">_xll.FDS(A22,"SIZE(FG_CONSTITUENTS)")</f>
        <v>504</v>
      </c>
      <c r="H22" s="9">
        <f t="shared" si="22"/>
        <v>0.47420634920634919</v>
      </c>
      <c r="I22" s="9">
        <f t="shared" si="23"/>
        <v>0.18650793650793651</v>
      </c>
      <c r="J22" s="9">
        <f t="shared" si="24"/>
        <v>0.28769841269841268</v>
      </c>
      <c r="K22" s="5" cm="1">
        <f t="array" ref="K22">_xll.FDS(A22,"FMA_PCT_ABOVE_MAVG(200,0,,,,""PORTAGG"")")/100</f>
        <v>0.72962226640159</v>
      </c>
      <c r="L22" s="50" cm="1">
        <f t="array" ref="L22">_xll.FDSB(A22,"PERCENT_CHANGE(FMA_EPS(+1,0,,,,""PORTAGG"",""MEAN""),FMA_EPS(+1,-1AM,,,,""PORTAGG"",""MEAN""))")</f>
        <v>-9.5312553814081191</v>
      </c>
      <c r="M22" s="50" cm="1">
        <f t="array" ref="M22">_xll.FDSB(A22,"PERCENT_CHANGE(FMA_EPS(+1,0,,,,""PORTAGG"",""MEAN""),FMA_EPS(+1,-3AM,,,,""PORTAGG"",""MEAN""))")</f>
        <v>-10.8740778627976</v>
      </c>
      <c r="O22" s="3" cm="1">
        <f t="array" ref="O22">_xll.FDS(C22,"FG_TOTAL_RETURNC(0,-3AM)")</f>
        <v>12.632334</v>
      </c>
      <c r="P22" s="3" cm="1">
        <f t="array" ref="P22">_xll.FDS(C22,"FG_TOTAL_RETURNC(0,-6AM)")</f>
        <v>14.412402999999999</v>
      </c>
      <c r="Q22" s="9" cm="1">
        <f t="array" ref="Q22">_xll.FDS(C22,"P_PRICE(0)/P_PRICE_HIGH_PR(0,,,USD,,,""PRICE"",""INTRA"",""52W"")")</f>
        <v>0.99630487000000001</v>
      </c>
      <c r="R22" s="9" cm="1">
        <f t="array" ref="R22">_xll.FDS(C22,"P_PRICE(0)/P_PRICE_low_PR(0,,,USD,,,""PRICE"",""INTRA"",""52W"")-1")</f>
        <v>0.34585569999999999</v>
      </c>
    </row>
    <row r="23" spans="1:35" x14ac:dyDescent="0.35">
      <c r="A23" t="s">
        <v>902</v>
      </c>
      <c r="B23" t="s">
        <v>608</v>
      </c>
      <c r="C23" t="str">
        <f t="shared" ref="C23" si="25">A23</f>
        <v>FXI</v>
      </c>
      <c r="E23" cm="1">
        <f t="array" ref="E23">_xll.FDS(C23,"FMA_COS_UP(""EPS"",""1M"",+1,0,,,""PORTAGG"",""MEANR"")")</f>
        <v>13</v>
      </c>
      <c r="F23" cm="1">
        <f t="array" ref="F23">_xll.FDS(C23,"FMA_COS_DOWN(""EPS"",""1M"",+1,0,,,""PORTAGG"",""MEANR"")")</f>
        <v>20</v>
      </c>
      <c r="G23" cm="1">
        <f t="array" ref="G23">_xll.FDS(A23,"SIZE(FG_CONSTITUENTS)")</f>
        <v>51</v>
      </c>
      <c r="H23" s="9">
        <f t="shared" ref="H23" si="26">E23/$G23</f>
        <v>0.25490196078431371</v>
      </c>
      <c r="I23" s="9">
        <f t="shared" ref="I23" si="27">F23/$G23</f>
        <v>0.39215686274509803</v>
      </c>
      <c r="J23" s="9">
        <f t="shared" ref="J23" si="28">H23-I23</f>
        <v>-0.13725490196078433</v>
      </c>
      <c r="K23" s="5" cm="1">
        <f t="array" ref="K23">_xll.FDS(A23,"FMA_PCT_ABOVE_MAVG(200,0,,,,""PORTAGG"")")/100</f>
        <v>0.45098039215686297</v>
      </c>
      <c r="L23" s="50" cm="1">
        <f t="array" ref="L23">_xll.FDSB(A23,"PERCENT_CHANGE(FMA_EPS(+1,0,,,,""PORTAGG"",""MEAN""),FMA_EPS(+1,-1AM,,,,""PORTAGG"",""MEAN""))")</f>
        <v>-8.7211932059806703</v>
      </c>
      <c r="M23" s="50" cm="1">
        <f t="array" ref="M23">_xll.FDSB(A23,"PERCENT_CHANGE(FMA_EPS(+1,0,,,,""PORTAGG"",""MEAN""),FMA_EPS(+1,-3AM,,,,""PORTAGG"",""MEAN""))")</f>
        <v>-15.514557525946501</v>
      </c>
      <c r="O23" s="3" cm="1">
        <f t="array" ref="O23">_xll.FDS(C23,"FG_TOTAL_RETURNC(0,-3AM)")</f>
        <v>-1.2333750999999999</v>
      </c>
      <c r="P23" s="3" cm="1">
        <f t="array" ref="P23">_xll.FDS(C23,"FG_TOTAL_RETURNC(0,-6AM)")</f>
        <v>-14.371729</v>
      </c>
      <c r="Q23" s="9" cm="1">
        <f t="array" ref="Q23">_xll.FDS(C23,"P_PRICE(0)/P_PRICE_HIGH_PR(0,,,USD,,,""PRICE"",""INTRA"",""52W"")")</f>
        <v>0.76588076000000005</v>
      </c>
      <c r="R23" s="9" cm="1">
        <f t="array" ref="R23">_xll.FDS(C23,"P_PRICE(0)/P_PRICE_low_PR(0,,,USD,,,""PRICE"",""INTRA"",""52W"")-1")</f>
        <v>0.12128472</v>
      </c>
    </row>
    <row r="24" spans="1:35" x14ac:dyDescent="0.35">
      <c r="Q24" s="9"/>
      <c r="R24" s="9"/>
    </row>
    <row r="25" spans="1:35" x14ac:dyDescent="0.35">
      <c r="Q25" s="9"/>
      <c r="R25" s="9"/>
    </row>
    <row r="26" spans="1:35" ht="15" customHeight="1" x14ac:dyDescent="0.35">
      <c r="E26" s="52"/>
      <c r="F26" s="52"/>
      <c r="Q26" s="9"/>
      <c r="R26" s="9"/>
    </row>
    <row r="27" spans="1:35" ht="15" customHeight="1" x14ac:dyDescent="0.35">
      <c r="E27" s="52"/>
      <c r="F27" s="52"/>
      <c r="Q27" s="9"/>
      <c r="R27" s="9"/>
    </row>
    <row r="28" spans="1:35" ht="15" customHeight="1" x14ac:dyDescent="0.35">
      <c r="E28" s="52"/>
      <c r="F28" s="52"/>
      <c r="Q28" s="9"/>
      <c r="R28" s="9"/>
    </row>
    <row r="29" spans="1:35" ht="15" customHeight="1" x14ac:dyDescent="0.35">
      <c r="C29" s="1"/>
      <c r="D29" s="1"/>
      <c r="E29" s="52"/>
      <c r="F29" s="52"/>
      <c r="Q29" s="9"/>
      <c r="R29" s="9"/>
    </row>
    <row r="30" spans="1:35" ht="15" customHeight="1" x14ac:dyDescent="0.35">
      <c r="E30" s="52"/>
      <c r="F30" s="52"/>
      <c r="Q30" s="9"/>
      <c r="R30" s="9"/>
    </row>
    <row r="31" spans="1:35" ht="15" customHeight="1" x14ac:dyDescent="0.35">
      <c r="E31" s="52"/>
      <c r="F31" s="52"/>
      <c r="Q31" s="9"/>
      <c r="R31" s="9"/>
    </row>
    <row r="32" spans="1:35" ht="15" customHeight="1" x14ac:dyDescent="0.35">
      <c r="E32" s="52"/>
      <c r="F32" s="52"/>
      <c r="Q32" s="9"/>
      <c r="R32" s="9"/>
    </row>
    <row r="33" spans="3:18" ht="15" customHeight="1" x14ac:dyDescent="0.35">
      <c r="E33" s="52"/>
      <c r="F33" s="52"/>
      <c r="P33" s="1"/>
      <c r="Q33" s="9"/>
      <c r="R33" s="9"/>
    </row>
    <row r="34" spans="3:18" ht="15" customHeight="1" x14ac:dyDescent="0.35">
      <c r="E34" s="52"/>
      <c r="F34" s="52"/>
      <c r="Q34" s="9"/>
      <c r="R34" s="9"/>
    </row>
    <row r="35" spans="3:18" ht="15" customHeight="1" x14ac:dyDescent="0.35">
      <c r="E35" s="52"/>
      <c r="F35" s="52"/>
      <c r="Q35" s="9"/>
      <c r="R35" s="9"/>
    </row>
    <row r="36" spans="3:18" ht="15" customHeight="1" x14ac:dyDescent="0.35">
      <c r="C36" s="1"/>
      <c r="D36" s="1"/>
      <c r="E36" s="52"/>
      <c r="F36" s="52"/>
      <c r="Q36" s="9"/>
      <c r="R36" s="9"/>
    </row>
    <row r="37" spans="3:18" ht="15" customHeight="1" x14ac:dyDescent="0.35">
      <c r="E37" s="52"/>
      <c r="F37" s="52"/>
      <c r="Q37" s="9"/>
      <c r="R37" s="9"/>
    </row>
    <row r="38" spans="3:18" ht="15" customHeight="1" x14ac:dyDescent="0.35">
      <c r="E38" s="52"/>
      <c r="F38" s="52"/>
      <c r="Q38" s="9"/>
      <c r="R38" s="9"/>
    </row>
    <row r="39" spans="3:18" ht="15" customHeight="1" x14ac:dyDescent="0.35">
      <c r="E39" s="52"/>
      <c r="F39" s="52"/>
      <c r="Q39" s="9"/>
      <c r="R39" s="9"/>
    </row>
    <row r="40" spans="3:18" ht="15" customHeight="1" x14ac:dyDescent="0.35">
      <c r="E40" s="52"/>
      <c r="F40" s="52"/>
      <c r="Q40" s="9"/>
      <c r="R40" s="9"/>
    </row>
    <row r="41" spans="3:18" ht="15" customHeight="1" x14ac:dyDescent="0.35">
      <c r="C41" s="1"/>
      <c r="D41" s="1"/>
      <c r="E41" s="52"/>
      <c r="F41" s="52"/>
      <c r="Q41" s="9"/>
      <c r="R41" s="9"/>
    </row>
    <row r="42" spans="3:18" ht="15" customHeight="1" x14ac:dyDescent="0.35">
      <c r="E42" s="52"/>
      <c r="F42" s="52"/>
      <c r="Q42" s="9"/>
      <c r="R42" s="9"/>
    </row>
    <row r="43" spans="3:18" ht="15" customHeight="1" x14ac:dyDescent="0.35">
      <c r="E43" s="52"/>
      <c r="F43" s="52"/>
      <c r="Q43" s="9"/>
      <c r="R43" s="9"/>
    </row>
    <row r="44" spans="3:18" ht="15" customHeight="1" x14ac:dyDescent="0.35">
      <c r="E44" s="52"/>
      <c r="F44" s="52"/>
      <c r="Q44" s="9"/>
      <c r="R44" s="9"/>
    </row>
    <row r="45" spans="3:18" ht="15" customHeight="1" x14ac:dyDescent="0.35">
      <c r="E45" s="52"/>
      <c r="F45" s="52"/>
      <c r="Q45" s="9"/>
      <c r="R45" s="9"/>
    </row>
    <row r="46" spans="3:18" ht="15" customHeight="1" x14ac:dyDescent="0.35">
      <c r="C46" s="1"/>
      <c r="D46" s="1"/>
      <c r="E46" s="52"/>
      <c r="F46" s="52"/>
      <c r="Q46" s="9"/>
      <c r="R46" s="9"/>
    </row>
    <row r="47" spans="3:18" ht="15" customHeight="1" x14ac:dyDescent="0.35">
      <c r="C47" s="1"/>
      <c r="D47" s="1"/>
      <c r="E47" s="52"/>
      <c r="F47" s="52"/>
    </row>
    <row r="48" spans="3:18" ht="15" customHeight="1" x14ac:dyDescent="0.35">
      <c r="E48" s="52"/>
      <c r="F48" s="52"/>
    </row>
    <row r="49" spans="5:7" ht="15" customHeight="1" x14ac:dyDescent="0.35">
      <c r="E49" s="52"/>
      <c r="F49" s="52"/>
    </row>
    <row r="50" spans="5:7" ht="15" customHeight="1" x14ac:dyDescent="0.35">
      <c r="E50" s="53"/>
      <c r="F50" s="53"/>
      <c r="G50" s="1"/>
    </row>
    <row r="51" spans="5:7" ht="15" customHeight="1" x14ac:dyDescent="0.35">
      <c r="E51" s="52"/>
      <c r="F51" s="52"/>
    </row>
    <row r="52" spans="5:7" ht="15" customHeight="1" x14ac:dyDescent="0.35">
      <c r="E52" s="52"/>
      <c r="F52" s="52"/>
    </row>
    <row r="53" spans="5:7" ht="15" customHeight="1" x14ac:dyDescent="0.35">
      <c r="E53" s="52"/>
      <c r="F53" s="52"/>
    </row>
    <row r="54" spans="5:7" ht="15" customHeight="1" x14ac:dyDescent="0.35">
      <c r="E54" s="52"/>
      <c r="F54" s="52"/>
    </row>
    <row r="55" spans="5:7" ht="15" customHeight="1" x14ac:dyDescent="0.35">
      <c r="E55" s="52"/>
      <c r="F55" s="52"/>
    </row>
    <row r="56" spans="5:7" ht="15" customHeight="1" x14ac:dyDescent="0.35">
      <c r="E56" s="52"/>
      <c r="F56" s="52"/>
    </row>
    <row r="57" spans="5:7" ht="15" customHeight="1" x14ac:dyDescent="0.35">
      <c r="E57" s="52"/>
      <c r="F57" s="52"/>
    </row>
    <row r="58" spans="5:7" ht="15" customHeight="1" x14ac:dyDescent="0.35">
      <c r="E58" s="53"/>
      <c r="F58" s="53"/>
      <c r="G58" s="1"/>
    </row>
    <row r="59" spans="5:7" ht="15" customHeight="1" x14ac:dyDescent="0.35">
      <c r="E59" s="52"/>
      <c r="F59" s="52"/>
    </row>
    <row r="60" spans="5:7" ht="15" customHeight="1" x14ac:dyDescent="0.35">
      <c r="E60" s="52"/>
      <c r="F60" s="52"/>
    </row>
    <row r="61" spans="5:7" ht="15" customHeight="1" x14ac:dyDescent="0.35">
      <c r="E61" s="52"/>
      <c r="F61" s="52"/>
    </row>
    <row r="62" spans="5:7" ht="15" customHeight="1" x14ac:dyDescent="0.35">
      <c r="E62" s="52"/>
      <c r="F62" s="52"/>
    </row>
    <row r="63" spans="5:7" ht="15" customHeight="1" x14ac:dyDescent="0.35">
      <c r="E63" s="52"/>
      <c r="F63" s="52"/>
    </row>
    <row r="64" spans="5:7" ht="15" customHeight="1" x14ac:dyDescent="0.35">
      <c r="E64" s="52"/>
      <c r="F64" s="52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topLeftCell="J1" zoomScale="160" zoomScaleNormal="160" workbookViewId="0">
      <selection activeCell="R4" sqref="R4"/>
    </sheetView>
  </sheetViews>
  <sheetFormatPr defaultRowHeight="14.5" x14ac:dyDescent="0.35"/>
  <cols>
    <col min="3" max="3" width="45.6328125" customWidth="1"/>
    <col min="4" max="4" width="14.54296875" customWidth="1"/>
    <col min="5" max="5" width="10.90625" customWidth="1"/>
    <col min="6" max="7" width="8.453125" customWidth="1"/>
    <col min="8" max="8" width="24.08984375" customWidth="1"/>
    <col min="9" max="9" width="20.453125" customWidth="1"/>
    <col min="10" max="10" width="24.36328125" style="194" bestFit="1" customWidth="1"/>
    <col min="11" max="11" width="13.453125" style="194" customWidth="1"/>
    <col min="12" max="12" width="14.36328125" customWidth="1"/>
    <col min="13" max="13" width="15.6328125" customWidth="1"/>
    <col min="14" max="14" width="12.36328125" customWidth="1"/>
    <col min="16" max="16" width="9.6328125" customWidth="1"/>
  </cols>
  <sheetData>
    <row r="1" spans="2:18" ht="58" x14ac:dyDescent="0.35">
      <c r="L1" t="s">
        <v>528</v>
      </c>
      <c r="M1" t="s">
        <v>527</v>
      </c>
      <c r="N1" s="58" t="s">
        <v>409</v>
      </c>
      <c r="P1" s="58" t="s">
        <v>408</v>
      </c>
    </row>
    <row r="2" spans="2:18" x14ac:dyDescent="0.35">
      <c r="L2" s="6">
        <f>Assumption!E52</f>
        <v>0.25</v>
      </c>
      <c r="M2" s="6">
        <f>Assumption!F52</f>
        <v>0.25</v>
      </c>
      <c r="N2" s="6">
        <f>Assumption!G52</f>
        <v>0.5</v>
      </c>
    </row>
    <row r="3" spans="2:18" x14ac:dyDescent="0.35">
      <c r="D3" t="s">
        <v>406</v>
      </c>
      <c r="E3" s="55" t="s">
        <v>93</v>
      </c>
      <c r="H3" t="s">
        <v>407</v>
      </c>
      <c r="I3" t="s">
        <v>98</v>
      </c>
      <c r="J3" s="195"/>
      <c r="P3" t="s">
        <v>536</v>
      </c>
      <c r="R3" t="s">
        <v>790</v>
      </c>
    </row>
    <row r="4" spans="2:18" x14ac:dyDescent="0.35">
      <c r="B4" t="s">
        <v>435</v>
      </c>
      <c r="C4" t="str" cm="1">
        <f t="array" ref="C4">_xll.FDS(B4,"FG_COMPANY_NAME")</f>
        <v>iShares MSCI New Zealand ETF</v>
      </c>
      <c r="D4" s="9">
        <f>HLOOKUP(B4,'Monthly Returns'!$A$1:$Q$134, 127, FALSE)</f>
        <v>-0.19453715999999999</v>
      </c>
      <c r="E4" s="9">
        <f>HLOOKUP(B4,'Monthly Returns'!$A$1:$Q$134, 132, FALSE)</f>
        <v>0.10743801652892562</v>
      </c>
      <c r="H4" s="9">
        <f>HLOOKUP(B4,'Yearly returns'!$B$1:$N$140, 133, FALSE)</f>
        <v>0.14049586776859505</v>
      </c>
      <c r="I4" s="9">
        <f>HLOOKUP(B4,'Yearly returns'!$B$1:$N$140, 138, FALSE)</f>
        <v>0.188</v>
      </c>
      <c r="J4" s="194">
        <f>1/E4</f>
        <v>9.3076923076923066</v>
      </c>
      <c r="K4" s="196">
        <f>PERCENTRANK($J$4:$J$16,J4)*100</f>
        <v>58.3</v>
      </c>
      <c r="L4" s="56">
        <f>(1-PERCENTRANK($E$4:$E$16,E4))*100</f>
        <v>75</v>
      </c>
      <c r="M4" s="56">
        <f>(1-PERCENTRANK($H$4:$H$16,H4))*100</f>
        <v>50</v>
      </c>
      <c r="N4" s="56">
        <f>(1-PERCENTRANK($I$4:$I$16,I4))*100</f>
        <v>100</v>
      </c>
      <c r="P4">
        <f>L4*Assumption!$E$52 + M4*Assumption!$F$52 + N4*Assumption!$G$52</f>
        <v>81.25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-0.2859894</v>
      </c>
      <c r="E5" s="9">
        <f>HLOOKUP(B5,'Monthly Returns'!$A$1:$Q$134, 132, FALSE)</f>
        <v>0.10743801652892562</v>
      </c>
      <c r="H5" s="9">
        <f>HLOOKUP(B5,'Yearly returns'!$B$1:$N$140, 133, FALSE)</f>
        <v>0.15702479338842976</v>
      </c>
      <c r="I5" s="9">
        <f>HLOOKUP(B5,'Yearly returns'!$B$1:$N$140, 138, FALSE)</f>
        <v>0.58099999999999996</v>
      </c>
      <c r="J5" s="194">
        <f t="shared" ref="J5:J16" si="0">1/E5</f>
        <v>9.3076923076923066</v>
      </c>
      <c r="K5" s="196">
        <f t="shared" ref="K5:K16" si="1">PERCENTRANK($J$4:$J$16,J5)*100</f>
        <v>58.3</v>
      </c>
      <c r="L5" s="56">
        <f t="shared" ref="L5:L16" si="2">(1-PERCENTRANK($E$4:$E$16,E5))*100</f>
        <v>75</v>
      </c>
      <c r="M5" s="56">
        <f t="shared" ref="M5:M16" si="3">(1-PERCENTRANK($H$4:$H$16,H5))*100</f>
        <v>33.4</v>
      </c>
      <c r="N5" s="56">
        <f t="shared" ref="N5:N16" si="4">(1-PERCENTRANK($I$4:$I$16,I5))*100</f>
        <v>75</v>
      </c>
      <c r="P5">
        <f>L5*Assumption!$E$52 + M5*Assumption!$F$52 + N5*Assumption!$G$52</f>
        <v>64.599999999999994</v>
      </c>
      <c r="R5" cm="1">
        <f t="array" ref="R5">_xlfn.PERCENTRANK.EXC(_xlfn._xlws.FILTER(P$4:P$16, ISNUMBER(P$4:P$16)),P5)*100</f>
        <v>71.399999999999991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-0.25864500000000001</v>
      </c>
      <c r="E6" s="9">
        <f>HLOOKUP(B6,'Monthly Returns'!$A$1:$Q$134, 132, FALSE)</f>
        <v>0.10743801652892562</v>
      </c>
      <c r="H6" s="9">
        <f>HLOOKUP(B6,'Yearly returns'!$B$1:$N$140, 133, FALSE)</f>
        <v>0.14049586776859505</v>
      </c>
      <c r="I6" s="9">
        <f>HLOOKUP(B6,'Yearly returns'!$B$1:$N$140, 138, FALSE)</f>
        <v>0.61399999999999999</v>
      </c>
      <c r="J6" s="194">
        <f t="shared" si="0"/>
        <v>9.3076923076923066</v>
      </c>
      <c r="K6" s="196">
        <f t="shared" si="1"/>
        <v>58.3</v>
      </c>
      <c r="L6" s="56">
        <f t="shared" si="2"/>
        <v>75</v>
      </c>
      <c r="M6" s="56">
        <f t="shared" si="3"/>
        <v>50</v>
      </c>
      <c r="N6" s="56">
        <f t="shared" si="4"/>
        <v>58.400000000000006</v>
      </c>
      <c r="P6">
        <f>L6*Assumption!$E$52 + M6*Assumption!$F$52 + N6*Assumption!$G$52</f>
        <v>60.45</v>
      </c>
      <c r="R6" cm="1">
        <f t="array" ref="R6">_xlfn.PERCENTRANK.EXC(_xlfn._xlws.FILTER(P$4:P$16, ISNUMBER(P$4:P$16)),P6)*100</f>
        <v>57.099999999999994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-0.24668144000000003</v>
      </c>
      <c r="E7" s="9">
        <f>HLOOKUP(B7,'Monthly Returns'!$A$1:$Q$134, 132, FALSE)</f>
        <v>0.1487603305785124</v>
      </c>
      <c r="H7" s="9">
        <f>HLOOKUP(B7,'Yearly returns'!$B$1:$N$140, 133, FALSE)</f>
        <v>0.23140495867768596</v>
      </c>
      <c r="I7" s="9">
        <f>HLOOKUP(B7,'Yearly returns'!$B$1:$N$140, 138, FALSE)</f>
        <v>0.65500000000000003</v>
      </c>
      <c r="J7" s="194">
        <f t="shared" si="0"/>
        <v>6.7222222222222223</v>
      </c>
      <c r="K7" s="196">
        <f t="shared" si="1"/>
        <v>8.3000000000000007</v>
      </c>
      <c r="L7" s="56">
        <f t="shared" si="2"/>
        <v>8.3999999999999968</v>
      </c>
      <c r="M7" s="56">
        <f t="shared" si="3"/>
        <v>8.3999999999999968</v>
      </c>
      <c r="N7" s="56">
        <f t="shared" si="4"/>
        <v>41.7</v>
      </c>
      <c r="P7">
        <f>L7*Assumption!$E$52 + M7*Assumption!$F$52 + N7*Assumption!$G$52</f>
        <v>25.05</v>
      </c>
      <c r="R7" cm="1">
        <f t="array" ref="R7">_xlfn.PERCENTRANK.EXC(_xlfn._xlws.FILTER(P$4:P$16, ISNUMBER(P$4:P$16)),P7)*100</f>
        <v>14.2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-0.13902754000000001</v>
      </c>
      <c r="E8" s="9">
        <f>HLOOKUP(B8,'Monthly Returns'!$A$1:$Q$134, 132, FALSE)</f>
        <v>9.9173553719008267E-2</v>
      </c>
      <c r="H8" s="9">
        <f>HLOOKUP(B8,'Yearly returns'!$B$1:$N$140, 133, FALSE)</f>
        <v>0.11570247933884298</v>
      </c>
      <c r="I8" s="9">
        <f>HLOOKUP(B8,'Yearly returns'!$B$1:$N$140, 138, FALSE)</f>
        <v>0.92600000000000005</v>
      </c>
      <c r="J8" s="194">
        <f t="shared" si="0"/>
        <v>10.083333333333334</v>
      </c>
      <c r="K8" s="196">
        <f t="shared" si="1"/>
        <v>83.3</v>
      </c>
      <c r="L8" s="56">
        <f t="shared" si="2"/>
        <v>83.399999999999991</v>
      </c>
      <c r="M8" s="56">
        <f t="shared" si="3"/>
        <v>58.400000000000006</v>
      </c>
      <c r="N8" s="56">
        <f t="shared" si="4"/>
        <v>8.3999999999999968</v>
      </c>
      <c r="P8">
        <f>L8*Assumption!$E$52 + M8*Assumption!$F$52 + N8*Assumption!$G$52</f>
        <v>39.65</v>
      </c>
      <c r="R8" cm="1">
        <f t="array" ref="R8">_xlfn.PERCENTRANK.EXC(_xlfn._xlws.FILTER(P$4:P$16, ISNUMBER(P$4:P$16)),P8)*100</f>
        <v>35.699999999999996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-0.13881999</v>
      </c>
      <c r="E9" s="9">
        <f>HLOOKUP(B9,'Monthly Returns'!$A$1:$Q$134, 132, FALSE)</f>
        <v>0.11570247933884298</v>
      </c>
      <c r="H9" s="9">
        <f>HLOOKUP(B9,'Yearly returns'!$B$1:$N$140, 133, FALSE)</f>
        <v>8.2644628099173556E-2</v>
      </c>
      <c r="I9" s="9">
        <f>HLOOKUP(B9,'Yearly returns'!$B$1:$N$140, 138, FALSE)</f>
        <v>0.50800000000000001</v>
      </c>
      <c r="J9" s="194">
        <f t="shared" si="0"/>
        <v>8.6428571428571423</v>
      </c>
      <c r="K9" s="196">
        <f t="shared" si="1"/>
        <v>41.6</v>
      </c>
      <c r="L9" s="56">
        <f t="shared" si="2"/>
        <v>50</v>
      </c>
      <c r="M9" s="56">
        <f t="shared" si="3"/>
        <v>91.7</v>
      </c>
      <c r="N9" s="56">
        <f t="shared" si="4"/>
        <v>91.7</v>
      </c>
      <c r="P9">
        <f>L9*Assumption!$E$52 + M9*Assumption!$F$52 + N9*Assumption!$G$52</f>
        <v>81.275000000000006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-0.25651174999999998</v>
      </c>
      <c r="E10" s="9">
        <f>HLOOKUP(B10,'Monthly Returns'!$A$1:$Q$134, 132, FALSE)</f>
        <v>9.0909090909090912E-2</v>
      </c>
      <c r="H10" s="9">
        <f>HLOOKUP(B10,'Yearly returns'!$B$1:$N$140, 133, FALSE)</f>
        <v>0.16528925619834711</v>
      </c>
      <c r="I10" s="9">
        <f>HLOOKUP(B10,'Yearly returns'!$B$1:$N$140, 138, FALSE)</f>
        <v>0.57299999999999995</v>
      </c>
      <c r="J10" s="194">
        <f t="shared" si="0"/>
        <v>11</v>
      </c>
      <c r="K10" s="196">
        <f t="shared" si="1"/>
        <v>91.600000000000009</v>
      </c>
      <c r="L10" s="56">
        <f t="shared" si="2"/>
        <v>100</v>
      </c>
      <c r="M10" s="56">
        <f t="shared" si="3"/>
        <v>25</v>
      </c>
      <c r="N10" s="56">
        <f t="shared" si="4"/>
        <v>83.399999999999991</v>
      </c>
      <c r="P10">
        <f>L10*Assumption!$E$52 + M10*Assumption!$F$52 + N10*Assumption!$G$52</f>
        <v>72.949999999999989</v>
      </c>
      <c r="R10" cm="1">
        <f t="array" ref="R10">_xlfn.PERCENTRANK.EXC(_xlfn._xlws.FILTER(P$4:P$16, ISNUMBER(P$4:P$16)),P10)*100</f>
        <v>78.5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-0.15791339000000001</v>
      </c>
      <c r="E11" s="9">
        <f>HLOOKUP(B11,'Monthly Returns'!$A$1:$Q$134, 132, FALSE)</f>
        <v>0.13223140495867769</v>
      </c>
      <c r="H11" s="9">
        <f>HLOOKUP(B11,'Yearly returns'!$B$1:$N$140, 133, FALSE)</f>
        <v>8.2644628099173556E-2</v>
      </c>
      <c r="I11" s="9">
        <f>HLOOKUP(B11,'Yearly returns'!$B$1:$N$140, 138, FALSE)</f>
        <v>0.94199999999999995</v>
      </c>
      <c r="J11" s="194">
        <f t="shared" si="0"/>
        <v>7.5625</v>
      </c>
      <c r="K11" s="196">
        <f t="shared" si="1"/>
        <v>16.600000000000001</v>
      </c>
      <c r="L11" s="56">
        <f t="shared" si="2"/>
        <v>16.700000000000003</v>
      </c>
      <c r="M11" s="56">
        <f t="shared" si="3"/>
        <v>91.7</v>
      </c>
      <c r="N11" s="56">
        <f t="shared" si="4"/>
        <v>0</v>
      </c>
      <c r="P11">
        <f>L11*Assumption!$E$52 + M11*Assumption!$F$52 + N11*Assumption!$G$52</f>
        <v>27.1</v>
      </c>
      <c r="R11" cm="1">
        <f t="array" ref="R11">_xlfn.PERCENTRANK.EXC(_xlfn._xlws.FILTER(P$4:P$16, ISNUMBER(P$4:P$16)),P11)*100</f>
        <v>21.4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-0.20183247000000001</v>
      </c>
      <c r="E12" s="9">
        <f>HLOOKUP(B12,'Monthly Returns'!$A$1:$Q$134, 132, FALSE)</f>
        <v>9.0909090909090912E-2</v>
      </c>
      <c r="H12" s="9">
        <f>HLOOKUP(B12,'Yearly returns'!$B$1:$N$140, 133, FALSE)</f>
        <v>4.9586776859504134E-2</v>
      </c>
      <c r="I12" s="9">
        <f>HLOOKUP(B12,'Yearly returns'!$B$1:$N$140, 138, FALSE)</f>
        <v>0.90900000000000003</v>
      </c>
      <c r="J12" s="194">
        <f t="shared" si="0"/>
        <v>11</v>
      </c>
      <c r="K12" s="196">
        <f t="shared" si="1"/>
        <v>91.600000000000009</v>
      </c>
      <c r="L12" s="56">
        <f t="shared" si="2"/>
        <v>100</v>
      </c>
      <c r="M12" s="56">
        <f t="shared" si="3"/>
        <v>100</v>
      </c>
      <c r="N12" s="56">
        <f t="shared" si="4"/>
        <v>16.700000000000003</v>
      </c>
      <c r="P12">
        <f>L12*Assumption!$E$52 + M12*Assumption!$F$52 + N12*Assumption!$G$52</f>
        <v>58.35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872</v>
      </c>
      <c r="C13" t="str" cm="1">
        <f t="array" ref="C13">_xll.FDS(B13,"FG_COMPANY_NAME")</f>
        <v>iShares MSCI France ETF</v>
      </c>
      <c r="D13" s="9">
        <f>HLOOKUP(B13,'Monthly Returns'!$A$1:$Q$134, 127, FALSE)</f>
        <v>-0.27744704999999997</v>
      </c>
      <c r="E13" s="9">
        <f>HLOOKUP(B13,'Monthly Returns'!$A$1:$Q$134, 132, FALSE)</f>
        <v>0.12396694214876033</v>
      </c>
      <c r="H13" s="9">
        <f>HLOOKUP(B13,'Yearly returns'!$B$1:$N$140, 133, FALSE)</f>
        <v>9.0909090909090912E-2</v>
      </c>
      <c r="I13" s="9">
        <f>HLOOKUP(B13,'Yearly returns'!$B$1:$N$140, 138, FALSE)</f>
        <v>0.59799999999999998</v>
      </c>
      <c r="J13" s="194">
        <f t="shared" si="0"/>
        <v>8.0666666666666664</v>
      </c>
      <c r="K13" s="196">
        <f t="shared" si="1"/>
        <v>25</v>
      </c>
      <c r="L13" s="56">
        <f t="shared" si="2"/>
        <v>33.4</v>
      </c>
      <c r="M13" s="56">
        <f t="shared" si="3"/>
        <v>75</v>
      </c>
      <c r="N13" s="56">
        <f t="shared" si="4"/>
        <v>66.7</v>
      </c>
      <c r="P13">
        <f>L13*Assumption!$E$52 + M13*Assumption!$F$52 + N13*Assumption!$G$52</f>
        <v>60.45</v>
      </c>
      <c r="R13" cm="1">
        <f t="array" ref="R13">_xlfn.PERCENTRANK.EXC(_xlfn._xlws.FILTER(P$4:P$16, ISNUMBER(P$4:P$16)),P13)*100</f>
        <v>57.099999999999994</v>
      </c>
    </row>
    <row r="14" spans="2:18" x14ac:dyDescent="0.35">
      <c r="B14" t="s">
        <v>874</v>
      </c>
      <c r="C14" t="str" cm="1">
        <f t="array" ref="C14">_xll.FDS(B14,"FG_COMPANY_NAME")</f>
        <v>iShares MSCI Netherlands ETF</v>
      </c>
      <c r="D14" s="9">
        <f>HLOOKUP(B14,'Monthly Returns'!$A$1:$Q$134, 127, FALSE)</f>
        <v>-0.22734355999999997</v>
      </c>
      <c r="E14" s="9">
        <f>HLOOKUP(B14,'Monthly Returns'!$A$1:$Q$134, 132, FALSE)</f>
        <v>0.11570247933884298</v>
      </c>
      <c r="H14" s="9">
        <f>HLOOKUP(B14,'Yearly returns'!$B$1:$N$140, 133, FALSE)</f>
        <v>9.9173553719008267E-2</v>
      </c>
      <c r="I14" s="9">
        <f>HLOOKUP(B14,'Yearly returns'!$B$1:$N$140, 138, FALSE)</f>
        <v>0.68799999999999994</v>
      </c>
      <c r="J14" s="194">
        <f t="shared" si="0"/>
        <v>8.6428571428571423</v>
      </c>
      <c r="K14" s="196">
        <f t="shared" si="1"/>
        <v>41.6</v>
      </c>
      <c r="L14" s="56">
        <f t="shared" si="2"/>
        <v>50</v>
      </c>
      <c r="M14" s="56">
        <f t="shared" si="3"/>
        <v>66.7</v>
      </c>
      <c r="N14" s="56">
        <f t="shared" si="4"/>
        <v>33.4</v>
      </c>
      <c r="P14">
        <f>L14*Assumption!$E$52 + M14*Assumption!$F$52 + N14*Assumption!$G$52</f>
        <v>45.875</v>
      </c>
      <c r="R14" cm="1">
        <f t="array" ref="R14">_xlfn.PERCENTRANK.EXC(_xlfn._xlws.FILTER(P$4:P$16, ISNUMBER(P$4:P$16)),P14)*100</f>
        <v>42.8</v>
      </c>
    </row>
    <row r="15" spans="2:18" x14ac:dyDescent="0.35">
      <c r="B15" t="s">
        <v>871</v>
      </c>
      <c r="C15" t="str" cm="1">
        <f t="array" ref="C15">_xll.FDS(B15,"FG_COMPANY_NAME")</f>
        <v>iShares MSCI Sweden ETF</v>
      </c>
      <c r="D15" s="9">
        <f>HLOOKUP(B15,'Monthly Returns'!$A$1:$Q$134, 127, FALSE)</f>
        <v>-0.248502</v>
      </c>
      <c r="E15" s="9">
        <f>HLOOKUP(B15,'Monthly Returns'!$A$1:$Q$134, 132, FALSE)</f>
        <v>0.12396694214876033</v>
      </c>
      <c r="H15" s="9">
        <f>HLOOKUP(B15,'Yearly returns'!$B$1:$N$140, 133, FALSE)</f>
        <v>0.18181818181818182</v>
      </c>
      <c r="I15" s="9">
        <f>HLOOKUP(B15,'Yearly returns'!$B$1:$N$140, 138, FALSE)</f>
        <v>0.63900000000000001</v>
      </c>
      <c r="J15" s="194">
        <f t="shared" si="0"/>
        <v>8.0666666666666664</v>
      </c>
      <c r="K15" s="196">
        <f t="shared" si="1"/>
        <v>25</v>
      </c>
      <c r="L15" s="56">
        <f t="shared" si="2"/>
        <v>33.4</v>
      </c>
      <c r="M15" s="56">
        <f t="shared" si="3"/>
        <v>16.700000000000003</v>
      </c>
      <c r="N15" s="56">
        <f t="shared" si="4"/>
        <v>50</v>
      </c>
      <c r="P15">
        <f>L15*Assumption!$E$52 + M15*Assumption!$F$52 + N15*Assumption!$G$52</f>
        <v>37.524999999999999</v>
      </c>
      <c r="R15" cm="1">
        <f t="array" ref="R15">_xlfn.PERCENTRANK.EXC(_xlfn._xlws.FILTER(P$4:P$16, ISNUMBER(P$4:P$16)),P15)*100</f>
        <v>28.499999999999996</v>
      </c>
    </row>
    <row r="16" spans="2:18" x14ac:dyDescent="0.35">
      <c r="B16" t="s">
        <v>873</v>
      </c>
      <c r="C16" t="str" cm="1">
        <f t="array" ref="C16">_xll.FDS(B16,"FG_COMPANY_NAME")</f>
        <v>iShares MSCI Italy ETF</v>
      </c>
      <c r="D16" s="9">
        <f>HLOOKUP(B16,'Monthly Returns'!$A$1:$Q$134, 127, FALSE)</f>
        <v>-0.29150086999999997</v>
      </c>
      <c r="E16" s="9">
        <f>HLOOKUP(B16,'Monthly Returns'!$A$1:$Q$134, 132, FALSE)</f>
        <v>0.17355371900826447</v>
      </c>
      <c r="H16" s="9">
        <f>HLOOKUP(B16,'Yearly returns'!$B$1:$N$140, 133, FALSE)</f>
        <v>0.26446280991735538</v>
      </c>
      <c r="I16" s="9">
        <f>HLOOKUP(B16,'Yearly returns'!$B$1:$N$140, 138, FALSE)</f>
        <v>0.70399999999999996</v>
      </c>
      <c r="J16" s="194">
        <f t="shared" si="0"/>
        <v>5.7619047619047619</v>
      </c>
      <c r="K16" s="196">
        <f t="shared" si="1"/>
        <v>0</v>
      </c>
      <c r="L16" s="56">
        <f t="shared" si="2"/>
        <v>0</v>
      </c>
      <c r="M16" s="56">
        <f t="shared" si="3"/>
        <v>0</v>
      </c>
      <c r="N16" s="56">
        <f t="shared" si="4"/>
        <v>25</v>
      </c>
      <c r="P16">
        <f>L16*Assumption!$E$52 + M16*Assumption!$F$52 + N16*Assumption!$G$52</f>
        <v>12.5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08984375" bestFit="1" customWidth="1"/>
    <col min="2" max="2" width="34.36328125" customWidth="1"/>
    <col min="3" max="3" width="10" bestFit="1" customWidth="1"/>
    <col min="4" max="4" width="18.08984375" bestFit="1" customWidth="1"/>
    <col min="5" max="5" width="11.54296875" customWidth="1"/>
    <col min="6" max="6" width="21" customWidth="1"/>
    <col min="7" max="7" width="11.08984375" bestFit="1" customWidth="1"/>
    <col min="8" max="9" width="31.36328125" style="49" customWidth="1"/>
    <col min="10" max="10" width="36.08984375" style="49" customWidth="1"/>
    <col min="12" max="12" width="10.453125" customWidth="1"/>
    <col min="18" max="18" width="14.90625" bestFit="1" customWidth="1"/>
    <col min="19" max="19" width="11.08984375" customWidth="1"/>
    <col min="20" max="20" width="14.08984375" bestFit="1" customWidth="1"/>
    <col min="21" max="21" width="13.36328125" bestFit="1" customWidth="1"/>
    <col min="22" max="22" width="14.632812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828</v>
      </c>
      <c r="B4" t="s">
        <v>523</v>
      </c>
      <c r="C4" t="s">
        <v>827</v>
      </c>
      <c r="D4" t="s">
        <v>550</v>
      </c>
      <c r="F4" t="s">
        <v>789</v>
      </c>
      <c r="G4" s="119" t="s">
        <v>825</v>
      </c>
      <c r="H4" s="119" t="s">
        <v>824</v>
      </c>
      <c r="I4" s="119" t="s">
        <v>844</v>
      </c>
      <c r="J4" s="119" t="s">
        <v>826</v>
      </c>
      <c r="S4" s="119" t="s">
        <v>825</v>
      </c>
      <c r="T4" s="119" t="s">
        <v>824</v>
      </c>
      <c r="U4" s="119" t="s">
        <v>844</v>
      </c>
      <c r="V4" s="119" t="s">
        <v>826</v>
      </c>
    </row>
    <row r="5" spans="1:22" x14ac:dyDescent="0.35">
      <c r="A5" t="s">
        <v>202</v>
      </c>
      <c r="B5" t="str" cm="1">
        <f t="array" ref="B5">_xll.FDS(C5,"FG_COMPANY_NAME")</f>
        <v>iShares MSCI New Zealand ETF</v>
      </c>
      <c r="C5" t="s">
        <v>435</v>
      </c>
      <c r="D5" t="s">
        <v>680</v>
      </c>
      <c r="E5" s="3" t="s">
        <v>435</v>
      </c>
      <c r="F5" s="9">
        <f>HLOOKUP(E5,'Monthly Returns'!$A$1:$AE$136,134,FALSE)</f>
        <v>0.22900000000000001</v>
      </c>
      <c r="G5" s="152" cm="1">
        <f t="array" ref="G5">_xll.FDSZ(C5,"FG_PRICE(0)")</f>
        <v>45.08</v>
      </c>
      <c r="H5" s="152" cm="1">
        <f t="array" ref="H5">_xll.FDSZ(C5,"FG_PRICE_MAVG(0,,,,30)")</f>
        <v>45.921999999999997</v>
      </c>
      <c r="I5" s="152" cm="1">
        <f t="array" ref="I5">_xll.FDSZ(C5,"FG_PRICE_MAVG(0,,,,60)")</f>
        <v>46.701084000000002</v>
      </c>
      <c r="J5" s="152" cm="1">
        <f t="array" ref="J5">_xll.FDSZ(C5,"FG_PRICE_MAVG(0,,,,200)")</f>
        <v>46.423009999999998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846</v>
      </c>
      <c r="S5" s="7" cm="1">
        <f t="array" ref="S5">_xll.FDSZ($R5,"FG_PRICE(0)")</f>
        <v>388.75659999999999</v>
      </c>
      <c r="T5" s="7" cm="1">
        <f t="array" ref="T5">_xll.FDSZ($R5,"FG_PRICE(0)")</f>
        <v>388.75659999999999</v>
      </c>
      <c r="U5" s="7" cm="1">
        <f t="array" ref="U5">_xll.FDSZ($R5,"FG_PRICE(0)")</f>
        <v>388.75659999999999</v>
      </c>
      <c r="V5" s="7" cm="1">
        <f t="array" ref="V5">_xll.FDSZ($R5,"FG_PRICE(0)")</f>
        <v>388.75659999999999</v>
      </c>
    </row>
    <row r="6" spans="1:22" x14ac:dyDescent="0.35">
      <c r="A6" t="s">
        <v>178</v>
      </c>
      <c r="B6" t="str" cm="1">
        <f t="array" ref="B6">_xll.FDS(C6,"FG_COMPANY_NAME")</f>
        <v>iShares MSCI Australia ETF</v>
      </c>
      <c r="C6" t="s">
        <v>44</v>
      </c>
      <c r="D6" t="s">
        <v>582</v>
      </c>
      <c r="E6" s="3" t="s">
        <v>44</v>
      </c>
      <c r="F6" s="9">
        <f>HLOOKUP(E6,'Monthly Returns'!$A$1:$AE$136,134,FALSE)</f>
        <v>0.58099999999999996</v>
      </c>
      <c r="G6" s="152" cm="1">
        <f t="array" ref="G6">_xll.FDSZ(C6,"FG_PRICE(0)")</f>
        <v>24.02</v>
      </c>
      <c r="H6" s="152" cm="1">
        <f t="array" ref="H6">_xll.FDSZ(C6,"FG_PRICE_MAVG(0,,,,30)")</f>
        <v>23.672999999999998</v>
      </c>
      <c r="I6" s="152" cm="1">
        <f t="array" ref="I6">_xll.FDSZ(C6,"FG_PRICE_MAVG(0,,,,60)")</f>
        <v>23.676331999999999</v>
      </c>
      <c r="J6" s="152" cm="1">
        <f t="array" ref="J6">_xll.FDSZ(C6,"FG_PRICE_MAVG(0,,,,200)")</f>
        <v>22.575700000000001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847</v>
      </c>
      <c r="S6" s="7" cm="1">
        <f t="array" ref="S6">_xll.FDSZ($R6,"FG_PRICE(0)")</f>
        <v>353.35424999999998</v>
      </c>
      <c r="T6" s="7" cm="1">
        <f t="array" ref="T6">_xll.FDSZ($R6,"FG_PRICE(0)")</f>
        <v>353.35424999999998</v>
      </c>
      <c r="U6" s="7" cm="1">
        <f t="array" ref="U6">_xll.FDSZ($R6,"FG_PRICE(0)")</f>
        <v>353.35424999999998</v>
      </c>
      <c r="V6" s="7" cm="1">
        <f t="array" ref="V6">_xll.FDSZ($R6,"FG_PRICE(0)")</f>
        <v>353.35424999999998</v>
      </c>
    </row>
    <row r="7" spans="1:22" x14ac:dyDescent="0.35">
      <c r="A7" t="s">
        <v>161</v>
      </c>
      <c r="B7" t="str" cm="1">
        <f t="array" ref="B7">_xll.FDS(C7,"FG_COMPANY_NAME")</f>
        <v>iShares MSCI Canada ETF</v>
      </c>
      <c r="C7" t="s">
        <v>49</v>
      </c>
      <c r="D7" t="s">
        <v>604</v>
      </c>
      <c r="E7" s="3" t="s">
        <v>49</v>
      </c>
      <c r="F7" s="9">
        <f>HLOOKUP(E7,'Monthly Returns'!$A$1:$AE$136,134,FALSE)</f>
        <v>0.60599999999999998</v>
      </c>
      <c r="G7" s="152" cm="1">
        <f t="array" ref="G7">_xll.FDSZ(C7,"FG_PRICE(0)")</f>
        <v>37.020000000000003</v>
      </c>
      <c r="H7" s="152" cm="1">
        <f t="array" ref="H7">_xll.FDSZ(C7,"FG_PRICE_MAVG(0,,,,30)")</f>
        <v>36.453000000000003</v>
      </c>
      <c r="I7" s="152" cm="1">
        <f t="array" ref="I7">_xll.FDSZ(C7,"FG_PRICE_MAVG(0,,,,60)")</f>
        <v>36.249000000000002</v>
      </c>
      <c r="J7" s="152" cm="1">
        <f t="array" ref="J7">_xll.FDSZ(C7,"FG_PRICE_MAVG(0,,,,200)")</f>
        <v>34.787599999999998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848</v>
      </c>
      <c r="S7" s="7" cm="1">
        <f t="array" ref="S7">_xll.FDSZ($R7,"FG_PRICE(0)")</f>
        <v>284.53564</v>
      </c>
      <c r="T7" s="7" cm="1">
        <f t="array" ref="T7">_xll.FDSZ($R7,"FG_PRICE(0)")</f>
        <v>284.53564</v>
      </c>
      <c r="U7" s="7" cm="1">
        <f t="array" ref="U7">_xll.FDSZ($R7,"FG_PRICE(0)")</f>
        <v>284.53564</v>
      </c>
      <c r="V7" s="7" cm="1">
        <f t="array" ref="V7">_xll.FDSZ($R7,"FG_PRICE(0)")</f>
        <v>284.53564</v>
      </c>
    </row>
    <row r="8" spans="1:22" x14ac:dyDescent="0.35">
      <c r="A8" t="s">
        <v>561</v>
      </c>
      <c r="B8" t="str" cm="1">
        <f t="array" ref="B8">_xll.FDS(C8,"FG_COMPANY_NAME")</f>
        <v>iShares MSCI Germany ETF</v>
      </c>
      <c r="C8" t="s">
        <v>11</v>
      </c>
      <c r="D8" t="s">
        <v>631</v>
      </c>
      <c r="E8" s="3" t="s">
        <v>11</v>
      </c>
      <c r="F8" s="9">
        <f>HLOOKUP(E8,'Monthly Returns'!$A$1:$AE$136,134,FALSE)</f>
        <v>0.81899999999999995</v>
      </c>
      <c r="G8" s="152" cm="1">
        <f t="array" ref="G8">_xll.FDSZ(C8,"FG_PRICE(0)")</f>
        <v>30.73</v>
      </c>
      <c r="H8" s="152" cm="1">
        <f t="array" ref="H8">_xll.FDSZ(C8,"FG_PRICE_MAVG(0,,,,30)")</f>
        <v>29.603332999999999</v>
      </c>
      <c r="I8" s="152" cm="1">
        <f t="array" ref="I8">_xll.FDSZ(C8,"FG_PRICE_MAVG(0,,,,60)")</f>
        <v>29.409500000000001</v>
      </c>
      <c r="J8" s="152" cm="1">
        <f t="array" ref="J8">_xll.FDSZ(C8,"FG_PRICE_MAVG(0,,,,200)")</f>
        <v>28.106400000000001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845</v>
      </c>
      <c r="S8" s="7" cm="1">
        <f t="array" ref="S8">_xll.FDSZ($R8,"FG_PRICE(0)")</f>
        <v>9.824128</v>
      </c>
      <c r="T8" s="7" cm="1">
        <f t="array" ref="T8">_xll.FDSZ($R8,"FG_PRICE(0)")</f>
        <v>9.824128</v>
      </c>
      <c r="U8" s="7" cm="1">
        <f t="array" ref="U8">_xll.FDSZ($R8,"FG_PRICE(0)")</f>
        <v>9.824128</v>
      </c>
      <c r="V8" s="7" cm="1">
        <f t="array" ref="V8">_xll.FDSZ($R8,"FG_PRICE(0)")</f>
        <v>9.824128</v>
      </c>
    </row>
    <row r="9" spans="1:22" x14ac:dyDescent="0.35">
      <c r="A9" t="s">
        <v>168</v>
      </c>
      <c r="B9" t="str" cm="1">
        <f t="array" ref="B9">_xll.FDS(C9,"FG_COMPANY_NAME")</f>
        <v>iShares MSCI Japan ETF</v>
      </c>
      <c r="C9" t="s">
        <v>46</v>
      </c>
      <c r="D9" t="s">
        <v>649</v>
      </c>
      <c r="E9" s="3" t="s">
        <v>46</v>
      </c>
      <c r="F9" s="9">
        <f>HLOOKUP(E9,'Monthly Returns'!$A$1:$AE$136,134,FALSE)</f>
        <v>0.86799999999999999</v>
      </c>
      <c r="G9" s="152" cm="1">
        <f t="array" ref="G9">_xll.FDSZ(C9,"FG_PRICE(0)")</f>
        <v>69.92</v>
      </c>
      <c r="H9" s="152" cm="1">
        <f t="array" ref="H9">_xll.FDSZ(C9,"FG_PRICE_MAVG(0,,,,30)")</f>
        <v>67.325670000000002</v>
      </c>
      <c r="I9" s="152" cm="1">
        <f t="array" ref="I9">_xll.FDSZ(C9,"FG_PRICE_MAVG(0,,,,60)")</f>
        <v>65.623999999999995</v>
      </c>
      <c r="J9" s="152" cm="1">
        <f t="array" ref="J9">_xll.FDSZ(C9,"FG_PRICE_MAVG(0,,,,200)")</f>
        <v>62.552199999999999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849</v>
      </c>
      <c r="S9" s="7" cm="1">
        <f t="array" ref="S9">_xll.FDSZ($R9,"FG_PRICE(0)")</f>
        <v>178.32796999999999</v>
      </c>
      <c r="T9" s="7" cm="1">
        <f t="array" ref="T9">_xll.FDSZ($R9,"FG_PRICE(0)")</f>
        <v>178.32796999999999</v>
      </c>
      <c r="U9" s="7" cm="1">
        <f t="array" ref="U9">_xll.FDSZ($R9,"FG_PRICE(0)")</f>
        <v>178.32796999999999</v>
      </c>
      <c r="V9" s="7" cm="1">
        <f t="array" ref="V9">_xll.FDSZ($R9,"FG_PRICE(0)")</f>
        <v>178.32796999999999</v>
      </c>
    </row>
    <row r="10" spans="1:22" x14ac:dyDescent="0.35">
      <c r="A10" t="s">
        <v>280</v>
      </c>
      <c r="B10" t="str" cm="1">
        <f t="array" ref="B10">_xll.FDS(C10,"FG_COMPANY_NAME")</f>
        <v>iShares MSCI Switzerland ETF</v>
      </c>
      <c r="C10" t="s">
        <v>42</v>
      </c>
      <c r="D10" t="s">
        <v>712</v>
      </c>
      <c r="E10" s="3" t="s">
        <v>42</v>
      </c>
      <c r="F10" s="9">
        <f>HLOOKUP(E10,'Monthly Returns'!$A$1:$AE$136,134,FALSE)</f>
        <v>0.311</v>
      </c>
      <c r="G10" s="152" cm="1">
        <f t="array" ref="G10">_xll.FDSZ(C10,"FG_PRICE(0)")</f>
        <v>46.89</v>
      </c>
      <c r="H10" s="152" cm="1">
        <f t="array" ref="H10">_xll.FDSZ(C10,"FG_PRICE_MAVG(0,,,,30)")</f>
        <v>47.051333999999997</v>
      </c>
      <c r="I10" s="152" cm="1">
        <f t="array" ref="I10">_xll.FDSZ(C10,"FG_PRICE_MAVG(0,,,,60)")</f>
        <v>47.145831999999999</v>
      </c>
      <c r="J10" s="152" cm="1">
        <f t="array" ref="J10">_xll.FDSZ(C10,"FG_PRICE_MAVG(0,,,,200)")</f>
        <v>45.848599999999998</v>
      </c>
      <c r="L10">
        <f t="shared" si="0"/>
        <v>0</v>
      </c>
      <c r="M10">
        <f t="shared" si="1"/>
        <v>0</v>
      </c>
      <c r="N10">
        <f t="shared" si="2"/>
        <v>1</v>
      </c>
      <c r="P10">
        <f t="shared" si="3"/>
        <v>1</v>
      </c>
      <c r="R10" t="s">
        <v>850</v>
      </c>
      <c r="S10" s="7" cm="1">
        <f t="array" ref="S10">_xll.FDSZ($R10,"FG_PRICE(0)")</f>
        <v>323.625</v>
      </c>
      <c r="T10" s="7" cm="1">
        <f t="array" ref="T10">_xll.FDSZ($R10,"FG_PRICE(0)")</f>
        <v>323.625</v>
      </c>
      <c r="U10" s="7" cm="1">
        <f t="array" ref="U10">_xll.FDSZ($R10,"FG_PRICE(0)")</f>
        <v>323.625</v>
      </c>
      <c r="V10" s="7" cm="1">
        <f t="array" ref="V10">_xll.FDSZ($R10,"FG_PRICE(0)")</f>
        <v>323.625</v>
      </c>
    </row>
    <row r="11" spans="1:22" x14ac:dyDescent="0.35">
      <c r="A11" t="s">
        <v>171</v>
      </c>
      <c r="B11" t="str" cm="1">
        <f t="array" ref="B11">_xll.FDS(C11,"FG_COMPANY_NAME")</f>
        <v>iShares MSCI United Kingdom ETF</v>
      </c>
      <c r="C11" t="s">
        <v>48</v>
      </c>
      <c r="D11" t="s">
        <v>725</v>
      </c>
      <c r="E11" s="3" t="s">
        <v>48</v>
      </c>
      <c r="F11" s="9">
        <f>HLOOKUP(E11,'Monthly Returns'!$A$1:$AE$136,134,FALSE)</f>
        <v>0.54900000000000004</v>
      </c>
      <c r="G11" s="152" cm="1">
        <f t="array" ref="G11">_xll.FDSZ(C11,"FG_PRICE(0)")</f>
        <v>32.82</v>
      </c>
      <c r="H11" s="152" cm="1">
        <f t="array" ref="H11">_xll.FDSZ(C11,"FG_PRICE_MAVG(0,,,,30)")</f>
        <v>32.509666000000003</v>
      </c>
      <c r="I11" s="152" cm="1">
        <f t="array" ref="I11">_xll.FDSZ(C11,"FG_PRICE_MAVG(0,,,,60)")</f>
        <v>32.622334000000002</v>
      </c>
      <c r="J11" s="152" cm="1">
        <f t="array" ref="J11">_xll.FDSZ(C11,"FG_PRICE_MAVG(0,,,,200)")</f>
        <v>32.217799999999997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851</v>
      </c>
      <c r="S11" s="7" cm="1">
        <f t="array" ref="S11">_xll.FDSZ($R11,"FG_PRICE(0)")</f>
        <v>118.759514</v>
      </c>
      <c r="T11" s="7" cm="1">
        <f t="array" ref="T11">_xll.FDSZ($R11,"FG_PRICE(0)")</f>
        <v>118.759514</v>
      </c>
      <c r="U11" s="7" cm="1">
        <f t="array" ref="U11">_xll.FDSZ($R11,"FG_PRICE(0)")</f>
        <v>118.759514</v>
      </c>
      <c r="V11" s="7" cm="1">
        <f t="array" ref="V11">_xll.FDSZ($R11,"FG_PRICE(0)")</f>
        <v>118.759514</v>
      </c>
    </row>
    <row r="12" spans="1:22" x14ac:dyDescent="0.35">
      <c r="A12" t="s">
        <v>174</v>
      </c>
      <c r="B12" t="str" cm="1">
        <f t="array" ref="B12">_xll.FDS(C12,"FG_COMPANY_NAME")</f>
        <v>Invesco QQQ Trust Series I</v>
      </c>
      <c r="C12" t="s">
        <v>51</v>
      </c>
      <c r="D12" t="s">
        <v>726</v>
      </c>
      <c r="E12" s="3" t="s">
        <v>51</v>
      </c>
      <c r="F12" s="9">
        <f>HLOOKUP(E12,'Monthly Returns'!$A$1:$AE$136,134,FALSE)</f>
        <v>0.58099999999999996</v>
      </c>
      <c r="G12" s="152" cm="1">
        <f t="array" ref="G12">_xll.FDSZ(C12,"FG_PRICE(0)")</f>
        <v>444.02</v>
      </c>
      <c r="H12" s="152" cm="1">
        <f t="array" ref="H12">_xll.FDSZ(C12,"FG_PRICE_MAVG(0,,,,30)")</f>
        <v>430.94666000000001</v>
      </c>
      <c r="I12" s="152" cm="1">
        <f t="array" ref="I12">_xll.FDSZ(C12,"FG_PRICE_MAVG(0,,,,60)")</f>
        <v>417.73899999999998</v>
      </c>
      <c r="J12" s="152" cm="1">
        <f t="array" ref="J12">_xll.FDSZ(C12,"FG_PRICE_MAVG(0,,,,200)")</f>
        <v>382.30295000000001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852</v>
      </c>
      <c r="S12" s="7" cm="1">
        <f t="array" ref="S12">_xll.FDSZ($R12,"FG_PRICE(0)")</f>
        <v>386.42721999999998</v>
      </c>
      <c r="T12" s="7" cm="1">
        <f t="array" ref="T12">_xll.FDSZ($R12,"FG_PRICE(0)")</f>
        <v>386.42721999999998</v>
      </c>
      <c r="U12" s="7" cm="1">
        <f t="array" ref="U12">_xll.FDSZ($R12,"FG_PRICE(0)")</f>
        <v>386.42721999999998</v>
      </c>
      <c r="V12" s="7" cm="1">
        <f t="array" ref="V12">_xll.FDSZ($R12,"FG_PRICE(0)")</f>
        <v>386.42721999999998</v>
      </c>
    </row>
    <row r="13" spans="1:22" x14ac:dyDescent="0.35">
      <c r="A13" t="s">
        <v>174</v>
      </c>
      <c r="B13" t="str" cm="1">
        <f t="array" ref="B13">_xll.FDS(C13,"FG_COMPANY_NAME")</f>
        <v>SPDR S&amp;P 500 ETF Trust</v>
      </c>
      <c r="C13" t="s">
        <v>1</v>
      </c>
      <c r="D13" t="s">
        <v>726</v>
      </c>
      <c r="E13" s="3" t="s">
        <v>1</v>
      </c>
      <c r="F13" s="9">
        <f>HLOOKUP(E13,'Monthly Returns'!$A$1:$AE$136,134,FALSE)</f>
        <v>0.754</v>
      </c>
      <c r="G13" s="152" cm="1">
        <f t="array" ref="G13">_xll.FDSZ(C13,"FG_PRICE(0)")</f>
        <v>512.29999999999995</v>
      </c>
      <c r="H13" s="152" cm="1">
        <f t="array" ref="H13">_xll.FDSZ(C13,"FG_PRICE_MAVG(0,,,,30)")</f>
        <v>497.29199999999997</v>
      </c>
      <c r="I13" s="152" cm="1">
        <f t="array" ref="I13">_xll.FDSZ(C13,"FG_PRICE_MAVG(0,,,,60)")</f>
        <v>484.27181999999999</v>
      </c>
      <c r="J13" s="152" cm="1">
        <f t="array" ref="J13">_xll.FDSZ(C13,"FG_PRICE_MAVG(0,,,,200)")</f>
        <v>452.20715000000001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852</v>
      </c>
      <c r="S13" s="7" cm="1">
        <f t="array" ref="S13">_xll.FDSZ($R13,"FG_PRICE(0)")</f>
        <v>386.42721999999998</v>
      </c>
      <c r="T13" s="7" cm="1">
        <f t="array" ref="T13">_xll.FDSZ($R13,"FG_PRICE(0)")</f>
        <v>386.42721999999998</v>
      </c>
      <c r="U13" s="7" cm="1">
        <f t="array" ref="U13">_xll.FDSZ($R13,"FG_PRICE(0)")</f>
        <v>386.42721999999998</v>
      </c>
      <c r="V13" s="7" cm="1">
        <f t="array" ref="V13">_xll.FDSZ($R13,"FG_PRICE(0)")</f>
        <v>386.42721999999998</v>
      </c>
    </row>
    <row r="14" spans="1:22" x14ac:dyDescent="0.35">
      <c r="A14" t="s">
        <v>876</v>
      </c>
      <c r="B14" t="str" cm="1">
        <f t="array" ref="B14">_xll.FDS(C14,"FG_COMPANY_NAME")</f>
        <v>iShares MSCI France ETF</v>
      </c>
      <c r="C14" t="s">
        <v>872</v>
      </c>
      <c r="D14" t="s">
        <v>627</v>
      </c>
      <c r="E14" t="s">
        <v>872</v>
      </c>
      <c r="F14" s="9">
        <f>HLOOKUP(E14,'Monthly Returns'!$A$1:$AE$136,134,FALSE)</f>
        <v>0.83599999999999997</v>
      </c>
      <c r="G14" s="152" cm="1">
        <f t="array" ref="G14">_xll.FDSZ(C14,"FG_PRICE(0)")</f>
        <v>40.369999999999997</v>
      </c>
      <c r="H14" s="152" cm="1">
        <f t="array" ref="H14">_xll.FDSZ(C14,"FG_PRICE_MAVG(0,,,,30)")</f>
        <v>39.146000000000001</v>
      </c>
      <c r="I14" s="152" cm="1">
        <f t="array" ref="I14">_xll.FDSZ(C14,"FG_PRICE_MAVG(0,,,,60)")</f>
        <v>38.837249999999997</v>
      </c>
      <c r="J14" s="152" cm="1">
        <f t="array" ref="J14">_xll.FDSZ(C14,"FG_PRICE_MAVG(0,,,,200)")</f>
        <v>37.583424000000001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852</v>
      </c>
      <c r="S14" s="7" cm="1">
        <f t="array" ref="S14">_xll.FDSZ($R14,"FG_PRICE(0)")</f>
        <v>386.42721999999998</v>
      </c>
      <c r="T14" s="7" cm="1">
        <f t="array" ref="T14">_xll.FDSZ($R14,"FG_PRICE(0)")</f>
        <v>386.42721999999998</v>
      </c>
      <c r="U14" s="7" cm="1">
        <f t="array" ref="U14">_xll.FDSZ($R14,"FG_PRICE(0)")</f>
        <v>386.42721999999998</v>
      </c>
      <c r="V14" s="7" cm="1">
        <f t="array" ref="V14">_xll.FDSZ($R14,"FG_PRICE(0)")</f>
        <v>386.42721999999998</v>
      </c>
    </row>
    <row r="15" spans="1:22" x14ac:dyDescent="0.35">
      <c r="A15" t="s">
        <v>877</v>
      </c>
      <c r="B15" t="str" cm="1">
        <f t="array" ref="B15">_xll.FDS(C15,"FG_COMPANY_NAME")</f>
        <v>iShares MSCI Netherlands ETF</v>
      </c>
      <c r="C15" t="s">
        <v>874</v>
      </c>
      <c r="D15" t="s">
        <v>679</v>
      </c>
      <c r="E15" t="s">
        <v>874</v>
      </c>
      <c r="F15" s="9">
        <f>HLOOKUP(E15,'Monthly Returns'!$A$1:$AE$136,134,FALSE)</f>
        <v>0.82699999999999996</v>
      </c>
      <c r="G15" s="152" cm="1">
        <f t="array" ref="G15">_xll.FDSZ(C15,"FG_PRICE(0)")</f>
        <v>48.44</v>
      </c>
      <c r="H15" s="152" cm="1">
        <f t="array" ref="H15">_xll.FDSZ(C15,"FG_PRICE_MAVG(0,,,,30)")</f>
        <v>46.608832999999997</v>
      </c>
      <c r="I15" s="152" cm="1">
        <f t="array" ref="I15">_xll.FDSZ(C15,"FG_PRICE_MAVG(0,,,,60)")</f>
        <v>45.166865999999999</v>
      </c>
      <c r="J15" s="152" cm="1">
        <f t="array" ref="J15">_xll.FDSZ(C15,"FG_PRICE_MAVG(0,,,,200)")</f>
        <v>42.34243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852</v>
      </c>
      <c r="S15" s="7" cm="1">
        <f t="array" ref="S15">_xll.FDSZ($R15,"FG_PRICE(0)")</f>
        <v>386.42721999999998</v>
      </c>
      <c r="T15" s="7" cm="1">
        <f t="array" ref="T15">_xll.FDSZ($R15,"FG_PRICE(0)")</f>
        <v>386.42721999999998</v>
      </c>
      <c r="U15" s="7" cm="1">
        <f t="array" ref="U15">_xll.FDSZ($R15,"FG_PRICE(0)")</f>
        <v>386.42721999999998</v>
      </c>
      <c r="V15" s="7" cm="1">
        <f t="array" ref="V15">_xll.FDSZ($R15,"FG_PRICE(0)")</f>
        <v>386.42721999999998</v>
      </c>
    </row>
    <row r="16" spans="1:22" x14ac:dyDescent="0.35">
      <c r="A16" t="s">
        <v>277</v>
      </c>
      <c r="B16" t="str" cm="1">
        <f t="array" ref="B16">_xll.FDS(C16,"FG_COMPANY_NAME")</f>
        <v>iShares MSCI Sweden ETF</v>
      </c>
      <c r="C16" t="s">
        <v>871</v>
      </c>
      <c r="D16" t="s">
        <v>711</v>
      </c>
      <c r="E16" t="s">
        <v>871</v>
      </c>
      <c r="F16" s="9">
        <f>HLOOKUP(E16,'Monthly Returns'!$A$1:$AE$136,134,FALSE)</f>
        <v>0.81100000000000005</v>
      </c>
      <c r="G16" s="152" cm="1">
        <f t="array" ref="G16">_xll.FDSZ(C16,"FG_PRICE(0)")</f>
        <v>39.520000000000003</v>
      </c>
      <c r="H16" s="152" cm="1">
        <f t="array" ref="H16">_xll.FDSZ(C16,"FG_PRICE_MAVG(0,,,,30)")</f>
        <v>38.075333000000001</v>
      </c>
      <c r="I16" s="152" cm="1">
        <f t="array" ref="I16">_xll.FDSZ(C16,"FG_PRICE_MAVG(0,,,,60)")</f>
        <v>38.148167000000001</v>
      </c>
      <c r="J16" s="152" cm="1">
        <f t="array" ref="J16">_xll.FDSZ(C16,"FG_PRICE_MAVG(0,,,,200)")</f>
        <v>35.342449999999999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852</v>
      </c>
      <c r="S16" s="7" cm="1">
        <f t="array" ref="S16">_xll.FDSZ($R16,"FG_PRICE(0)")</f>
        <v>386.42721999999998</v>
      </c>
      <c r="T16" s="7" cm="1">
        <f t="array" ref="T16">_xll.FDSZ($R16,"FG_PRICE(0)")</f>
        <v>386.42721999999998</v>
      </c>
      <c r="U16" s="7" cm="1">
        <f t="array" ref="U16">_xll.FDSZ($R16,"FG_PRICE(0)")</f>
        <v>386.42721999999998</v>
      </c>
      <c r="V16" s="7" cm="1">
        <f t="array" ref="V16">_xll.FDSZ($R16,"FG_PRICE(0)")</f>
        <v>386.42721999999998</v>
      </c>
    </row>
    <row r="17" spans="1:22" x14ac:dyDescent="0.35">
      <c r="A17" t="s">
        <v>875</v>
      </c>
      <c r="B17" t="str" cm="1">
        <f t="array" ref="B17">_xll.FDS(C17,"FG_COMPANY_NAME")</f>
        <v>iShares MSCI Italy ETF</v>
      </c>
      <c r="C17" t="s">
        <v>873</v>
      </c>
      <c r="D17" t="s">
        <v>647</v>
      </c>
      <c r="E17" t="s">
        <v>873</v>
      </c>
      <c r="F17" s="9">
        <f>HLOOKUP(E17,'Monthly Returns'!$A$1:$AE$136,134,FALSE)</f>
        <v>0.86</v>
      </c>
      <c r="G17" s="152" cm="1">
        <f t="array" ref="G17">_xll.FDSZ(C17,"FG_PRICE(0)")</f>
        <v>35.92</v>
      </c>
      <c r="H17" s="152" cm="1">
        <f t="array" ref="H17">_xll.FDSZ(C17,"FG_PRICE_MAVG(0,,,,30)")</f>
        <v>34.293999999999997</v>
      </c>
      <c r="I17" s="152" cm="1">
        <f t="array" ref="I17">_xll.FDSZ(C17,"FG_PRICE_MAVG(0,,,,60)")</f>
        <v>33.964333000000003</v>
      </c>
      <c r="J17" s="152" cm="1">
        <f t="array" ref="J17">_xll.FDSZ(C17,"FG_PRICE_MAVG(0,,,,200)")</f>
        <v>32.138500000000001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852</v>
      </c>
      <c r="S17" s="7" cm="1">
        <f t="array" ref="S17">_xll.FDSZ($R17,"FG_PRICE(0)")</f>
        <v>386.42721999999998</v>
      </c>
      <c r="T17" s="7" cm="1">
        <f t="array" ref="T17">_xll.FDSZ($R17,"FG_PRICE(0)")</f>
        <v>386.42721999999998</v>
      </c>
      <c r="U17" s="7" cm="1">
        <f t="array" ref="U17">_xll.FDSZ($R17,"FG_PRICE(0)")</f>
        <v>386.42721999999998</v>
      </c>
      <c r="V17" s="7" cm="1">
        <f t="array" ref="V17">_xll.FDSZ($R17,"FG_PRICE(0)")</f>
        <v>386.42721999999998</v>
      </c>
    </row>
    <row r="19" spans="1:22" x14ac:dyDescent="0.35">
      <c r="K19" s="1" t="s">
        <v>913</v>
      </c>
      <c r="L19" s="1">
        <f>SUM(L5:L17)</f>
        <v>11</v>
      </c>
      <c r="M19" s="1">
        <f t="shared" ref="M19:N19" si="4">SUM(M5:M17)</f>
        <v>11</v>
      </c>
      <c r="N19" s="1">
        <f t="shared" si="4"/>
        <v>12</v>
      </c>
    </row>
    <row r="20" spans="1:22" x14ac:dyDescent="0.35">
      <c r="K20" s="1" t="s">
        <v>90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92</v>
      </c>
      <c r="L22" s="193">
        <f>L19/L20</f>
        <v>0.84615384615384615</v>
      </c>
      <c r="M22" s="193">
        <f t="shared" ref="M22:N22" si="6">M19/M20</f>
        <v>0.84615384615384615</v>
      </c>
      <c r="N22" s="193">
        <f t="shared" si="6"/>
        <v>0.92307692307692313</v>
      </c>
    </row>
    <row r="23" spans="1:22" x14ac:dyDescent="0.35">
      <c r="A23" t="s">
        <v>872</v>
      </c>
      <c r="B23" t="s">
        <v>876</v>
      </c>
      <c r="C23" t="str" cm="1">
        <f t="array" ref="C23">_xll.FDS(A23,"FG_COMPANY_NAME")</f>
        <v>iShares MSCI France ETF</v>
      </c>
      <c r="D23" t="s">
        <v>872</v>
      </c>
    </row>
    <row r="24" spans="1:22" x14ac:dyDescent="0.35">
      <c r="A24" t="s">
        <v>874</v>
      </c>
      <c r="B24" t="s">
        <v>877</v>
      </c>
      <c r="C24" t="str" cm="1">
        <f t="array" ref="C24">_xll.FDS(A24,"FG_COMPANY_NAME")</f>
        <v>iShares MSCI Netherlands ETF</v>
      </c>
      <c r="D24" t="s">
        <v>874</v>
      </c>
    </row>
    <row r="25" spans="1:22" x14ac:dyDescent="0.35">
      <c r="A25" t="s">
        <v>871</v>
      </c>
      <c r="B25" t="s">
        <v>277</v>
      </c>
      <c r="C25" t="str" cm="1">
        <f t="array" ref="C25">_xll.FDS(A25,"FG_COMPANY_NAME")</f>
        <v>iShares MSCI Sweden ETF</v>
      </c>
      <c r="D25" t="s">
        <v>871</v>
      </c>
    </row>
    <row r="26" spans="1:22" x14ac:dyDescent="0.35">
      <c r="A26" t="s">
        <v>873</v>
      </c>
      <c r="B26" t="s">
        <v>875</v>
      </c>
      <c r="C26" t="str" cm="1">
        <f t="array" ref="C26">_xll.FDS(A26,"FG_COMPANY_NAME")</f>
        <v>iShares MSCI Italy ETF</v>
      </c>
      <c r="D26" t="s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U8" sqref="U8"/>
    </sheetView>
  </sheetViews>
  <sheetFormatPr defaultRowHeight="14.5" x14ac:dyDescent="0.35"/>
  <cols>
    <col min="1" max="2" width="17" customWidth="1"/>
    <col min="3" max="3" width="11.453125" customWidth="1"/>
    <col min="4" max="4" width="14.632812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6328125" bestFit="1" customWidth="1"/>
    <col min="10" max="10" width="15.453125" customWidth="1"/>
    <col min="16" max="16" width="22.90625" customWidth="1"/>
    <col min="17" max="17" width="32.6328125" customWidth="1"/>
    <col min="18" max="20" width="12.36328125" customWidth="1"/>
  </cols>
  <sheetData>
    <row r="2" spans="1:20" x14ac:dyDescent="0.35">
      <c r="B2" t="s">
        <v>791</v>
      </c>
      <c r="C2" t="s">
        <v>792</v>
      </c>
      <c r="D2" t="s">
        <v>793</v>
      </c>
      <c r="E2" t="s">
        <v>794</v>
      </c>
      <c r="F2" t="s">
        <v>795</v>
      </c>
      <c r="G2" t="s">
        <v>796</v>
      </c>
      <c r="H2" t="s">
        <v>797</v>
      </c>
      <c r="I2" t="s">
        <v>798</v>
      </c>
      <c r="J2" t="s">
        <v>799</v>
      </c>
      <c r="S2" t="s">
        <v>800</v>
      </c>
    </row>
    <row r="3" spans="1:20" x14ac:dyDescent="0.35">
      <c r="A3" t="s">
        <v>801</v>
      </c>
      <c r="B3" t="s">
        <v>802</v>
      </c>
      <c r="C3" cm="1">
        <f t="array" ref="C3">_xll.FDS($A3,"FG_PRICE(0)")</f>
        <v>116.94</v>
      </c>
      <c r="D3" cm="1">
        <f t="array" ref="D3">_xll.FDS($A3,"FG_PRICE_MAVG(0,,,,30)")</f>
        <v>129.15299999999999</v>
      </c>
      <c r="E3" s="56" cm="1">
        <f t="array" ref="E3">_xll.FDS($A3,"FG_PRICE_CHANGE(0,-1AM)")</f>
        <v>-9.0880820959340696</v>
      </c>
      <c r="F3" s="56" cm="1">
        <f t="array" ref="F3">_xll.FDS($A3,"FG_PRICE_CHANGE(0,-3AM)")</f>
        <v>-10.363329756247101</v>
      </c>
      <c r="G3" s="56" cm="1">
        <f t="array" ref="G3">_xll.FDS($A3,"FG_PRICE_CHANGE(0,-6AM)")</f>
        <v>-1.0576190879092999</v>
      </c>
      <c r="H3" s="56" cm="1">
        <f t="array" ref="H3">_xll.FDS($A3,"FG_PRICE_CHANGE(0,-1AY)")</f>
        <v>-7.6595072646873001</v>
      </c>
      <c r="I3" s="56" cm="1">
        <f t="array" ref="I3">_xll.FDS($A3,"FG_PRICE(0)/MAX(FG_PRICE(0,-1AY))")</f>
        <v>0.81118201997780204</v>
      </c>
      <c r="J3" cm="1">
        <f t="array" ref="J3">_xll.FDS($A3,"MAX(FG_PRICE(0,-5AY))")</f>
        <v>219.77</v>
      </c>
      <c r="P3" t="s">
        <v>434</v>
      </c>
      <c r="Q3" t="s">
        <v>436</v>
      </c>
      <c r="R3" t="s">
        <v>434</v>
      </c>
      <c r="S3">
        <f>IF(E3&lt;$C$19, 1, IF(E3&gt;$C$20,-1,0))</f>
        <v>1</v>
      </c>
      <c r="T3">
        <f>S3</f>
        <v>1</v>
      </c>
    </row>
    <row r="4" spans="1:20" x14ac:dyDescent="0.35">
      <c r="A4" t="s">
        <v>803</v>
      </c>
      <c r="B4" t="s">
        <v>804</v>
      </c>
      <c r="C4" cm="1">
        <f t="array" ref="C4">_xll.FDS($A4,"FG_PRICE(0)")</f>
        <v>3.8519999999999999</v>
      </c>
      <c r="D4" cm="1">
        <f t="array" ref="D4">_xll.FDS($A4,"FG_PRICE_MAVG(0,,,,30)")</f>
        <v>3.8158165999999998</v>
      </c>
      <c r="E4" s="56" cm="1">
        <f t="array" ref="E4">_xll.FDS($A4,"FG_PRICE_CHANGE(0,-1AM)")</f>
        <v>0.79811592306686696</v>
      </c>
      <c r="F4" s="56" cm="1">
        <f t="array" ref="F4">_xll.FDS($A4,"FG_PRICE_CHANGE(0,-3AM)")</f>
        <v>0.82449941107185498</v>
      </c>
      <c r="G4" s="56" cm="1">
        <f t="array" ref="G4">_xll.FDS($A4,"FG_PRICE_CHANGE(0,-6AM)")</f>
        <v>1.03606557377049</v>
      </c>
      <c r="H4" s="56" cm="1">
        <f t="array" ref="H4">_xll.FDS($A4,"FG_PRICE_CHANGE(0,-1AY)")</f>
        <v>-5.5419323197645998</v>
      </c>
      <c r="I4" s="56" cm="1">
        <f t="array" ref="I4">_xll.FDS($A4,"FG_PRICE(0)/MAX(FG_PRICE(0,-1AY))")</f>
        <v>0.92908827785817605</v>
      </c>
      <c r="J4" cm="1">
        <f t="array" ref="J4">_xll.FDS($A4,"MAX(FG_PRICE(0,-5AY))")</f>
        <v>4.9290000000000003</v>
      </c>
      <c r="P4" t="s">
        <v>27</v>
      </c>
      <c r="Q4" t="s">
        <v>437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805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56" cm="1">
        <f t="array" ref="E5">_xll.FDS($A5,"FG_PRICE_CHANGE(0,-1AM)")</f>
        <v>0</v>
      </c>
      <c r="F5" s="56" cm="1">
        <f t="array" ref="F5">_xll.FDS($A5,"FG_PRICE_CHANGE(0,-3AM)")</f>
        <v>0</v>
      </c>
      <c r="G5" s="56" cm="1">
        <f t="array" ref="G5">_xll.FDS($A5,"FG_PRICE_CHANGE(0,-6AM)")</f>
        <v>-4.7587354409317797</v>
      </c>
      <c r="H5" s="56" cm="1">
        <f t="array" ref="H5">_xll.FDS($A5,"FG_PRICE_CHANGE(0,-1AY)")</f>
        <v>-1.57056058695404</v>
      </c>
      <c r="I5" s="56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438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806</v>
      </c>
      <c r="B6" t="s">
        <v>807</v>
      </c>
      <c r="C6" cm="1">
        <f t="array" ref="C6">_xll.FDS($A6,"FG_PRICE(0)")</f>
        <v>5.6349999999999998</v>
      </c>
      <c r="D6" cm="1">
        <f t="array" ref="D6">_xll.FDS($A6,"FG_PRICE_MAVG(0,,,,30)")</f>
        <v>5.8834166999999997</v>
      </c>
      <c r="E6" s="56" cm="1">
        <f t="array" ref="E6">_xll.FDS($A6,"FG_PRICE_CHANGE(0,-1AM)")</f>
        <v>-6.0441850771154604</v>
      </c>
      <c r="F6" s="56" cm="1">
        <f t="array" ref="F6">_xll.FDS($A6,"FG_PRICE_CHANGE(0,-3AM)")</f>
        <v>-5.4133445237096103</v>
      </c>
      <c r="G6" s="56" cm="1">
        <f t="array" ref="G6">_xll.FDS($A6,"FG_PRICE_CHANGE(0,-6AM)")</f>
        <v>-0.70484581497797205</v>
      </c>
      <c r="H6" s="56" cm="1">
        <f t="array" ref="H6">_xll.FDS($A6,"FG_PRICE_CHANGE(0,-1AY)")</f>
        <v>-19.008264462809901</v>
      </c>
      <c r="I6" s="56" cm="1">
        <f t="array" ref="I6">_xll.FDS($A6,"FG_PRICE(0)/MAX(FG_PRICE(0,-1AY))")</f>
        <v>0.74120355146333405</v>
      </c>
      <c r="J6" cm="1">
        <f t="array" ref="J6">_xll.FDS($A6,"MAX(FG_PRICE(0,-5AY))")</f>
        <v>14.2525</v>
      </c>
      <c r="P6" t="s">
        <v>30</v>
      </c>
      <c r="Q6" t="s">
        <v>439</v>
      </c>
      <c r="R6" t="s">
        <v>30</v>
      </c>
    </row>
    <row r="7" spans="1:20" x14ac:dyDescent="0.35">
      <c r="A7" t="s">
        <v>808</v>
      </c>
      <c r="B7" t="s">
        <v>809</v>
      </c>
      <c r="C7" cm="1">
        <f t="array" ref="C7">_xll.FDS($A7,"FG_PRICE(0)")</f>
        <v>4017</v>
      </c>
      <c r="D7" cm="1">
        <f t="array" ref="D7">_xll.FDS($A7,"FG_PRICE_MAVG(0,,,,30)")</f>
        <v>3942.3332999999998</v>
      </c>
      <c r="E7" s="56" cm="1">
        <f t="array" ref="E7">_xll.FDS($A7,"FG_PRICE_CHANGE(0,-1AM)")</f>
        <v>6.0454065469905096</v>
      </c>
      <c r="F7" s="56" cm="1">
        <f t="array" ref="F7">_xll.FDS($A7,"FG_PRICE_CHANGE(0,-3AM)")</f>
        <v>9.2169657422512206</v>
      </c>
      <c r="G7" s="56" cm="1">
        <f t="array" ref="G7">_xll.FDS($A7,"FG_PRICE_CHANGE(0,-6AM)")</f>
        <v>2.7365728900255801</v>
      </c>
      <c r="H7" s="56" cm="1">
        <f t="array" ref="H7">_xll.FDS($A7,"FG_PRICE_CHANGE(0,-1AY)")</f>
        <v>-6.9708198239925903</v>
      </c>
      <c r="I7" s="56" cm="1">
        <f t="array" ref="I7">_xll.FDS($A7,"FG_PRICE(0)/MAX(FG_PRICE(0,-1AY))")</f>
        <v>0.92835682921192497</v>
      </c>
      <c r="J7" cm="1">
        <f t="array" ref="J7">_xll.FDS($A7,"MAX(FG_PRICE(0,-5AY))")</f>
        <v>8163</v>
      </c>
      <c r="P7" t="s">
        <v>23</v>
      </c>
      <c r="Q7" t="s">
        <v>440</v>
      </c>
      <c r="R7" t="s">
        <v>23</v>
      </c>
    </row>
    <row r="8" spans="1:20" x14ac:dyDescent="0.35">
      <c r="A8" t="s">
        <v>810</v>
      </c>
      <c r="B8" t="s">
        <v>811</v>
      </c>
      <c r="C8" cm="1">
        <f t="array" ref="C8">_xll.FDS($A8,"FG_PRICE(0)")</f>
        <v>894</v>
      </c>
      <c r="D8" cm="1">
        <f t="array" ref="D8">_xll.FDS($A8,"FG_PRICE_MAVG(0,,,,30)")</f>
        <v>902.46669999999995</v>
      </c>
      <c r="E8" s="56" cm="1">
        <f t="array" ref="E8">_xll.FDS($A8,"FG_PRICE_CHANGE(0,-1AM)")</f>
        <v>-1.75824175824176</v>
      </c>
      <c r="F8" s="56" cm="1">
        <f t="array" ref="F8">_xll.FDS($A8,"FG_PRICE_CHANGE(0,-3AM)")</f>
        <v>-4.3850267379679098</v>
      </c>
      <c r="G8" s="56" cm="1">
        <f t="array" ref="G8">_xll.FDS($A8,"FG_PRICE_CHANGE(0,-6AM)")</f>
        <v>-9.4224924012158109</v>
      </c>
      <c r="H8" s="56" cm="1">
        <f t="array" ref="H8">_xll.FDS($A8,"FG_PRICE_CHANGE(0,-1AY)")</f>
        <v>-9.2385786802030498</v>
      </c>
      <c r="I8" s="56" cm="1">
        <f t="array" ref="I8">_xll.FDS($A8,"FG_PRICE(0)/MAX(FG_PRICE(0,-1AY))")</f>
        <v>0.78766519823788494</v>
      </c>
      <c r="J8" cm="1">
        <f t="array" ref="J8">_xll.FDS($A8,"MAX(FG_PRICE(0,-5AY))")</f>
        <v>1272.5899999999999</v>
      </c>
      <c r="P8" t="s">
        <v>29</v>
      </c>
      <c r="Q8" t="s">
        <v>441</v>
      </c>
      <c r="R8" t="s">
        <v>29</v>
      </c>
    </row>
    <row r="9" spans="1:20" x14ac:dyDescent="0.35">
      <c r="A9" t="s">
        <v>812</v>
      </c>
      <c r="B9" t="s">
        <v>813</v>
      </c>
      <c r="C9" cm="1">
        <f t="array" ref="C9">_xll.FDS($A9,"FG_PRICE(0)")</f>
        <v>17575</v>
      </c>
      <c r="D9" cm="1">
        <f t="array" ref="D9">_xll.FDS($A9,"FG_PRICE_MAVG(0,,,,30)")</f>
        <v>16349</v>
      </c>
      <c r="E9" s="56" cm="1">
        <f t="array" ref="E9">_xll.FDS($A9,"FG_PRICE_CHANGE(0,-1AM)")</f>
        <v>8.9922480620155092</v>
      </c>
      <c r="F9" s="56" cm="1">
        <f t="array" ref="F9">_xll.FDS($A9,"FG_PRICE_CHANGE(0,-3AM)")</f>
        <v>7.4923547400611596</v>
      </c>
      <c r="G9" s="56" cm="1">
        <f t="array" ref="G9">_xll.FDS($A9,"FG_PRICE_CHANGE(0,-6AM)")</f>
        <v>-14.1636141636142</v>
      </c>
      <c r="H9" s="56" cm="1">
        <f t="array" ref="H9">_xll.FDS($A9,"FG_PRICE_CHANGE(0,-1AY)")</f>
        <v>-27.986068428600699</v>
      </c>
      <c r="I9" s="56" cm="1">
        <f t="array" ref="I9">_xll.FDS($A9,"FG_PRICE(0)/MAX(FG_PRICE(0,-1AY))")</f>
        <v>0.68813625685199697</v>
      </c>
      <c r="J9" cm="1">
        <f t="array" ref="J9">_xll.FDS($A9,"MAX(FG_PRICE(0,-5AY))")</f>
        <v>48241</v>
      </c>
      <c r="P9" t="s">
        <v>33</v>
      </c>
      <c r="Q9" t="s">
        <v>442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814</v>
      </c>
      <c r="B10" t="s">
        <v>815</v>
      </c>
      <c r="C10" cm="1">
        <f t="array" ref="C10">_xll.FDS($A10,"FG_PRICE(0)")</f>
        <v>960</v>
      </c>
      <c r="D10" cm="1">
        <f t="array" ref="D10">_xll.FDS($A10,"FG_PRICE_MAVG(0,,,,30)")</f>
        <v>953.93335000000002</v>
      </c>
      <c r="E10" s="56" cm="1">
        <f t="array" ref="E10">_xll.FDS($A10,"FG_PRICE_CHANGE(0,-1AM)")</f>
        <v>-0.82644628099173301</v>
      </c>
      <c r="F10" s="56" cm="1">
        <f t="array" ref="F10">_xll.FDS($A10,"FG_PRICE_CHANGE(0,-3AM)")</f>
        <v>-1.5384615384615301</v>
      </c>
      <c r="G10" s="56" cm="1">
        <f t="array" ref="G10">_xll.FDS($A10,"FG_PRICE_CHANGE(0,-6AM)")</f>
        <v>-22.580645161290299</v>
      </c>
      <c r="H10" s="56" cm="1">
        <f t="array" ref="H10">_xll.FDS($A10,"FG_PRICE_CHANGE(0,-1AY)")</f>
        <v>-34.6938775510204</v>
      </c>
      <c r="I10" s="56" cm="1">
        <f t="array" ref="I10">_xll.FDS($A10,"FG_PRICE(0)/MAX(FG_PRICE(0,-1AY))")</f>
        <v>0.58536585365853699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816</v>
      </c>
      <c r="C11" cm="1">
        <f t="array" ref="C11">_xll.FDS($A11,"FG_PRICE(0)")</f>
        <v>593</v>
      </c>
      <c r="D11" cm="1">
        <f t="array" ref="D11">_xll.FDS($A11,"FG_PRICE_MAVG(0,,,,30)")</f>
        <v>646.01666</v>
      </c>
      <c r="E11" s="56" cm="1">
        <f t="array" ref="E11">_xll.FDS($A11,"FG_PRICE_CHANGE(0,-1AM)")</f>
        <v>-10.246708036930499</v>
      </c>
      <c r="F11" s="56" cm="1">
        <f t="array" ref="F11">_xll.FDS($A11,"FG_PRICE_CHANGE(0,-3AM)")</f>
        <v>-16.420014094432702</v>
      </c>
      <c r="G11" s="56" cm="1">
        <f t="array" ref="G11">_xll.FDS($A11,"FG_PRICE_CHANGE(0,-6AM)")</f>
        <v>-18.543956043956001</v>
      </c>
      <c r="H11" s="56" cm="1">
        <f t="array" ref="H11">_xll.FDS($A11,"FG_PRICE_CHANGE(0,-1AY)")</f>
        <v>0.78178110129163403</v>
      </c>
      <c r="I11" s="56" cm="1">
        <f t="array" ref="I11">_xll.FDS($A11,"FG_PRICE(0)/MAX(FG_PRICE(0,-1AY))")</f>
        <v>0.77678805344511404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817</v>
      </c>
      <c r="B12" t="s">
        <v>818</v>
      </c>
      <c r="C12" cm="1">
        <f t="array" ref="C12">_xll.FDS($A12,"FG_PRICE(0)")</f>
        <v>0.96913903999999995</v>
      </c>
      <c r="D12" cm="1">
        <f t="array" ref="D12">_xll.FDS($A12,"FG_PRICE_MAVG(0,,,,30)")</f>
        <v>0.97211179999999997</v>
      </c>
      <c r="E12" s="56" cm="1">
        <f t="array" ref="E12">_xll.FDS($A12,"FG_PRICE_CHANGE(0,-1AM)")</f>
        <v>-0.407332092765544</v>
      </c>
      <c r="F12" s="56" cm="1">
        <f t="array" ref="F12">_xll.FDS($A12,"FG_PRICE_CHANGE(0,-3AM)")</f>
        <v>-3.3984956050627799</v>
      </c>
      <c r="G12" s="56" cm="1">
        <f t="array" ref="G12">_xll.FDS($A12,"FG_PRICE_CHANGE(0,-6AM)")</f>
        <v>1.0709838886347101</v>
      </c>
      <c r="H12" s="56" cm="1">
        <f t="array" ref="H12">_xll.FDS($A12,"FG_PRICE_CHANGE(0,-1AY)")</f>
        <v>-20.100080696409702</v>
      </c>
      <c r="I12" s="56" cm="1">
        <f t="array" ref="I12">_xll.FDS($A12,"FG_PRICE(0)/MAX(FG_PRICE(0,-1AY))")</f>
        <v>0.79899919303590305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443</v>
      </c>
      <c r="R14" t="s">
        <v>22</v>
      </c>
    </row>
    <row r="15" spans="1:20" x14ac:dyDescent="0.35">
      <c r="P15" t="s">
        <v>28</v>
      </c>
      <c r="Q15" t="s">
        <v>444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445</v>
      </c>
      <c r="R18" t="s">
        <v>31</v>
      </c>
    </row>
    <row r="19" spans="2:20" x14ac:dyDescent="0.35">
      <c r="B19" t="s">
        <v>820</v>
      </c>
      <c r="C19" s="62">
        <v>-5</v>
      </c>
      <c r="P19" s="1" t="s">
        <v>750</v>
      </c>
      <c r="Q19" s="1" t="s">
        <v>751</v>
      </c>
      <c r="R19" s="1" t="s">
        <v>750</v>
      </c>
    </row>
    <row r="20" spans="2:20" x14ac:dyDescent="0.35">
      <c r="B20" t="s">
        <v>821</v>
      </c>
      <c r="C20" s="62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435</v>
      </c>
      <c r="Q24" t="s">
        <v>450</v>
      </c>
      <c r="R24" t="s">
        <v>435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122">_xll.FDS(B1,"JULIAN(FMA_DIV_YLD(LTMA,-10AY,0,AM,""PORTAGG"",""MEANR"").dates)")</f>
        <v>41702</v>
      </c>
      <c r="B2" s="3" cm="1">
        <f t="array" ref="B2:B122">_xll.FDS(B1,"FMA_PE(LTMA,-10AY,0,AM,""PORTAGG"",""MEANR"")")</f>
        <v>17.957372582104899</v>
      </c>
      <c r="C2" s="3" cm="1">
        <f t="array" ref="C2:C122">_xll.FDS(C1,"FMA_PE(LTMA,-10AY,0,AM,""PORTAGG"",""MEANR"")")</f>
        <v>15.3246156768242</v>
      </c>
      <c r="D2" s="3" cm="1">
        <f t="array" ref="D2:D122">_xll.FDS(D1,"FMA_PE(LTMA,-10AY,0,AM,""PORTAGG"",""MEANR"")")</f>
        <v>16.5561814206342</v>
      </c>
      <c r="E2" s="3" cm="1">
        <f t="array" ref="E2:E122">_xll.FDS(E1,"FMA_PE(LTMA,-10AY,0,AM,""PORTAGG"",""MEANR"")")</f>
        <v>14.877929508675001</v>
      </c>
      <c r="F2" s="3" cm="1">
        <f t="array" ref="F2:F122">_xll.FDS(F1,"FMA_PE(LTMA,-10AY,0,AM,""PORTAGG"",""MEANR"")")</f>
        <v>15.7615597836134</v>
      </c>
      <c r="G2" s="3" cm="1">
        <f t="array" ref="G2:G122">_xll.FDS(G1,"FMA_PE(LTMA,-10AY,0,AM,""PORTAGG"",""MEANR"")")</f>
        <v>17.136406999129299</v>
      </c>
      <c r="H2" s="3" cm="1">
        <f t="array" ref="H2:H122">_xll.FDS(H1,"FMA_PE(LTMA,-10AY,0,AM,""PORTAGG"",""MEANR"")")</f>
        <v>14.4228389635333</v>
      </c>
      <c r="I2" s="3" cm="1">
        <f t="array" ref="I2:I122">_xll.FDS(I1,"FMA_PE(LTMA,-10AY,0,AM,""PORTAGG"",""MEANR"")")</f>
        <v>19.270901163038801</v>
      </c>
      <c r="J2" s="3" cm="1">
        <f t="array" ref="J2:J122">_xll.FDS(J1,"FMA_PE(LTMA,-10AY,0,AM,""PORTAGG"",""MEANR"")")</f>
        <v>16.395545389782601</v>
      </c>
      <c r="K2" s="3" cm="1">
        <f t="array" ref="K2:K122">_xll.FDS(K1,"FMA_PE(LTMA,-10AY,0,AM,""PORTAGG"",""MEANR"")")</f>
        <v>16.035888578949201</v>
      </c>
      <c r="L2" s="3" cm="1">
        <f t="array" ref="L2:L122">_xll.FDS(L1,"FMA_PE(LTMA,-10AY,0,AM,""PORTAGG"",""MEANR"")")</f>
        <v>17.405753930791299</v>
      </c>
      <c r="M2" s="3" cm="1">
        <f t="array" ref="M2:M122">_xll.FDS(M1,"FMA_PE(LTMA,-10AY,0,AM,""PORTAGG"",""MEANR"")")</f>
        <v>15.2263347073423</v>
      </c>
      <c r="N2" s="3" cm="1">
        <f t="array" ref="N2:N122">_xll.FDS(N1,"FMA_PE(LTMA,-10AY,0,AM,""PORTAGG"",""MEANR"")")</f>
        <v>17.4118138675369</v>
      </c>
    </row>
    <row r="3" spans="1:14" x14ac:dyDescent="0.35">
      <c r="A3" s="2">
        <v>41733</v>
      </c>
      <c r="B3" s="3">
        <v>17.953196085379499</v>
      </c>
      <c r="C3" s="3">
        <v>15.294188005753</v>
      </c>
      <c r="D3" s="3">
        <v>16.427785395628302</v>
      </c>
      <c r="E3" s="3">
        <v>14.7775784949163</v>
      </c>
      <c r="F3" s="3">
        <v>15.579669332252299</v>
      </c>
      <c r="G3" s="3">
        <v>17.106056205101901</v>
      </c>
      <c r="H3" s="3">
        <v>14.321614372864</v>
      </c>
      <c r="I3" s="3">
        <v>18.960458963043401</v>
      </c>
      <c r="J3" s="3">
        <v>16.296835942729299</v>
      </c>
      <c r="K3" s="3">
        <v>15.9383009228067</v>
      </c>
      <c r="L3" s="3">
        <v>17.205620078844099</v>
      </c>
      <c r="M3" s="3">
        <v>15.3798180919709</v>
      </c>
      <c r="N3" s="3">
        <v>17.4136802869271</v>
      </c>
    </row>
    <row r="4" spans="1:14" x14ac:dyDescent="0.35">
      <c r="A4" s="2">
        <v>41761</v>
      </c>
      <c r="B4" s="3">
        <v>18.108130290989902</v>
      </c>
      <c r="C4" s="3">
        <v>15.231693050812099</v>
      </c>
      <c r="D4" s="3">
        <v>16.374325786381</v>
      </c>
      <c r="E4" s="3">
        <v>14.6330415699914</v>
      </c>
      <c r="F4" s="3">
        <v>15.281219950093799</v>
      </c>
      <c r="G4" s="3">
        <v>17.125061312620801</v>
      </c>
      <c r="H4" s="3">
        <v>14.3893722187413</v>
      </c>
      <c r="I4" s="3">
        <v>18.7783283384728</v>
      </c>
      <c r="J4" s="3">
        <v>16.237206265538699</v>
      </c>
      <c r="K4" s="3">
        <v>15.817404028698</v>
      </c>
      <c r="L4" s="3">
        <v>16.883858252727801</v>
      </c>
      <c r="M4" s="3">
        <v>15.445727716658901</v>
      </c>
      <c r="N4" s="3">
        <v>17.1929215138145</v>
      </c>
    </row>
    <row r="5" spans="1:14" x14ac:dyDescent="0.35">
      <c r="A5" s="2">
        <v>41794</v>
      </c>
      <c r="B5" s="3">
        <v>17.9438382345737</v>
      </c>
      <c r="C5" s="3">
        <v>15.128892634459801</v>
      </c>
      <c r="D5" s="3">
        <v>16.1929648993416</v>
      </c>
      <c r="E5" s="3">
        <v>14.6863869111369</v>
      </c>
      <c r="F5" s="3">
        <v>15.3222103260505</v>
      </c>
      <c r="G5" s="3">
        <v>17.2102811360228</v>
      </c>
      <c r="H5" s="3">
        <v>14.3635178916582</v>
      </c>
      <c r="I5" s="3">
        <v>18.901796969651802</v>
      </c>
      <c r="J5" s="3">
        <v>16.300320402102901</v>
      </c>
      <c r="K5" s="3">
        <v>15.832703114269201</v>
      </c>
      <c r="L5" s="3">
        <v>16.823521385803701</v>
      </c>
      <c r="M5" s="3">
        <v>15.739347939926001</v>
      </c>
      <c r="N5" s="3">
        <v>17.167262290833001</v>
      </c>
    </row>
    <row r="6" spans="1:14" x14ac:dyDescent="0.35">
      <c r="A6" s="2">
        <v>41823</v>
      </c>
      <c r="B6" s="3">
        <v>18.0160973330219</v>
      </c>
      <c r="C6" s="3">
        <v>15.2291980254451</v>
      </c>
      <c r="D6" s="3">
        <v>16.3289123304105</v>
      </c>
      <c r="E6" s="3">
        <v>14.702121243614901</v>
      </c>
      <c r="F6" s="3">
        <v>15.3810728766151</v>
      </c>
      <c r="G6" s="3">
        <v>17.259770299676699</v>
      </c>
      <c r="H6" s="3">
        <v>14.4635631367125</v>
      </c>
      <c r="I6" s="3">
        <v>19.2148765330994</v>
      </c>
      <c r="J6" s="3">
        <v>16.4996505616026</v>
      </c>
      <c r="K6" s="3">
        <v>15.7590828940171</v>
      </c>
      <c r="L6" s="3">
        <v>16.9181601049196</v>
      </c>
      <c r="M6" s="3">
        <v>15.9551548654774</v>
      </c>
      <c r="N6" s="3">
        <v>17.640297195701802</v>
      </c>
    </row>
    <row r="7" spans="1:14" x14ac:dyDescent="0.35">
      <c r="A7" s="2">
        <v>41855</v>
      </c>
      <c r="B7" s="3">
        <v>17.877323610628601</v>
      </c>
      <c r="C7" s="3">
        <v>15.387841081114599</v>
      </c>
      <c r="D7" s="3">
        <v>16.2632147956074</v>
      </c>
      <c r="E7" s="3">
        <v>14.004567940695599</v>
      </c>
      <c r="F7" s="3">
        <v>15.170494544131</v>
      </c>
      <c r="G7" s="3">
        <v>16.986619835484198</v>
      </c>
      <c r="H7" s="3">
        <v>14.222954675865701</v>
      </c>
      <c r="I7" s="3">
        <v>18.9741970650072</v>
      </c>
      <c r="J7" s="3">
        <v>16.202902415607799</v>
      </c>
      <c r="K7" s="3">
        <v>15.1972458005869</v>
      </c>
      <c r="L7" s="3">
        <v>16.216911557230201</v>
      </c>
      <c r="M7" s="3">
        <v>15.835576050057499</v>
      </c>
      <c r="N7" s="3">
        <v>17.0263482508288</v>
      </c>
    </row>
    <row r="8" spans="1:14" x14ac:dyDescent="0.35">
      <c r="A8" s="2">
        <v>41886</v>
      </c>
      <c r="B8" s="3">
        <v>17.9058782108598</v>
      </c>
      <c r="C8" s="3">
        <v>15.4910241359794</v>
      </c>
      <c r="D8" s="3">
        <v>16.4672018357723</v>
      </c>
      <c r="E8" s="3">
        <v>14.3741780433513</v>
      </c>
      <c r="F8" s="3">
        <v>15.137734514436699</v>
      </c>
      <c r="G8" s="3">
        <v>17.503472935642701</v>
      </c>
      <c r="H8" s="3">
        <v>14.3259661532883</v>
      </c>
      <c r="I8" s="3">
        <v>19.411945706486598</v>
      </c>
      <c r="J8" s="3">
        <v>16.484999991237402</v>
      </c>
      <c r="K8" s="3">
        <v>15.635916992945299</v>
      </c>
      <c r="L8" s="3">
        <v>16.834057766948</v>
      </c>
      <c r="M8" s="3">
        <v>15.9221746553735</v>
      </c>
      <c r="N8" s="3">
        <v>18.139817191373101</v>
      </c>
    </row>
    <row r="9" spans="1:14" x14ac:dyDescent="0.35">
      <c r="A9" s="2">
        <v>41915</v>
      </c>
      <c r="B9" s="3">
        <v>17.872677820667899</v>
      </c>
      <c r="C9" s="3">
        <v>14.7038804114428</v>
      </c>
      <c r="D9" s="3">
        <v>15.823903717389699</v>
      </c>
      <c r="E9" s="3">
        <v>13.737405136245799</v>
      </c>
      <c r="F9" s="3">
        <v>15.069695567942</v>
      </c>
      <c r="G9" s="3">
        <v>17.0624895336422</v>
      </c>
      <c r="H9" s="3">
        <v>13.6852686540251</v>
      </c>
      <c r="I9" s="3">
        <v>19.252508713617701</v>
      </c>
      <c r="J9" s="3">
        <v>16.3629751097438</v>
      </c>
      <c r="K9" s="3">
        <v>15.0806966009467</v>
      </c>
      <c r="L9" s="3">
        <v>16.576628969631098</v>
      </c>
      <c r="M9" s="3">
        <v>15.7984597954535</v>
      </c>
      <c r="N9" s="3">
        <v>17.212070444637799</v>
      </c>
    </row>
    <row r="10" spans="1:14" x14ac:dyDescent="0.35">
      <c r="A10" s="2">
        <v>41947</v>
      </c>
      <c r="B10" s="3">
        <v>18.509148380531101</v>
      </c>
      <c r="C10" s="3">
        <v>15.2981878829492</v>
      </c>
      <c r="D10" s="3">
        <v>15.4701758949802</v>
      </c>
      <c r="E10" s="3">
        <v>13.5698955378554</v>
      </c>
      <c r="F10" s="3">
        <v>15.7358656321379</v>
      </c>
      <c r="G10" s="3">
        <v>17.154358166735399</v>
      </c>
      <c r="H10" s="3">
        <v>13.657158470656499</v>
      </c>
      <c r="I10" s="3">
        <v>19.753561668357701</v>
      </c>
      <c r="J10" s="3">
        <v>16.684921910294999</v>
      </c>
      <c r="K10" s="3">
        <v>14.653620154262001</v>
      </c>
      <c r="L10" s="3">
        <v>16.721061615281599</v>
      </c>
      <c r="M10" s="3">
        <v>16.500299658823401</v>
      </c>
      <c r="N10" s="3">
        <v>16.725589534334699</v>
      </c>
    </row>
    <row r="11" spans="1:14" x14ac:dyDescent="0.35">
      <c r="A11" s="2">
        <v>41977</v>
      </c>
      <c r="B11" s="3">
        <v>18.9501389366444</v>
      </c>
      <c r="C11" s="3">
        <v>14.623705300778401</v>
      </c>
      <c r="D11" s="3">
        <v>15.550300057249601</v>
      </c>
      <c r="E11" s="3">
        <v>14.4128656326982</v>
      </c>
      <c r="F11" s="3">
        <v>16.170512808374799</v>
      </c>
      <c r="G11" s="3">
        <v>17.618400863013399</v>
      </c>
      <c r="H11" s="3">
        <v>13.967138466389599</v>
      </c>
      <c r="I11" s="3">
        <v>20.434339110332601</v>
      </c>
      <c r="J11" s="3">
        <v>17.191135755462501</v>
      </c>
      <c r="K11" s="3">
        <v>15.303283709282899</v>
      </c>
      <c r="L11" s="3">
        <v>17.892454109324699</v>
      </c>
      <c r="M11" s="3">
        <v>17.230893150017</v>
      </c>
      <c r="N11" s="3">
        <v>18.648259477793701</v>
      </c>
    </row>
    <row r="12" spans="1:14" x14ac:dyDescent="0.35">
      <c r="A12" s="2">
        <v>42006</v>
      </c>
      <c r="B12" s="3">
        <v>19.2341389813833</v>
      </c>
      <c r="C12" s="3">
        <v>14.8442549418679</v>
      </c>
      <c r="D12" s="3">
        <v>15.707015656399999</v>
      </c>
      <c r="E12" s="3">
        <v>14.231859602878901</v>
      </c>
      <c r="F12" s="3">
        <v>15.885694894027001</v>
      </c>
      <c r="G12" s="3">
        <v>17.1892387956023</v>
      </c>
      <c r="H12" s="3">
        <v>13.6760489520509</v>
      </c>
      <c r="I12" s="3">
        <v>20.069196892801799</v>
      </c>
      <c r="J12" s="3">
        <v>17.2880609023596</v>
      </c>
      <c r="K12" s="3">
        <v>15.009791213125499</v>
      </c>
      <c r="L12" s="3">
        <v>17.529095243753101</v>
      </c>
      <c r="M12" s="3">
        <v>17.561130428326699</v>
      </c>
      <c r="N12" s="3">
        <v>18.346663817029398</v>
      </c>
    </row>
    <row r="13" spans="1:14" x14ac:dyDescent="0.35">
      <c r="A13" s="2">
        <v>42039</v>
      </c>
      <c r="B13" s="3">
        <v>20.0151700555164</v>
      </c>
      <c r="C13" s="3">
        <v>15.713370957347699</v>
      </c>
      <c r="D13" s="3">
        <v>16.1719455372154</v>
      </c>
      <c r="E13" s="3">
        <v>15.7488294396175</v>
      </c>
      <c r="F13" s="3">
        <v>15.610818172755501</v>
      </c>
      <c r="G13" s="3">
        <v>17.068815033498701</v>
      </c>
      <c r="H13" s="3">
        <v>14.449291240652</v>
      </c>
      <c r="I13" s="3">
        <v>19.740834485461701</v>
      </c>
      <c r="J13" s="3">
        <v>17.0995495528243</v>
      </c>
      <c r="K13" s="3">
        <v>16.536158839755199</v>
      </c>
      <c r="L13" s="3">
        <v>18.7344712361256</v>
      </c>
      <c r="M13" s="3">
        <v>18.730659523669701</v>
      </c>
      <c r="N13" s="3">
        <v>24.2183373091815</v>
      </c>
    </row>
    <row r="14" spans="1:14" x14ac:dyDescent="0.35">
      <c r="A14" s="2">
        <v>42067</v>
      </c>
      <c r="B14" s="3">
        <v>20.5075127779875</v>
      </c>
      <c r="C14" s="3">
        <v>16.206964430523701</v>
      </c>
      <c r="D14" s="3">
        <v>17.0129997181938</v>
      </c>
      <c r="E14" s="3">
        <v>16.466104540685901</v>
      </c>
      <c r="F14" s="3">
        <v>16.899702562958801</v>
      </c>
      <c r="G14" s="3">
        <v>17.9632836391579</v>
      </c>
      <c r="H14" s="3">
        <v>15.1825389702884</v>
      </c>
      <c r="I14" s="3">
        <v>20.7570925544997</v>
      </c>
      <c r="J14" s="3">
        <v>17.579970827453501</v>
      </c>
      <c r="K14" s="3">
        <v>17.525983365885601</v>
      </c>
      <c r="L14" s="3">
        <v>20.095781271109601</v>
      </c>
      <c r="M14" s="3">
        <v>20.205884736424501</v>
      </c>
      <c r="N14" s="3">
        <v>44.843274398269401</v>
      </c>
    </row>
    <row r="15" spans="1:14" x14ac:dyDescent="0.35">
      <c r="A15" s="2">
        <v>42096</v>
      </c>
      <c r="B15" s="3">
        <v>20.270112697210699</v>
      </c>
      <c r="C15" s="3">
        <v>16.264467527338599</v>
      </c>
      <c r="D15" s="3">
        <v>17.095456503967</v>
      </c>
      <c r="E15" s="3">
        <v>16.5142576521012</v>
      </c>
      <c r="F15" s="3">
        <v>16.846137982127001</v>
      </c>
      <c r="G15" s="3">
        <v>18.028330397076001</v>
      </c>
      <c r="H15" s="3">
        <v>15.260198360748401</v>
      </c>
      <c r="I15" s="3">
        <v>20.457636356411999</v>
      </c>
      <c r="J15" s="3">
        <v>17.486201614717402</v>
      </c>
      <c r="K15" s="3">
        <v>17.570205694985201</v>
      </c>
      <c r="L15" s="3">
        <v>19.935824790479</v>
      </c>
      <c r="M15" s="3">
        <v>19.957723936774499</v>
      </c>
      <c r="N15" s="3">
        <v>42.280248173087699</v>
      </c>
    </row>
    <row r="16" spans="1:14" x14ac:dyDescent="0.35">
      <c r="A16" s="2">
        <v>42128</v>
      </c>
      <c r="B16" s="3">
        <v>20.059656737241902</v>
      </c>
      <c r="C16" s="3">
        <v>16.3503942993752</v>
      </c>
      <c r="D16" s="3">
        <v>17.3722715313449</v>
      </c>
      <c r="E16" s="3">
        <v>16.2530129504283</v>
      </c>
      <c r="F16" s="3">
        <v>16.874282906575001</v>
      </c>
      <c r="G16" s="3">
        <v>18.093218302737199</v>
      </c>
      <c r="H16" s="3">
        <v>15.5735600312179</v>
      </c>
      <c r="I16" s="3">
        <v>20.378524493119599</v>
      </c>
      <c r="J16" s="3">
        <v>17.567068883018599</v>
      </c>
      <c r="K16" s="3">
        <v>17.491382396168099</v>
      </c>
      <c r="L16" s="3">
        <v>19.628550220652301</v>
      </c>
      <c r="M16" s="3">
        <v>19.2326555199115</v>
      </c>
      <c r="N16" s="3">
        <v>39.356824531247902</v>
      </c>
    </row>
    <row r="17" spans="1:14" x14ac:dyDescent="0.35">
      <c r="A17" s="2">
        <v>42159</v>
      </c>
      <c r="B17" s="3">
        <v>20.027227599638302</v>
      </c>
      <c r="C17" s="3">
        <v>15.918615479362501</v>
      </c>
      <c r="D17" s="3">
        <v>17.236909321769701</v>
      </c>
      <c r="E17" s="3">
        <v>15.844581796504199</v>
      </c>
      <c r="F17" s="3">
        <v>17.1444175773998</v>
      </c>
      <c r="G17" s="3">
        <v>18.101501850645601</v>
      </c>
      <c r="H17" s="3">
        <v>15.6596009526017</v>
      </c>
      <c r="I17" s="3">
        <v>20.195556889235299</v>
      </c>
      <c r="J17" s="3">
        <v>17.4719082405555</v>
      </c>
      <c r="K17" s="3">
        <v>17.359290626453099</v>
      </c>
      <c r="L17" s="3">
        <v>19.324686649491401</v>
      </c>
      <c r="M17" s="3">
        <v>19.150692837615001</v>
      </c>
      <c r="N17" s="3">
        <v>36.349931929491497</v>
      </c>
    </row>
    <row r="18" spans="1:14" x14ac:dyDescent="0.35">
      <c r="A18" s="2">
        <v>42187</v>
      </c>
      <c r="B18" s="3">
        <v>19.8755888358466</v>
      </c>
      <c r="C18" s="3">
        <v>16.060629673591801</v>
      </c>
      <c r="D18" s="3">
        <v>17.084285553942699</v>
      </c>
      <c r="E18" s="3">
        <v>15.471700557444001</v>
      </c>
      <c r="F18" s="3">
        <v>16.830358136769402</v>
      </c>
      <c r="G18" s="3">
        <v>17.8155523923486</v>
      </c>
      <c r="H18" s="3">
        <v>15.5181994991463</v>
      </c>
      <c r="I18" s="3">
        <v>19.945281380103701</v>
      </c>
      <c r="J18" s="3">
        <v>17.388139830441599</v>
      </c>
      <c r="K18" s="3">
        <v>16.9947151139488</v>
      </c>
      <c r="L18" s="3">
        <v>18.9265659133696</v>
      </c>
      <c r="M18" s="3">
        <v>18.559482320071101</v>
      </c>
      <c r="N18" s="3">
        <v>33.483948253963</v>
      </c>
    </row>
    <row r="19" spans="1:14" x14ac:dyDescent="0.35">
      <c r="A19" s="2">
        <v>42220</v>
      </c>
      <c r="B19" s="3">
        <v>19.876420317649298</v>
      </c>
      <c r="C19" s="3">
        <v>16.209831336209501</v>
      </c>
      <c r="D19" s="3">
        <v>17.0369251442477</v>
      </c>
      <c r="E19" s="3">
        <v>15.5201783458508</v>
      </c>
      <c r="F19" s="3">
        <v>16.8289068810816</v>
      </c>
      <c r="G19" s="3">
        <v>18.268093479209298</v>
      </c>
      <c r="H19" s="3">
        <v>15.732632723499799</v>
      </c>
      <c r="I19" s="3">
        <v>20.365528965046099</v>
      </c>
      <c r="J19" s="3">
        <v>17.4804102529502</v>
      </c>
      <c r="K19" s="3">
        <v>17.235708337358801</v>
      </c>
      <c r="L19" s="3">
        <v>19.101481324005501</v>
      </c>
      <c r="M19" s="3">
        <v>18.423455501306101</v>
      </c>
      <c r="N19" s="3">
        <v>30.9211640184065</v>
      </c>
    </row>
    <row r="20" spans="1:14" x14ac:dyDescent="0.35">
      <c r="A20" s="2">
        <v>42251</v>
      </c>
      <c r="B20" s="3">
        <v>18.960416878998998</v>
      </c>
      <c r="C20" s="3">
        <v>15.0967343099177</v>
      </c>
      <c r="D20" s="3">
        <v>16.328975682907299</v>
      </c>
      <c r="E20" s="3">
        <v>14.191533718031399</v>
      </c>
      <c r="F20" s="3">
        <v>15.257443794033801</v>
      </c>
      <c r="G20" s="3">
        <v>17.169183261872099</v>
      </c>
      <c r="H20" s="3">
        <v>14.7873240569561</v>
      </c>
      <c r="I20" s="3">
        <v>19.164703830244701</v>
      </c>
      <c r="J20" s="3">
        <v>16.521673327667699</v>
      </c>
      <c r="K20" s="3">
        <v>15.8143877385292</v>
      </c>
      <c r="L20" s="3">
        <v>17.284342800923898</v>
      </c>
      <c r="M20" s="3">
        <v>17.170688106377501</v>
      </c>
      <c r="N20" s="3">
        <v>27.2539900020776</v>
      </c>
    </row>
    <row r="21" spans="1:14" x14ac:dyDescent="0.35">
      <c r="A21" s="2">
        <v>42279</v>
      </c>
      <c r="B21" s="3">
        <v>18.610096778714301</v>
      </c>
      <c r="C21" s="3">
        <v>15.12316260996</v>
      </c>
      <c r="D21" s="3">
        <v>16.379755799467599</v>
      </c>
      <c r="E21" s="3">
        <v>13.6947369017506</v>
      </c>
      <c r="F21" s="3">
        <v>15.056033931794399</v>
      </c>
      <c r="G21" s="3">
        <v>17.010568067186199</v>
      </c>
      <c r="H21" s="3">
        <v>15.108163670465199</v>
      </c>
      <c r="I21" s="3">
        <v>19.263553972015501</v>
      </c>
      <c r="J21" s="3">
        <v>16.649623432428101</v>
      </c>
      <c r="K21" s="3">
        <v>15.5019152118394</v>
      </c>
      <c r="L21" s="3">
        <v>16.641171054896098</v>
      </c>
      <c r="M21" s="3">
        <v>16.468132530313198</v>
      </c>
      <c r="N21" s="3">
        <v>24.845951245741301</v>
      </c>
    </row>
    <row r="22" spans="1:14" x14ac:dyDescent="0.35">
      <c r="A22" s="2">
        <v>42312</v>
      </c>
      <c r="B22" s="3">
        <v>19.693715579253801</v>
      </c>
      <c r="C22" s="3">
        <v>15.647124004256501</v>
      </c>
      <c r="D22" s="3">
        <v>16.7688649740271</v>
      </c>
      <c r="E22" s="3">
        <v>14.516801692985499</v>
      </c>
      <c r="F22" s="3">
        <v>15.724053523122899</v>
      </c>
      <c r="G22" s="3">
        <v>17.7759852895907</v>
      </c>
      <c r="H22" s="3">
        <v>15.992339361788201</v>
      </c>
      <c r="I22" s="3">
        <v>20.561137335886499</v>
      </c>
      <c r="J22" s="3">
        <v>17.592413735780902</v>
      </c>
      <c r="K22" s="3">
        <v>16.5025623679388</v>
      </c>
      <c r="L22" s="3">
        <v>17.5348300846867</v>
      </c>
      <c r="M22" s="3">
        <v>17.444666748898101</v>
      </c>
      <c r="N22" s="3">
        <v>23.062878838328501</v>
      </c>
    </row>
    <row r="23" spans="1:14" x14ac:dyDescent="0.35">
      <c r="A23" s="2">
        <v>42342</v>
      </c>
      <c r="B23" s="3">
        <v>19.565970804072499</v>
      </c>
      <c r="C23" s="3">
        <v>15.5206311202538</v>
      </c>
      <c r="D23" s="3">
        <v>16.577150937627099</v>
      </c>
      <c r="E23" s="3">
        <v>14.2539952798487</v>
      </c>
      <c r="F23" s="3">
        <v>16.030834578885599</v>
      </c>
      <c r="G23" s="3">
        <v>17.490270163684499</v>
      </c>
      <c r="H23" s="3">
        <v>15.703416970626501</v>
      </c>
      <c r="I23" s="3">
        <v>20.606448980712599</v>
      </c>
      <c r="J23" s="3">
        <v>17.494984232058801</v>
      </c>
      <c r="K23" s="3">
        <v>15.8426349844756</v>
      </c>
      <c r="L23" s="3">
        <v>17.515579687661301</v>
      </c>
      <c r="M23" s="3">
        <v>16.808565884435801</v>
      </c>
      <c r="N23" s="3">
        <v>20.6936266018261</v>
      </c>
    </row>
    <row r="24" spans="1:14" x14ac:dyDescent="0.35">
      <c r="A24" s="2">
        <v>42373</v>
      </c>
      <c r="B24" s="3">
        <v>19.842051952774401</v>
      </c>
      <c r="C24" s="3">
        <v>15.936529979108499</v>
      </c>
      <c r="D24" s="3">
        <v>15.6579007267959</v>
      </c>
      <c r="E24" s="3">
        <v>13.4391708993985</v>
      </c>
      <c r="F24" s="3">
        <v>15.329647011982299</v>
      </c>
      <c r="G24" s="3">
        <v>17.0028712522052</v>
      </c>
      <c r="H24" s="3">
        <v>15.284676095247701</v>
      </c>
      <c r="I24" s="3">
        <v>19.905071006360298</v>
      </c>
      <c r="J24" s="3">
        <v>16.874073156084499</v>
      </c>
      <c r="K24" s="3">
        <v>15.0428137283207</v>
      </c>
      <c r="L24" s="3">
        <v>16.4498228701346</v>
      </c>
      <c r="M24" s="3">
        <v>15.450058104012999</v>
      </c>
      <c r="N24" s="3">
        <v>17.639572017828499</v>
      </c>
    </row>
    <row r="25" spans="1:14" x14ac:dyDescent="0.35">
      <c r="A25" s="2">
        <v>42404</v>
      </c>
      <c r="B25" s="3">
        <v>19.0315333903199</v>
      </c>
      <c r="C25" s="3">
        <v>15.2788830878205</v>
      </c>
      <c r="D25" s="3">
        <v>15.5497195772734</v>
      </c>
      <c r="E25" s="3">
        <v>12.4680152645594</v>
      </c>
      <c r="F25" s="3">
        <v>14.2759044732099</v>
      </c>
      <c r="G25" s="3">
        <v>16.7287673022491</v>
      </c>
      <c r="H25" s="3">
        <v>14.9951856990591</v>
      </c>
      <c r="I25" s="3">
        <v>18.261936199192199</v>
      </c>
      <c r="J25" s="3">
        <v>16.2966838906097</v>
      </c>
      <c r="K25" s="3">
        <v>14.175965675904701</v>
      </c>
      <c r="L25" s="3">
        <v>15.8892948026478</v>
      </c>
      <c r="M25" s="3">
        <v>14.807627108827599</v>
      </c>
      <c r="N25" s="3">
        <v>14.450592525219101</v>
      </c>
    </row>
    <row r="26" spans="1:14" x14ac:dyDescent="0.35">
      <c r="A26" s="2">
        <v>42433</v>
      </c>
      <c r="B26" s="3">
        <v>19.330163946949298</v>
      </c>
      <c r="C26" s="3">
        <v>15.0670649567759</v>
      </c>
      <c r="D26" s="3">
        <v>15.806776648673001</v>
      </c>
      <c r="E26" s="3">
        <v>12.7186772140856</v>
      </c>
      <c r="F26" s="3">
        <v>13.9379006042755</v>
      </c>
      <c r="G26" s="3">
        <v>16.6344526418168</v>
      </c>
      <c r="H26" s="3">
        <v>15.5936516191535</v>
      </c>
      <c r="I26" s="3">
        <v>18.251666686771301</v>
      </c>
      <c r="J26" s="3">
        <v>16.188193427520002</v>
      </c>
      <c r="K26" s="3">
        <v>15.1988117677065</v>
      </c>
      <c r="L26" s="3">
        <v>16.4170373863784</v>
      </c>
      <c r="M26" s="3">
        <v>15.649399920353799</v>
      </c>
      <c r="N26" s="3">
        <v>15.4230131530954</v>
      </c>
    </row>
    <row r="27" spans="1:14" x14ac:dyDescent="0.35">
      <c r="A27" s="2">
        <v>42464</v>
      </c>
      <c r="B27" s="3">
        <v>19.3533326936641</v>
      </c>
      <c r="C27" s="3">
        <v>15.097191436869901</v>
      </c>
      <c r="D27" s="3">
        <v>15.976252021084701</v>
      </c>
      <c r="E27" s="3">
        <v>12.746533436784899</v>
      </c>
      <c r="F27" s="3">
        <v>13.7142439212548</v>
      </c>
      <c r="G27" s="3">
        <v>16.6263275456812</v>
      </c>
      <c r="H27" s="3">
        <v>15.760115127206699</v>
      </c>
      <c r="I27" s="3">
        <v>18.424510052226399</v>
      </c>
      <c r="J27" s="3">
        <v>16.445215307047398</v>
      </c>
      <c r="K27" s="3">
        <v>15.1071167204815</v>
      </c>
      <c r="L27" s="3">
        <v>16.3473649918568</v>
      </c>
      <c r="M27" s="3">
        <v>15.5552695103873</v>
      </c>
      <c r="N27" s="3">
        <v>15.1690932607388</v>
      </c>
    </row>
    <row r="28" spans="1:14" x14ac:dyDescent="0.35">
      <c r="A28" s="2">
        <v>42494</v>
      </c>
      <c r="B28" s="3">
        <v>19.4656168983397</v>
      </c>
      <c r="C28" s="3">
        <v>15.543142534506501</v>
      </c>
      <c r="D28" s="3">
        <v>16.301516958882001</v>
      </c>
      <c r="E28" s="3">
        <v>12.758359008786501</v>
      </c>
      <c r="F28" s="3">
        <v>13.6427150737928</v>
      </c>
      <c r="G28" s="3">
        <v>16.7108407562324</v>
      </c>
      <c r="H28" s="3">
        <v>15.7990387706362</v>
      </c>
      <c r="I28" s="3">
        <v>18.273746125296299</v>
      </c>
      <c r="J28" s="3">
        <v>16.565182572190999</v>
      </c>
      <c r="K28" s="3">
        <v>15.0809115659005</v>
      </c>
      <c r="L28" s="3">
        <v>16.114788182754101</v>
      </c>
      <c r="M28" s="3">
        <v>15.507465050001599</v>
      </c>
      <c r="N28" s="3">
        <v>15.0923711033051</v>
      </c>
    </row>
    <row r="29" spans="1:14" x14ac:dyDescent="0.35">
      <c r="A29" s="2">
        <v>42524</v>
      </c>
      <c r="B29" s="3">
        <v>19.816584877094598</v>
      </c>
      <c r="C29" s="3">
        <v>15.7232898649166</v>
      </c>
      <c r="D29" s="3">
        <v>16.7490838649762</v>
      </c>
      <c r="E29" s="3">
        <v>12.865397474548599</v>
      </c>
      <c r="F29" s="3">
        <v>14.0461427162594</v>
      </c>
      <c r="G29" s="3">
        <v>17.112112660667002</v>
      </c>
      <c r="H29" s="3">
        <v>15.9914968248398</v>
      </c>
      <c r="I29" s="3">
        <v>18.612662159573901</v>
      </c>
      <c r="J29" s="3">
        <v>16.775348219495299</v>
      </c>
      <c r="K29" s="3">
        <v>15.158762902613301</v>
      </c>
      <c r="L29" s="3">
        <v>16.276474067442798</v>
      </c>
      <c r="M29" s="3">
        <v>15.4832213384227</v>
      </c>
      <c r="N29" s="3">
        <v>14.945608473552801</v>
      </c>
    </row>
    <row r="30" spans="1:14" x14ac:dyDescent="0.35">
      <c r="A30" s="2">
        <v>42552</v>
      </c>
      <c r="B30" s="3">
        <v>19.7077987621199</v>
      </c>
      <c r="C30" s="3">
        <v>15.7835404267062</v>
      </c>
      <c r="D30" s="3">
        <v>16.793466531645301</v>
      </c>
      <c r="E30" s="3">
        <v>12.705984699086001</v>
      </c>
      <c r="F30" s="3">
        <v>13.7030448296098</v>
      </c>
      <c r="G30" s="3">
        <v>17.203716797535701</v>
      </c>
      <c r="H30" s="3">
        <v>16.3512579053777</v>
      </c>
      <c r="I30" s="3">
        <v>18.644045727668701</v>
      </c>
      <c r="J30" s="3">
        <v>16.9159239183927</v>
      </c>
      <c r="K30" s="3">
        <v>14.851521350003001</v>
      </c>
      <c r="L30" s="3">
        <v>15.8183783091024</v>
      </c>
      <c r="M30" s="3">
        <v>15.4538294040505</v>
      </c>
      <c r="N30" s="3">
        <v>14.425996843363199</v>
      </c>
    </row>
    <row r="31" spans="1:14" x14ac:dyDescent="0.35">
      <c r="A31" s="2">
        <v>42586</v>
      </c>
      <c r="B31" s="3">
        <v>20.476304330804801</v>
      </c>
      <c r="C31" s="3">
        <v>16.3289112045486</v>
      </c>
      <c r="D31" s="3">
        <v>17.2097209866306</v>
      </c>
      <c r="E31" s="3">
        <v>13.040980888138799</v>
      </c>
      <c r="F31" s="3">
        <v>13.8376662261681</v>
      </c>
      <c r="G31" s="3">
        <v>17.573550911832498</v>
      </c>
      <c r="H31" s="3">
        <v>16.6939965588228</v>
      </c>
      <c r="I31" s="3">
        <v>19.412035999545001</v>
      </c>
      <c r="J31" s="3">
        <v>17.368712866299798</v>
      </c>
      <c r="K31" s="3">
        <v>14.8466669722864</v>
      </c>
      <c r="L31" s="3">
        <v>15.959568566178501</v>
      </c>
      <c r="M31" s="3">
        <v>15.700000200356399</v>
      </c>
      <c r="N31" s="3">
        <v>14.500863008465601</v>
      </c>
    </row>
    <row r="32" spans="1:14" x14ac:dyDescent="0.35">
      <c r="A32" s="2">
        <v>42615</v>
      </c>
      <c r="B32" s="3">
        <v>20.963367602413001</v>
      </c>
      <c r="C32" s="3">
        <v>16.3823856602455</v>
      </c>
      <c r="D32" s="3">
        <v>17.6838143347528</v>
      </c>
      <c r="E32" s="3">
        <v>13.4928239289522</v>
      </c>
      <c r="F32" s="3">
        <v>14.381164911327</v>
      </c>
      <c r="G32" s="3">
        <v>17.997480192462302</v>
      </c>
      <c r="H32" s="3">
        <v>17.149282739420901</v>
      </c>
      <c r="I32" s="3">
        <v>19.605800662066599</v>
      </c>
      <c r="J32" s="3">
        <v>17.6159089870747</v>
      </c>
      <c r="K32" s="3">
        <v>15.1507258838969</v>
      </c>
      <c r="L32" s="3">
        <v>16.416986301033202</v>
      </c>
      <c r="M32" s="3">
        <v>16.2003736307799</v>
      </c>
      <c r="N32" s="3">
        <v>15.1038076396175</v>
      </c>
    </row>
    <row r="33" spans="1:14" x14ac:dyDescent="0.35">
      <c r="A33" s="2">
        <v>42647</v>
      </c>
      <c r="B33" s="3">
        <v>20.962838625225999</v>
      </c>
      <c r="C33" s="3">
        <v>16.8355205006416</v>
      </c>
      <c r="D33" s="3">
        <v>17.749803669430602</v>
      </c>
      <c r="E33" s="3">
        <v>13.7048395117176</v>
      </c>
      <c r="F33" s="3">
        <v>14.2740130702519</v>
      </c>
      <c r="G33" s="3">
        <v>18.130538636234299</v>
      </c>
      <c r="H33" s="3">
        <v>17.3296677766435</v>
      </c>
      <c r="I33" s="3">
        <v>19.946500807433502</v>
      </c>
      <c r="J33" s="3">
        <v>17.6604468683771</v>
      </c>
      <c r="K33" s="3">
        <v>15.005695514068901</v>
      </c>
      <c r="L33" s="3">
        <v>16.189072387100801</v>
      </c>
      <c r="M33" s="3">
        <v>16.606433066163</v>
      </c>
      <c r="N33" s="3">
        <v>14.5934601676255</v>
      </c>
    </row>
    <row r="34" spans="1:14" x14ac:dyDescent="0.35">
      <c r="A34" s="2">
        <v>42678</v>
      </c>
      <c r="B34" s="3">
        <v>19.476175382872999</v>
      </c>
      <c r="C34" s="3">
        <v>16.449703358597599</v>
      </c>
      <c r="D34" s="3">
        <v>17.970837064313599</v>
      </c>
      <c r="E34" s="3">
        <v>13.325628354474601</v>
      </c>
      <c r="F34" s="3">
        <v>14.347881767995</v>
      </c>
      <c r="G34" s="3">
        <v>17.241912086967499</v>
      </c>
      <c r="H34" s="3">
        <v>16.243146022489601</v>
      </c>
      <c r="I34" s="3">
        <v>19.247877803863201</v>
      </c>
      <c r="J34" s="3">
        <v>17.2918700891375</v>
      </c>
      <c r="K34" s="3">
        <v>14.5633468580625</v>
      </c>
      <c r="L34" s="3">
        <v>15.377786701034299</v>
      </c>
      <c r="M34" s="3">
        <v>16.520479815049299</v>
      </c>
      <c r="N34" s="3">
        <v>14.342818422267399</v>
      </c>
    </row>
    <row r="35" spans="1:14" x14ac:dyDescent="0.35">
      <c r="A35" s="2">
        <v>42706</v>
      </c>
      <c r="B35" s="3">
        <v>20.019952467457099</v>
      </c>
      <c r="C35" s="3">
        <v>17.0762607591871</v>
      </c>
      <c r="D35" s="3">
        <v>18.797750976536499</v>
      </c>
      <c r="E35" s="3">
        <v>13.5491630343979</v>
      </c>
      <c r="F35" s="3">
        <v>15.857984844771201</v>
      </c>
      <c r="G35" s="3">
        <v>17.330844736036301</v>
      </c>
      <c r="H35" s="3">
        <v>16.368469835686501</v>
      </c>
      <c r="I35" s="3">
        <v>19.626646221637799</v>
      </c>
      <c r="J35" s="3">
        <v>18.2194455870168</v>
      </c>
      <c r="K35" s="3">
        <v>14.867259728894799</v>
      </c>
      <c r="L35" s="3">
        <v>15.2558604741705</v>
      </c>
      <c r="M35" s="3">
        <v>17.300439509619501</v>
      </c>
      <c r="N35" s="3">
        <v>14.4867861339462</v>
      </c>
    </row>
    <row r="36" spans="1:14" x14ac:dyDescent="0.35">
      <c r="A36" s="2">
        <v>42739</v>
      </c>
      <c r="B36" s="3">
        <v>20.2433333891742</v>
      </c>
      <c r="C36" s="3">
        <v>17.940876973006102</v>
      </c>
      <c r="D36" s="3">
        <v>19.641747032865101</v>
      </c>
      <c r="E36" s="3">
        <v>14.915703331865</v>
      </c>
      <c r="F36" s="3">
        <v>16.7273383672959</v>
      </c>
      <c r="G36" s="3">
        <v>18.445841239283599</v>
      </c>
      <c r="H36" s="3">
        <v>17.2807209886432</v>
      </c>
      <c r="I36" s="3">
        <v>20.591310638802302</v>
      </c>
      <c r="J36" s="3">
        <v>19.053380573418099</v>
      </c>
      <c r="K36" s="3">
        <v>15.8679941802194</v>
      </c>
      <c r="L36" s="3">
        <v>16.4021809222975</v>
      </c>
      <c r="M36" s="3">
        <v>18.345961400334499</v>
      </c>
      <c r="N36" s="3">
        <v>28.041553075057301</v>
      </c>
    </row>
    <row r="37" spans="1:14" x14ac:dyDescent="0.35">
      <c r="A37" s="2">
        <v>42769</v>
      </c>
      <c r="B37" s="3">
        <v>20.5408386654425</v>
      </c>
      <c r="C37" s="3">
        <v>17.4936874239121</v>
      </c>
      <c r="D37" s="3">
        <v>19.652609400635601</v>
      </c>
      <c r="E37" s="3">
        <v>14.854522018650099</v>
      </c>
      <c r="F37" s="3">
        <v>16.149801285961502</v>
      </c>
      <c r="G37" s="3">
        <v>18.614309266236699</v>
      </c>
      <c r="H37" s="3">
        <v>17.173059394453201</v>
      </c>
      <c r="I37" s="3">
        <v>21.2572761468263</v>
      </c>
      <c r="J37" s="3">
        <v>19.047005828249301</v>
      </c>
      <c r="K37" s="3">
        <v>15.6304564442559</v>
      </c>
      <c r="L37" s="3">
        <v>16.169639708597899</v>
      </c>
      <c r="M37" s="3">
        <v>17.317713288185999</v>
      </c>
      <c r="N37" s="3">
        <v>20.4174498420508</v>
      </c>
    </row>
    <row r="38" spans="1:14" x14ac:dyDescent="0.35">
      <c r="A38" s="2">
        <v>42797</v>
      </c>
      <c r="B38" s="3">
        <v>19.813883577431898</v>
      </c>
      <c r="C38" s="3">
        <v>17.502128523886</v>
      </c>
      <c r="D38" s="3">
        <v>19.408432760869101</v>
      </c>
      <c r="E38" s="3">
        <v>15.0052215600377</v>
      </c>
      <c r="F38" s="3">
        <v>15.9673059796334</v>
      </c>
      <c r="G38" s="3">
        <v>19.6758440484471</v>
      </c>
      <c r="H38" s="3">
        <v>17.3620600606368</v>
      </c>
      <c r="I38" s="3">
        <v>21.721969833570299</v>
      </c>
      <c r="J38" s="3">
        <v>19.505996452940799</v>
      </c>
      <c r="K38" s="3">
        <v>15.6320599128845</v>
      </c>
      <c r="L38" s="3">
        <v>16.454638553325498</v>
      </c>
      <c r="M38" s="3">
        <v>17.4512606454946</v>
      </c>
      <c r="N38" s="3">
        <v>85.356461563519105</v>
      </c>
    </row>
    <row r="39" spans="1:14" x14ac:dyDescent="0.35">
      <c r="A39" s="2">
        <v>42829</v>
      </c>
      <c r="B39" s="3">
        <v>19.8144190932246</v>
      </c>
      <c r="C39" s="3">
        <v>17.352372215732501</v>
      </c>
      <c r="D39" s="3">
        <v>19.100142129976302</v>
      </c>
      <c r="E39" s="3">
        <v>14.954619085440299</v>
      </c>
      <c r="F39" s="3">
        <v>15.674716993182299</v>
      </c>
      <c r="G39" s="3">
        <v>19.454345632841601</v>
      </c>
      <c r="H39" s="3">
        <v>17.076425745943901</v>
      </c>
      <c r="I39" s="3">
        <v>21.653529109973601</v>
      </c>
      <c r="J39" s="3">
        <v>19.317063712276902</v>
      </c>
      <c r="K39" s="3">
        <v>15.6509322245355</v>
      </c>
      <c r="L39" s="3">
        <v>16.5017694481697</v>
      </c>
      <c r="M39" s="3">
        <v>17.547279516314699</v>
      </c>
      <c r="N39" s="3">
        <v>77.870542433568005</v>
      </c>
    </row>
    <row r="40" spans="1:14" x14ac:dyDescent="0.35">
      <c r="A40" s="2">
        <v>42859</v>
      </c>
      <c r="B40" s="3">
        <v>19.9320225867068</v>
      </c>
      <c r="C40" s="3">
        <v>17.2187550700021</v>
      </c>
      <c r="D40" s="3">
        <v>18.6826313037059</v>
      </c>
      <c r="E40" s="3">
        <v>14.9225134133883</v>
      </c>
      <c r="F40" s="3">
        <v>15.6297819494284</v>
      </c>
      <c r="G40" s="3">
        <v>19.533216512625899</v>
      </c>
      <c r="H40" s="3">
        <v>16.826208623660399</v>
      </c>
      <c r="I40" s="3">
        <v>21.783621959351802</v>
      </c>
      <c r="J40" s="3">
        <v>19.216452689207799</v>
      </c>
      <c r="K40" s="3">
        <v>15.861179977501999</v>
      </c>
      <c r="L40" s="3">
        <v>16.762977692846601</v>
      </c>
      <c r="M40" s="3">
        <v>17.682053378723602</v>
      </c>
      <c r="N40" s="3">
        <v>70.946032376912399</v>
      </c>
    </row>
    <row r="41" spans="1:14" x14ac:dyDescent="0.35">
      <c r="A41" s="2">
        <v>42888</v>
      </c>
      <c r="B41" s="3">
        <v>20.003494554571599</v>
      </c>
      <c r="C41" s="3">
        <v>16.921810799211901</v>
      </c>
      <c r="D41" s="3">
        <v>18.429527159460001</v>
      </c>
      <c r="E41" s="3">
        <v>14.8415014924809</v>
      </c>
      <c r="F41" s="3">
        <v>15.774348211501099</v>
      </c>
      <c r="G41" s="3">
        <v>19.626188078677899</v>
      </c>
      <c r="H41" s="3">
        <v>16.802054132181901</v>
      </c>
      <c r="I41" s="3">
        <v>22.1022740381737</v>
      </c>
      <c r="J41" s="3">
        <v>19.238310359635999</v>
      </c>
      <c r="K41" s="3">
        <v>15.827294319432999</v>
      </c>
      <c r="L41" s="3">
        <v>16.7707809086025</v>
      </c>
      <c r="M41" s="3">
        <v>18.152882914302701</v>
      </c>
      <c r="N41" s="3">
        <v>64.028562094599295</v>
      </c>
    </row>
    <row r="42" spans="1:14" x14ac:dyDescent="0.35">
      <c r="A42" s="2">
        <v>42919</v>
      </c>
      <c r="B42" s="3">
        <v>20.078004306107299</v>
      </c>
      <c r="C42" s="3">
        <v>16.718826319384501</v>
      </c>
      <c r="D42" s="3">
        <v>18.0241574110775</v>
      </c>
      <c r="E42" s="3">
        <v>14.5588854078196</v>
      </c>
      <c r="F42" s="3">
        <v>15.513769210478101</v>
      </c>
      <c r="G42" s="3">
        <v>19.4095821352218</v>
      </c>
      <c r="H42" s="3">
        <v>16.455012730799801</v>
      </c>
      <c r="I42" s="3">
        <v>21.539921838923199</v>
      </c>
      <c r="J42" s="3">
        <v>19.096139875721398</v>
      </c>
      <c r="K42" s="3">
        <v>15.6130143914712</v>
      </c>
      <c r="L42" s="3">
        <v>16.5334856240205</v>
      </c>
      <c r="M42" s="3">
        <v>17.6072549666568</v>
      </c>
      <c r="N42" s="3">
        <v>56.809207265115802</v>
      </c>
    </row>
    <row r="43" spans="1:14" x14ac:dyDescent="0.35">
      <c r="A43" s="2">
        <v>42951</v>
      </c>
      <c r="B43" s="3">
        <v>20.499315720976401</v>
      </c>
      <c r="C43" s="3">
        <v>16.7726012076477</v>
      </c>
      <c r="D43" s="3">
        <v>18.004535328454502</v>
      </c>
      <c r="E43" s="3">
        <v>14.384462145059601</v>
      </c>
      <c r="F43" s="3">
        <v>15.4156211265165</v>
      </c>
      <c r="G43" s="3">
        <v>19.469674832319999</v>
      </c>
      <c r="H43" s="3">
        <v>16.468691944279001</v>
      </c>
      <c r="I43" s="3">
        <v>22.085048652256098</v>
      </c>
      <c r="J43" s="3">
        <v>19.1759928307014</v>
      </c>
      <c r="K43" s="3">
        <v>15.6458437199166</v>
      </c>
      <c r="L43" s="3">
        <v>16.774660640371199</v>
      </c>
      <c r="M43" s="3">
        <v>17.073735810425301</v>
      </c>
      <c r="N43" s="3">
        <v>49.538256012372997</v>
      </c>
    </row>
    <row r="44" spans="1:14" x14ac:dyDescent="0.35">
      <c r="A44" s="2">
        <v>42979</v>
      </c>
      <c r="B44" s="3">
        <v>20.609137960041501</v>
      </c>
      <c r="C44" s="3">
        <v>16.621429923767</v>
      </c>
      <c r="D44" s="3">
        <v>17.527426507056902</v>
      </c>
      <c r="E44" s="3">
        <v>14.135047138466399</v>
      </c>
      <c r="F44" s="3">
        <v>14.971999226263399</v>
      </c>
      <c r="G44" s="3">
        <v>19.144466438426399</v>
      </c>
      <c r="H44" s="3">
        <v>16.103619870065</v>
      </c>
      <c r="I44" s="3">
        <v>22.3062549192523</v>
      </c>
      <c r="J44" s="3">
        <v>19.0917620071552</v>
      </c>
      <c r="K44" s="3">
        <v>15.528032370634</v>
      </c>
      <c r="L44" s="3">
        <v>16.601672298103399</v>
      </c>
      <c r="M44" s="3">
        <v>16.975588664667701</v>
      </c>
      <c r="N44" s="3">
        <v>42.932874403175397</v>
      </c>
    </row>
    <row r="45" spans="1:14" x14ac:dyDescent="0.35">
      <c r="A45" s="2">
        <v>43012</v>
      </c>
      <c r="B45" s="3">
        <v>20.6527194006466</v>
      </c>
      <c r="C45" s="3">
        <v>16.281312438197101</v>
      </c>
      <c r="D45" s="3">
        <v>17.690242658613101</v>
      </c>
      <c r="E45" s="3">
        <v>14.7434266607106</v>
      </c>
      <c r="F45" s="3">
        <v>15.089594206354301</v>
      </c>
      <c r="G45" s="3">
        <v>19.628030507309902</v>
      </c>
      <c r="H45" s="3">
        <v>15.871109634457699</v>
      </c>
      <c r="I45" s="3">
        <v>22.363092743029</v>
      </c>
      <c r="J45" s="3">
        <v>19.437309502112299</v>
      </c>
      <c r="K45" s="3">
        <v>15.9916048106414</v>
      </c>
      <c r="L45" s="3">
        <v>17.112553845868302</v>
      </c>
      <c r="M45" s="3">
        <v>17.854319953435802</v>
      </c>
      <c r="N45" s="3">
        <v>35.500666797059402</v>
      </c>
    </row>
    <row r="46" spans="1:14" x14ac:dyDescent="0.35">
      <c r="A46" s="2">
        <v>43042</v>
      </c>
      <c r="B46" s="3">
        <v>21.224425943874898</v>
      </c>
      <c r="C46" s="3">
        <v>16.7574925946574</v>
      </c>
      <c r="D46" s="3">
        <v>17.499644170045499</v>
      </c>
      <c r="E46" s="3">
        <v>15.484692573117099</v>
      </c>
      <c r="F46" s="3">
        <v>15.6429949377032</v>
      </c>
      <c r="G46" s="3">
        <v>20.4025119141339</v>
      </c>
      <c r="H46" s="3">
        <v>15.624330035030701</v>
      </c>
      <c r="I46" s="3">
        <v>22.922741628369302</v>
      </c>
      <c r="J46" s="3">
        <v>19.6418530820794</v>
      </c>
      <c r="K46" s="3">
        <v>16.355642955354501</v>
      </c>
      <c r="L46" s="3">
        <v>17.587829790568399</v>
      </c>
      <c r="M46" s="3">
        <v>18.554438201379099</v>
      </c>
      <c r="N46" s="3">
        <v>28.8236970843374</v>
      </c>
    </row>
    <row r="47" spans="1:14" x14ac:dyDescent="0.35">
      <c r="A47" s="2">
        <v>43073</v>
      </c>
      <c r="B47" s="3">
        <v>21.635607748045501</v>
      </c>
      <c r="C47" s="3">
        <v>16.619747827312299</v>
      </c>
      <c r="D47" s="3">
        <v>17.218501891430101</v>
      </c>
      <c r="E47" s="3">
        <v>15.380714612053</v>
      </c>
      <c r="F47" s="3">
        <v>16.009705215461299</v>
      </c>
      <c r="G47" s="3">
        <v>20.422749102522801</v>
      </c>
      <c r="H47" s="3">
        <v>15.115549395906299</v>
      </c>
      <c r="I47" s="3">
        <v>22.836898083103101</v>
      </c>
      <c r="J47" s="3">
        <v>19.9724142674525</v>
      </c>
      <c r="K47" s="3">
        <v>16.1607873199744</v>
      </c>
      <c r="L47" s="3">
        <v>17.100615585113601</v>
      </c>
      <c r="M47" s="3">
        <v>18.108418913450599</v>
      </c>
      <c r="N47" s="3">
        <v>21.7201860754476</v>
      </c>
    </row>
    <row r="48" spans="1:14" x14ac:dyDescent="0.35">
      <c r="A48" s="2">
        <v>43104</v>
      </c>
      <c r="B48" s="3">
        <v>22.477395915825099</v>
      </c>
      <c r="C48" s="3">
        <v>16.8120552642681</v>
      </c>
      <c r="D48" s="3">
        <v>17.439482475523601</v>
      </c>
      <c r="E48" s="3">
        <v>15.5347598394883</v>
      </c>
      <c r="F48" s="3">
        <v>16.774919602393801</v>
      </c>
      <c r="G48" s="3">
        <v>20.961873223253601</v>
      </c>
      <c r="H48" s="3">
        <v>15.543675967849101</v>
      </c>
      <c r="I48" s="3">
        <v>24.1540038512161</v>
      </c>
      <c r="J48" s="3">
        <v>20.596567785818799</v>
      </c>
      <c r="K48" s="3">
        <v>16.265697269469001</v>
      </c>
      <c r="L48" s="3">
        <v>17.4306698863031</v>
      </c>
      <c r="M48" s="3">
        <v>18.1977190468129</v>
      </c>
      <c r="N48" s="3">
        <v>15.424930335866501</v>
      </c>
    </row>
    <row r="49" spans="1:14" x14ac:dyDescent="0.35">
      <c r="A49" s="2">
        <v>43133</v>
      </c>
      <c r="B49" s="3">
        <v>22.462839133314201</v>
      </c>
      <c r="C49" s="3">
        <v>16.920882425996901</v>
      </c>
      <c r="D49" s="3">
        <v>16.3939027219064</v>
      </c>
      <c r="E49" s="3">
        <v>14.7787830038189</v>
      </c>
      <c r="F49" s="3">
        <v>16.446358399567899</v>
      </c>
      <c r="G49" s="3">
        <v>21.507578164466999</v>
      </c>
      <c r="H49" s="3">
        <v>15.0783485898368</v>
      </c>
      <c r="I49" s="3">
        <v>24.1449957666679</v>
      </c>
      <c r="J49" s="3">
        <v>20.422211009689601</v>
      </c>
      <c r="K49" s="3">
        <v>16.098504504713901</v>
      </c>
      <c r="L49" s="3">
        <v>17.280780092077801</v>
      </c>
      <c r="M49" s="3">
        <v>18.737164181478398</v>
      </c>
      <c r="N49" s="3">
        <v>15.4206696166956</v>
      </c>
    </row>
    <row r="50" spans="1:14" x14ac:dyDescent="0.35">
      <c r="A50" s="2">
        <v>43161</v>
      </c>
      <c r="B50" s="3">
        <v>22.5797765761439</v>
      </c>
      <c r="C50" s="3">
        <v>16.509358407469701</v>
      </c>
      <c r="D50" s="3">
        <v>15.8114070627831</v>
      </c>
      <c r="E50" s="3">
        <v>14.1641193569388</v>
      </c>
      <c r="F50" s="3">
        <v>14.4091154825721</v>
      </c>
      <c r="G50" s="3">
        <v>21.110063184241401</v>
      </c>
      <c r="H50" s="3">
        <v>13.8558218942637</v>
      </c>
      <c r="I50" s="3">
        <v>24.078848334065899</v>
      </c>
      <c r="J50" s="3">
        <v>19.753213097976001</v>
      </c>
      <c r="K50" s="3">
        <v>15.5409620442201</v>
      </c>
      <c r="L50" s="3">
        <v>16.589704813915102</v>
      </c>
      <c r="M50" s="3">
        <v>16.881574777400701</v>
      </c>
      <c r="N50" s="3">
        <v>14.169621227811399</v>
      </c>
    </row>
    <row r="51" spans="1:14" x14ac:dyDescent="0.35">
      <c r="A51" s="2">
        <v>43194</v>
      </c>
      <c r="B51" s="3">
        <v>22.410813836598901</v>
      </c>
      <c r="C51" s="3">
        <v>16.263254373172</v>
      </c>
      <c r="D51" s="3">
        <v>15.619892864104701</v>
      </c>
      <c r="E51" s="3">
        <v>14.0466151081835</v>
      </c>
      <c r="F51" s="3">
        <v>14.227681163702499</v>
      </c>
      <c r="G51" s="3">
        <v>20.539624506742101</v>
      </c>
      <c r="H51" s="3">
        <v>13.8741335923891</v>
      </c>
      <c r="I51" s="3">
        <v>23.5554020395594</v>
      </c>
      <c r="J51" s="3">
        <v>19.3882771370759</v>
      </c>
      <c r="K51" s="3">
        <v>15.429115274348399</v>
      </c>
      <c r="L51" s="3">
        <v>16.513052813395099</v>
      </c>
      <c r="M51" s="3">
        <v>16.700392754622399</v>
      </c>
      <c r="N51" s="3">
        <v>14.0440537018873</v>
      </c>
    </row>
    <row r="52" spans="1:14" x14ac:dyDescent="0.35">
      <c r="A52" s="2">
        <v>43224</v>
      </c>
      <c r="B52" s="3">
        <v>22.4001870149689</v>
      </c>
      <c r="C52" s="3">
        <v>16.318920521432101</v>
      </c>
      <c r="D52" s="3">
        <v>15.5888812557178</v>
      </c>
      <c r="E52" s="3">
        <v>14.2092224463604</v>
      </c>
      <c r="F52" s="3">
        <v>14.2649089849868</v>
      </c>
      <c r="G52" s="3">
        <v>20.244410889373601</v>
      </c>
      <c r="H52" s="3">
        <v>14.0284792862355</v>
      </c>
      <c r="I52" s="3">
        <v>23.265680097236999</v>
      </c>
      <c r="J52" s="3">
        <v>19.058499173026402</v>
      </c>
      <c r="K52" s="3">
        <v>15.6045680442604</v>
      </c>
      <c r="L52" s="3">
        <v>16.566287067404001</v>
      </c>
      <c r="M52" s="3">
        <v>16.767361780480702</v>
      </c>
      <c r="N52" s="3">
        <v>14.2418853683048</v>
      </c>
    </row>
    <row r="53" spans="1:14" x14ac:dyDescent="0.35">
      <c r="A53" s="2">
        <v>43255</v>
      </c>
      <c r="B53" s="3">
        <v>22.438359260461802</v>
      </c>
      <c r="C53" s="3">
        <v>16.172950216178801</v>
      </c>
      <c r="D53" s="3">
        <v>15.5250481268711</v>
      </c>
      <c r="E53" s="3">
        <v>14.107956356755</v>
      </c>
      <c r="F53" s="3">
        <v>14.1618130030585</v>
      </c>
      <c r="G53" s="3">
        <v>19.667936853738599</v>
      </c>
      <c r="H53" s="3">
        <v>14.0295664509961</v>
      </c>
      <c r="I53" s="3">
        <v>23.342769399111798</v>
      </c>
      <c r="J53" s="3">
        <v>18.928850843338601</v>
      </c>
      <c r="K53" s="3">
        <v>15.4644373506324</v>
      </c>
      <c r="L53" s="3">
        <v>16.637335723037001</v>
      </c>
      <c r="M53" s="3">
        <v>16.605794251381202</v>
      </c>
      <c r="N53" s="3">
        <v>13.5744665710781</v>
      </c>
    </row>
    <row r="54" spans="1:14" x14ac:dyDescent="0.35">
      <c r="A54" s="2">
        <v>43284</v>
      </c>
      <c r="B54" s="3">
        <v>22.978318263357998</v>
      </c>
      <c r="C54" s="3">
        <v>16.2822757692091</v>
      </c>
      <c r="D54" s="3">
        <v>15.464265835349</v>
      </c>
      <c r="E54" s="3">
        <v>13.9157714629475</v>
      </c>
      <c r="F54" s="3">
        <v>13.833812146095299</v>
      </c>
      <c r="G54" s="3">
        <v>19.242307457072599</v>
      </c>
      <c r="H54" s="3">
        <v>13.7950873312013</v>
      </c>
      <c r="I54" s="3">
        <v>22.902968450718799</v>
      </c>
      <c r="J54" s="3">
        <v>18.556298613355199</v>
      </c>
      <c r="K54" s="3">
        <v>15.137478200738901</v>
      </c>
      <c r="L54" s="3">
        <v>16.488735733697499</v>
      </c>
      <c r="M54" s="3">
        <v>16.371915952803299</v>
      </c>
      <c r="N54" s="3">
        <v>13.3079904494722</v>
      </c>
    </row>
    <row r="55" spans="1:14" x14ac:dyDescent="0.35">
      <c r="A55" s="2">
        <v>43315</v>
      </c>
      <c r="B55" s="3">
        <v>22.8067158433713</v>
      </c>
      <c r="C55" s="3">
        <v>16.2757098476572</v>
      </c>
      <c r="D55" s="3">
        <v>15.4898696571682</v>
      </c>
      <c r="E55" s="3">
        <v>14.100185674295901</v>
      </c>
      <c r="F55" s="3">
        <v>13.817542361079701</v>
      </c>
      <c r="G55" s="3">
        <v>19.2603756519011</v>
      </c>
      <c r="H55" s="3">
        <v>13.858750204557101</v>
      </c>
      <c r="I55" s="3">
        <v>23.1215312910434</v>
      </c>
      <c r="J55" s="3">
        <v>18.6694704620637</v>
      </c>
      <c r="K55" s="3">
        <v>15.233278584111501</v>
      </c>
      <c r="L55" s="3">
        <v>16.7994862466477</v>
      </c>
      <c r="M55" s="3">
        <v>16.591554833111299</v>
      </c>
      <c r="N55" s="3">
        <v>13.138708932178201</v>
      </c>
    </row>
    <row r="56" spans="1:14" x14ac:dyDescent="0.35">
      <c r="A56" s="2">
        <v>43347</v>
      </c>
      <c r="B56" s="3">
        <v>23.700163247393501</v>
      </c>
      <c r="C56" s="3">
        <v>16.272541313391201</v>
      </c>
      <c r="D56" s="3">
        <v>15.153028687669</v>
      </c>
      <c r="E56" s="3">
        <v>13.906043956318801</v>
      </c>
      <c r="F56" s="3">
        <v>13.5376714590235</v>
      </c>
      <c r="G56" s="3">
        <v>18.705839302740401</v>
      </c>
      <c r="H56" s="3">
        <v>13.484802596449301</v>
      </c>
      <c r="I56" s="3">
        <v>23.3721615278027</v>
      </c>
      <c r="J56" s="3">
        <v>18.654180542312002</v>
      </c>
      <c r="K56" s="3">
        <v>14.896197868243901</v>
      </c>
      <c r="L56" s="3">
        <v>16.6189635431497</v>
      </c>
      <c r="M56" s="3">
        <v>16.748752323118001</v>
      </c>
      <c r="N56" s="3">
        <v>12.454597348709401</v>
      </c>
    </row>
    <row r="57" spans="1:14" x14ac:dyDescent="0.35">
      <c r="A57" s="2">
        <v>43377</v>
      </c>
      <c r="B57" s="3">
        <v>23.529194813113399</v>
      </c>
      <c r="C57" s="3">
        <v>15.9215921867009</v>
      </c>
      <c r="D57" s="3">
        <v>15.001663536375199</v>
      </c>
      <c r="E57" s="3">
        <v>13.8898834325162</v>
      </c>
      <c r="F57" s="3">
        <v>13.8677022586385</v>
      </c>
      <c r="G57" s="3">
        <v>18.417069624263799</v>
      </c>
      <c r="H57" s="3">
        <v>13.5080738665326</v>
      </c>
      <c r="I57" s="3">
        <v>22.9338697397862</v>
      </c>
      <c r="J57" s="3">
        <v>18.505515221005599</v>
      </c>
      <c r="K57" s="3">
        <v>14.916056485171399</v>
      </c>
      <c r="L57" s="3">
        <v>16.133444020898999</v>
      </c>
      <c r="M57" s="3">
        <v>16.8242164943209</v>
      </c>
      <c r="N57" s="3">
        <v>12.2482589104941</v>
      </c>
    </row>
    <row r="58" spans="1:14" x14ac:dyDescent="0.35">
      <c r="A58" s="2">
        <v>43406</v>
      </c>
      <c r="B58" s="3">
        <v>22.824232228699</v>
      </c>
      <c r="C58" s="3">
        <v>15.3092180816754</v>
      </c>
      <c r="D58" s="3">
        <v>14.2201797377882</v>
      </c>
      <c r="E58" s="3">
        <v>13.1625388688089</v>
      </c>
      <c r="F58" s="3">
        <v>12.9119129900646</v>
      </c>
      <c r="G58" s="3">
        <v>17.992982509938599</v>
      </c>
      <c r="H58" s="3">
        <v>12.861120610642001</v>
      </c>
      <c r="I58" s="3">
        <v>21.1234186000788</v>
      </c>
      <c r="J58" s="3">
        <v>17.325055341558802</v>
      </c>
      <c r="K58" s="3">
        <v>14.1901749458689</v>
      </c>
      <c r="L58" s="3">
        <v>15.666116999648001</v>
      </c>
      <c r="M58" s="3">
        <v>15.4743853477997</v>
      </c>
      <c r="N58" s="3">
        <v>11.550165738910399</v>
      </c>
    </row>
    <row r="59" spans="1:14" x14ac:dyDescent="0.35">
      <c r="A59" s="2">
        <v>43438</v>
      </c>
      <c r="B59" s="3">
        <v>23.0470691600501</v>
      </c>
      <c r="C59" s="3">
        <v>14.9693648605516</v>
      </c>
      <c r="D59" s="3">
        <v>13.9417337044614</v>
      </c>
      <c r="E59" s="3">
        <v>12.951416712136201</v>
      </c>
      <c r="F59" s="3">
        <v>12.727544740148099</v>
      </c>
      <c r="G59" s="3">
        <v>17.745351839677699</v>
      </c>
      <c r="H59" s="3">
        <v>12.5983627836019</v>
      </c>
      <c r="I59" s="3">
        <v>20.285284100764599</v>
      </c>
      <c r="J59" s="3">
        <v>16.8848339833356</v>
      </c>
      <c r="K59" s="3">
        <v>13.8040310433241</v>
      </c>
      <c r="L59" s="3">
        <v>15.424903242302401</v>
      </c>
      <c r="M59" s="3">
        <v>14.7477333239919</v>
      </c>
      <c r="N59" s="3">
        <v>11.117628302912101</v>
      </c>
    </row>
    <row r="60" spans="1:14" x14ac:dyDescent="0.35">
      <c r="A60" s="2">
        <v>43469</v>
      </c>
      <c r="B60" s="3">
        <v>22.7918941770155</v>
      </c>
      <c r="C60" s="3">
        <v>14.604301598672601</v>
      </c>
      <c r="D60" s="3">
        <v>13.237324790273099</v>
      </c>
      <c r="E60" s="3">
        <v>12.276878693981701</v>
      </c>
      <c r="F60" s="3">
        <v>11.291793147776801</v>
      </c>
      <c r="G60" s="3">
        <v>16.4991314313888</v>
      </c>
      <c r="H60" s="3">
        <v>12.1286869949997</v>
      </c>
      <c r="I60" s="3">
        <v>19.047600141707399</v>
      </c>
      <c r="J60" s="3">
        <v>15.661848882611499</v>
      </c>
      <c r="K60" s="3">
        <v>12.9361330326982</v>
      </c>
      <c r="L60" s="3">
        <v>14.3128616096014</v>
      </c>
      <c r="M60" s="3">
        <v>14.0807560582387</v>
      </c>
      <c r="N60" s="3">
        <v>10.7065671091417</v>
      </c>
    </row>
    <row r="61" spans="1:14" x14ac:dyDescent="0.35">
      <c r="A61" s="2">
        <v>43500</v>
      </c>
      <c r="B61" s="3">
        <v>23.209027268531798</v>
      </c>
      <c r="C61" s="3">
        <v>15.313687326696501</v>
      </c>
      <c r="D61" s="3">
        <v>14.619578773689399</v>
      </c>
      <c r="E61" s="3">
        <v>12.8443176067473</v>
      </c>
      <c r="F61" s="3">
        <v>12.308903361276201</v>
      </c>
      <c r="G61" s="3">
        <v>17.5755340496179</v>
      </c>
      <c r="H61" s="3">
        <v>12.667523613684899</v>
      </c>
      <c r="I61" s="3">
        <v>20.538959387185699</v>
      </c>
      <c r="J61" s="3">
        <v>16.801475669477199</v>
      </c>
      <c r="K61" s="3">
        <v>13.7741621896421</v>
      </c>
      <c r="L61" s="3">
        <v>15.3180523676928</v>
      </c>
      <c r="M61" s="3">
        <v>16.2360867570493</v>
      </c>
      <c r="N61" s="3">
        <v>11.0560606052493</v>
      </c>
    </row>
    <row r="62" spans="1:14" x14ac:dyDescent="0.35">
      <c r="A62" s="2">
        <v>43528</v>
      </c>
      <c r="B62" s="3">
        <v>24.186357280971599</v>
      </c>
      <c r="C62" s="3">
        <v>15.9249658654693</v>
      </c>
      <c r="D62" s="3">
        <v>14.7263630274139</v>
      </c>
      <c r="E62" s="3">
        <v>13.2311540599575</v>
      </c>
      <c r="F62" s="3">
        <v>12.719486748757401</v>
      </c>
      <c r="G62" s="3">
        <v>18.3394318160253</v>
      </c>
      <c r="H62" s="3">
        <v>12.9370712059007</v>
      </c>
      <c r="I62" s="3">
        <v>20.913814128786999</v>
      </c>
      <c r="J62" s="3">
        <v>17.111277646507101</v>
      </c>
      <c r="K62" s="3">
        <v>14.581421635759</v>
      </c>
      <c r="L62" s="3">
        <v>16.157865089211299</v>
      </c>
      <c r="M62" s="3">
        <v>18.141325446535401</v>
      </c>
      <c r="N62" s="3">
        <v>11.2886251924667</v>
      </c>
    </row>
    <row r="63" spans="1:14" x14ac:dyDescent="0.35">
      <c r="A63" s="2">
        <v>43559</v>
      </c>
      <c r="B63" s="3">
        <v>24.166412068370001</v>
      </c>
      <c r="C63" s="3">
        <v>15.884850484402</v>
      </c>
      <c r="D63" s="3">
        <v>14.745297682829399</v>
      </c>
      <c r="E63" s="3">
        <v>13.276173780286401</v>
      </c>
      <c r="F63" s="3">
        <v>12.745742237086599</v>
      </c>
      <c r="G63" s="3">
        <v>18.297796516673799</v>
      </c>
      <c r="H63" s="3">
        <v>13.0051016691814</v>
      </c>
      <c r="I63" s="3">
        <v>21.156725070516298</v>
      </c>
      <c r="J63" s="3">
        <v>17.199675066375299</v>
      </c>
      <c r="K63" s="3">
        <v>14.608134965552599</v>
      </c>
      <c r="L63" s="3">
        <v>16.241903477691601</v>
      </c>
      <c r="M63" s="3">
        <v>17.897562128952501</v>
      </c>
      <c r="N63" s="3">
        <v>11.351685085385</v>
      </c>
    </row>
    <row r="64" spans="1:14" x14ac:dyDescent="0.35">
      <c r="A64" s="2">
        <v>43588</v>
      </c>
      <c r="B64" s="3">
        <v>24.257729886183501</v>
      </c>
      <c r="C64" s="3">
        <v>15.8676886818646</v>
      </c>
      <c r="D64" s="3">
        <v>14.603299460824401</v>
      </c>
      <c r="E64" s="3">
        <v>13.427236034518</v>
      </c>
      <c r="F64" s="3">
        <v>12.792278044451701</v>
      </c>
      <c r="G64" s="3">
        <v>18.274824200920499</v>
      </c>
      <c r="H64" s="3">
        <v>13.0043341051328</v>
      </c>
      <c r="I64" s="3">
        <v>21.514255217652401</v>
      </c>
      <c r="J64" s="3">
        <v>17.321283988763401</v>
      </c>
      <c r="K64" s="3">
        <v>14.660294722462901</v>
      </c>
      <c r="L64" s="3">
        <v>16.360598730798401</v>
      </c>
      <c r="M64" s="3">
        <v>17.8458656711923</v>
      </c>
      <c r="N64" s="3">
        <v>11.344338989760001</v>
      </c>
    </row>
    <row r="65" spans="1:14" x14ac:dyDescent="0.35">
      <c r="A65" s="2">
        <v>43620</v>
      </c>
      <c r="B65" s="3">
        <v>24.067111738198602</v>
      </c>
      <c r="C65" s="3">
        <v>15.875755266678899</v>
      </c>
      <c r="D65" s="3">
        <v>14.410521083795199</v>
      </c>
      <c r="E65" s="3">
        <v>13.187117356036101</v>
      </c>
      <c r="F65" s="3">
        <v>12.5674540425596</v>
      </c>
      <c r="G65" s="3">
        <v>18.102830845607802</v>
      </c>
      <c r="H65" s="3">
        <v>12.8561353529555</v>
      </c>
      <c r="I65" s="3">
        <v>20.838136201160498</v>
      </c>
      <c r="J65" s="3">
        <v>16.994181105029099</v>
      </c>
      <c r="K65" s="3">
        <v>14.379395754051099</v>
      </c>
      <c r="L65" s="3">
        <v>16.100473129626099</v>
      </c>
      <c r="M65" s="3">
        <v>17.020629561030798</v>
      </c>
      <c r="N65" s="3">
        <v>10.9137950638932</v>
      </c>
    </row>
    <row r="66" spans="1:14" x14ac:dyDescent="0.35">
      <c r="A66" s="2">
        <v>43649</v>
      </c>
      <c r="B66" s="3">
        <v>24.7717361132745</v>
      </c>
      <c r="C66" s="3">
        <v>16.321577945621002</v>
      </c>
      <c r="D66" s="3">
        <v>14.5470594711168</v>
      </c>
      <c r="E66" s="3">
        <v>13.5682138672204</v>
      </c>
      <c r="F66" s="3">
        <v>12.971409491265099</v>
      </c>
      <c r="G66" s="3">
        <v>18.482691629553301</v>
      </c>
      <c r="H66" s="3">
        <v>13.1767581227365</v>
      </c>
      <c r="I66" s="3">
        <v>21.8952327009466</v>
      </c>
      <c r="J66" s="3">
        <v>17.579753954310899</v>
      </c>
      <c r="K66" s="3">
        <v>14.7858762106186</v>
      </c>
      <c r="L66" s="3">
        <v>16.516295899790101</v>
      </c>
      <c r="M66" s="3">
        <v>17.2219803424837</v>
      </c>
      <c r="N66" s="3">
        <v>11.283291138467799</v>
      </c>
    </row>
    <row r="67" spans="1:14" x14ac:dyDescent="0.35">
      <c r="A67" s="2">
        <v>43679</v>
      </c>
      <c r="B67" s="3">
        <v>25.4183300791344</v>
      </c>
      <c r="C67" s="3">
        <v>16.444072563301798</v>
      </c>
      <c r="D67" s="3">
        <v>14.3726991654181</v>
      </c>
      <c r="E67" s="3">
        <v>13.4258317322727</v>
      </c>
      <c r="F67" s="3">
        <v>12.8584561076127</v>
      </c>
      <c r="G67" s="3">
        <v>18.249473955742399</v>
      </c>
      <c r="H67" s="3">
        <v>12.974312612146401</v>
      </c>
      <c r="I67" s="3">
        <v>21.740363451591602</v>
      </c>
      <c r="J67" s="3">
        <v>17.492640726898401</v>
      </c>
      <c r="K67" s="3">
        <v>14.588479542227001</v>
      </c>
      <c r="L67" s="3">
        <v>16.3989457147716</v>
      </c>
      <c r="M67" s="3">
        <v>16.602151386766302</v>
      </c>
      <c r="N67" s="3">
        <v>11.061561296291099</v>
      </c>
    </row>
    <row r="68" spans="1:14" x14ac:dyDescent="0.35">
      <c r="A68" s="2">
        <v>43712</v>
      </c>
      <c r="B68" s="3">
        <v>28.443351564034501</v>
      </c>
      <c r="C68" s="3">
        <v>16.3845871089203</v>
      </c>
      <c r="D68" s="3">
        <v>14.447485942944301</v>
      </c>
      <c r="E68" s="3">
        <v>13.639682675254001</v>
      </c>
      <c r="F68" s="3">
        <v>12.861100722164201</v>
      </c>
      <c r="G68" s="3">
        <v>18.3374444233711</v>
      </c>
      <c r="H68" s="3">
        <v>12.950380943532901</v>
      </c>
      <c r="I68" s="3">
        <v>21.9106671441629</v>
      </c>
      <c r="J68" s="3">
        <v>17.585184937193201</v>
      </c>
      <c r="K68" s="3">
        <v>14.868353482164601</v>
      </c>
      <c r="L68" s="3">
        <v>16.7533524600581</v>
      </c>
      <c r="M68" s="3">
        <v>15.903296952434699</v>
      </c>
      <c r="N68" s="3">
        <v>11.2117209537195</v>
      </c>
    </row>
    <row r="69" spans="1:14" x14ac:dyDescent="0.35">
      <c r="A69" s="2">
        <v>43742</v>
      </c>
      <c r="B69" s="3">
        <v>28.593477123544499</v>
      </c>
      <c r="C69" s="3">
        <v>16.562423425799199</v>
      </c>
      <c r="D69" s="3">
        <v>14.515528308012501</v>
      </c>
      <c r="E69" s="3">
        <v>13.811260717159101</v>
      </c>
      <c r="F69" s="3">
        <v>13.3349986283198</v>
      </c>
      <c r="G69" s="3">
        <v>18.141719372984198</v>
      </c>
      <c r="H69" s="3">
        <v>12.8429168833659</v>
      </c>
      <c r="I69" s="3">
        <v>22.129203862312</v>
      </c>
      <c r="J69" s="3">
        <v>17.794563845827</v>
      </c>
      <c r="K69" s="3">
        <v>14.849826970461599</v>
      </c>
      <c r="L69" s="3">
        <v>16.862680333780901</v>
      </c>
      <c r="M69" s="3">
        <v>16.0615937535805</v>
      </c>
      <c r="N69" s="3">
        <v>11.077142392818899</v>
      </c>
    </row>
    <row r="70" spans="1:14" x14ac:dyDescent="0.35">
      <c r="A70" s="2">
        <v>43773</v>
      </c>
      <c r="B70" s="3">
        <v>28.966653168924299</v>
      </c>
      <c r="C70" s="3">
        <v>17.3242851775187</v>
      </c>
      <c r="D70" s="3">
        <v>14.9086180240408</v>
      </c>
      <c r="E70" s="3">
        <v>14.995779534031101</v>
      </c>
      <c r="F70" s="3">
        <v>14.0758523432005</v>
      </c>
      <c r="G70" s="3">
        <v>18.886508348703298</v>
      </c>
      <c r="H70" s="3">
        <v>13.405584604104201</v>
      </c>
      <c r="I70" s="3">
        <v>23.277275172726199</v>
      </c>
      <c r="J70" s="3">
        <v>18.559706139824399</v>
      </c>
      <c r="K70" s="3">
        <v>15.843584576106</v>
      </c>
      <c r="L70" s="3">
        <v>17.588590400941701</v>
      </c>
      <c r="M70" s="3">
        <v>17.092688174057699</v>
      </c>
      <c r="N70" s="3">
        <v>11.9543291147804</v>
      </c>
    </row>
    <row r="71" spans="1:14" x14ac:dyDescent="0.35">
      <c r="A71" s="2">
        <v>43803</v>
      </c>
      <c r="B71" s="3">
        <v>30.982880180146399</v>
      </c>
      <c r="C71" s="3">
        <v>17.267437825946399</v>
      </c>
      <c r="D71" s="3">
        <v>14.981550358176399</v>
      </c>
      <c r="E71" s="3">
        <v>15.1701462453498</v>
      </c>
      <c r="F71" s="3">
        <v>14.878713946974701</v>
      </c>
      <c r="G71" s="3">
        <v>18.869292696917199</v>
      </c>
      <c r="H71" s="3">
        <v>13.359546354010501</v>
      </c>
      <c r="I71" s="3">
        <v>23.920965766215399</v>
      </c>
      <c r="J71" s="3">
        <v>18.959983645074999</v>
      </c>
      <c r="K71" s="3">
        <v>15.8902619236435</v>
      </c>
      <c r="L71" s="3">
        <v>17.9455010420806</v>
      </c>
      <c r="M71" s="3">
        <v>15.807195740121101</v>
      </c>
      <c r="N71" s="3">
        <v>11.787818170335701</v>
      </c>
    </row>
    <row r="72" spans="1:14" x14ac:dyDescent="0.35">
      <c r="A72" s="2">
        <v>43833</v>
      </c>
      <c r="B72" s="3">
        <v>32.571479945753801</v>
      </c>
      <c r="C72" s="3">
        <v>17.828102547769198</v>
      </c>
      <c r="D72" s="3">
        <v>15.2569832294954</v>
      </c>
      <c r="E72" s="3">
        <v>15.465178709635399</v>
      </c>
      <c r="F72" s="3">
        <v>15.3089020661004</v>
      </c>
      <c r="G72" s="3">
        <v>19.744936542487299</v>
      </c>
      <c r="H72" s="3">
        <v>14.207529510093201</v>
      </c>
      <c r="I72" s="3">
        <v>25.623483595699501</v>
      </c>
      <c r="J72" s="3">
        <v>19.891539944087899</v>
      </c>
      <c r="K72" s="3">
        <v>16.6621930898946</v>
      </c>
      <c r="L72" s="3">
        <v>18.846283085614399</v>
      </c>
      <c r="M72" s="3">
        <v>16.3304978555893</v>
      </c>
      <c r="N72" s="3">
        <v>12.1860381147651</v>
      </c>
    </row>
    <row r="73" spans="1:14" x14ac:dyDescent="0.35">
      <c r="A73" s="2">
        <v>43865</v>
      </c>
      <c r="B73" s="3">
        <v>32.061839124339102</v>
      </c>
      <c r="C73" s="3">
        <v>18.295549423203202</v>
      </c>
      <c r="D73" s="3">
        <v>15.5367709968033</v>
      </c>
      <c r="E73" s="3">
        <v>15.3264041990838</v>
      </c>
      <c r="F73" s="3">
        <v>15.049390013032401</v>
      </c>
      <c r="G73" s="3">
        <v>19.9412311884975</v>
      </c>
      <c r="H73" s="3">
        <v>13.953128788167</v>
      </c>
      <c r="I73" s="3">
        <v>26.421089181033899</v>
      </c>
      <c r="J73" s="3">
        <v>20.069138673071301</v>
      </c>
      <c r="K73" s="3">
        <v>16.369539643672201</v>
      </c>
      <c r="L73" s="3">
        <v>18.8959175108475</v>
      </c>
      <c r="M73" s="3">
        <v>14.2536553576023</v>
      </c>
      <c r="N73" s="3">
        <v>12.2272469555023</v>
      </c>
    </row>
    <row r="74" spans="1:14" x14ac:dyDescent="0.35">
      <c r="A74" s="2">
        <v>43894</v>
      </c>
      <c r="B74" s="3">
        <v>31.071736649758101</v>
      </c>
      <c r="C74" s="3">
        <v>16.905160296356001</v>
      </c>
      <c r="D74" s="3">
        <v>14.4683396357362</v>
      </c>
      <c r="E74" s="3">
        <v>14.0643708168197</v>
      </c>
      <c r="F74" s="3">
        <v>13.9535479450476</v>
      </c>
      <c r="G74" s="3">
        <v>18.0642341862183</v>
      </c>
      <c r="H74" s="3">
        <v>12.412800782832299</v>
      </c>
      <c r="I74" s="3">
        <v>23.9970502388216</v>
      </c>
      <c r="J74" s="3">
        <v>18.071543452581601</v>
      </c>
      <c r="K74" s="3">
        <v>14.7059695519195</v>
      </c>
      <c r="L74" s="3">
        <v>17.289442994927398</v>
      </c>
      <c r="M74" s="3">
        <v>12.9753017133522</v>
      </c>
      <c r="N74" s="3">
        <v>11.3447655393459</v>
      </c>
    </row>
    <row r="75" spans="1:14" x14ac:dyDescent="0.35">
      <c r="A75" s="2">
        <v>43924</v>
      </c>
      <c r="B75" s="3">
        <v>30.573284290504201</v>
      </c>
      <c r="C75" s="3">
        <v>16.362918386329699</v>
      </c>
      <c r="D75" s="3">
        <v>14.1660934537007</v>
      </c>
      <c r="E75" s="3">
        <v>13.8058123764859</v>
      </c>
      <c r="F75" s="3">
        <v>13.591168830865699</v>
      </c>
      <c r="G75" s="3">
        <v>17.738175680093001</v>
      </c>
      <c r="H75" s="3">
        <v>12.347459542401699</v>
      </c>
      <c r="I75" s="3">
        <v>23.3643675426848</v>
      </c>
      <c r="J75" s="3">
        <v>17.557040547659</v>
      </c>
      <c r="K75" s="3">
        <v>14.385384855204</v>
      </c>
      <c r="L75" s="3">
        <v>16.694728808891298</v>
      </c>
      <c r="M75" s="3">
        <v>13.0287292930084</v>
      </c>
      <c r="N75" s="3">
        <v>11.0870115154984</v>
      </c>
    </row>
    <row r="76" spans="1:14" x14ac:dyDescent="0.35">
      <c r="A76" s="2">
        <v>43955</v>
      </c>
      <c r="B76" s="3">
        <v>31.526818753059601</v>
      </c>
      <c r="C76" s="3">
        <v>17.150715932366399</v>
      </c>
      <c r="D76" s="3">
        <v>15.686616010521799</v>
      </c>
      <c r="E76" s="3">
        <v>14.889686907394699</v>
      </c>
      <c r="F76" s="3">
        <v>14.2459514808588</v>
      </c>
      <c r="G76" s="3">
        <v>18.404577160364401</v>
      </c>
      <c r="H76" s="3">
        <v>13.562115520447</v>
      </c>
      <c r="I76" s="3">
        <v>25.084808598807701</v>
      </c>
      <c r="J76" s="3">
        <v>19.273192196117801</v>
      </c>
      <c r="K76" s="3">
        <v>15.729486394338901</v>
      </c>
      <c r="L76" s="3">
        <v>17.584739259504001</v>
      </c>
      <c r="M76" s="3">
        <v>14.7587063245461</v>
      </c>
      <c r="N76" s="3">
        <v>12.5056925735503</v>
      </c>
    </row>
    <row r="77" spans="1:14" x14ac:dyDescent="0.35">
      <c r="A77" s="2">
        <v>43986</v>
      </c>
      <c r="B77" s="3">
        <v>32.303876712259502</v>
      </c>
      <c r="C77" s="3">
        <v>18.5355421378509</v>
      </c>
      <c r="D77" s="3">
        <v>17.112887806876699</v>
      </c>
      <c r="E77" s="3">
        <v>16.973518328028799</v>
      </c>
      <c r="F77" s="3">
        <v>16.043533331460601</v>
      </c>
      <c r="G77" s="3">
        <v>19.263278984879499</v>
      </c>
      <c r="H77" s="3">
        <v>14.9545205930159</v>
      </c>
      <c r="I77" s="3">
        <v>26.645999576938699</v>
      </c>
      <c r="J77" s="3">
        <v>20.766819807084499</v>
      </c>
      <c r="K77" s="3">
        <v>17.739376273449398</v>
      </c>
      <c r="L77" s="3">
        <v>18.955701687052699</v>
      </c>
      <c r="M77" s="3">
        <v>16.445389046052799</v>
      </c>
      <c r="N77" s="3">
        <v>15.474421497449301</v>
      </c>
    </row>
    <row r="78" spans="1:14" x14ac:dyDescent="0.35">
      <c r="A78" s="2">
        <v>44014</v>
      </c>
      <c r="B78" s="3">
        <v>32.806938412357297</v>
      </c>
      <c r="C78" s="3">
        <v>18.669898551177301</v>
      </c>
      <c r="D78" s="3">
        <v>17.424769145146101</v>
      </c>
      <c r="E78" s="3">
        <v>17.969493827927401</v>
      </c>
      <c r="F78" s="3">
        <v>16.899773967023201</v>
      </c>
      <c r="G78" s="3">
        <v>19.672499594124901</v>
      </c>
      <c r="H78" s="3">
        <v>15.3088729985573</v>
      </c>
      <c r="I78" s="3">
        <v>27.975321176151201</v>
      </c>
      <c r="J78" s="3">
        <v>21.367157655102201</v>
      </c>
      <c r="K78" s="3">
        <v>18.965655792919101</v>
      </c>
      <c r="L78" s="3">
        <v>19.667262359848099</v>
      </c>
      <c r="M78" s="3">
        <v>17.564006928837198</v>
      </c>
      <c r="N78" s="3">
        <v>17.0037692368536</v>
      </c>
    </row>
    <row r="79" spans="1:14" x14ac:dyDescent="0.35">
      <c r="A79" s="2">
        <v>44047</v>
      </c>
      <c r="B79" s="3">
        <v>33.870152685254503</v>
      </c>
      <c r="C79" s="3">
        <v>19.166610209171601</v>
      </c>
      <c r="D79" s="3">
        <v>18.196489672432399</v>
      </c>
      <c r="E79" s="3">
        <v>18.897714828907802</v>
      </c>
      <c r="F79" s="3">
        <v>17.904527533536601</v>
      </c>
      <c r="G79" s="3">
        <v>20.1321138832561</v>
      </c>
      <c r="H79" s="3">
        <v>15.9048126282025</v>
      </c>
      <c r="I79" s="3">
        <v>29.087242940424101</v>
      </c>
      <c r="J79" s="3">
        <v>22.303894280720101</v>
      </c>
      <c r="K79" s="3">
        <v>21.320841280692001</v>
      </c>
      <c r="L79" s="3">
        <v>20.473512339162099</v>
      </c>
      <c r="M79" s="3">
        <v>17.1731465639003</v>
      </c>
      <c r="N79" s="3">
        <v>17.286408265525299</v>
      </c>
    </row>
    <row r="80" spans="1:14" x14ac:dyDescent="0.35">
      <c r="A80" s="2">
        <v>44078</v>
      </c>
      <c r="B80" s="3">
        <v>33.6290782545707</v>
      </c>
      <c r="C80" s="3">
        <v>19.476047306060401</v>
      </c>
      <c r="D80" s="3">
        <v>18.101345600358702</v>
      </c>
      <c r="E80" s="3">
        <v>19.8788908704134</v>
      </c>
      <c r="F80" s="3">
        <v>19.182759195888799</v>
      </c>
      <c r="G80" s="3">
        <v>20.4164662971064</v>
      </c>
      <c r="H80" s="3">
        <v>16.338313495990299</v>
      </c>
      <c r="I80" s="3">
        <v>30.644888305062398</v>
      </c>
      <c r="J80" s="3">
        <v>23.388361846425699</v>
      </c>
      <c r="K80" s="3">
        <v>22.690134112692</v>
      </c>
      <c r="L80" s="3">
        <v>20.9647603820715</v>
      </c>
      <c r="M80" s="3">
        <v>17.228450831947299</v>
      </c>
      <c r="N80" s="3">
        <v>17.700031294662299</v>
      </c>
    </row>
    <row r="81" spans="1:14" x14ac:dyDescent="0.35">
      <c r="A81" s="2">
        <v>44106</v>
      </c>
      <c r="B81" s="3">
        <v>33.918621758193403</v>
      </c>
      <c r="C81" s="3">
        <v>19.031166905424101</v>
      </c>
      <c r="D81" s="3">
        <v>18.405911721345198</v>
      </c>
      <c r="E81" s="3">
        <v>20.332643214516999</v>
      </c>
      <c r="F81" s="3">
        <v>19.8984994373596</v>
      </c>
      <c r="G81" s="3">
        <v>20.789916162871801</v>
      </c>
      <c r="H81" s="3">
        <v>16.8155783266292</v>
      </c>
      <c r="I81" s="3">
        <v>30.539924198361899</v>
      </c>
      <c r="J81" s="3">
        <v>23.518773981814501</v>
      </c>
      <c r="K81" s="3">
        <v>23.294720991984899</v>
      </c>
      <c r="L81" s="3">
        <v>22.0656719008423</v>
      </c>
      <c r="M81" s="3">
        <v>18.013685318305399</v>
      </c>
      <c r="N81" s="3">
        <v>18.115127925755001</v>
      </c>
    </row>
    <row r="82" spans="1:14" x14ac:dyDescent="0.35">
      <c r="A82" s="2">
        <v>44139</v>
      </c>
      <c r="B82" s="3">
        <v>35.349994392488497</v>
      </c>
      <c r="C82" s="3">
        <v>20.036351622813999</v>
      </c>
      <c r="D82" s="3">
        <v>18.4312175495254</v>
      </c>
      <c r="E82" s="3">
        <v>19.419613190755701</v>
      </c>
      <c r="F82" s="3">
        <v>20.630828071833399</v>
      </c>
      <c r="G82" s="3">
        <v>20.783602743101</v>
      </c>
      <c r="H82" s="3">
        <v>16.5322753183077</v>
      </c>
      <c r="I82" s="3">
        <v>31.508914865543701</v>
      </c>
      <c r="J82" s="3">
        <v>23.933743972476101</v>
      </c>
      <c r="K82" s="3">
        <v>24.360646439916099</v>
      </c>
      <c r="L82" s="3">
        <v>22.603255511192899</v>
      </c>
      <c r="M82" s="3">
        <v>15.675338217775799</v>
      </c>
      <c r="N82" s="3">
        <v>19.343973031147399</v>
      </c>
    </row>
    <row r="83" spans="1:14" x14ac:dyDescent="0.35">
      <c r="A83" s="2">
        <v>44169</v>
      </c>
      <c r="B83" s="3">
        <v>35.8585888067486</v>
      </c>
      <c r="C83" s="3">
        <v>22.732353364668999</v>
      </c>
      <c r="D83" s="3">
        <v>20.0369285715154</v>
      </c>
      <c r="E83" s="3">
        <v>20.903721588683101</v>
      </c>
      <c r="F83" s="3">
        <v>22.463021297466899</v>
      </c>
      <c r="G83" s="3">
        <v>20.9592896478072</v>
      </c>
      <c r="H83" s="3">
        <v>19.3739861534205</v>
      </c>
      <c r="I83" s="3">
        <v>33.909425848716999</v>
      </c>
      <c r="J83" s="3">
        <v>25.9027611325381</v>
      </c>
      <c r="K83" s="3">
        <v>28.382626623920199</v>
      </c>
      <c r="L83" s="3">
        <v>25.9771123347025</v>
      </c>
      <c r="M83" s="3">
        <v>17.1069519801277</v>
      </c>
      <c r="N83" s="3">
        <v>22.390488446890501</v>
      </c>
    </row>
    <row r="84" spans="1:14" x14ac:dyDescent="0.35">
      <c r="A84" s="2">
        <v>44200</v>
      </c>
      <c r="B84" s="3">
        <v>37.924548069381203</v>
      </c>
      <c r="C84" s="3">
        <v>23.267319444057101</v>
      </c>
      <c r="D84" s="3">
        <v>20.596901292050699</v>
      </c>
      <c r="E84" s="3">
        <v>22.0574672671701</v>
      </c>
      <c r="F84" s="3">
        <v>23.438364386591001</v>
      </c>
      <c r="G84" s="3">
        <v>22.102822423398699</v>
      </c>
      <c r="H84" s="3">
        <v>19.8964655402159</v>
      </c>
      <c r="I84" s="3">
        <v>34.645374115433199</v>
      </c>
      <c r="J84" s="3">
        <v>26.943905544715101</v>
      </c>
      <c r="K84" s="3">
        <v>28.930734103927399</v>
      </c>
      <c r="L84" s="3">
        <v>27.392584034333101</v>
      </c>
      <c r="M84" s="3">
        <v>18.1121546210417</v>
      </c>
      <c r="N84" s="3">
        <v>23.339143722652899</v>
      </c>
    </row>
    <row r="85" spans="1:14" x14ac:dyDescent="0.35">
      <c r="A85" s="2">
        <v>44231</v>
      </c>
      <c r="B85" s="3">
        <v>36.2976019608396</v>
      </c>
      <c r="C85" s="3">
        <v>22.818540162999501</v>
      </c>
      <c r="D85" s="3">
        <v>20.864144309244701</v>
      </c>
      <c r="E85" s="3">
        <v>21.511522562176399</v>
      </c>
      <c r="F85" s="3">
        <v>23.434697333791298</v>
      </c>
      <c r="G85" s="3">
        <v>21.3736762243852</v>
      </c>
      <c r="H85" s="3">
        <v>19.307606914516999</v>
      </c>
      <c r="I85" s="3">
        <v>35.131854599239297</v>
      </c>
      <c r="J85" s="3">
        <v>27.1482501290524</v>
      </c>
      <c r="K85" s="3">
        <v>28.023679682854102</v>
      </c>
      <c r="L85" s="3">
        <v>28.4154492023603</v>
      </c>
      <c r="M85" s="3">
        <v>18.034389002137001</v>
      </c>
      <c r="N85" s="3">
        <v>21.1660835060948</v>
      </c>
    </row>
    <row r="86" spans="1:14" x14ac:dyDescent="0.35">
      <c r="A86" s="2">
        <v>44259</v>
      </c>
      <c r="B86" s="3">
        <v>34.365840671140802</v>
      </c>
      <c r="C86" s="3">
        <v>21.777351709278001</v>
      </c>
      <c r="D86" s="3">
        <v>19.915264230361899</v>
      </c>
      <c r="E86" s="3">
        <v>20.251177751759101</v>
      </c>
      <c r="F86" s="3">
        <v>21.598498586766301</v>
      </c>
      <c r="G86" s="3">
        <v>20.468883239490399</v>
      </c>
      <c r="H86" s="3">
        <v>18.7803725495001</v>
      </c>
      <c r="I86" s="3">
        <v>32.684540374847998</v>
      </c>
      <c r="J86" s="3">
        <v>26.1622497896246</v>
      </c>
      <c r="K86" s="3">
        <v>26.958476638691899</v>
      </c>
      <c r="L86" s="3">
        <v>28.7739830691593</v>
      </c>
      <c r="M86" s="3">
        <v>17.685985859804902</v>
      </c>
      <c r="N86" s="3">
        <v>20.200106364067601</v>
      </c>
    </row>
    <row r="87" spans="1:14" x14ac:dyDescent="0.35">
      <c r="A87" s="2">
        <v>44287</v>
      </c>
      <c r="B87" s="3">
        <v>34.442091134783396</v>
      </c>
      <c r="C87" s="3">
        <v>21.301203867256501</v>
      </c>
      <c r="D87" s="3">
        <v>19.611244996882402</v>
      </c>
      <c r="E87" s="3">
        <v>20.077781224517199</v>
      </c>
      <c r="F87" s="3">
        <v>21.313689432282299</v>
      </c>
      <c r="G87" s="3">
        <v>20.455490339658699</v>
      </c>
      <c r="H87" s="3">
        <v>18.2153961897661</v>
      </c>
      <c r="I87" s="3">
        <v>32.671643338802497</v>
      </c>
      <c r="J87" s="3">
        <v>26.039384613613802</v>
      </c>
      <c r="K87" s="3">
        <v>26.3016097138356</v>
      </c>
      <c r="L87" s="3">
        <v>28.641000200566499</v>
      </c>
      <c r="M87" s="3">
        <v>18.167370451348098</v>
      </c>
      <c r="N87" s="3">
        <v>19.789567172347599</v>
      </c>
    </row>
    <row r="88" spans="1:14" x14ac:dyDescent="0.35">
      <c r="A88" s="2">
        <v>44320</v>
      </c>
      <c r="B88" s="3">
        <v>34.757705108402597</v>
      </c>
      <c r="C88" s="3">
        <v>20.997810853460599</v>
      </c>
      <c r="D88" s="3">
        <v>19.174688829151801</v>
      </c>
      <c r="E88" s="3">
        <v>19.191627492227401</v>
      </c>
      <c r="F88" s="3">
        <v>20.659466568814501</v>
      </c>
      <c r="G88" s="3">
        <v>20.382307355988502</v>
      </c>
      <c r="H88" s="3">
        <v>17.5599835702292</v>
      </c>
      <c r="I88" s="3">
        <v>31.8645531272531</v>
      </c>
      <c r="J88" s="3">
        <v>25.466466538247001</v>
      </c>
      <c r="K88" s="3">
        <v>25.2973989564973</v>
      </c>
      <c r="L88" s="3">
        <v>27.6186372683411</v>
      </c>
      <c r="M88" s="3">
        <v>17.4105700673991</v>
      </c>
      <c r="N88" s="3">
        <v>18.980140533103199</v>
      </c>
    </row>
    <row r="89" spans="1:14" x14ac:dyDescent="0.35">
      <c r="A89" s="2">
        <v>44351</v>
      </c>
      <c r="B89" s="3">
        <v>35.289562056032601</v>
      </c>
      <c r="C89" s="3">
        <v>20.790936398748201</v>
      </c>
      <c r="D89" s="3">
        <v>18.776227756550501</v>
      </c>
      <c r="E89" s="3">
        <v>18.845082456769202</v>
      </c>
      <c r="F89" s="3">
        <v>20.2703450739014</v>
      </c>
      <c r="G89" s="3">
        <v>20.7389530193878</v>
      </c>
      <c r="H89" s="3">
        <v>17.055785212165201</v>
      </c>
      <c r="I89" s="3">
        <v>31.461699048407201</v>
      </c>
      <c r="J89" s="3">
        <v>25.064022523567399</v>
      </c>
      <c r="K89" s="3">
        <v>24.5190734771096</v>
      </c>
      <c r="L89" s="3">
        <v>27.0441754111053</v>
      </c>
      <c r="M89" s="3">
        <v>17.875187529288802</v>
      </c>
      <c r="N89" s="3">
        <v>18.585789715606001</v>
      </c>
    </row>
    <row r="90" spans="1:14" x14ac:dyDescent="0.35">
      <c r="A90" s="2">
        <v>44379</v>
      </c>
      <c r="B90" s="3">
        <v>36.274885341334198</v>
      </c>
      <c r="C90" s="3">
        <v>19.875008846007699</v>
      </c>
      <c r="D90" s="3">
        <v>18.430154729592498</v>
      </c>
      <c r="E90" s="3">
        <v>18.327067938409101</v>
      </c>
      <c r="F90" s="3">
        <v>19.794340507889999</v>
      </c>
      <c r="G90" s="3">
        <v>20.859253667377001</v>
      </c>
      <c r="H90" s="3">
        <v>16.340141488183701</v>
      </c>
      <c r="I90" s="3">
        <v>32.017160918153301</v>
      </c>
      <c r="J90" s="3">
        <v>24.9298725129803</v>
      </c>
      <c r="K90" s="3">
        <v>23.606791875157299</v>
      </c>
      <c r="L90" s="3">
        <v>26.571106760310698</v>
      </c>
      <c r="M90" s="3">
        <v>18.006169759024701</v>
      </c>
      <c r="N90" s="3">
        <v>17.976648403876101</v>
      </c>
    </row>
    <row r="91" spans="1:14" x14ac:dyDescent="0.35">
      <c r="A91" s="2">
        <v>44412</v>
      </c>
      <c r="B91" s="3">
        <v>36.997428890200197</v>
      </c>
      <c r="C91" s="3">
        <v>19.3326600132356</v>
      </c>
      <c r="D91" s="3">
        <v>17.721298657667099</v>
      </c>
      <c r="E91" s="3">
        <v>17.512728286601899</v>
      </c>
      <c r="F91" s="3">
        <v>18.988823378041399</v>
      </c>
      <c r="G91" s="3">
        <v>21.020109685097001</v>
      </c>
      <c r="H91" s="3">
        <v>15.4104004263092</v>
      </c>
      <c r="I91" s="3">
        <v>31.459418391512099</v>
      </c>
      <c r="J91" s="3">
        <v>24.094119665170499</v>
      </c>
      <c r="K91" s="3">
        <v>22.174395274464</v>
      </c>
      <c r="L91" s="3">
        <v>26.389118037550102</v>
      </c>
      <c r="M91" s="3">
        <v>17.623020542399399</v>
      </c>
      <c r="N91" s="3">
        <v>16.380522373392701</v>
      </c>
    </row>
    <row r="92" spans="1:14" x14ac:dyDescent="0.35">
      <c r="A92" s="2">
        <v>44442</v>
      </c>
      <c r="B92" s="3">
        <v>38.526956743896697</v>
      </c>
      <c r="C92" s="3">
        <v>19.129416859843801</v>
      </c>
      <c r="D92" s="3">
        <v>17.2307850610811</v>
      </c>
      <c r="E92" s="3">
        <v>16.8385122702839</v>
      </c>
      <c r="F92" s="3">
        <v>18.677461472986099</v>
      </c>
      <c r="G92" s="3">
        <v>21.117430393887901</v>
      </c>
      <c r="H92" s="3">
        <v>14.735398063803499</v>
      </c>
      <c r="I92" s="3">
        <v>31.801079281760099</v>
      </c>
      <c r="J92" s="3">
        <v>24.008279656259901</v>
      </c>
      <c r="K92" s="3">
        <v>20.9658277538684</v>
      </c>
      <c r="L92" s="3">
        <v>25.910921258027201</v>
      </c>
      <c r="M92" s="3">
        <v>17.573062467485801</v>
      </c>
      <c r="N92" s="3">
        <v>15.5697007485226</v>
      </c>
    </row>
    <row r="93" spans="1:14" x14ac:dyDescent="0.35">
      <c r="A93" s="2">
        <v>44473</v>
      </c>
      <c r="B93" s="3">
        <v>39.041194299396601</v>
      </c>
      <c r="C93" s="3">
        <v>18.451243197666599</v>
      </c>
      <c r="D93" s="3">
        <v>16.323014391026799</v>
      </c>
      <c r="E93" s="3">
        <v>15.6985740723827</v>
      </c>
      <c r="F93" s="3">
        <v>17.7287903314365</v>
      </c>
      <c r="G93" s="3">
        <v>20.014303594446801</v>
      </c>
      <c r="H93" s="3">
        <v>13.782436994729499</v>
      </c>
      <c r="I93" s="3">
        <v>29.8608099612789</v>
      </c>
      <c r="J93" s="3">
        <v>22.804994578896</v>
      </c>
      <c r="K93" s="3">
        <v>19.3477973099574</v>
      </c>
      <c r="L93" s="3">
        <v>23.791968747016501</v>
      </c>
      <c r="M93" s="3">
        <v>16.811243576206401</v>
      </c>
      <c r="N93" s="3">
        <v>14.514952867104901</v>
      </c>
    </row>
    <row r="94" spans="1:14" x14ac:dyDescent="0.35">
      <c r="A94" s="2">
        <v>44504</v>
      </c>
      <c r="B94" s="3">
        <v>39.073112476379897</v>
      </c>
      <c r="C94" s="3">
        <v>22.557450725701798</v>
      </c>
      <c r="D94" s="3">
        <v>16.671060755295901</v>
      </c>
      <c r="E94" s="3">
        <v>15.722649750655901</v>
      </c>
      <c r="F94" s="3">
        <v>17.7591616545139</v>
      </c>
      <c r="G94" s="3">
        <v>20.9752353615898</v>
      </c>
      <c r="H94" s="3">
        <v>13.4113483604817</v>
      </c>
      <c r="I94" s="3">
        <v>32.199235077598097</v>
      </c>
      <c r="J94" s="3">
        <v>23.520037123601899</v>
      </c>
      <c r="K94" s="3">
        <v>18.857888625631698</v>
      </c>
      <c r="L94" s="3">
        <v>24.962327564664999</v>
      </c>
      <c r="M94" s="3">
        <v>16.682649297640801</v>
      </c>
      <c r="N94" s="3">
        <v>14.1118136499835</v>
      </c>
    </row>
    <row r="95" spans="1:14" x14ac:dyDescent="0.35">
      <c r="A95" s="2">
        <v>44533</v>
      </c>
      <c r="B95" s="3">
        <v>37.488566859775702</v>
      </c>
      <c r="C95" s="3">
        <v>17.575416861578798</v>
      </c>
      <c r="D95" s="3">
        <v>15.4860500993552</v>
      </c>
      <c r="E95" s="3">
        <v>14.078951048714201</v>
      </c>
      <c r="F95" s="3">
        <v>16.5263883330143</v>
      </c>
      <c r="G95" s="3">
        <v>20.422776657221402</v>
      </c>
      <c r="H95" s="3">
        <v>12.4710273516146</v>
      </c>
      <c r="I95" s="3">
        <v>30.833505196952899</v>
      </c>
      <c r="J95" s="3">
        <v>22.474526753368</v>
      </c>
      <c r="K95" s="3">
        <v>17.283333037353</v>
      </c>
      <c r="L95" s="3">
        <v>22.395513705844401</v>
      </c>
      <c r="M95" s="3">
        <v>16.115371942202501</v>
      </c>
      <c r="N95" s="3">
        <v>12.2946929957655</v>
      </c>
    </row>
    <row r="96" spans="1:14" x14ac:dyDescent="0.35">
      <c r="A96" s="2">
        <v>44565</v>
      </c>
      <c r="B96" s="3">
        <v>39.311091988785101</v>
      </c>
      <c r="C96" s="3">
        <v>18.093680554186999</v>
      </c>
      <c r="D96" s="3">
        <v>15.407257860330301</v>
      </c>
      <c r="E96" s="3">
        <v>14.363121230408099</v>
      </c>
      <c r="F96" s="3">
        <v>16.394633870692498</v>
      </c>
      <c r="G96" s="3">
        <v>21.675103968991099</v>
      </c>
      <c r="H96" s="3">
        <v>12.6066810315757</v>
      </c>
      <c r="I96" s="3">
        <v>31.7861775357966</v>
      </c>
      <c r="J96" s="3">
        <v>23.345113888570602</v>
      </c>
      <c r="K96" s="3">
        <v>17.536864917223699</v>
      </c>
      <c r="L96" s="3">
        <v>22.825090514246298</v>
      </c>
      <c r="M96" s="3">
        <v>17.151245084192698</v>
      </c>
      <c r="N96" s="3">
        <v>12.4145580059855</v>
      </c>
    </row>
    <row r="97" spans="1:14" x14ac:dyDescent="0.35">
      <c r="A97" s="2">
        <v>44596</v>
      </c>
      <c r="B97" s="3">
        <v>37.155230137164097</v>
      </c>
      <c r="C97" s="3">
        <v>16.039336176834201</v>
      </c>
      <c r="D97" s="3">
        <v>15.405300610655701</v>
      </c>
      <c r="E97" s="3">
        <v>13.283475255248399</v>
      </c>
      <c r="F97" s="3">
        <v>15.252225517337299</v>
      </c>
      <c r="G97" s="3">
        <v>19.727882474386401</v>
      </c>
      <c r="H97" s="3">
        <v>12.655281768700901</v>
      </c>
      <c r="I97" s="3">
        <v>27.800375698807098</v>
      </c>
      <c r="J97" s="3">
        <v>21.522306026208302</v>
      </c>
      <c r="K97" s="3">
        <v>16.202821230869201</v>
      </c>
      <c r="L97" s="3">
        <v>19.916775436465802</v>
      </c>
      <c r="M97" s="3">
        <v>12.228421848777201</v>
      </c>
      <c r="N97" s="3">
        <v>11.715804815000199</v>
      </c>
    </row>
    <row r="98" spans="1:14" x14ac:dyDescent="0.35">
      <c r="A98" s="2">
        <v>44624</v>
      </c>
      <c r="B98" s="3">
        <v>35.319449426687299</v>
      </c>
      <c r="C98" s="3">
        <v>15.704104198327</v>
      </c>
      <c r="D98" s="3">
        <v>15.241983480751999</v>
      </c>
      <c r="E98" s="3">
        <v>12.3151823487368</v>
      </c>
      <c r="F98" s="3">
        <v>14.640346171094301</v>
      </c>
      <c r="G98" s="3">
        <v>18.328104130979401</v>
      </c>
      <c r="H98" s="3">
        <v>12.409122246847501</v>
      </c>
      <c r="I98" s="3">
        <v>26.557727857498399</v>
      </c>
      <c r="J98" s="3">
        <v>20.661468337946101</v>
      </c>
      <c r="K98" s="3">
        <v>15.234886430007</v>
      </c>
      <c r="L98" s="3">
        <v>18.119072078258501</v>
      </c>
      <c r="M98" s="3">
        <v>11.515294993104099</v>
      </c>
      <c r="N98" s="3">
        <v>10.4791778418614</v>
      </c>
    </row>
    <row r="99" spans="1:14" x14ac:dyDescent="0.35">
      <c r="A99" s="2">
        <v>44655</v>
      </c>
      <c r="B99" s="3">
        <v>34.741925874808501</v>
      </c>
      <c r="C99" s="3">
        <v>15.781130181971699</v>
      </c>
      <c r="D99" s="3">
        <v>15.045709860289501</v>
      </c>
      <c r="E99" s="3">
        <v>12.465603536923201</v>
      </c>
      <c r="F99" s="3">
        <v>14.6116925315626</v>
      </c>
      <c r="G99" s="3">
        <v>18.6536954456422</v>
      </c>
      <c r="H99" s="3">
        <v>12.2767964995758</v>
      </c>
      <c r="I99" s="3">
        <v>26.968072895230101</v>
      </c>
      <c r="J99" s="3">
        <v>20.746891638384799</v>
      </c>
      <c r="K99" s="3">
        <v>15.234935589868501</v>
      </c>
      <c r="L99" s="3">
        <v>18.644275206439801</v>
      </c>
      <c r="M99" s="3">
        <v>12.168180508706101</v>
      </c>
      <c r="N99" s="3">
        <v>10.5554692981079</v>
      </c>
    </row>
    <row r="100" spans="1:14" x14ac:dyDescent="0.35">
      <c r="A100" s="2">
        <v>44685</v>
      </c>
      <c r="B100" s="3">
        <v>34.750001245318401</v>
      </c>
      <c r="C100" s="3">
        <v>15.342430660064</v>
      </c>
      <c r="D100" s="3">
        <v>14.6099308225907</v>
      </c>
      <c r="E100" s="3">
        <v>12.1852535335843</v>
      </c>
      <c r="F100" s="3">
        <v>14.334825468141</v>
      </c>
      <c r="G100" s="3">
        <v>18.3624085092782</v>
      </c>
      <c r="H100" s="3">
        <v>11.932733400719201</v>
      </c>
      <c r="I100" s="3">
        <v>26.1860660335728</v>
      </c>
      <c r="J100" s="3">
        <v>20.229438369476799</v>
      </c>
      <c r="K100" s="3">
        <v>14.725375778856501</v>
      </c>
      <c r="L100" s="3">
        <v>18.1797984189955</v>
      </c>
      <c r="M100" s="3">
        <v>12.191336926332299</v>
      </c>
      <c r="N100" s="3">
        <v>10.292489485923801</v>
      </c>
    </row>
    <row r="101" spans="1:14" x14ac:dyDescent="0.35">
      <c r="A101" s="2">
        <v>44715</v>
      </c>
      <c r="B101" s="3">
        <v>33.679915348789102</v>
      </c>
      <c r="C101" s="3">
        <v>15.018466191485899</v>
      </c>
      <c r="D101" s="3">
        <v>14.263986808508699</v>
      </c>
      <c r="E101" s="3">
        <v>12.139573669484401</v>
      </c>
      <c r="F101" s="3">
        <v>14.254353299997801</v>
      </c>
      <c r="G101" s="3">
        <v>18.144834936701901</v>
      </c>
      <c r="H101" s="3">
        <v>11.6970434956876</v>
      </c>
      <c r="I101" s="3">
        <v>25.236945724813001</v>
      </c>
      <c r="J101" s="3">
        <v>19.6695178267227</v>
      </c>
      <c r="K101" s="3">
        <v>14.3780231570392</v>
      </c>
      <c r="L101" s="3">
        <v>18.538485549879301</v>
      </c>
      <c r="M101" s="3">
        <v>13.863057704497701</v>
      </c>
      <c r="N101" s="3">
        <v>9.9698620191019103</v>
      </c>
    </row>
    <row r="102" spans="1:14" x14ac:dyDescent="0.35">
      <c r="A102" s="2">
        <v>44743</v>
      </c>
      <c r="B102" s="3">
        <v>32.770681768836198</v>
      </c>
      <c r="C102" s="3">
        <v>13.9861244999995</v>
      </c>
      <c r="D102" s="3">
        <v>13.4335584086702</v>
      </c>
      <c r="E102" s="3">
        <v>11.3778626798294</v>
      </c>
      <c r="F102" s="3">
        <v>13.756236283568899</v>
      </c>
      <c r="G102" s="3">
        <v>17.572476822033099</v>
      </c>
      <c r="H102" s="3">
        <v>11.100034995698801</v>
      </c>
      <c r="I102" s="3">
        <v>24.1734814448847</v>
      </c>
      <c r="J102" s="3">
        <v>18.821682458801799</v>
      </c>
      <c r="K102" s="3">
        <v>13.529017828393799</v>
      </c>
      <c r="L102" s="3">
        <v>18.014375807422901</v>
      </c>
      <c r="M102" s="3">
        <v>13.306934669457499</v>
      </c>
      <c r="N102" s="3">
        <v>9.3205218249476491</v>
      </c>
    </row>
    <row r="103" spans="1:14" x14ac:dyDescent="0.35">
      <c r="A103" s="2">
        <v>44777</v>
      </c>
      <c r="B103" s="3">
        <v>33.5775303159554</v>
      </c>
      <c r="C103" s="3">
        <v>14.4611487327522</v>
      </c>
      <c r="D103" s="3">
        <v>13.2266529697451</v>
      </c>
      <c r="E103" s="3">
        <v>11.525619394588899</v>
      </c>
      <c r="F103" s="3">
        <v>13.887363272891699</v>
      </c>
      <c r="G103" s="3">
        <v>18.354704123947698</v>
      </c>
      <c r="H103" s="3">
        <v>10.8978553522272</v>
      </c>
      <c r="I103" s="3">
        <v>26.051474507689498</v>
      </c>
      <c r="J103" s="3">
        <v>19.3781930881383</v>
      </c>
      <c r="K103" s="3">
        <v>13.3308948560946</v>
      </c>
      <c r="L103" s="3">
        <v>19.852173791377201</v>
      </c>
      <c r="M103" s="3">
        <v>14.6692892459779</v>
      </c>
      <c r="N103" s="3">
        <v>8.9582662640401907</v>
      </c>
    </row>
    <row r="104" spans="1:14" x14ac:dyDescent="0.35">
      <c r="A104" s="2">
        <v>44806</v>
      </c>
      <c r="B104" s="3">
        <v>34.272559961336398</v>
      </c>
      <c r="C104" s="3">
        <v>14.130471376196001</v>
      </c>
      <c r="D104" s="3">
        <v>12.770141994763801</v>
      </c>
      <c r="E104" s="3">
        <v>10.7948767853942</v>
      </c>
      <c r="F104" s="3">
        <v>13.668607787922101</v>
      </c>
      <c r="G104" s="3">
        <v>17.901274099508701</v>
      </c>
      <c r="H104" s="3">
        <v>10.275909798449399</v>
      </c>
      <c r="I104" s="3">
        <v>24.488897986318001</v>
      </c>
      <c r="J104" s="3">
        <v>18.543543501192001</v>
      </c>
      <c r="K104" s="3">
        <v>12.541437890707201</v>
      </c>
      <c r="L104" s="3">
        <v>18.444319438954899</v>
      </c>
      <c r="M104" s="3">
        <v>14.477134960003299</v>
      </c>
      <c r="N104" s="3">
        <v>8.5164120764443805</v>
      </c>
    </row>
    <row r="105" spans="1:14" x14ac:dyDescent="0.35">
      <c r="A105" s="2">
        <v>44838</v>
      </c>
      <c r="B105" s="3">
        <v>31.783756240272101</v>
      </c>
      <c r="C105" s="3">
        <v>13.5754002565179</v>
      </c>
      <c r="D105" s="3">
        <v>12.5512527258382</v>
      </c>
      <c r="E105" s="3">
        <v>10.408465911053501</v>
      </c>
      <c r="F105" s="3">
        <v>13.287552296982501</v>
      </c>
      <c r="G105" s="3">
        <v>17.343049962054302</v>
      </c>
      <c r="H105" s="3">
        <v>9.7195087066351</v>
      </c>
      <c r="I105" s="3">
        <v>23.5367120069021</v>
      </c>
      <c r="J105" s="3">
        <v>17.914649761712798</v>
      </c>
      <c r="K105" s="3">
        <v>11.810797436425</v>
      </c>
      <c r="L105" s="3">
        <v>17.9172716472711</v>
      </c>
      <c r="M105" s="3">
        <v>14.946528997305499</v>
      </c>
      <c r="N105" s="3">
        <v>8.2369752737346804</v>
      </c>
    </row>
    <row r="106" spans="1:14" x14ac:dyDescent="0.35">
      <c r="A106" s="2">
        <v>44869</v>
      </c>
      <c r="B106" s="3">
        <v>31.270870535386099</v>
      </c>
      <c r="C106" s="3">
        <v>13.520799388873501</v>
      </c>
      <c r="D106" s="3">
        <v>12.425173540975701</v>
      </c>
      <c r="E106" s="3">
        <v>10.5726579554231</v>
      </c>
      <c r="F106" s="3">
        <v>13.172881463802501</v>
      </c>
      <c r="G106" s="3">
        <v>18.691592554717701</v>
      </c>
      <c r="H106" s="3">
        <v>9.6052821879484096</v>
      </c>
      <c r="I106" s="3">
        <v>22.3801722673231</v>
      </c>
      <c r="J106" s="3">
        <v>17.668321750034099</v>
      </c>
      <c r="K106" s="3">
        <v>11.9131296249617</v>
      </c>
      <c r="L106" s="3">
        <v>17.413983299214699</v>
      </c>
      <c r="M106" s="3">
        <v>13.5804089834813</v>
      </c>
      <c r="N106" s="3">
        <v>8.2530279911071105</v>
      </c>
    </row>
    <row r="107" spans="1:14" x14ac:dyDescent="0.35">
      <c r="A107" s="2">
        <v>44897</v>
      </c>
      <c r="B107" s="3">
        <v>29.939964850498502</v>
      </c>
      <c r="C107" s="3">
        <v>14.4123445577826</v>
      </c>
      <c r="D107" s="3">
        <v>12.884439154145699</v>
      </c>
      <c r="E107" s="3">
        <v>11.0712193373567</v>
      </c>
      <c r="F107" s="3">
        <v>13.3674585326689</v>
      </c>
      <c r="G107" s="3">
        <v>19.9699113012793</v>
      </c>
      <c r="H107" s="3">
        <v>9.9880876774812997</v>
      </c>
      <c r="I107" s="3">
        <v>24.0273413937452</v>
      </c>
      <c r="J107" s="3">
        <v>18.618234210003699</v>
      </c>
      <c r="K107" s="3">
        <v>12.224129592205101</v>
      </c>
      <c r="L107" s="3">
        <v>18.449923731403601</v>
      </c>
      <c r="M107" s="3">
        <v>14.5317646340623</v>
      </c>
      <c r="N107" s="3">
        <v>7.8833570699169897</v>
      </c>
    </row>
    <row r="108" spans="1:14" x14ac:dyDescent="0.35">
      <c r="A108" s="2">
        <v>44930</v>
      </c>
      <c r="B108" s="3">
        <v>29.3527122128299</v>
      </c>
      <c r="C108" s="3">
        <v>13.905794948117499</v>
      </c>
      <c r="D108" s="3">
        <v>12.152346087162201</v>
      </c>
      <c r="E108" s="3">
        <v>10.908270139891799</v>
      </c>
      <c r="F108" s="3">
        <v>12.5921996315016</v>
      </c>
      <c r="G108" s="3">
        <v>20.882484926032699</v>
      </c>
      <c r="H108" s="3">
        <v>9.7355198610133105</v>
      </c>
      <c r="I108" s="3">
        <v>22.650393980093501</v>
      </c>
      <c r="J108" s="3">
        <v>17.491096160864998</v>
      </c>
      <c r="K108" s="3">
        <v>11.995427886330599</v>
      </c>
      <c r="L108" s="3">
        <v>18.534012883159999</v>
      </c>
      <c r="M108" s="3">
        <v>15.9798805263351</v>
      </c>
      <c r="N108" s="3">
        <v>7.7163429242846497</v>
      </c>
    </row>
    <row r="109" spans="1:14" x14ac:dyDescent="0.35">
      <c r="A109" s="2">
        <v>44960</v>
      </c>
      <c r="B109" s="3">
        <v>30.223410882039499</v>
      </c>
      <c r="C109" s="3">
        <v>14.9855807887684</v>
      </c>
      <c r="D109" s="3">
        <v>12.920473763008401</v>
      </c>
      <c r="E109" s="3">
        <v>11.759315906175001</v>
      </c>
      <c r="F109" s="3">
        <v>13.392159995095099</v>
      </c>
      <c r="G109" s="3">
        <v>20.818452300651</v>
      </c>
      <c r="H109" s="3">
        <v>10.098265639405099</v>
      </c>
      <c r="I109" s="3">
        <v>26.241355892589699</v>
      </c>
      <c r="J109" s="3">
        <v>18.810006379886001</v>
      </c>
      <c r="K109" s="3">
        <v>13.108060970018199</v>
      </c>
      <c r="L109" s="3">
        <v>19.876085652651501</v>
      </c>
      <c r="M109" s="3">
        <v>27.301263807458799</v>
      </c>
      <c r="N109" s="3">
        <v>8.1886299510881102</v>
      </c>
    </row>
    <row r="110" spans="1:14" x14ac:dyDescent="0.35">
      <c r="A110" s="2">
        <v>44988</v>
      </c>
      <c r="B110" s="3">
        <v>29.485417354161498</v>
      </c>
      <c r="C110" s="3">
        <v>14.2712508232755</v>
      </c>
      <c r="D110" s="3">
        <v>12.6284457678431</v>
      </c>
      <c r="E110" s="3">
        <v>11.376044513660201</v>
      </c>
      <c r="F110" s="3">
        <v>13.691833476037299</v>
      </c>
      <c r="G110" s="3">
        <v>20.687398725881799</v>
      </c>
      <c r="H110" s="3">
        <v>10.2641849383081</v>
      </c>
      <c r="I110" s="3">
        <v>25.3131845910093</v>
      </c>
      <c r="J110" s="3">
        <v>18.1092429863217</v>
      </c>
      <c r="K110" s="3">
        <v>12.9301910233758</v>
      </c>
      <c r="L110" s="3">
        <v>20.6609920433194</v>
      </c>
      <c r="M110" s="3">
        <v>25.587867127929499</v>
      </c>
      <c r="N110" s="3">
        <v>8.3207785911434797</v>
      </c>
    </row>
    <row r="111" spans="1:14" x14ac:dyDescent="0.35">
      <c r="A111" s="2">
        <v>45020</v>
      </c>
      <c r="B111" s="3">
        <v>28.868625310172501</v>
      </c>
      <c r="C111" s="3">
        <v>14.284765133320599</v>
      </c>
      <c r="D111" s="3">
        <v>12.685728456823</v>
      </c>
      <c r="E111" s="3">
        <v>11.379367706424301</v>
      </c>
      <c r="F111" s="3">
        <v>13.689004024108799</v>
      </c>
      <c r="G111" s="3">
        <v>20.379672010571699</v>
      </c>
      <c r="H111" s="3">
        <v>10.2866241362122</v>
      </c>
      <c r="I111" s="3">
        <v>25.6456716768616</v>
      </c>
      <c r="J111" s="3">
        <v>18.220060630466602</v>
      </c>
      <c r="K111" s="3">
        <v>13.0297512075537</v>
      </c>
      <c r="L111" s="3">
        <v>20.293939400901401</v>
      </c>
      <c r="M111" s="3">
        <v>24.2816103482016</v>
      </c>
      <c r="N111" s="3">
        <v>8.3110489194993296</v>
      </c>
    </row>
    <row r="112" spans="1:14" x14ac:dyDescent="0.35">
      <c r="A112" s="2">
        <v>45050</v>
      </c>
      <c r="B112" s="3">
        <v>28.425899159662201</v>
      </c>
      <c r="C112" s="3">
        <v>14.276591375431099</v>
      </c>
      <c r="D112" s="3">
        <v>12.732878599603399</v>
      </c>
      <c r="E112" s="3">
        <v>11.348596859965401</v>
      </c>
      <c r="F112" s="3">
        <v>13.819139565126999</v>
      </c>
      <c r="G112" s="3">
        <v>20.2674700435334</v>
      </c>
      <c r="H112" s="3">
        <v>10.3415245221316</v>
      </c>
      <c r="I112" s="3">
        <v>25.5096258270577</v>
      </c>
      <c r="J112" s="3">
        <v>18.179709675602101</v>
      </c>
      <c r="K112" s="3">
        <v>13.1373582551883</v>
      </c>
      <c r="L112" s="3">
        <v>19.6967258701068</v>
      </c>
      <c r="M112" s="3">
        <v>23.1207610830261</v>
      </c>
      <c r="N112" s="3">
        <v>8.2853168655710991</v>
      </c>
    </row>
    <row r="113" spans="1:25" x14ac:dyDescent="0.35">
      <c r="A113" s="2">
        <v>45079</v>
      </c>
      <c r="B113" s="3">
        <v>26.870361171647499</v>
      </c>
      <c r="C113" s="3">
        <v>14.3006014082232</v>
      </c>
      <c r="D113" s="3">
        <v>12.894574518691</v>
      </c>
      <c r="E113" s="3">
        <v>11.2754704877331</v>
      </c>
      <c r="F113" s="3">
        <v>14.1522161462409</v>
      </c>
      <c r="G113" s="3">
        <v>19.682957909162099</v>
      </c>
      <c r="H113" s="3">
        <v>10.304006490982101</v>
      </c>
      <c r="I113" s="3">
        <v>26.5757854525081</v>
      </c>
      <c r="J113" s="3">
        <v>18.606360190426301</v>
      </c>
      <c r="K113" s="3">
        <v>13.1285247139165</v>
      </c>
      <c r="L113" s="3">
        <v>19.446139034044901</v>
      </c>
      <c r="M113" s="3">
        <v>22.008261050246201</v>
      </c>
      <c r="N113" s="3">
        <v>8.4117543314041097</v>
      </c>
    </row>
    <row r="114" spans="1:25" x14ac:dyDescent="0.35">
      <c r="A114" s="2">
        <v>45110</v>
      </c>
      <c r="B114" s="3">
        <v>26.0517820790492</v>
      </c>
      <c r="C114" s="3">
        <v>14.655881954381901</v>
      </c>
      <c r="D114" s="3">
        <v>13.051981126626</v>
      </c>
      <c r="E114" s="3">
        <v>11.273303724594999</v>
      </c>
      <c r="F114" s="3">
        <v>14.7090818256062</v>
      </c>
      <c r="G114" s="3">
        <v>19.218578108898399</v>
      </c>
      <c r="H114" s="3">
        <v>10.3638248279089</v>
      </c>
      <c r="I114" s="3">
        <v>27.3341887206319</v>
      </c>
      <c r="J114" s="3">
        <v>19.1667197855834</v>
      </c>
      <c r="K114" s="3">
        <v>13.2964918046797</v>
      </c>
      <c r="L114" s="3">
        <v>19.258559813949901</v>
      </c>
      <c r="M114" s="3">
        <v>20.774918861494498</v>
      </c>
      <c r="N114" s="3">
        <v>8.6335889734295801</v>
      </c>
    </row>
    <row r="115" spans="1:25" x14ac:dyDescent="0.35">
      <c r="A115" s="2">
        <v>45142</v>
      </c>
      <c r="B115" s="3">
        <v>25.197104982112499</v>
      </c>
      <c r="C115" s="3">
        <v>14.978178529504</v>
      </c>
      <c r="D115" s="3">
        <v>13.414617895090601</v>
      </c>
      <c r="E115" s="3">
        <v>11.2131397350068</v>
      </c>
      <c r="F115" s="3">
        <v>14.5578975443107</v>
      </c>
      <c r="G115" s="3">
        <v>19.0270390276626</v>
      </c>
      <c r="H115" s="3">
        <v>10.5555070069723</v>
      </c>
      <c r="I115" s="3">
        <v>26.555960997088999</v>
      </c>
      <c r="J115" s="3">
        <v>19.378678941287401</v>
      </c>
      <c r="K115" s="3">
        <v>13.2909101033577</v>
      </c>
      <c r="L115" s="3">
        <v>18.730528670512101</v>
      </c>
      <c r="M115" s="3">
        <v>19.234564745521201</v>
      </c>
      <c r="N115" s="3">
        <v>8.3045536066359507</v>
      </c>
    </row>
    <row r="116" spans="1:25" x14ac:dyDescent="0.35">
      <c r="A116" s="2">
        <v>45170</v>
      </c>
      <c r="B116" s="3">
        <v>24.818406143067701</v>
      </c>
      <c r="C116" s="3">
        <v>15.1076587386803</v>
      </c>
      <c r="D116" s="3">
        <v>13.659225175889</v>
      </c>
      <c r="E116" s="3">
        <v>11.253688853490299</v>
      </c>
      <c r="F116" s="3">
        <v>14.8741794062796</v>
      </c>
      <c r="G116" s="3">
        <v>18.889653619785602</v>
      </c>
      <c r="H116" s="3">
        <v>10.5145387085705</v>
      </c>
      <c r="I116" s="3">
        <v>26.7887987504424</v>
      </c>
      <c r="J116" s="3">
        <v>19.587019151683801</v>
      </c>
      <c r="K116" s="3">
        <v>13.278602425706101</v>
      </c>
      <c r="L116" s="3">
        <v>17.820357709535099</v>
      </c>
      <c r="M116" s="3">
        <v>17.937565729231402</v>
      </c>
      <c r="N116" s="3">
        <v>8.3880642204020202</v>
      </c>
    </row>
    <row r="117" spans="1:25" x14ac:dyDescent="0.35">
      <c r="A117" s="2">
        <v>45203</v>
      </c>
      <c r="B117" s="3">
        <v>23.610177616577602</v>
      </c>
      <c r="C117" s="3">
        <v>14.420119345221501</v>
      </c>
      <c r="D117" s="3">
        <v>13.013337585511801</v>
      </c>
      <c r="E117" s="3">
        <v>10.899025483074301</v>
      </c>
      <c r="F117" s="3">
        <v>14.317336687563699</v>
      </c>
      <c r="G117" s="3">
        <v>18.0787234076674</v>
      </c>
      <c r="H117" s="3">
        <v>10.3397515321361</v>
      </c>
      <c r="I117" s="3">
        <v>26.043014846667798</v>
      </c>
      <c r="J117" s="3">
        <v>18.995722101280599</v>
      </c>
      <c r="K117" s="3">
        <v>12.775905660240999</v>
      </c>
      <c r="L117" s="3">
        <v>16.4676396322084</v>
      </c>
      <c r="M117" s="3">
        <v>16.332120371565999</v>
      </c>
      <c r="N117" s="3">
        <v>8.0769508552021794</v>
      </c>
    </row>
    <row r="118" spans="1:25" x14ac:dyDescent="0.35">
      <c r="A118" s="2">
        <v>45233</v>
      </c>
      <c r="B118" s="3">
        <v>22.814491832974198</v>
      </c>
      <c r="C118" s="3">
        <v>14.880567845816801</v>
      </c>
      <c r="D118" s="3">
        <v>13.483793899887299</v>
      </c>
      <c r="E118" s="3">
        <v>10.911738891519599</v>
      </c>
      <c r="F118" s="3">
        <v>14.8536727885133</v>
      </c>
      <c r="G118" s="3">
        <v>17.781378892101699</v>
      </c>
      <c r="H118" s="3">
        <v>10.528969728042201</v>
      </c>
      <c r="I118" s="3">
        <v>26.372785604866099</v>
      </c>
      <c r="J118" s="3">
        <v>19.5028656496435</v>
      </c>
      <c r="K118" s="3">
        <v>12.8915689332472</v>
      </c>
      <c r="L118" s="3">
        <v>16.2116791058262</v>
      </c>
      <c r="M118" s="3">
        <v>15.9296626937602</v>
      </c>
      <c r="N118" s="3">
        <v>8.2032424666784198</v>
      </c>
    </row>
    <row r="119" spans="1:25" x14ac:dyDescent="0.35">
      <c r="A119" s="2">
        <v>45264</v>
      </c>
      <c r="B119" s="3">
        <v>23.3584069441211</v>
      </c>
      <c r="C119" s="3">
        <v>15.345833021568399</v>
      </c>
      <c r="D119" s="3">
        <v>13.9992623852342</v>
      </c>
      <c r="E119" s="3">
        <v>11.7001414582429</v>
      </c>
      <c r="F119" s="3">
        <v>15.1415704234524</v>
      </c>
      <c r="G119" s="3">
        <v>18.038188476555</v>
      </c>
      <c r="H119" s="3">
        <v>10.895624594221699</v>
      </c>
      <c r="I119" s="3">
        <v>27.4927757370683</v>
      </c>
      <c r="J119" s="3">
        <v>20.4955035062471</v>
      </c>
      <c r="K119" s="3">
        <v>13.5232540025799</v>
      </c>
      <c r="L119" s="3">
        <v>16.360229712203399</v>
      </c>
      <c r="M119" s="3">
        <v>17.488417688932898</v>
      </c>
      <c r="N119" s="3">
        <v>8.6420456407522295</v>
      </c>
    </row>
    <row r="120" spans="1:25" x14ac:dyDescent="0.35">
      <c r="A120" s="2">
        <v>45295</v>
      </c>
      <c r="B120" s="3">
        <v>23.9134298258823</v>
      </c>
      <c r="C120" s="3">
        <v>16.281278026307501</v>
      </c>
      <c r="D120" s="3">
        <v>14.545982374381699</v>
      </c>
      <c r="E120" s="3">
        <v>11.8457155388963</v>
      </c>
      <c r="F120" s="3">
        <v>15.345037969181901</v>
      </c>
      <c r="G120" s="3">
        <v>18.472128375570801</v>
      </c>
      <c r="H120" s="3">
        <v>11.3242206018346</v>
      </c>
      <c r="I120" s="3">
        <v>28.194790734378799</v>
      </c>
      <c r="J120" s="3">
        <v>21.365681505201</v>
      </c>
      <c r="K120" s="3">
        <v>13.9274118681353</v>
      </c>
      <c r="L120" s="3">
        <v>16.240698661506901</v>
      </c>
      <c r="M120" s="3">
        <v>17.473383756246601</v>
      </c>
      <c r="N120" s="3">
        <v>8.8938263749870199</v>
      </c>
    </row>
    <row r="121" spans="1:25" x14ac:dyDescent="0.35">
      <c r="A121" s="2">
        <v>45324</v>
      </c>
      <c r="B121" s="3">
        <v>23.416418503694</v>
      </c>
      <c r="C121" s="3">
        <v>16.642716893394098</v>
      </c>
      <c r="D121" s="3">
        <v>14.671380298364699</v>
      </c>
      <c r="E121" s="3">
        <v>12.0554418597325</v>
      </c>
      <c r="F121" s="3">
        <v>16.4037625286871</v>
      </c>
      <c r="G121" s="3">
        <v>18.598007005147402</v>
      </c>
      <c r="H121" s="3">
        <v>11.2541048853349</v>
      </c>
      <c r="I121" s="3">
        <v>30.013034128618099</v>
      </c>
      <c r="J121" s="3">
        <v>22.399123039941902</v>
      </c>
      <c r="K121" s="3">
        <v>14.397823926312601</v>
      </c>
      <c r="L121" s="3">
        <v>17.434532551420698</v>
      </c>
      <c r="M121" s="3">
        <v>15.219355465780501</v>
      </c>
      <c r="N121" s="3">
        <v>9.0844682599550506</v>
      </c>
    </row>
    <row r="122" spans="1:25" x14ac:dyDescent="0.35">
      <c r="A122" s="2">
        <v>45350</v>
      </c>
      <c r="B122" s="3">
        <v>23.459614811881</v>
      </c>
      <c r="C122" s="3">
        <v>16.610720154775901</v>
      </c>
      <c r="D122" s="3">
        <v>14.9493033489384</v>
      </c>
      <c r="E122" s="3">
        <v>12.523338539867099</v>
      </c>
      <c r="F122" s="3">
        <v>17.280068746085199</v>
      </c>
      <c r="G122" s="3">
        <v>19.4309739173937</v>
      </c>
      <c r="H122" s="3">
        <v>11.454612829537901</v>
      </c>
      <c r="I122" s="3">
        <v>30.375391462082501</v>
      </c>
      <c r="J122" s="3">
        <v>23.155143878480999</v>
      </c>
      <c r="K122" s="3">
        <v>15.733975837784</v>
      </c>
      <c r="L122" s="3">
        <v>18.9241627294926</v>
      </c>
      <c r="M122" s="3">
        <v>15.7591493478474</v>
      </c>
      <c r="N122" s="3">
        <v>9.2703103829421707</v>
      </c>
    </row>
    <row r="124" spans="1:25" x14ac:dyDescent="0.35">
      <c r="A124" s="2" t="s">
        <v>95</v>
      </c>
      <c r="B124" s="3" cm="1">
        <f t="array" ref="B124">MIN(_xlfn._xlws.FILTER(B1:B122, ISNUMBER(B1:B122)))</f>
        <v>17.872677820667899</v>
      </c>
      <c r="C124" s="3" cm="1">
        <f t="array" ref="C124">MIN(_xlfn._xlws.FILTER(C1:C122, ISNUMBER(C1:C122)))</f>
        <v>13.520799388873501</v>
      </c>
      <c r="D124" s="3" cm="1">
        <f t="array" ref="D124">MIN(_xlfn._xlws.FILTER(D1:D122, ISNUMBER(D1:D122)))</f>
        <v>12.152346087162201</v>
      </c>
      <c r="E124" s="3" cm="1">
        <f t="array" ref="E124">MIN(_xlfn._xlws.FILTER(E1:E122, ISNUMBER(E1:E122)))</f>
        <v>10.408465911053501</v>
      </c>
      <c r="F124" s="3" cm="1">
        <f t="array" ref="F124">MIN(_xlfn._xlws.FILTER(F1:F122, ISNUMBER(F1:F122)))</f>
        <v>11.291793147776801</v>
      </c>
      <c r="G124" s="3" cm="1">
        <f t="array" ref="G124">MIN(_xlfn._xlws.FILTER(G1:G122, ISNUMBER(G1:G122)))</f>
        <v>16.4991314313888</v>
      </c>
      <c r="H124" s="3" cm="1">
        <f t="array" ref="H124">MIN(_xlfn._xlws.FILTER(H1:H122, ISNUMBER(H1:H122)))</f>
        <v>9.6052821879484096</v>
      </c>
      <c r="I124" s="3" cm="1">
        <f t="array" ref="I124">MIN(_xlfn._xlws.FILTER(I1:I122, ISNUMBER(I1:I122)))</f>
        <v>18.251666686771301</v>
      </c>
      <c r="J124" s="3" cm="1">
        <f t="array" ref="J124">MIN(_xlfn._xlws.FILTER(J1:J122, ISNUMBER(J1:J122)))</f>
        <v>15.661848882611499</v>
      </c>
      <c r="K124" s="3" cm="1">
        <f t="array" ref="K124">MIN(_xlfn._xlws.FILTER(K1:K122, ISNUMBER(K1:K122)))</f>
        <v>11.810797436425</v>
      </c>
      <c r="L124" s="3" cm="1">
        <f t="array" ref="L124">MIN(_xlfn._xlws.FILTER(L1:L122, ISNUMBER(L1:L122)))</f>
        <v>14.3128616096014</v>
      </c>
      <c r="M124" s="3" cm="1">
        <f t="array" ref="M124">MIN(_xlfn._xlws.FILTER(M1:M122, ISNUMBER(M1:M122)))</f>
        <v>11.515294993104099</v>
      </c>
      <c r="N124" s="3" cm="1">
        <f t="array" ref="N124">MIN(_xlfn._xlws.FILTER(N1:N122, ISNUMBER(N1:N122)))</f>
        <v>7.7163429242846497</v>
      </c>
    </row>
    <row r="125" spans="1:25" x14ac:dyDescent="0.35">
      <c r="A125" s="2" t="s">
        <v>96</v>
      </c>
      <c r="B125" s="3" cm="1">
        <f t="array" ref="B125">MAX(_xlfn._xlws.FILTER(B1:B122, ISNUMBER(B1:B122)))</f>
        <v>39.311091988785101</v>
      </c>
      <c r="C125" s="3" cm="1">
        <f t="array" ref="C125">MAX(_xlfn._xlws.FILTER(C1:C122, ISNUMBER(C1:C122)))</f>
        <v>23.267319444057101</v>
      </c>
      <c r="D125" s="3" cm="1">
        <f t="array" ref="D125">MAX(_xlfn._xlws.FILTER(D1:D122, ISNUMBER(D1:D122)))</f>
        <v>20.864144309244701</v>
      </c>
      <c r="E125" s="3" cm="1">
        <f t="array" ref="E125">MAX(_xlfn._xlws.FILTER(E1:E122, ISNUMBER(E1:E122)))</f>
        <v>22.0574672671701</v>
      </c>
      <c r="F125" s="3" cm="1">
        <f t="array" ref="F125">MAX(_xlfn._xlws.FILTER(F1:F122, ISNUMBER(F1:F122)))</f>
        <v>23.438364386591001</v>
      </c>
      <c r="G125" s="3" cm="1">
        <f t="array" ref="G125">MAX(_xlfn._xlws.FILTER(G1:G122, ISNUMBER(G1:G122)))</f>
        <v>22.102822423398699</v>
      </c>
      <c r="H125" s="3" cm="1">
        <f t="array" ref="H125">MAX(_xlfn._xlws.FILTER(H1:H122, ISNUMBER(H1:H122)))</f>
        <v>19.8964655402159</v>
      </c>
      <c r="I125" s="3" cm="1">
        <f t="array" ref="I125">MAX(_xlfn._xlws.FILTER(I1:I122, ISNUMBER(I1:I122)))</f>
        <v>35.131854599239297</v>
      </c>
      <c r="J125" s="3" cm="1">
        <f t="array" ref="J125">MAX(_xlfn._xlws.FILTER(J1:J122, ISNUMBER(J1:J122)))</f>
        <v>27.1482501290524</v>
      </c>
      <c r="K125" s="3" cm="1">
        <f t="array" ref="K125">MAX(_xlfn._xlws.FILTER(K1:K122, ISNUMBER(K1:K122)))</f>
        <v>28.930734103927399</v>
      </c>
      <c r="L125" s="3" cm="1">
        <f t="array" ref="L125">MAX(_xlfn._xlws.FILTER(L1:L122, ISNUMBER(L1:L122)))</f>
        <v>28.7739830691593</v>
      </c>
      <c r="M125" s="3" cm="1">
        <f t="array" ref="M125">MAX(_xlfn._xlws.FILTER(M1:M122, ISNUMBER(M1:M122)))</f>
        <v>27.301263807458799</v>
      </c>
      <c r="N125" s="3" cm="1">
        <f t="array" ref="N125">MAX(_xlfn._xlws.FILTER(N1:N122, ISNUMBER(N1:N122)))</f>
        <v>85.356461563519105</v>
      </c>
    </row>
    <row r="127" spans="1:25" x14ac:dyDescent="0.35">
      <c r="A127" s="2" t="s">
        <v>97</v>
      </c>
      <c r="B127" s="9" cm="1">
        <f t="array" ref="B127">_xlfn.PERCENTRANK.EXC(_xlfn._xlws.FILTER(B1:B122, ISNUMBER(B1:B122)),B121)</f>
        <v>0.5</v>
      </c>
      <c r="C127" s="9" cm="1">
        <f t="array" ref="C127">_xlfn.PERCENTRANK.EXC(_xlfn._xlws.FILTER(C1:C122, ISNUMBER(C1:C122)),C121)</f>
        <v>0.67200000000000004</v>
      </c>
      <c r="D127" s="9" cm="1">
        <f t="array" ref="D127">_xlfn.PERCENTRANK.EXC(_xlfn._xlws.FILTER(D1:D122, ISNUMBER(D1:D122)),D121)</f>
        <v>0.27800000000000002</v>
      </c>
      <c r="E127" s="9" cm="1">
        <f t="array" ref="E127">_xlfn.PERCENTRANK.EXC(_xlfn._xlws.FILTER(E1:E122, ISNUMBER(E1:E122)),E121)</f>
        <v>0.16300000000000001</v>
      </c>
      <c r="F127" s="9" cm="1">
        <f t="array" ref="F127">_xlfn.PERCENTRANK.EXC(_xlfn._xlws.FILTER(F1:F122, ISNUMBER(F1:F122)),F121)</f>
        <v>0.76200000000000001</v>
      </c>
      <c r="G127" s="9" cm="1">
        <f t="array" ref="G127">_xlfn.PERCENTRANK.EXC(_xlfn._xlws.FILTER(G1:G122, ISNUMBER(G1:G122)),G121)</f>
        <v>0.51600000000000001</v>
      </c>
      <c r="H127" s="9" cm="1">
        <f t="array" ref="H127">_xlfn.PERCENTRANK.EXC(_xlfn._xlws.FILTER(H1:H122, ISNUMBER(H1:H122)),H121)</f>
        <v>0.155</v>
      </c>
      <c r="I127" s="9" cm="1">
        <f t="array" ref="I127">_xlfn.PERCENTRANK.EXC(_xlfn._xlws.FILTER(I1:I122, ISNUMBER(I1:I122)),I121)</f>
        <v>0.85199999999999998</v>
      </c>
      <c r="J127" s="9" cm="1">
        <f t="array" ref="J127">_xlfn.PERCENTRANK.EXC(_xlfn._xlws.FILTER(J1:J122, ISNUMBER(J1:J122)),J121)</f>
        <v>0.84399999999999997</v>
      </c>
      <c r="K127" s="9" cm="1">
        <f t="array" ref="K127">_xlfn.PERCENTRANK.EXC(_xlfn._xlws.FILTER(K1:K122, ISNUMBER(K1:K122)),K121)</f>
        <v>0.22900000000000001</v>
      </c>
      <c r="L127" s="9" cm="1">
        <f t="array" ref="L127">_xlfn.PERCENTRANK.EXC(_xlfn._xlws.FILTER(L1:L122, ISNUMBER(L1:L122)),L121)</f>
        <v>0.52400000000000002</v>
      </c>
      <c r="M127" s="9" cm="1">
        <f t="array" ref="M127">_xlfn.PERCENTRANK.EXC(_xlfn._xlws.FILTER(M1:M122, ISNUMBER(M1:M122)),M121)</f>
        <v>0.155</v>
      </c>
      <c r="N127" s="9" cm="1">
        <f t="array" ref="N127">_xlfn.PERCENTRANK.EXC(_xlfn._xlws.FILTER(N1:N122, ISNUMBER(N1:N122)),N121)</f>
        <v>0.155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122">_xll.FDS(B1,"JULIAN(FMA_DIV_YLD(NTMA,-10AY,0,AM,""PORTAGG"",""MEANR"").dates)")</f>
        <v>41702</v>
      </c>
      <c r="B2" s="3" cm="1">
        <f t="array" ref="B2:B122">_xll.FDS(B1,"FMA_PE(NTMA,-10AY,0,AM,""PORTAGG"",""MEANR"")")</f>
        <v>17.170831821094101</v>
      </c>
      <c r="C2" s="3" cm="1">
        <f t="array" ref="C2:C122">_xll.FDS(C1,"FMA_PE(NTMA,-10AY,0,AM,""PORTAGG"",""MEANR"")")</f>
        <v>14.0429499239715</v>
      </c>
      <c r="D2" s="3" cm="1">
        <f t="array" ref="D2:D122">_xll.FDS(D1,"FMA_PE(NTMA,-10AY,0,AM,""PORTAGG"",""MEANR"")")</f>
        <v>15.1848495345244</v>
      </c>
      <c r="E2" s="3" cm="1">
        <f t="array" ref="E2:E122">_xll.FDS(E1,"FMA_PE(NTMA,-10AY,0,AM,""PORTAGG"",""MEANR"")")</f>
        <v>13.197591529511399</v>
      </c>
      <c r="F2" s="3" cm="1">
        <f t="array" ref="F2:F122">_xll.FDS(F1,"FMA_PE(NTMA,-10AY,0,AM,""PORTAGG"",""MEANR"")")</f>
        <v>13.386322245771799</v>
      </c>
      <c r="G2" s="3" cm="1">
        <f t="array" ref="G2:G122">_xll.FDS(G1,"FMA_PE(NTMA,-10AY,0,AM,""PORTAGG"",""MEANR"")")</f>
        <v>16.001479867624699</v>
      </c>
      <c r="H2" s="3" cm="1">
        <f t="array" ref="H2:H122">_xll.FDS(H1,"FMA_PE(NTMA,-10AY,0,AM,""PORTAGG"",""MEANR"")")</f>
        <v>13.3879048451949</v>
      </c>
      <c r="I2" s="3" cm="1">
        <f t="array" ref="I2:I122">_xll.FDS(I1,"FMA_PE(NTMA,-10AY,0,AM,""PORTAGG"",""MEANR"")")</f>
        <v>17.827374023040498</v>
      </c>
      <c r="J2" s="3" cm="1">
        <f t="array" ref="J2:J122">_xll.FDS(J1,"FMA_PE(NTMA,-10AY,0,AM,""PORTAGG"",""MEANR"")")</f>
        <v>15.122313061407599</v>
      </c>
      <c r="K2" s="3" cm="1">
        <f t="array" ref="K2:K122">_xll.FDS(K1,"FMA_PE(NTMA,-10AY,0,AM,""PORTAGG"",""MEANR"")")</f>
        <v>13.805259924252701</v>
      </c>
      <c r="L2" s="3" cm="1">
        <f t="array" ref="L2:L122">_xll.FDS(L1,"FMA_PE(NTMA,-10AY,0,AM,""PORTAGG"",""MEANR"")")</f>
        <v>14.213566058397401</v>
      </c>
      <c r="M2" s="3" cm="1">
        <f t="array" ref="M2:M122">_xll.FDS(M1,"FMA_PE(NTMA,-10AY,0,AM,""PORTAGG"",""MEANR"")")</f>
        <v>15.914580697831701</v>
      </c>
      <c r="N2" s="3" cm="1">
        <f t="array" ref="N2:N122">_xll.FDS(N1,"FMA_PE(NTMA,-10AY,0,AM,""PORTAGG"",""MEANR"")")</f>
        <v>12.9689501999363</v>
      </c>
    </row>
    <row r="3" spans="1:14" x14ac:dyDescent="0.35">
      <c r="A3" s="2">
        <v>41733</v>
      </c>
      <c r="B3" s="3">
        <v>17.277783017521301</v>
      </c>
      <c r="C3" s="3">
        <v>14.2984806195286</v>
      </c>
      <c r="D3" s="3">
        <v>14.984612367152801</v>
      </c>
      <c r="E3" s="3">
        <v>13.2413961484875</v>
      </c>
      <c r="F3" s="3">
        <v>13.4367439253404</v>
      </c>
      <c r="G3" s="3">
        <v>16.082729583948701</v>
      </c>
      <c r="H3" s="3">
        <v>13.246267781816901</v>
      </c>
      <c r="I3" s="3">
        <v>16.876151636883002</v>
      </c>
      <c r="J3" s="3">
        <v>15.003679825443699</v>
      </c>
      <c r="K3" s="3">
        <v>14.0521966377966</v>
      </c>
      <c r="L3" s="3">
        <v>14.418707515667</v>
      </c>
      <c r="M3" s="3">
        <v>15.9093508116535</v>
      </c>
      <c r="N3" s="3">
        <v>14.221259502154201</v>
      </c>
    </row>
    <row r="4" spans="1:14" x14ac:dyDescent="0.35">
      <c r="A4" s="2">
        <v>41761</v>
      </c>
      <c r="B4" s="3">
        <v>17.732776643829599</v>
      </c>
      <c r="C4" s="3">
        <v>14.272151506525599</v>
      </c>
      <c r="D4" s="3">
        <v>15.041731315027899</v>
      </c>
      <c r="E4" s="3">
        <v>13.0187563084919</v>
      </c>
      <c r="F4" s="3">
        <v>13.0292388408046</v>
      </c>
      <c r="G4" s="3">
        <v>16.189017613505602</v>
      </c>
      <c r="H4" s="3">
        <v>13.6001519615146</v>
      </c>
      <c r="I4" s="3">
        <v>16.676264867038199</v>
      </c>
      <c r="J4" s="3">
        <v>14.9807407222394</v>
      </c>
      <c r="K4" s="3">
        <v>14.017625601842701</v>
      </c>
      <c r="L4" s="3">
        <v>14.045131680247501</v>
      </c>
      <c r="M4" s="3">
        <v>15.644408150570399</v>
      </c>
      <c r="N4" s="3">
        <v>14.0708482211635</v>
      </c>
    </row>
    <row r="5" spans="1:14" x14ac:dyDescent="0.35">
      <c r="A5" s="2">
        <v>41794</v>
      </c>
      <c r="B5" s="3">
        <v>17.144372887401399</v>
      </c>
      <c r="C5" s="3">
        <v>14.177547108890099</v>
      </c>
      <c r="D5" s="3">
        <v>14.7787197898888</v>
      </c>
      <c r="E5" s="3">
        <v>13.304279949030899</v>
      </c>
      <c r="F5" s="3">
        <v>13.586848241800899</v>
      </c>
      <c r="G5" s="3">
        <v>16.3312494359756</v>
      </c>
      <c r="H5" s="3">
        <v>13.6100937018736</v>
      </c>
      <c r="I5" s="3">
        <v>17.183610319884998</v>
      </c>
      <c r="J5" s="3">
        <v>15.2064681803441</v>
      </c>
      <c r="K5" s="3">
        <v>14.2166335785692</v>
      </c>
      <c r="L5" s="3">
        <v>14.380056728040699</v>
      </c>
      <c r="M5" s="3">
        <v>15.853796393959</v>
      </c>
      <c r="N5" s="3">
        <v>14.171662550339599</v>
      </c>
    </row>
    <row r="6" spans="1:14" x14ac:dyDescent="0.35">
      <c r="A6" s="2">
        <v>41823</v>
      </c>
      <c r="B6" s="3">
        <v>17.320410063219999</v>
      </c>
      <c r="C6" s="3">
        <v>14.470144161433</v>
      </c>
      <c r="D6" s="3">
        <v>15.1112937218677</v>
      </c>
      <c r="E6" s="3">
        <v>13.331470047934101</v>
      </c>
      <c r="F6" s="3">
        <v>13.9379781926158</v>
      </c>
      <c r="G6" s="3">
        <v>16.2902501563557</v>
      </c>
      <c r="H6" s="3">
        <v>13.829542586351799</v>
      </c>
      <c r="I6" s="3">
        <v>17.765650288348201</v>
      </c>
      <c r="J6" s="3">
        <v>15.5382568404618</v>
      </c>
      <c r="K6" s="3">
        <v>14.1361001037127</v>
      </c>
      <c r="L6" s="3">
        <v>14.761088915433501</v>
      </c>
      <c r="M6" s="3">
        <v>15.849388564138501</v>
      </c>
      <c r="N6" s="3">
        <v>14.7785325321067</v>
      </c>
    </row>
    <row r="7" spans="1:14" x14ac:dyDescent="0.35">
      <c r="A7" s="2">
        <v>41855</v>
      </c>
      <c r="B7" s="3">
        <v>16.9940217661714</v>
      </c>
      <c r="C7" s="3">
        <v>14.7716754991309</v>
      </c>
      <c r="D7" s="3">
        <v>14.9547521407861</v>
      </c>
      <c r="E7" s="3">
        <v>12.251225144289799</v>
      </c>
      <c r="F7" s="3">
        <v>13.737711270388701</v>
      </c>
      <c r="G7" s="3">
        <v>15.6444494198816</v>
      </c>
      <c r="H7" s="3">
        <v>13.4148105526652</v>
      </c>
      <c r="I7" s="3">
        <v>17.257347515903799</v>
      </c>
      <c r="J7" s="3">
        <v>14.950522964994301</v>
      </c>
      <c r="K7" s="3">
        <v>13.2935719873864</v>
      </c>
      <c r="L7" s="3">
        <v>13.729491106385399</v>
      </c>
      <c r="M7" s="3">
        <v>15.163305978965999</v>
      </c>
      <c r="N7" s="3">
        <v>13.639656625980599</v>
      </c>
    </row>
    <row r="8" spans="1:14" x14ac:dyDescent="0.35">
      <c r="A8" s="2">
        <v>41886</v>
      </c>
      <c r="B8" s="3">
        <v>17.265195330417999</v>
      </c>
      <c r="C8" s="3">
        <v>14.890468192002199</v>
      </c>
      <c r="D8" s="3">
        <v>15.197763687283899</v>
      </c>
      <c r="E8" s="3">
        <v>12.881593873859501</v>
      </c>
      <c r="F8" s="3">
        <v>13.7710622815259</v>
      </c>
      <c r="G8" s="3">
        <v>16.3233933019232</v>
      </c>
      <c r="H8" s="3">
        <v>13.603810651615399</v>
      </c>
      <c r="I8" s="3">
        <v>17.7737630113152</v>
      </c>
      <c r="J8" s="3">
        <v>15.2883371364133</v>
      </c>
      <c r="K8" s="3">
        <v>13.952491944265001</v>
      </c>
      <c r="L8" s="3">
        <v>14.765368347774601</v>
      </c>
      <c r="M8" s="3">
        <v>14.7973149005033</v>
      </c>
      <c r="N8" s="3">
        <v>14.379610507255901</v>
      </c>
    </row>
    <row r="9" spans="1:14" x14ac:dyDescent="0.35">
      <c r="A9" s="2">
        <v>41915</v>
      </c>
      <c r="B9" s="3">
        <v>17.081729707762602</v>
      </c>
      <c r="C9" s="3">
        <v>13.9080576011534</v>
      </c>
      <c r="D9" s="3">
        <v>14.313503046320299</v>
      </c>
      <c r="E9" s="3">
        <v>12.1334345673536</v>
      </c>
      <c r="F9" s="3">
        <v>13.605547455641</v>
      </c>
      <c r="G9" s="3">
        <v>15.6369396707244</v>
      </c>
      <c r="H9" s="3">
        <v>12.809954481532101</v>
      </c>
      <c r="I9" s="3">
        <v>17.323363884406401</v>
      </c>
      <c r="J9" s="3">
        <v>14.992569331025701</v>
      </c>
      <c r="K9" s="3">
        <v>13.238198788532401</v>
      </c>
      <c r="L9" s="3">
        <v>14.396212173604701</v>
      </c>
      <c r="M9" s="3">
        <v>14.330609895646401</v>
      </c>
      <c r="N9" s="3">
        <v>13.2073275393212</v>
      </c>
    </row>
    <row r="10" spans="1:14" x14ac:dyDescent="0.35">
      <c r="A10" s="2">
        <v>41947</v>
      </c>
      <c r="B10" s="3">
        <v>17.737166875901401</v>
      </c>
      <c r="C10" s="3">
        <v>14.547157267694599</v>
      </c>
      <c r="D10" s="3">
        <v>14.129754335385099</v>
      </c>
      <c r="E10" s="3">
        <v>12.101190478682</v>
      </c>
      <c r="F10" s="3">
        <v>14.385529974717899</v>
      </c>
      <c r="G10" s="3">
        <v>15.749968674561099</v>
      </c>
      <c r="H10" s="3">
        <v>12.9963935824226</v>
      </c>
      <c r="I10" s="3">
        <v>17.717556975878701</v>
      </c>
      <c r="J10" s="3">
        <v>15.4304658501201</v>
      </c>
      <c r="K10" s="3">
        <v>12.901313762166</v>
      </c>
      <c r="L10" s="3">
        <v>14.413597307275399</v>
      </c>
      <c r="M10" s="3">
        <v>15.137990493779901</v>
      </c>
      <c r="N10" s="3">
        <v>12.301998011983001</v>
      </c>
    </row>
    <row r="11" spans="1:14" x14ac:dyDescent="0.35">
      <c r="A11" s="2">
        <v>41977</v>
      </c>
      <c r="B11" s="3">
        <v>18.0608533316646</v>
      </c>
      <c r="C11" s="3">
        <v>14.1094730853552</v>
      </c>
      <c r="D11" s="3">
        <v>14.643075003724899</v>
      </c>
      <c r="E11" s="3">
        <v>12.9784780253541</v>
      </c>
      <c r="F11" s="3">
        <v>14.7442469456248</v>
      </c>
      <c r="G11" s="3">
        <v>16.1132691477113</v>
      </c>
      <c r="H11" s="3">
        <v>13.678915263518901</v>
      </c>
      <c r="I11" s="3">
        <v>18.141039074066502</v>
      </c>
      <c r="J11" s="3">
        <v>15.9120558211944</v>
      </c>
      <c r="K11" s="3">
        <v>13.788459463817601</v>
      </c>
      <c r="L11" s="3">
        <v>15.043931683191399</v>
      </c>
      <c r="M11" s="3">
        <v>15.568126688950001</v>
      </c>
      <c r="N11" s="3">
        <v>12.8090566763635</v>
      </c>
    </row>
    <row r="12" spans="1:14" x14ac:dyDescent="0.35">
      <c r="A12" s="2">
        <v>42006</v>
      </c>
      <c r="B12" s="3">
        <v>18.361301367891201</v>
      </c>
      <c r="C12" s="3">
        <v>14.6262194220997</v>
      </c>
      <c r="D12" s="3">
        <v>15.6006677092602</v>
      </c>
      <c r="E12" s="3">
        <v>12.7825272234926</v>
      </c>
      <c r="F12" s="3">
        <v>14.2217382053288</v>
      </c>
      <c r="G12" s="3">
        <v>15.655050190752901</v>
      </c>
      <c r="H12" s="3">
        <v>13.727401882670399</v>
      </c>
      <c r="I12" s="3">
        <v>17.408571989658899</v>
      </c>
      <c r="J12" s="3">
        <v>15.96244162404</v>
      </c>
      <c r="K12" s="3">
        <v>13.728956554690701</v>
      </c>
      <c r="L12" s="3">
        <v>14.741588188038101</v>
      </c>
      <c r="M12" s="3">
        <v>15.580527381065</v>
      </c>
      <c r="N12" s="3">
        <v>12.346541166952401</v>
      </c>
    </row>
    <row r="13" spans="1:14" x14ac:dyDescent="0.35">
      <c r="A13" s="2">
        <v>42039</v>
      </c>
      <c r="B13" s="3">
        <v>19.1543353677596</v>
      </c>
      <c r="C13" s="3">
        <v>15.758257082408999</v>
      </c>
      <c r="D13" s="3">
        <v>16.885003116495898</v>
      </c>
      <c r="E13" s="3">
        <v>14.2377605787583</v>
      </c>
      <c r="F13" s="3">
        <v>14.062991963230999</v>
      </c>
      <c r="G13" s="3">
        <v>16.777412614649698</v>
      </c>
      <c r="H13" s="3">
        <v>15.3846640106728</v>
      </c>
      <c r="I13" s="3">
        <v>17.229708117219801</v>
      </c>
      <c r="J13" s="3">
        <v>16.419523643282002</v>
      </c>
      <c r="K13" s="3">
        <v>15.6072248759</v>
      </c>
      <c r="L13" s="3">
        <v>15.701901897913601</v>
      </c>
      <c r="M13" s="3">
        <v>16.2558739834123</v>
      </c>
      <c r="N13" s="3">
        <v>14.279310912139801</v>
      </c>
    </row>
    <row r="14" spans="1:14" x14ac:dyDescent="0.35">
      <c r="A14" s="2">
        <v>42067</v>
      </c>
      <c r="B14" s="3">
        <v>19.224989027910901</v>
      </c>
      <c r="C14" s="3">
        <v>16.220909830015</v>
      </c>
      <c r="D14" s="3">
        <v>17.275152160771501</v>
      </c>
      <c r="E14" s="3">
        <v>14.810235578268999</v>
      </c>
      <c r="F14" s="3">
        <v>15.042022178197399</v>
      </c>
      <c r="G14" s="3">
        <v>17.4604084112256</v>
      </c>
      <c r="H14" s="3">
        <v>15.654369136802501</v>
      </c>
      <c r="I14" s="3">
        <v>18.086785969897999</v>
      </c>
      <c r="J14" s="3">
        <v>16.8445898768855</v>
      </c>
      <c r="K14" s="3">
        <v>16.248165188512999</v>
      </c>
      <c r="L14" s="3">
        <v>17.0136250070939</v>
      </c>
      <c r="M14" s="3">
        <v>17.0672706736385</v>
      </c>
      <c r="N14" s="3">
        <v>15.261026514140401</v>
      </c>
    </row>
    <row r="15" spans="1:14" x14ac:dyDescent="0.35">
      <c r="A15" s="2">
        <v>42096</v>
      </c>
      <c r="B15" s="3">
        <v>18.4899205739579</v>
      </c>
      <c r="C15" s="3">
        <v>16.2523775221701</v>
      </c>
      <c r="D15" s="3">
        <v>17.097597827314299</v>
      </c>
      <c r="E15" s="3">
        <v>15.401928977175</v>
      </c>
      <c r="F15" s="3">
        <v>15.3071373737643</v>
      </c>
      <c r="G15" s="3">
        <v>17.700005445857901</v>
      </c>
      <c r="H15" s="3">
        <v>15.477416127627899</v>
      </c>
      <c r="I15" s="3">
        <v>17.593070299862401</v>
      </c>
      <c r="J15" s="3">
        <v>16.4721081381795</v>
      </c>
      <c r="K15" s="3">
        <v>16.6037523299544</v>
      </c>
      <c r="L15" s="3">
        <v>17.294174076805898</v>
      </c>
      <c r="M15" s="3">
        <v>17.021679845371601</v>
      </c>
      <c r="N15" s="3">
        <v>15.938831017770701</v>
      </c>
    </row>
    <row r="16" spans="1:14" x14ac:dyDescent="0.35">
      <c r="A16" s="2">
        <v>42128</v>
      </c>
      <c r="B16" s="3">
        <v>18.231946256455799</v>
      </c>
      <c r="C16" s="3">
        <v>16.301695757440999</v>
      </c>
      <c r="D16" s="3">
        <v>17.366506483799501</v>
      </c>
      <c r="E16" s="3">
        <v>14.7151395759407</v>
      </c>
      <c r="F16" s="3">
        <v>15.6441413428259</v>
      </c>
      <c r="G16" s="3">
        <v>17.762976621413902</v>
      </c>
      <c r="H16" s="3">
        <v>15.972838466675601</v>
      </c>
      <c r="I16" s="3">
        <v>18.015092180585</v>
      </c>
      <c r="J16" s="3">
        <v>16.740091994410399</v>
      </c>
      <c r="K16" s="3">
        <v>16.3992254777522</v>
      </c>
      <c r="L16" s="3">
        <v>16.953885787657601</v>
      </c>
      <c r="M16" s="3">
        <v>15.877094921673899</v>
      </c>
      <c r="N16" s="3">
        <v>15.8914442549752</v>
      </c>
    </row>
    <row r="17" spans="1:14" x14ac:dyDescent="0.35">
      <c r="A17" s="2">
        <v>42159</v>
      </c>
      <c r="B17" s="3">
        <v>18.363659313208501</v>
      </c>
      <c r="C17" s="3">
        <v>15.163826306837199</v>
      </c>
      <c r="D17" s="3">
        <v>16.545935584455499</v>
      </c>
      <c r="E17" s="3">
        <v>13.9827588432228</v>
      </c>
      <c r="F17" s="3">
        <v>16.2402418749483</v>
      </c>
      <c r="G17" s="3">
        <v>17.670979949733699</v>
      </c>
      <c r="H17" s="3">
        <v>15.7411798929428</v>
      </c>
      <c r="I17" s="3">
        <v>17.9005573941926</v>
      </c>
      <c r="J17" s="3">
        <v>16.4352487804838</v>
      </c>
      <c r="K17" s="3">
        <v>16.024036046837999</v>
      </c>
      <c r="L17" s="3">
        <v>16.729748523358801</v>
      </c>
      <c r="M17" s="3">
        <v>16.238114587951198</v>
      </c>
      <c r="N17" s="3">
        <v>15.504508213939401</v>
      </c>
    </row>
    <row r="18" spans="1:14" x14ac:dyDescent="0.35">
      <c r="A18" s="2">
        <v>42187</v>
      </c>
      <c r="B18" s="3">
        <v>18.228977258252399</v>
      </c>
      <c r="C18" s="3">
        <v>15.484137540631099</v>
      </c>
      <c r="D18" s="3">
        <v>15.9393195822104</v>
      </c>
      <c r="E18" s="3">
        <v>13.519098478916799</v>
      </c>
      <c r="F18" s="3">
        <v>15.540953649367101</v>
      </c>
      <c r="G18" s="3">
        <v>17.041634530551001</v>
      </c>
      <c r="H18" s="3">
        <v>15.1399987260779</v>
      </c>
      <c r="I18" s="3">
        <v>17.621617023977699</v>
      </c>
      <c r="J18" s="3">
        <v>16.216784793952801</v>
      </c>
      <c r="K18" s="3">
        <v>15.323708489622801</v>
      </c>
      <c r="L18" s="3">
        <v>16.320336337111801</v>
      </c>
      <c r="M18" s="3">
        <v>15.585678649782899</v>
      </c>
      <c r="N18" s="3">
        <v>14.8304003267738</v>
      </c>
    </row>
    <row r="19" spans="1:14" x14ac:dyDescent="0.35">
      <c r="A19" s="2">
        <v>42220</v>
      </c>
      <c r="B19" s="3">
        <v>18.429339623773501</v>
      </c>
      <c r="C19" s="3">
        <v>15.720442235802301</v>
      </c>
      <c r="D19" s="3">
        <v>15.664994309432799</v>
      </c>
      <c r="E19" s="3">
        <v>13.908947876891601</v>
      </c>
      <c r="F19" s="3">
        <v>15.504078923164201</v>
      </c>
      <c r="G19" s="3">
        <v>17.8002882082395</v>
      </c>
      <c r="H19" s="3">
        <v>15.3639445839631</v>
      </c>
      <c r="I19" s="3">
        <v>18.5221636330891</v>
      </c>
      <c r="J19" s="3">
        <v>16.343795439558299</v>
      </c>
      <c r="K19" s="3">
        <v>15.852868404515901</v>
      </c>
      <c r="L19" s="3">
        <v>16.9682422223256</v>
      </c>
      <c r="M19" s="3">
        <v>15.897407851451099</v>
      </c>
      <c r="N19" s="3">
        <v>15.3796391842502</v>
      </c>
    </row>
    <row r="20" spans="1:14" x14ac:dyDescent="0.35">
      <c r="A20" s="2">
        <v>42251</v>
      </c>
      <c r="B20" s="3">
        <v>17.201582431403299</v>
      </c>
      <c r="C20" s="3">
        <v>13.999494154228</v>
      </c>
      <c r="D20" s="3">
        <v>14.501702845761001</v>
      </c>
      <c r="E20" s="3">
        <v>12.1909707472067</v>
      </c>
      <c r="F20" s="3">
        <v>13.330865773667099</v>
      </c>
      <c r="G20" s="3">
        <v>16.2301395906278</v>
      </c>
      <c r="H20" s="3">
        <v>13.877903735428299</v>
      </c>
      <c r="I20" s="3">
        <v>16.8907951485815</v>
      </c>
      <c r="J20" s="3">
        <v>14.9541919634132</v>
      </c>
      <c r="K20" s="3">
        <v>13.9508657899878</v>
      </c>
      <c r="L20" s="3">
        <v>14.666453654185201</v>
      </c>
      <c r="M20" s="3">
        <v>14.533771387087601</v>
      </c>
      <c r="N20" s="3">
        <v>14.0801466921182</v>
      </c>
    </row>
    <row r="21" spans="1:14" x14ac:dyDescent="0.35">
      <c r="A21" s="2">
        <v>42279</v>
      </c>
      <c r="B21" s="3">
        <v>16.970063539864601</v>
      </c>
      <c r="C21" s="3">
        <v>14.2968851204463</v>
      </c>
      <c r="D21" s="3">
        <v>14.4606031738619</v>
      </c>
      <c r="E21" s="3">
        <v>11.756789812537599</v>
      </c>
      <c r="F21" s="3">
        <v>13.291897807468899</v>
      </c>
      <c r="G21" s="3">
        <v>16.005431541492801</v>
      </c>
      <c r="H21" s="3">
        <v>14.481413155393099</v>
      </c>
      <c r="I21" s="3">
        <v>17.1770994663732</v>
      </c>
      <c r="J21" s="3">
        <v>15.211116793077</v>
      </c>
      <c r="K21" s="3">
        <v>13.8827690699177</v>
      </c>
      <c r="L21" s="3">
        <v>14.341953096562801</v>
      </c>
      <c r="M21" s="3">
        <v>14.1462302046591</v>
      </c>
      <c r="N21" s="3">
        <v>13.9538705482463</v>
      </c>
    </row>
    <row r="22" spans="1:14" x14ac:dyDescent="0.35">
      <c r="A22" s="2">
        <v>42312</v>
      </c>
      <c r="B22" s="3">
        <v>18.281642230111299</v>
      </c>
      <c r="C22" s="3">
        <v>15.093278417169</v>
      </c>
      <c r="D22" s="3">
        <v>14.882950130352</v>
      </c>
      <c r="E22" s="3">
        <v>13.440165690491201</v>
      </c>
      <c r="F22" s="3">
        <v>14.2206006581181</v>
      </c>
      <c r="G22" s="3">
        <v>17.062357324389801</v>
      </c>
      <c r="H22" s="3">
        <v>15.5046791699104</v>
      </c>
      <c r="I22" s="3">
        <v>18.8384360337357</v>
      </c>
      <c r="J22" s="3">
        <v>16.4782347854965</v>
      </c>
      <c r="K22" s="3">
        <v>15.291530202536199</v>
      </c>
      <c r="L22" s="3">
        <v>16.078528391647001</v>
      </c>
      <c r="M22" s="3">
        <v>15.763869512456401</v>
      </c>
      <c r="N22" s="3">
        <v>14.7557754064176</v>
      </c>
    </row>
    <row r="23" spans="1:14" x14ac:dyDescent="0.35">
      <c r="A23" s="2">
        <v>42342</v>
      </c>
      <c r="B23" s="3">
        <v>18.187763749564901</v>
      </c>
      <c r="C23" s="3">
        <v>15.064781264345999</v>
      </c>
      <c r="D23" s="3">
        <v>14.511625669886399</v>
      </c>
      <c r="E23" s="3">
        <v>13.4161150303784</v>
      </c>
      <c r="F23" s="3">
        <v>14.4319964693314</v>
      </c>
      <c r="G23" s="3">
        <v>16.832632172650399</v>
      </c>
      <c r="H23" s="3">
        <v>15.088114860837999</v>
      </c>
      <c r="I23" s="3">
        <v>18.834437339354299</v>
      </c>
      <c r="J23" s="3">
        <v>16.3317084868427</v>
      </c>
      <c r="K23" s="3">
        <v>14.7690731045913</v>
      </c>
      <c r="L23" s="3">
        <v>15.7565480733989</v>
      </c>
      <c r="M23" s="3">
        <v>15.301358425341</v>
      </c>
      <c r="N23" s="3">
        <v>14.540204273177199</v>
      </c>
    </row>
    <row r="24" spans="1:14" x14ac:dyDescent="0.35">
      <c r="A24" s="2">
        <v>42373</v>
      </c>
      <c r="B24" s="3">
        <v>18.270797959941898</v>
      </c>
      <c r="C24" s="3">
        <v>15.638430311815499</v>
      </c>
      <c r="D24" s="3">
        <v>14.0062456600066</v>
      </c>
      <c r="E24" s="3">
        <v>12.769735320723401</v>
      </c>
      <c r="F24" s="3">
        <v>13.7050380709808</v>
      </c>
      <c r="G24" s="3">
        <v>16.504508931524299</v>
      </c>
      <c r="H24" s="3">
        <v>14.8304301394075</v>
      </c>
      <c r="I24" s="3">
        <v>18.0523968620675</v>
      </c>
      <c r="J24" s="3">
        <v>15.733689296402099</v>
      </c>
      <c r="K24" s="3">
        <v>14.1752873396429</v>
      </c>
      <c r="L24" s="3">
        <v>15.0388291543828</v>
      </c>
      <c r="M24" s="3">
        <v>14.441325297691201</v>
      </c>
      <c r="N24" s="3">
        <v>13.962065105729501</v>
      </c>
    </row>
    <row r="25" spans="1:14" x14ac:dyDescent="0.35">
      <c r="A25" s="2">
        <v>42404</v>
      </c>
      <c r="B25" s="3">
        <v>17.3112897676038</v>
      </c>
      <c r="C25" s="3">
        <v>15.3262496654408</v>
      </c>
      <c r="D25" s="3">
        <v>14.514040335873601</v>
      </c>
      <c r="E25" s="3">
        <v>11.8890557245468</v>
      </c>
      <c r="F25" s="3">
        <v>12.705472408040899</v>
      </c>
      <c r="G25" s="3">
        <v>16.1298041746557</v>
      </c>
      <c r="H25" s="3">
        <v>15.262644725388</v>
      </c>
      <c r="I25" s="3">
        <v>16.845669779338301</v>
      </c>
      <c r="J25" s="3">
        <v>15.5099438140132</v>
      </c>
      <c r="K25" s="3">
        <v>13.722383827646301</v>
      </c>
      <c r="L25" s="3">
        <v>14.604414074734599</v>
      </c>
      <c r="M25" s="3">
        <v>14.62021722787</v>
      </c>
      <c r="N25" s="3">
        <v>12.4521091193606</v>
      </c>
    </row>
    <row r="26" spans="1:14" x14ac:dyDescent="0.35">
      <c r="A26" s="2">
        <v>42433</v>
      </c>
      <c r="B26" s="3">
        <v>18.012496664895099</v>
      </c>
      <c r="C26" s="3">
        <v>15.8199453818539</v>
      </c>
      <c r="D26" s="3">
        <v>15.312131557906699</v>
      </c>
      <c r="E26" s="3">
        <v>12.566368942375901</v>
      </c>
      <c r="F26" s="3">
        <v>13.091878747046399</v>
      </c>
      <c r="G26" s="3">
        <v>16.5832884320209</v>
      </c>
      <c r="H26" s="3">
        <v>16.0190635420138</v>
      </c>
      <c r="I26" s="3">
        <v>17.3457942482943</v>
      </c>
      <c r="J26" s="3">
        <v>15.516736353630501</v>
      </c>
      <c r="K26" s="3">
        <v>14.552085821400899</v>
      </c>
      <c r="L26" s="3">
        <v>15.1896219004673</v>
      </c>
      <c r="M26" s="3">
        <v>15.5575452499885</v>
      </c>
      <c r="N26" s="3">
        <v>13.225005785316499</v>
      </c>
    </row>
    <row r="27" spans="1:14" x14ac:dyDescent="0.35">
      <c r="A27" s="2">
        <v>42464</v>
      </c>
      <c r="B27" s="3">
        <v>18.511243001643699</v>
      </c>
      <c r="C27" s="3">
        <v>15.415935362746</v>
      </c>
      <c r="D27" s="3">
        <v>15.751832330209499</v>
      </c>
      <c r="E27" s="3">
        <v>12.546329277249599</v>
      </c>
      <c r="F27" s="3">
        <v>12.404581664442199</v>
      </c>
      <c r="G27" s="3">
        <v>16.318345393126801</v>
      </c>
      <c r="H27" s="3">
        <v>16.070257569784701</v>
      </c>
      <c r="I27" s="3">
        <v>17.980999100318499</v>
      </c>
      <c r="J27" s="3">
        <v>16.500463546018398</v>
      </c>
      <c r="K27" s="3">
        <v>14.2264950589951</v>
      </c>
      <c r="L27" s="3">
        <v>15.1561427806192</v>
      </c>
      <c r="M27" s="3">
        <v>15.0125542245811</v>
      </c>
      <c r="N27" s="3">
        <v>12.750044869109299</v>
      </c>
    </row>
    <row r="28" spans="1:14" x14ac:dyDescent="0.35">
      <c r="A28" s="2">
        <v>42494</v>
      </c>
      <c r="B28" s="3">
        <v>18.8313003545641</v>
      </c>
      <c r="C28" s="3">
        <v>16.355331972993199</v>
      </c>
      <c r="D28" s="3">
        <v>16.2645752310764</v>
      </c>
      <c r="E28" s="3">
        <v>12.401739073545</v>
      </c>
      <c r="F28" s="3">
        <v>12.4604476329538</v>
      </c>
      <c r="G28" s="3">
        <v>16.3721829444146</v>
      </c>
      <c r="H28" s="3">
        <v>15.7056058055815</v>
      </c>
      <c r="I28" s="3">
        <v>17.325899776908901</v>
      </c>
      <c r="J28" s="3">
        <v>16.522677016730398</v>
      </c>
      <c r="K28" s="3">
        <v>14.1861658824392</v>
      </c>
      <c r="L28" s="3">
        <v>14.603579269760999</v>
      </c>
      <c r="M28" s="3">
        <v>14.8024286787735</v>
      </c>
      <c r="N28" s="3">
        <v>12.9121217132276</v>
      </c>
    </row>
    <row r="29" spans="1:14" x14ac:dyDescent="0.35">
      <c r="A29" s="2">
        <v>42524</v>
      </c>
      <c r="B29" s="3">
        <v>19.492970960307701</v>
      </c>
      <c r="C29" s="3">
        <v>16.2996290566753</v>
      </c>
      <c r="D29" s="3">
        <v>16.726739491341402</v>
      </c>
      <c r="E29" s="3">
        <v>12.5002303711458</v>
      </c>
      <c r="F29" s="3">
        <v>13.4176105000418</v>
      </c>
      <c r="G29" s="3">
        <v>17.057655553676199</v>
      </c>
      <c r="H29" s="3">
        <v>15.774831287017999</v>
      </c>
      <c r="I29" s="3">
        <v>17.9437090657512</v>
      </c>
      <c r="J29" s="3">
        <v>16.592496624068598</v>
      </c>
      <c r="K29" s="3">
        <v>14.318296073521401</v>
      </c>
      <c r="L29" s="3">
        <v>15.0861469584859</v>
      </c>
      <c r="M29" s="3">
        <v>14.7761017947686</v>
      </c>
      <c r="N29" s="3">
        <v>12.7778702479836</v>
      </c>
    </row>
    <row r="30" spans="1:14" x14ac:dyDescent="0.35">
      <c r="A30" s="2">
        <v>42552</v>
      </c>
      <c r="B30" s="3">
        <v>19.059687665176</v>
      </c>
      <c r="C30" s="3">
        <v>15.999973819414</v>
      </c>
      <c r="D30" s="3">
        <v>16.292351603394</v>
      </c>
      <c r="E30" s="3">
        <v>12.0769572673331</v>
      </c>
      <c r="F30" s="3">
        <v>12.681855577317201</v>
      </c>
      <c r="G30" s="3">
        <v>16.895370900134999</v>
      </c>
      <c r="H30" s="3">
        <v>16.1076551566143</v>
      </c>
      <c r="I30" s="3">
        <v>17.709323828794599</v>
      </c>
      <c r="J30" s="3">
        <v>16.527476292901198</v>
      </c>
      <c r="K30" s="3">
        <v>13.698228787221201</v>
      </c>
      <c r="L30" s="3">
        <v>14.211112750830999</v>
      </c>
      <c r="M30" s="3">
        <v>14.6967790020612</v>
      </c>
      <c r="N30" s="3">
        <v>11.8557083830139</v>
      </c>
    </row>
    <row r="31" spans="1:14" x14ac:dyDescent="0.35">
      <c r="A31" s="2">
        <v>42586</v>
      </c>
      <c r="B31" s="3">
        <v>20.081278706949998</v>
      </c>
      <c r="C31" s="3">
        <v>16.490061754545799</v>
      </c>
      <c r="D31" s="3">
        <v>16.3018438352894</v>
      </c>
      <c r="E31" s="3">
        <v>12.590894229682</v>
      </c>
      <c r="F31" s="3">
        <v>12.993005689561</v>
      </c>
      <c r="G31" s="3">
        <v>17.129055077382201</v>
      </c>
      <c r="H31" s="3">
        <v>16.098771573159901</v>
      </c>
      <c r="I31" s="3">
        <v>18.675636268582199</v>
      </c>
      <c r="J31" s="3">
        <v>16.8656648362178</v>
      </c>
      <c r="K31" s="3">
        <v>13.7897973489736</v>
      </c>
      <c r="L31" s="3">
        <v>14.552448163084399</v>
      </c>
      <c r="M31" s="3">
        <v>14.996888471929299</v>
      </c>
      <c r="N31" s="3">
        <v>12.091401373847599</v>
      </c>
    </row>
    <row r="32" spans="1:14" x14ac:dyDescent="0.35">
      <c r="A32" s="2">
        <v>42615</v>
      </c>
      <c r="B32" s="3">
        <v>20.6958794495932</v>
      </c>
      <c r="C32" s="3">
        <v>16.209943809243299</v>
      </c>
      <c r="D32" s="3">
        <v>16.442436133462898</v>
      </c>
      <c r="E32" s="3">
        <v>13.0598123735016</v>
      </c>
      <c r="F32" s="3">
        <v>13.636063568928</v>
      </c>
      <c r="G32" s="3">
        <v>17.441950034232502</v>
      </c>
      <c r="H32" s="3">
        <v>16.273392913453801</v>
      </c>
      <c r="I32" s="3">
        <v>18.589342164540799</v>
      </c>
      <c r="J32" s="3">
        <v>16.835398779399501</v>
      </c>
      <c r="K32" s="3">
        <v>14.265122056874</v>
      </c>
      <c r="L32" s="3">
        <v>15.3407069268504</v>
      </c>
      <c r="M32" s="3">
        <v>15.646165017013701</v>
      </c>
      <c r="N32" s="3">
        <v>12.5206266110849</v>
      </c>
    </row>
    <row r="33" spans="1:14" x14ac:dyDescent="0.35">
      <c r="A33" s="2">
        <v>42647</v>
      </c>
      <c r="B33" s="3">
        <v>20.249767427641402</v>
      </c>
      <c r="C33" s="3">
        <v>16.3576474953088</v>
      </c>
      <c r="D33" s="3">
        <v>15.888629343351599</v>
      </c>
      <c r="E33" s="3">
        <v>13.0103594007285</v>
      </c>
      <c r="F33" s="3">
        <v>13.4009374801389</v>
      </c>
      <c r="G33" s="3">
        <v>17.231113904687099</v>
      </c>
      <c r="H33" s="3">
        <v>15.9883278598237</v>
      </c>
      <c r="I33" s="3">
        <v>18.576040250050202</v>
      </c>
      <c r="J33" s="3">
        <v>16.4998967636805</v>
      </c>
      <c r="K33" s="3">
        <v>13.9989862682257</v>
      </c>
      <c r="L33" s="3">
        <v>15.083030708264801</v>
      </c>
      <c r="M33" s="3">
        <v>15.9178033902776</v>
      </c>
      <c r="N33" s="3">
        <v>11.6898816711743</v>
      </c>
    </row>
    <row r="34" spans="1:14" x14ac:dyDescent="0.35">
      <c r="A34" s="2">
        <v>42678</v>
      </c>
      <c r="B34" s="3">
        <v>18.2150531619003</v>
      </c>
      <c r="C34" s="3">
        <v>15.378315555920301</v>
      </c>
      <c r="D34" s="3">
        <v>15.4998692488029</v>
      </c>
      <c r="E34" s="3">
        <v>12.429103245020601</v>
      </c>
      <c r="F34" s="3">
        <v>13.3340396907029</v>
      </c>
      <c r="G34" s="3">
        <v>16.0822832120136</v>
      </c>
      <c r="H34" s="3">
        <v>14.352261954609901</v>
      </c>
      <c r="I34" s="3">
        <v>17.6296222986152</v>
      </c>
      <c r="J34" s="3">
        <v>15.9314009319239</v>
      </c>
      <c r="K34" s="3">
        <v>13.5104488661513</v>
      </c>
      <c r="L34" s="3">
        <v>14.2561430437559</v>
      </c>
      <c r="M34" s="3">
        <v>15.466357740437999</v>
      </c>
      <c r="N34" s="3">
        <v>11.4746380817115</v>
      </c>
    </row>
    <row r="35" spans="1:14" x14ac:dyDescent="0.35">
      <c r="A35" s="2">
        <v>42706</v>
      </c>
      <c r="B35" s="3">
        <v>18.7150183102484</v>
      </c>
      <c r="C35" s="3">
        <v>15.6786481105494</v>
      </c>
      <c r="D35" s="3">
        <v>15.870162857001301</v>
      </c>
      <c r="E35" s="3">
        <v>12.628264072240301</v>
      </c>
      <c r="F35" s="3">
        <v>14.607022815118899</v>
      </c>
      <c r="G35" s="3">
        <v>16.156219282481501</v>
      </c>
      <c r="H35" s="3">
        <v>14.1545278968975</v>
      </c>
      <c r="I35" s="3">
        <v>17.758664971224199</v>
      </c>
      <c r="J35" s="3">
        <v>16.618730474998099</v>
      </c>
      <c r="K35" s="3">
        <v>13.754137392797499</v>
      </c>
      <c r="L35" s="3">
        <v>14.2262921960439</v>
      </c>
      <c r="M35" s="3">
        <v>15.958798335709</v>
      </c>
      <c r="N35" s="3">
        <v>12.014925970761</v>
      </c>
    </row>
    <row r="36" spans="1:14" x14ac:dyDescent="0.35">
      <c r="A36" s="2">
        <v>42739</v>
      </c>
      <c r="B36" s="3">
        <v>18.743202333322898</v>
      </c>
      <c r="C36" s="3">
        <v>15.997884656999799</v>
      </c>
      <c r="D36" s="3">
        <v>15.9547997177573</v>
      </c>
      <c r="E36" s="3">
        <v>13.731476348109901</v>
      </c>
      <c r="F36" s="3">
        <v>14.969501570019199</v>
      </c>
      <c r="G36" s="3">
        <v>17.015281850257399</v>
      </c>
      <c r="H36" s="3">
        <v>14.4727634305462</v>
      </c>
      <c r="I36" s="3">
        <v>18.3092568721436</v>
      </c>
      <c r="J36" s="3">
        <v>17.0303746810917</v>
      </c>
      <c r="K36" s="3">
        <v>14.646981526403</v>
      </c>
      <c r="L36" s="3">
        <v>15.1317023246567</v>
      </c>
      <c r="M36" s="3">
        <v>16.573313833833801</v>
      </c>
      <c r="N36" s="3">
        <v>13.719863318516399</v>
      </c>
    </row>
    <row r="37" spans="1:14" x14ac:dyDescent="0.35">
      <c r="A37" s="2">
        <v>42769</v>
      </c>
      <c r="B37" s="3">
        <v>19.097519727308299</v>
      </c>
      <c r="C37" s="3">
        <v>15.604276382216399</v>
      </c>
      <c r="D37" s="3">
        <v>16.033292390716699</v>
      </c>
      <c r="E37" s="3">
        <v>13.6655992190853</v>
      </c>
      <c r="F37" s="3">
        <v>14.2633100796732</v>
      </c>
      <c r="G37" s="3">
        <v>17.204900401771202</v>
      </c>
      <c r="H37" s="3">
        <v>14.323683024352601</v>
      </c>
      <c r="I37" s="3">
        <v>19.3094351018213</v>
      </c>
      <c r="J37" s="3">
        <v>17.2007565377716</v>
      </c>
      <c r="K37" s="3">
        <v>14.3369487502949</v>
      </c>
      <c r="L37" s="3">
        <v>15.149034735206101</v>
      </c>
      <c r="M37" s="3">
        <v>16.522706413097701</v>
      </c>
      <c r="N37" s="3">
        <v>12.9864369833174</v>
      </c>
    </row>
    <row r="38" spans="1:14" x14ac:dyDescent="0.35">
      <c r="A38" s="2">
        <v>42797</v>
      </c>
      <c r="B38" s="3">
        <v>19.017623096239799</v>
      </c>
      <c r="C38" s="3">
        <v>15.7107518687991</v>
      </c>
      <c r="D38" s="3">
        <v>16.077133112621301</v>
      </c>
      <c r="E38" s="3">
        <v>13.9620892654792</v>
      </c>
      <c r="F38" s="3">
        <v>14.3112752079332</v>
      </c>
      <c r="G38" s="3">
        <v>17.643489495656301</v>
      </c>
      <c r="H38" s="3">
        <v>14.4688844653649</v>
      </c>
      <c r="I38" s="3">
        <v>20.140545311978599</v>
      </c>
      <c r="J38" s="3">
        <v>17.791847820694901</v>
      </c>
      <c r="K38" s="3">
        <v>14.5341399191049</v>
      </c>
      <c r="L38" s="3">
        <v>15.800917185007901</v>
      </c>
      <c r="M38" s="3">
        <v>16.488603046213001</v>
      </c>
      <c r="N38" s="3">
        <v>13.371524252714501</v>
      </c>
    </row>
    <row r="39" spans="1:14" x14ac:dyDescent="0.35">
      <c r="A39" s="2">
        <v>42829</v>
      </c>
      <c r="B39" s="3">
        <v>19.1385579728599</v>
      </c>
      <c r="C39" s="3">
        <v>15.7971870856378</v>
      </c>
      <c r="D39" s="3">
        <v>15.9550378675498</v>
      </c>
      <c r="E39" s="3">
        <v>14.0249595864931</v>
      </c>
      <c r="F39" s="3">
        <v>13.683027461808599</v>
      </c>
      <c r="G39" s="3">
        <v>17.367332852079102</v>
      </c>
      <c r="H39" s="3">
        <v>14.379498191023201</v>
      </c>
      <c r="I39" s="3">
        <v>20.1382279659144</v>
      </c>
      <c r="J39" s="3">
        <v>17.463997274476601</v>
      </c>
      <c r="K39" s="3">
        <v>14.832272985131601</v>
      </c>
      <c r="L39" s="3">
        <v>16.004248380464102</v>
      </c>
      <c r="M39" s="3">
        <v>16.912848251041101</v>
      </c>
      <c r="N39" s="3">
        <v>13.5088662528605</v>
      </c>
    </row>
    <row r="40" spans="1:14" x14ac:dyDescent="0.35">
      <c r="A40" s="2">
        <v>42859</v>
      </c>
      <c r="B40" s="3">
        <v>19.440890327048699</v>
      </c>
      <c r="C40" s="3">
        <v>15.7802607224412</v>
      </c>
      <c r="D40" s="3">
        <v>15.4897636098004</v>
      </c>
      <c r="E40" s="3">
        <v>14.045779537743</v>
      </c>
      <c r="F40" s="3">
        <v>14.022043726296699</v>
      </c>
      <c r="G40" s="3">
        <v>17.9660531629</v>
      </c>
      <c r="H40" s="3">
        <v>14.353416523760099</v>
      </c>
      <c r="I40" s="3">
        <v>20.5772292550812</v>
      </c>
      <c r="J40" s="3">
        <v>17.458706630920499</v>
      </c>
      <c r="K40" s="3">
        <v>15.466103676515599</v>
      </c>
      <c r="L40" s="3">
        <v>16.608385598705802</v>
      </c>
      <c r="M40" s="3">
        <v>17.181824200497299</v>
      </c>
      <c r="N40" s="3">
        <v>13.7067949014255</v>
      </c>
    </row>
    <row r="41" spans="1:14" x14ac:dyDescent="0.35">
      <c r="A41" s="2">
        <v>42888</v>
      </c>
      <c r="B41" s="3">
        <v>19.480954592760799</v>
      </c>
      <c r="C41" s="3">
        <v>15.399654337939999</v>
      </c>
      <c r="D41" s="3">
        <v>15.5123585292512</v>
      </c>
      <c r="E41" s="3">
        <v>13.929161446858</v>
      </c>
      <c r="F41" s="3">
        <v>14.617758926844701</v>
      </c>
      <c r="G41" s="3">
        <v>18.2644958815692</v>
      </c>
      <c r="H41" s="3">
        <v>14.841669767300401</v>
      </c>
      <c r="I41" s="3">
        <v>21.202752457200699</v>
      </c>
      <c r="J41" s="3">
        <v>17.669984548328699</v>
      </c>
      <c r="K41" s="3">
        <v>15.2634708736995</v>
      </c>
      <c r="L41" s="3">
        <v>16.396469374384999</v>
      </c>
      <c r="M41" s="3">
        <v>18.0717772891166</v>
      </c>
      <c r="N41" s="3">
        <v>13.3007485007019</v>
      </c>
    </row>
    <row r="42" spans="1:14" x14ac:dyDescent="0.35">
      <c r="A42" s="2">
        <v>42919</v>
      </c>
      <c r="B42" s="3">
        <v>19.456501860026901</v>
      </c>
      <c r="C42" s="3">
        <v>15.317527928068399</v>
      </c>
      <c r="D42" s="3">
        <v>15.2185526976216</v>
      </c>
      <c r="E42" s="3">
        <v>13.4368981466052</v>
      </c>
      <c r="F42" s="3">
        <v>14.2554982317049</v>
      </c>
      <c r="G42" s="3">
        <v>17.876956641645801</v>
      </c>
      <c r="H42" s="3">
        <v>14.5138786965978</v>
      </c>
      <c r="I42" s="3">
        <v>19.8547435220406</v>
      </c>
      <c r="J42" s="3">
        <v>17.445586242440498</v>
      </c>
      <c r="K42" s="3">
        <v>14.759932603357999</v>
      </c>
      <c r="L42" s="3">
        <v>15.750105564231299</v>
      </c>
      <c r="M42" s="3">
        <v>16.669716021188901</v>
      </c>
      <c r="N42" s="3">
        <v>13.2911156316648</v>
      </c>
    </row>
    <row r="43" spans="1:14" x14ac:dyDescent="0.35">
      <c r="A43" s="2">
        <v>42951</v>
      </c>
      <c r="B43" s="3">
        <v>19.818418566855801</v>
      </c>
      <c r="C43" s="3">
        <v>15.6506028945661</v>
      </c>
      <c r="D43" s="3">
        <v>15.724399452974501</v>
      </c>
      <c r="E43" s="3">
        <v>13.251501600728901</v>
      </c>
      <c r="F43" s="3">
        <v>14.233473635206501</v>
      </c>
      <c r="G43" s="3">
        <v>17.9831562785605</v>
      </c>
      <c r="H43" s="3">
        <v>14.890974198206401</v>
      </c>
      <c r="I43" s="3">
        <v>20.641775044838901</v>
      </c>
      <c r="J43" s="3">
        <v>17.655817690374899</v>
      </c>
      <c r="K43" s="3">
        <v>14.7740514540149</v>
      </c>
      <c r="L43" s="3">
        <v>16.071620521341298</v>
      </c>
      <c r="M43" s="3">
        <v>16.1106291583542</v>
      </c>
      <c r="N43" s="3">
        <v>13.5749941714021</v>
      </c>
    </row>
    <row r="44" spans="1:14" x14ac:dyDescent="0.35">
      <c r="A44" s="2">
        <v>42979</v>
      </c>
      <c r="B44" s="3">
        <v>19.920576353659499</v>
      </c>
      <c r="C44" s="3">
        <v>15.6384385009527</v>
      </c>
      <c r="D44" s="3">
        <v>15.376854398938899</v>
      </c>
      <c r="E44" s="3">
        <v>13.013661405267699</v>
      </c>
      <c r="F44" s="3">
        <v>13.729705411020401</v>
      </c>
      <c r="G44" s="3">
        <v>17.4885502054535</v>
      </c>
      <c r="H44" s="3">
        <v>14.6286836464253</v>
      </c>
      <c r="I44" s="3">
        <v>20.699306723768899</v>
      </c>
      <c r="J44" s="3">
        <v>17.5139583604644</v>
      </c>
      <c r="K44" s="3">
        <v>14.551085269345201</v>
      </c>
      <c r="L44" s="3">
        <v>15.690942441898599</v>
      </c>
      <c r="M44" s="3">
        <v>15.965060274012</v>
      </c>
      <c r="N44" s="3">
        <v>13.3394042700422</v>
      </c>
    </row>
    <row r="45" spans="1:14" x14ac:dyDescent="0.35">
      <c r="A45" s="2">
        <v>43012</v>
      </c>
      <c r="B45" s="3">
        <v>19.812097428364002</v>
      </c>
      <c r="C45" s="3">
        <v>15.3362843367515</v>
      </c>
      <c r="D45" s="3">
        <v>15.851142854326101</v>
      </c>
      <c r="E45" s="3">
        <v>13.7876379682505</v>
      </c>
      <c r="F45" s="3">
        <v>14.0654554311952</v>
      </c>
      <c r="G45" s="3">
        <v>17.958090564499798</v>
      </c>
      <c r="H45" s="3">
        <v>14.608221143720399</v>
      </c>
      <c r="I45" s="3">
        <v>20.396638311608001</v>
      </c>
      <c r="J45" s="3">
        <v>17.837908191336901</v>
      </c>
      <c r="K45" s="3">
        <v>15.187561094598401</v>
      </c>
      <c r="L45" s="3">
        <v>16.108094146254501</v>
      </c>
      <c r="M45" s="3">
        <v>16.964873478374201</v>
      </c>
      <c r="N45" s="3">
        <v>13.597438372252901</v>
      </c>
    </row>
    <row r="46" spans="1:14" x14ac:dyDescent="0.35">
      <c r="A46" s="2">
        <v>43042</v>
      </c>
      <c r="B46" s="3">
        <v>20.2607857672626</v>
      </c>
      <c r="C46" s="3">
        <v>15.946902792774001</v>
      </c>
      <c r="D46" s="3">
        <v>15.921295855546999</v>
      </c>
      <c r="E46" s="3">
        <v>14.295513209291901</v>
      </c>
      <c r="F46" s="3">
        <v>14.804369320229799</v>
      </c>
      <c r="G46" s="3">
        <v>17.983623024675602</v>
      </c>
      <c r="H46" s="3">
        <v>14.5461107053146</v>
      </c>
      <c r="I46" s="3">
        <v>20.901235037774601</v>
      </c>
      <c r="J46" s="3">
        <v>17.9873893505642</v>
      </c>
      <c r="K46" s="3">
        <v>15.4478297837694</v>
      </c>
      <c r="L46" s="3">
        <v>16.421423660795</v>
      </c>
      <c r="M46" s="3">
        <v>17.3618010522557</v>
      </c>
      <c r="N46" s="3">
        <v>13.729348695998899</v>
      </c>
    </row>
    <row r="47" spans="1:14" x14ac:dyDescent="0.35">
      <c r="A47" s="2">
        <v>43073</v>
      </c>
      <c r="B47" s="3">
        <v>20.365693991765099</v>
      </c>
      <c r="C47" s="3">
        <v>15.845029356875999</v>
      </c>
      <c r="D47" s="3">
        <v>15.838244681419299</v>
      </c>
      <c r="E47" s="3">
        <v>13.925398160268401</v>
      </c>
      <c r="F47" s="3">
        <v>14.6507717948096</v>
      </c>
      <c r="G47" s="3">
        <v>17.668160563622099</v>
      </c>
      <c r="H47" s="3">
        <v>14.1862749629472</v>
      </c>
      <c r="I47" s="3">
        <v>20.536722539424801</v>
      </c>
      <c r="J47" s="3">
        <v>18.1571857761639</v>
      </c>
      <c r="K47" s="3">
        <v>15.0703722671518</v>
      </c>
      <c r="L47" s="3">
        <v>15.8832519495267</v>
      </c>
      <c r="M47" s="3">
        <v>16.602434626244101</v>
      </c>
      <c r="N47" s="3">
        <v>13.4160196237327</v>
      </c>
    </row>
    <row r="48" spans="1:14" x14ac:dyDescent="0.35">
      <c r="A48" s="2">
        <v>43104</v>
      </c>
      <c r="B48" s="3">
        <v>21.0151764254555</v>
      </c>
      <c r="C48" s="3">
        <v>16.0193841662017</v>
      </c>
      <c r="D48" s="3">
        <v>16.079184629819199</v>
      </c>
      <c r="E48" s="3">
        <v>13.9911735223173</v>
      </c>
      <c r="F48" s="3">
        <v>15.0970522527145</v>
      </c>
      <c r="G48" s="3">
        <v>17.875024114471699</v>
      </c>
      <c r="H48" s="3">
        <v>14.7463424033308</v>
      </c>
      <c r="I48" s="3">
        <v>21.349547148876798</v>
      </c>
      <c r="J48" s="3">
        <v>18.315446121780202</v>
      </c>
      <c r="K48" s="3">
        <v>15.0568383033677</v>
      </c>
      <c r="L48" s="3">
        <v>16.1081624498857</v>
      </c>
      <c r="M48" s="3">
        <v>16.3783030690931</v>
      </c>
      <c r="N48" s="3">
        <v>13.254603144446801</v>
      </c>
    </row>
    <row r="49" spans="1:14" x14ac:dyDescent="0.35">
      <c r="A49" s="2">
        <v>43133</v>
      </c>
      <c r="B49" s="3">
        <v>20.9643662464545</v>
      </c>
      <c r="C49" s="3">
        <v>15.9032455761203</v>
      </c>
      <c r="D49" s="3">
        <v>14.9050084693492</v>
      </c>
      <c r="E49" s="3">
        <v>13.4818469676368</v>
      </c>
      <c r="F49" s="3">
        <v>14.824058295345001</v>
      </c>
      <c r="G49" s="3">
        <v>17.342758821493501</v>
      </c>
      <c r="H49" s="3">
        <v>14.145621020314</v>
      </c>
      <c r="I49" s="3">
        <v>20.8845307369388</v>
      </c>
      <c r="J49" s="3">
        <v>17.456793164370801</v>
      </c>
      <c r="K49" s="3">
        <v>14.883011983911</v>
      </c>
      <c r="L49" s="3">
        <v>16.011029812541999</v>
      </c>
      <c r="M49" s="3">
        <v>16.473281584193501</v>
      </c>
      <c r="N49" s="3">
        <v>13.065464242630901</v>
      </c>
    </row>
    <row r="50" spans="1:14" x14ac:dyDescent="0.35">
      <c r="A50" s="2">
        <v>43161</v>
      </c>
      <c r="B50" s="3">
        <v>20.254594308011001</v>
      </c>
      <c r="C50" s="3">
        <v>15.3294363410676</v>
      </c>
      <c r="D50" s="3">
        <v>14.283873676519701</v>
      </c>
      <c r="E50" s="3">
        <v>12.601035925087</v>
      </c>
      <c r="F50" s="3">
        <v>12.8016957965391</v>
      </c>
      <c r="G50" s="3">
        <v>16.012439647369099</v>
      </c>
      <c r="H50" s="3">
        <v>12.809925528928501</v>
      </c>
      <c r="I50" s="3">
        <v>20.642610483319199</v>
      </c>
      <c r="J50" s="3">
        <v>16.718629415762699</v>
      </c>
      <c r="K50" s="3">
        <v>14.1847968466843</v>
      </c>
      <c r="L50" s="3">
        <v>15.1871700478783</v>
      </c>
      <c r="M50" s="3">
        <v>15.754175907265299</v>
      </c>
      <c r="N50" s="3">
        <v>12.304692368396701</v>
      </c>
    </row>
    <row r="51" spans="1:14" x14ac:dyDescent="0.35">
      <c r="A51" s="2">
        <v>43194</v>
      </c>
      <c r="B51" s="3">
        <v>20.126611438491501</v>
      </c>
      <c r="C51" s="3">
        <v>14.759298666304</v>
      </c>
      <c r="D51" s="3">
        <v>13.973550129585201</v>
      </c>
      <c r="E51" s="3">
        <v>12.6242031190502</v>
      </c>
      <c r="F51" s="3">
        <v>12.6896517314878</v>
      </c>
      <c r="G51" s="3">
        <v>15.712621554015399</v>
      </c>
      <c r="H51" s="3">
        <v>13.192603523636</v>
      </c>
      <c r="I51" s="3">
        <v>19.681084445227501</v>
      </c>
      <c r="J51" s="3">
        <v>16.3280272953488</v>
      </c>
      <c r="K51" s="3">
        <v>14.1087826330934</v>
      </c>
      <c r="L51" s="3">
        <v>15.2429707910015</v>
      </c>
      <c r="M51" s="3">
        <v>15.35327676715</v>
      </c>
      <c r="N51" s="3">
        <v>12.4075853450745</v>
      </c>
    </row>
    <row r="52" spans="1:14" x14ac:dyDescent="0.35">
      <c r="A52" s="2">
        <v>43224</v>
      </c>
      <c r="B52" s="3">
        <v>20.347063475423901</v>
      </c>
      <c r="C52" s="3">
        <v>15.310383772271001</v>
      </c>
      <c r="D52" s="3">
        <v>14.1585075546921</v>
      </c>
      <c r="E52" s="3">
        <v>13.366246969626401</v>
      </c>
      <c r="F52" s="3">
        <v>13.1840853880057</v>
      </c>
      <c r="G52" s="3">
        <v>16.141361061125501</v>
      </c>
      <c r="H52" s="3">
        <v>13.7275503828248</v>
      </c>
      <c r="I52" s="3">
        <v>19.747085939111098</v>
      </c>
      <c r="J52" s="3">
        <v>16.1223922939324</v>
      </c>
      <c r="K52" s="3">
        <v>14.8102091998853</v>
      </c>
      <c r="L52" s="3">
        <v>15.620870170162799</v>
      </c>
      <c r="M52" s="3">
        <v>15.820382466456</v>
      </c>
      <c r="N52" s="3">
        <v>13.217349131689099</v>
      </c>
    </row>
    <row r="53" spans="1:14" x14ac:dyDescent="0.35">
      <c r="A53" s="2">
        <v>43255</v>
      </c>
      <c r="B53" s="3">
        <v>20.5236612546943</v>
      </c>
      <c r="C53" s="3">
        <v>15.138108789289999</v>
      </c>
      <c r="D53" s="3">
        <v>14.2003078226727</v>
      </c>
      <c r="E53" s="3">
        <v>13.209537663508</v>
      </c>
      <c r="F53" s="3">
        <v>13.135398442734701</v>
      </c>
      <c r="G53" s="3">
        <v>15.718610970798901</v>
      </c>
      <c r="H53" s="3">
        <v>13.6961076997536</v>
      </c>
      <c r="I53" s="3">
        <v>20.543277621587801</v>
      </c>
      <c r="J53" s="3">
        <v>16.4087371116787</v>
      </c>
      <c r="K53" s="3">
        <v>14.478672492230499</v>
      </c>
      <c r="L53" s="3">
        <v>15.8205115180746</v>
      </c>
      <c r="M53" s="3">
        <v>15.526520493038101</v>
      </c>
      <c r="N53" s="3">
        <v>11.713039343948299</v>
      </c>
    </row>
    <row r="54" spans="1:14" x14ac:dyDescent="0.35">
      <c r="A54" s="2">
        <v>43284</v>
      </c>
      <c r="B54" s="3">
        <v>21.378393424157501</v>
      </c>
      <c r="C54" s="3">
        <v>15.5010352829042</v>
      </c>
      <c r="D54" s="3">
        <v>14.1973164222681</v>
      </c>
      <c r="E54" s="3">
        <v>12.7784281918763</v>
      </c>
      <c r="F54" s="3">
        <v>12.657330166280801</v>
      </c>
      <c r="G54" s="3">
        <v>15.6242358668332</v>
      </c>
      <c r="H54" s="3">
        <v>13.1907166661787</v>
      </c>
      <c r="I54" s="3">
        <v>19.9944536382941</v>
      </c>
      <c r="J54" s="3">
        <v>16.0711269701908</v>
      </c>
      <c r="K54" s="3">
        <v>13.9214169739867</v>
      </c>
      <c r="L54" s="3">
        <v>15.445439183447199</v>
      </c>
      <c r="M54" s="3">
        <v>15.169869911688901</v>
      </c>
      <c r="N54" s="3">
        <v>11.4468033693622</v>
      </c>
    </row>
    <row r="55" spans="1:14" x14ac:dyDescent="0.35">
      <c r="A55" s="2">
        <v>43315</v>
      </c>
      <c r="B55" s="3">
        <v>20.9208465976924</v>
      </c>
      <c r="C55" s="3">
        <v>15.488182467355299</v>
      </c>
      <c r="D55" s="3">
        <v>14.1594270157489</v>
      </c>
      <c r="E55" s="3">
        <v>13.0651007580992</v>
      </c>
      <c r="F55" s="3">
        <v>12.822789506127901</v>
      </c>
      <c r="G55" s="3">
        <v>16.307469434858898</v>
      </c>
      <c r="H55" s="3">
        <v>13.1626874798717</v>
      </c>
      <c r="I55" s="3">
        <v>20.5652717594885</v>
      </c>
      <c r="J55" s="3">
        <v>16.579120801420299</v>
      </c>
      <c r="K55" s="3">
        <v>14.072271243196999</v>
      </c>
      <c r="L55" s="3">
        <v>15.944543921367901</v>
      </c>
      <c r="M55" s="3">
        <v>15.564368026137</v>
      </c>
      <c r="N55" s="3">
        <v>11.394285863437901</v>
      </c>
    </row>
    <row r="56" spans="1:14" x14ac:dyDescent="0.35">
      <c r="A56" s="2">
        <v>43347</v>
      </c>
      <c r="B56" s="3">
        <v>21.936762095054299</v>
      </c>
      <c r="C56" s="3">
        <v>15.553655823262201</v>
      </c>
      <c r="D56" s="3">
        <v>13.6919237725263</v>
      </c>
      <c r="E56" s="3">
        <v>12.676517197369201</v>
      </c>
      <c r="F56" s="3">
        <v>12.5541050676413</v>
      </c>
      <c r="G56" s="3">
        <v>15.9472185740361</v>
      </c>
      <c r="H56" s="3">
        <v>12.5945186291056</v>
      </c>
      <c r="I56" s="3">
        <v>21.006949886339299</v>
      </c>
      <c r="J56" s="3">
        <v>16.760778321199101</v>
      </c>
      <c r="K56" s="3">
        <v>13.6047046408345</v>
      </c>
      <c r="L56" s="3">
        <v>15.497601097525999</v>
      </c>
      <c r="M56" s="3">
        <v>15.7660969941905</v>
      </c>
      <c r="N56" s="3">
        <v>10.6164346981033</v>
      </c>
    </row>
    <row r="57" spans="1:14" x14ac:dyDescent="0.35">
      <c r="A57" s="2">
        <v>43377</v>
      </c>
      <c r="B57" s="3">
        <v>21.379556949514999</v>
      </c>
      <c r="C57" s="3">
        <v>15.113806438141101</v>
      </c>
      <c r="D57" s="3">
        <v>13.5010383248819</v>
      </c>
      <c r="E57" s="3">
        <v>12.6362335473084</v>
      </c>
      <c r="F57" s="3">
        <v>13.139053466379799</v>
      </c>
      <c r="G57" s="3">
        <v>15.9296578655331</v>
      </c>
      <c r="H57" s="3">
        <v>12.603258033754599</v>
      </c>
      <c r="I57" s="3">
        <v>20.4826805342542</v>
      </c>
      <c r="J57" s="3">
        <v>16.671085837804998</v>
      </c>
      <c r="K57" s="3">
        <v>13.6150947599762</v>
      </c>
      <c r="L57" s="3">
        <v>14.7537683106234</v>
      </c>
      <c r="M57" s="3">
        <v>15.765665537360499</v>
      </c>
      <c r="N57" s="3">
        <v>10.572179914230601</v>
      </c>
    </row>
    <row r="58" spans="1:14" x14ac:dyDescent="0.35">
      <c r="A58" s="2">
        <v>43406</v>
      </c>
      <c r="B58" s="3">
        <v>20.314925312088299</v>
      </c>
      <c r="C58" s="3">
        <v>14.391214580640201</v>
      </c>
      <c r="D58" s="3">
        <v>12.629501922295599</v>
      </c>
      <c r="E58" s="3">
        <v>11.8116826163144</v>
      </c>
      <c r="F58" s="3">
        <v>12.116717220033101</v>
      </c>
      <c r="G58" s="3">
        <v>15.717762503358401</v>
      </c>
      <c r="H58" s="3">
        <v>11.866566645645801</v>
      </c>
      <c r="I58" s="3">
        <v>18.8850673113004</v>
      </c>
      <c r="J58" s="3">
        <v>15.569295059131401</v>
      </c>
      <c r="K58" s="3">
        <v>12.836682800551101</v>
      </c>
      <c r="L58" s="3">
        <v>14.217537255862601</v>
      </c>
      <c r="M58" s="3">
        <v>14.6065068232269</v>
      </c>
      <c r="N58" s="3">
        <v>9.9400295615815892</v>
      </c>
    </row>
    <row r="59" spans="1:14" x14ac:dyDescent="0.35">
      <c r="A59" s="2">
        <v>43438</v>
      </c>
      <c r="B59" s="3">
        <v>20.2875400226918</v>
      </c>
      <c r="C59" s="3">
        <v>14.167344104995699</v>
      </c>
      <c r="D59" s="3">
        <v>12.635415594631199</v>
      </c>
      <c r="E59" s="3">
        <v>11.632256514186899</v>
      </c>
      <c r="F59" s="3">
        <v>12.1558547598052</v>
      </c>
      <c r="G59" s="3">
        <v>15.6831125774657</v>
      </c>
      <c r="H59" s="3">
        <v>11.7678812089743</v>
      </c>
      <c r="I59" s="3">
        <v>18.379241900894002</v>
      </c>
      <c r="J59" s="3">
        <v>15.389295757923801</v>
      </c>
      <c r="K59" s="3">
        <v>12.5664136855346</v>
      </c>
      <c r="L59" s="3">
        <v>14.137485724904799</v>
      </c>
      <c r="M59" s="3">
        <v>14.0917756118493</v>
      </c>
      <c r="N59" s="3">
        <v>9.6008778093152607</v>
      </c>
    </row>
    <row r="60" spans="1:14" x14ac:dyDescent="0.35">
      <c r="A60" s="2">
        <v>43469</v>
      </c>
      <c r="B60" s="3">
        <v>19.901480925800598</v>
      </c>
      <c r="C60" s="3">
        <v>13.994924061590201</v>
      </c>
      <c r="D60" s="3">
        <v>12.3790409167286</v>
      </c>
      <c r="E60" s="3">
        <v>11.172807709482599</v>
      </c>
      <c r="F60" s="3">
        <v>10.954834020876101</v>
      </c>
      <c r="G60" s="3">
        <v>14.7844400374552</v>
      </c>
      <c r="H60" s="3">
        <v>11.583586838529699</v>
      </c>
      <c r="I60" s="3">
        <v>17.6695794785626</v>
      </c>
      <c r="J60" s="3">
        <v>14.6350443624539</v>
      </c>
      <c r="K60" s="3">
        <v>11.9068560310163</v>
      </c>
      <c r="L60" s="3">
        <v>13.120370306583</v>
      </c>
      <c r="M60" s="3">
        <v>13.620355698146399</v>
      </c>
      <c r="N60" s="3">
        <v>9.4259062013911503</v>
      </c>
    </row>
    <row r="61" spans="1:14" x14ac:dyDescent="0.35">
      <c r="A61" s="2">
        <v>43500</v>
      </c>
      <c r="B61" s="3">
        <v>20.4225650865482</v>
      </c>
      <c r="C61" s="3">
        <v>14.678955876728301</v>
      </c>
      <c r="D61" s="3">
        <v>13.7308784390358</v>
      </c>
      <c r="E61" s="3">
        <v>11.7270152049537</v>
      </c>
      <c r="F61" s="3">
        <v>12.0496570667173</v>
      </c>
      <c r="G61" s="3">
        <v>15.567615727734401</v>
      </c>
      <c r="H61" s="3">
        <v>12.2645564537277</v>
      </c>
      <c r="I61" s="3">
        <v>19.197365666601002</v>
      </c>
      <c r="J61" s="3">
        <v>15.8762635240394</v>
      </c>
      <c r="K61" s="3">
        <v>12.8703089852673</v>
      </c>
      <c r="L61" s="3">
        <v>14.2087512348359</v>
      </c>
      <c r="M61" s="3">
        <v>14.236722370684699</v>
      </c>
      <c r="N61" s="3">
        <v>9.9066626982195505</v>
      </c>
    </row>
    <row r="62" spans="1:14" x14ac:dyDescent="0.35">
      <c r="A62" s="2">
        <v>43528</v>
      </c>
      <c r="B62" s="3">
        <v>21.756838462992999</v>
      </c>
      <c r="C62" s="3">
        <v>15.4624279720486</v>
      </c>
      <c r="D62" s="3">
        <v>14.1545357718798</v>
      </c>
      <c r="E62" s="3">
        <v>12.232740516931001</v>
      </c>
      <c r="F62" s="3">
        <v>12.667668935941499</v>
      </c>
      <c r="G62" s="3">
        <v>16.3684196160835</v>
      </c>
      <c r="H62" s="3">
        <v>12.433773146776099</v>
      </c>
      <c r="I62" s="3">
        <v>19.795474192491199</v>
      </c>
      <c r="J62" s="3">
        <v>16.252931096535001</v>
      </c>
      <c r="K62" s="3">
        <v>13.578789391889901</v>
      </c>
      <c r="L62" s="3">
        <v>15.0009042817828</v>
      </c>
      <c r="M62" s="3">
        <v>14.921763313203099</v>
      </c>
      <c r="N62" s="3">
        <v>10.478691695910401</v>
      </c>
    </row>
    <row r="63" spans="1:14" x14ac:dyDescent="0.35">
      <c r="A63" s="2">
        <v>43559</v>
      </c>
      <c r="B63" s="3">
        <v>22.380138115892102</v>
      </c>
      <c r="C63" s="3">
        <v>15.3844252171123</v>
      </c>
      <c r="D63" s="3">
        <v>14.231742181786201</v>
      </c>
      <c r="E63" s="3">
        <v>12.6070055297435</v>
      </c>
      <c r="F63" s="3">
        <v>12.6899105746731</v>
      </c>
      <c r="G63" s="3">
        <v>16.752304730990499</v>
      </c>
      <c r="H63" s="3">
        <v>12.7530921919556</v>
      </c>
      <c r="I63" s="3">
        <v>20.7621331575988</v>
      </c>
      <c r="J63" s="3">
        <v>16.666795849669001</v>
      </c>
      <c r="K63" s="3">
        <v>13.875933847974499</v>
      </c>
      <c r="L63" s="3">
        <v>15.5192273397544</v>
      </c>
      <c r="M63" s="3">
        <v>15.1447969729997</v>
      </c>
      <c r="N63" s="3">
        <v>10.923163395017999</v>
      </c>
    </row>
    <row r="64" spans="1:14" x14ac:dyDescent="0.35">
      <c r="A64" s="2">
        <v>43588</v>
      </c>
      <c r="B64" s="3">
        <v>22.879087795708099</v>
      </c>
      <c r="C64" s="3">
        <v>15.400951183151699</v>
      </c>
      <c r="D64" s="3">
        <v>13.8350180935099</v>
      </c>
      <c r="E64" s="3">
        <v>13.036511174883801</v>
      </c>
      <c r="F64" s="3">
        <v>12.7487262459767</v>
      </c>
      <c r="G64" s="3">
        <v>16.897083296805398</v>
      </c>
      <c r="H64" s="3">
        <v>12.648113795473</v>
      </c>
      <c r="I64" s="3">
        <v>21.449406037966799</v>
      </c>
      <c r="J64" s="3">
        <v>16.907555098381302</v>
      </c>
      <c r="K64" s="3">
        <v>14.0397728643122</v>
      </c>
      <c r="L64" s="3">
        <v>15.7858604141071</v>
      </c>
      <c r="M64" s="3">
        <v>15.6580015974668</v>
      </c>
      <c r="N64" s="3">
        <v>10.8935892251122</v>
      </c>
    </row>
    <row r="65" spans="1:14" x14ac:dyDescent="0.35">
      <c r="A65" s="2">
        <v>43620</v>
      </c>
      <c r="B65" s="3">
        <v>22.4328255984599</v>
      </c>
      <c r="C65" s="3">
        <v>15.416896144530099</v>
      </c>
      <c r="D65" s="3">
        <v>13.448743432998601</v>
      </c>
      <c r="E65" s="3">
        <v>12.3318167274905</v>
      </c>
      <c r="F65" s="3">
        <v>12.105515665788699</v>
      </c>
      <c r="G65" s="3">
        <v>16.6122526382002</v>
      </c>
      <c r="H65" s="3">
        <v>12.2178714222664</v>
      </c>
      <c r="I65" s="3">
        <v>19.440024956442802</v>
      </c>
      <c r="J65" s="3">
        <v>15.9698054644912</v>
      </c>
      <c r="K65" s="3">
        <v>13.304901850316099</v>
      </c>
      <c r="L65" s="3">
        <v>14.979971344167501</v>
      </c>
      <c r="M65" s="3">
        <v>14.276589015783401</v>
      </c>
      <c r="N65" s="3">
        <v>9.9547351734803105</v>
      </c>
    </row>
    <row r="66" spans="1:14" x14ac:dyDescent="0.35">
      <c r="A66" s="2">
        <v>43649</v>
      </c>
      <c r="B66" s="3">
        <v>23.900910917640601</v>
      </c>
      <c r="C66" s="3">
        <v>16.287200046823799</v>
      </c>
      <c r="D66" s="3">
        <v>13.7908806569724</v>
      </c>
      <c r="E66" s="3">
        <v>12.9923530179425</v>
      </c>
      <c r="F66" s="3">
        <v>12.919044941341101</v>
      </c>
      <c r="G66" s="3">
        <v>17.376909648373498</v>
      </c>
      <c r="H66" s="3">
        <v>12.802405706139901</v>
      </c>
      <c r="I66" s="3">
        <v>21.2817650292575</v>
      </c>
      <c r="J66" s="3">
        <v>17.032714644367701</v>
      </c>
      <c r="K66" s="3">
        <v>14.0809810226379</v>
      </c>
      <c r="L66" s="3">
        <v>15.738274953024501</v>
      </c>
      <c r="M66" s="3">
        <v>15.2217776614731</v>
      </c>
      <c r="N66" s="3">
        <v>10.804716721433699</v>
      </c>
    </row>
    <row r="67" spans="1:14" x14ac:dyDescent="0.35">
      <c r="A67" s="2">
        <v>43679</v>
      </c>
      <c r="B67" s="3">
        <v>24.724118791870101</v>
      </c>
      <c r="C67" s="3">
        <v>16.316221285610101</v>
      </c>
      <c r="D67" s="3">
        <v>13.5458192811406</v>
      </c>
      <c r="E67" s="3">
        <v>12.5713738736076</v>
      </c>
      <c r="F67" s="3">
        <v>12.6129597904912</v>
      </c>
      <c r="G67" s="3">
        <v>16.928300343456701</v>
      </c>
      <c r="H67" s="3">
        <v>12.3144106681021</v>
      </c>
      <c r="I67" s="3">
        <v>20.6348273258007</v>
      </c>
      <c r="J67" s="3">
        <v>16.670913709435499</v>
      </c>
      <c r="K67" s="3">
        <v>13.6054903864722</v>
      </c>
      <c r="L67" s="3">
        <v>15.3613052878032</v>
      </c>
      <c r="M67" s="3">
        <v>14.5782762503662</v>
      </c>
      <c r="N67" s="3">
        <v>10.3747233306414</v>
      </c>
    </row>
    <row r="68" spans="1:14" x14ac:dyDescent="0.35">
      <c r="A68" s="2">
        <v>43712</v>
      </c>
      <c r="B68" s="3">
        <v>26.168923647430798</v>
      </c>
      <c r="C68" s="3">
        <v>16.124951262942101</v>
      </c>
      <c r="D68" s="3">
        <v>13.6654973070392</v>
      </c>
      <c r="E68" s="3">
        <v>12.698600682478199</v>
      </c>
      <c r="F68" s="3">
        <v>12.562671296772701</v>
      </c>
      <c r="G68" s="3">
        <v>17.0460625788036</v>
      </c>
      <c r="H68" s="3">
        <v>12.231749853991699</v>
      </c>
      <c r="I68" s="3">
        <v>20.497400113556001</v>
      </c>
      <c r="J68" s="3">
        <v>16.6108563879746</v>
      </c>
      <c r="K68" s="3">
        <v>13.8964850770857</v>
      </c>
      <c r="L68" s="3">
        <v>15.6661311663915</v>
      </c>
      <c r="M68" s="3">
        <v>13.946444444823801</v>
      </c>
      <c r="N68" s="3">
        <v>10.671115333597299</v>
      </c>
    </row>
    <row r="69" spans="1:14" x14ac:dyDescent="0.35">
      <c r="A69" s="2">
        <v>43742</v>
      </c>
      <c r="B69" s="3">
        <v>25.315679184783001</v>
      </c>
      <c r="C69" s="3">
        <v>16.249743501531601</v>
      </c>
      <c r="D69" s="3">
        <v>13.740354172878201</v>
      </c>
      <c r="E69" s="3">
        <v>12.6712000276239</v>
      </c>
      <c r="F69" s="3">
        <v>13.0727555585828</v>
      </c>
      <c r="G69" s="3">
        <v>16.756235889118901</v>
      </c>
      <c r="H69" s="3">
        <v>12.0724415820169</v>
      </c>
      <c r="I69" s="3">
        <v>20.411648772202</v>
      </c>
      <c r="J69" s="3">
        <v>16.665349883232501</v>
      </c>
      <c r="K69" s="3">
        <v>13.77232801751</v>
      </c>
      <c r="L69" s="3">
        <v>15.9062927151525</v>
      </c>
      <c r="M69" s="3">
        <v>14.525321248707399</v>
      </c>
      <c r="N69" s="3">
        <v>10.473733532171099</v>
      </c>
    </row>
    <row r="70" spans="1:14" x14ac:dyDescent="0.35">
      <c r="A70" s="2">
        <v>43773</v>
      </c>
      <c r="B70" s="3">
        <v>24.8542870592984</v>
      </c>
      <c r="C70" s="3">
        <v>16.988303010261799</v>
      </c>
      <c r="D70" s="3">
        <v>14.130370437916399</v>
      </c>
      <c r="E70" s="3">
        <v>13.8267810209526</v>
      </c>
      <c r="F70" s="3">
        <v>13.829293102844099</v>
      </c>
      <c r="G70" s="3">
        <v>17.500636449196399</v>
      </c>
      <c r="H70" s="3">
        <v>12.814526121458201</v>
      </c>
      <c r="I70" s="3">
        <v>21.428355304187701</v>
      </c>
      <c r="J70" s="3">
        <v>17.387058479215401</v>
      </c>
      <c r="K70" s="3">
        <v>14.638513323763499</v>
      </c>
      <c r="L70" s="3">
        <v>16.4612623214344</v>
      </c>
      <c r="M70" s="3">
        <v>16.029980075574201</v>
      </c>
      <c r="N70" s="3">
        <v>11.3452837013623</v>
      </c>
    </row>
    <row r="71" spans="1:14" x14ac:dyDescent="0.35">
      <c r="A71" s="2">
        <v>43803</v>
      </c>
      <c r="B71" s="3">
        <v>25.569967921322899</v>
      </c>
      <c r="C71" s="3">
        <v>16.8461142675154</v>
      </c>
      <c r="D71" s="3">
        <v>14.2308828658196</v>
      </c>
      <c r="E71" s="3">
        <v>13.996928859322701</v>
      </c>
      <c r="F71" s="3">
        <v>14.3877073728314</v>
      </c>
      <c r="G71" s="3">
        <v>17.315946640361801</v>
      </c>
      <c r="H71" s="3">
        <v>12.7884759306998</v>
      </c>
      <c r="I71" s="3">
        <v>21.687064841635902</v>
      </c>
      <c r="J71" s="3">
        <v>17.534359358944201</v>
      </c>
      <c r="K71" s="3">
        <v>14.4872020603202</v>
      </c>
      <c r="L71" s="3">
        <v>16.536556275220001</v>
      </c>
      <c r="M71" s="3">
        <v>15.5720623889083</v>
      </c>
      <c r="N71" s="3">
        <v>11.15020385013</v>
      </c>
    </row>
    <row r="72" spans="1:14" x14ac:dyDescent="0.35">
      <c r="A72" s="2">
        <v>43833</v>
      </c>
      <c r="B72" s="3">
        <v>25.892417189176999</v>
      </c>
      <c r="C72" s="3">
        <v>17.237699278859999</v>
      </c>
      <c r="D72" s="3">
        <v>14.398835933484101</v>
      </c>
      <c r="E72" s="3">
        <v>14.1093670463904</v>
      </c>
      <c r="F72" s="3">
        <v>14.5187270613216</v>
      </c>
      <c r="G72" s="3">
        <v>17.9126715110934</v>
      </c>
      <c r="H72" s="3">
        <v>13.5189396280604</v>
      </c>
      <c r="I72" s="3">
        <v>22.863533441451501</v>
      </c>
      <c r="J72" s="3">
        <v>18.1692256178913</v>
      </c>
      <c r="K72" s="3">
        <v>15.030055969627499</v>
      </c>
      <c r="L72" s="3">
        <v>17.1873998153889</v>
      </c>
      <c r="M72" s="3">
        <v>16.2353785640944</v>
      </c>
      <c r="N72" s="3">
        <v>11.4631351033453</v>
      </c>
    </row>
    <row r="73" spans="1:14" x14ac:dyDescent="0.35">
      <c r="A73" s="2">
        <v>43865</v>
      </c>
      <c r="B73" s="3">
        <v>25.777302567957001</v>
      </c>
      <c r="C73" s="3">
        <v>17.739496689449702</v>
      </c>
      <c r="D73" s="3">
        <v>14.603305350424201</v>
      </c>
      <c r="E73" s="3">
        <v>14.114156914867401</v>
      </c>
      <c r="F73" s="3">
        <v>14.1902508800333</v>
      </c>
      <c r="G73" s="3">
        <v>18.0730501131879</v>
      </c>
      <c r="H73" s="3">
        <v>13.325674878574199</v>
      </c>
      <c r="I73" s="3">
        <v>23.625325787076701</v>
      </c>
      <c r="J73" s="3">
        <v>18.4801112412569</v>
      </c>
      <c r="K73" s="3">
        <v>14.8131268241372</v>
      </c>
      <c r="L73" s="3">
        <v>17.3116125540237</v>
      </c>
      <c r="M73" s="3">
        <v>16.469778945021599</v>
      </c>
      <c r="N73" s="3">
        <v>11.4889814663776</v>
      </c>
    </row>
    <row r="74" spans="1:14" x14ac:dyDescent="0.35">
      <c r="A74" s="2">
        <v>43894</v>
      </c>
      <c r="B74" s="3">
        <v>26.060321803867801</v>
      </c>
      <c r="C74" s="3">
        <v>16.2783170651856</v>
      </c>
      <c r="D74" s="3">
        <v>14.402145825093699</v>
      </c>
      <c r="E74" s="3">
        <v>12.919097108791</v>
      </c>
      <c r="F74" s="3">
        <v>12.9102026593606</v>
      </c>
      <c r="G74" s="3">
        <v>17.253923916353799</v>
      </c>
      <c r="H74" s="3">
        <v>12.3464043302818</v>
      </c>
      <c r="I74" s="3">
        <v>22.588088914905001</v>
      </c>
      <c r="J74" s="3">
        <v>17.584231430123701</v>
      </c>
      <c r="K74" s="3">
        <v>13.874846885644301</v>
      </c>
      <c r="L74" s="3">
        <v>16.272501971459899</v>
      </c>
      <c r="M74" s="3">
        <v>15.3606499745586</v>
      </c>
      <c r="N74" s="3">
        <v>10.528799803036501</v>
      </c>
    </row>
    <row r="75" spans="1:14" x14ac:dyDescent="0.35">
      <c r="A75" s="2">
        <v>43924</v>
      </c>
      <c r="B75" s="3">
        <v>25.432124061370398</v>
      </c>
      <c r="C75" s="3">
        <v>14.2933351383017</v>
      </c>
      <c r="D75" s="3">
        <v>12.9230124190845</v>
      </c>
      <c r="E75" s="3">
        <v>11.8796957350468</v>
      </c>
      <c r="F75" s="3">
        <v>11.722783515891001</v>
      </c>
      <c r="G75" s="3">
        <v>16.0439215372656</v>
      </c>
      <c r="H75" s="3">
        <v>11.754598770444099</v>
      </c>
      <c r="I75" s="3">
        <v>20.114912265887401</v>
      </c>
      <c r="J75" s="3">
        <v>15.415015923020301</v>
      </c>
      <c r="K75" s="3">
        <v>12.5360041044414</v>
      </c>
      <c r="L75" s="3">
        <v>14.065769937432201</v>
      </c>
      <c r="M75" s="3">
        <v>14.242972189908899</v>
      </c>
      <c r="N75" s="3">
        <v>9.5976681545151994</v>
      </c>
    </row>
    <row r="76" spans="1:14" x14ac:dyDescent="0.35">
      <c r="A76" s="2">
        <v>43955</v>
      </c>
      <c r="B76" s="3">
        <v>29.035879770463001</v>
      </c>
      <c r="C76" s="3">
        <v>16.773175602281</v>
      </c>
      <c r="D76" s="3">
        <v>16.566221426500899</v>
      </c>
      <c r="E76" s="3">
        <v>14.6090337711871</v>
      </c>
      <c r="F76" s="3">
        <v>13.7849359848947</v>
      </c>
      <c r="G76" s="3">
        <v>17.899536023830699</v>
      </c>
      <c r="H76" s="3">
        <v>14.5577964264644</v>
      </c>
      <c r="I76" s="3">
        <v>25.083087431556301</v>
      </c>
      <c r="J76" s="3">
        <v>19.995886393594301</v>
      </c>
      <c r="K76" s="3">
        <v>15.8836698494214</v>
      </c>
      <c r="L76" s="3">
        <v>16.7837318948459</v>
      </c>
      <c r="M76" s="3">
        <v>17.3068551738066</v>
      </c>
      <c r="N76" s="3">
        <v>12.9695299896013</v>
      </c>
    </row>
    <row r="77" spans="1:14" x14ac:dyDescent="0.35">
      <c r="A77" s="2">
        <v>43986</v>
      </c>
      <c r="B77" s="3">
        <v>30.510945764533002</v>
      </c>
      <c r="C77" s="3">
        <v>19.611773452685501</v>
      </c>
      <c r="D77" s="3">
        <v>18.236743119279801</v>
      </c>
      <c r="E77" s="3">
        <v>17.992280129465101</v>
      </c>
      <c r="F77" s="3">
        <v>17.1345998913154</v>
      </c>
      <c r="G77" s="3">
        <v>19.391964182922099</v>
      </c>
      <c r="H77" s="3">
        <v>16.5052472874318</v>
      </c>
      <c r="I77" s="3">
        <v>27.439443055743801</v>
      </c>
      <c r="J77" s="3">
        <v>22.062466506942499</v>
      </c>
      <c r="K77" s="3">
        <v>18.989131497066001</v>
      </c>
      <c r="L77" s="3">
        <v>19.358296181609902</v>
      </c>
      <c r="M77" s="3">
        <v>19.608673497341599</v>
      </c>
      <c r="N77" s="3">
        <v>17.654419463038199</v>
      </c>
    </row>
    <row r="78" spans="1:14" x14ac:dyDescent="0.35">
      <c r="A78" s="2">
        <v>44014</v>
      </c>
      <c r="B78" s="3">
        <v>31.142988065259502</v>
      </c>
      <c r="C78" s="3">
        <v>19.225605868828499</v>
      </c>
      <c r="D78" s="3">
        <v>17.711115788051401</v>
      </c>
      <c r="E78" s="3">
        <v>18.152960269473802</v>
      </c>
      <c r="F78" s="3">
        <v>17.475735827474999</v>
      </c>
      <c r="G78" s="3">
        <v>19.5197212042751</v>
      </c>
      <c r="H78" s="3">
        <v>16.011173469968501</v>
      </c>
      <c r="I78" s="3">
        <v>28.823008234470201</v>
      </c>
      <c r="J78" s="3">
        <v>21.8530127352021</v>
      </c>
      <c r="K78" s="3">
        <v>19.280975257740799</v>
      </c>
      <c r="L78" s="3">
        <v>19.834672883710098</v>
      </c>
      <c r="M78" s="3">
        <v>19.696254027285701</v>
      </c>
      <c r="N78" s="3">
        <v>17.976099175463201</v>
      </c>
    </row>
    <row r="79" spans="1:14" x14ac:dyDescent="0.35">
      <c r="A79" s="2">
        <v>44047</v>
      </c>
      <c r="B79" s="3">
        <v>32.122395913473603</v>
      </c>
      <c r="C79" s="3">
        <v>19.198763902990699</v>
      </c>
      <c r="D79" s="3">
        <v>17.755620485187801</v>
      </c>
      <c r="E79" s="3">
        <v>17.761953774763199</v>
      </c>
      <c r="F79" s="3">
        <v>17.706670071429102</v>
      </c>
      <c r="G79" s="3">
        <v>19.467353601679399</v>
      </c>
      <c r="H79" s="3">
        <v>15.491586020166899</v>
      </c>
      <c r="I79" s="3">
        <v>29.302897928318799</v>
      </c>
      <c r="J79" s="3">
        <v>22.083740991538001</v>
      </c>
      <c r="K79" s="3">
        <v>19.6356046065242</v>
      </c>
      <c r="L79" s="3">
        <v>19.8699556901521</v>
      </c>
      <c r="M79" s="3">
        <v>18.447882357668099</v>
      </c>
      <c r="N79" s="3">
        <v>16.491571431042999</v>
      </c>
    </row>
    <row r="80" spans="1:14" x14ac:dyDescent="0.35">
      <c r="A80" s="2">
        <v>44078</v>
      </c>
      <c r="B80" s="3">
        <v>32.231013987791101</v>
      </c>
      <c r="C80" s="3">
        <v>18.955389511367901</v>
      </c>
      <c r="D80" s="3">
        <v>16.794989425086399</v>
      </c>
      <c r="E80" s="3">
        <v>17.4459240305987</v>
      </c>
      <c r="F80" s="3">
        <v>18.218037374571502</v>
      </c>
      <c r="G80" s="3">
        <v>19.130937461173801</v>
      </c>
      <c r="H80" s="3">
        <v>14.826442753048299</v>
      </c>
      <c r="I80" s="3">
        <v>30.1632566756378</v>
      </c>
      <c r="J80" s="3">
        <v>22.321265588267501</v>
      </c>
      <c r="K80" s="3">
        <v>19.1740616350775</v>
      </c>
      <c r="L80" s="3">
        <v>19.185188418054398</v>
      </c>
      <c r="M80" s="3">
        <v>17.973332297265099</v>
      </c>
      <c r="N80" s="3">
        <v>15.5007221673687</v>
      </c>
    </row>
    <row r="81" spans="1:14" x14ac:dyDescent="0.35">
      <c r="A81" s="2">
        <v>44106</v>
      </c>
      <c r="B81" s="3">
        <v>31.953988257377901</v>
      </c>
      <c r="C81" s="3">
        <v>17.894931377431099</v>
      </c>
      <c r="D81" s="3">
        <v>16.221944938906201</v>
      </c>
      <c r="E81" s="3">
        <v>16.763512132466101</v>
      </c>
      <c r="F81" s="3">
        <v>17.9011673436619</v>
      </c>
      <c r="G81" s="3">
        <v>19.0512570908496</v>
      </c>
      <c r="H81" s="3">
        <v>14.3894354453942</v>
      </c>
      <c r="I81" s="3">
        <v>28.772126087432799</v>
      </c>
      <c r="J81" s="3">
        <v>21.395709996541299</v>
      </c>
      <c r="K81" s="3">
        <v>18.0821121688499</v>
      </c>
      <c r="L81" s="3">
        <v>19.452667663261298</v>
      </c>
      <c r="M81" s="3">
        <v>18.147052281190899</v>
      </c>
      <c r="N81" s="3">
        <v>14.5590336185972</v>
      </c>
    </row>
    <row r="82" spans="1:14" x14ac:dyDescent="0.35">
      <c r="A82" s="2">
        <v>44139</v>
      </c>
      <c r="B82" s="3">
        <v>32.8964108077883</v>
      </c>
      <c r="C82" s="3">
        <v>18.235763138036202</v>
      </c>
      <c r="D82" s="3">
        <v>15.4977333972154</v>
      </c>
      <c r="E82" s="3">
        <v>15.360836739360201</v>
      </c>
      <c r="F82" s="3">
        <v>17.534468695503801</v>
      </c>
      <c r="G82" s="3">
        <v>18.7378126342856</v>
      </c>
      <c r="H82" s="3">
        <v>13.680790795690701</v>
      </c>
      <c r="I82" s="3">
        <v>29.052872819921699</v>
      </c>
      <c r="J82" s="3">
        <v>21.198311886602301</v>
      </c>
      <c r="K82" s="3">
        <v>17.541679200297398</v>
      </c>
      <c r="L82" s="3">
        <v>19.5392742750028</v>
      </c>
      <c r="M82" s="3">
        <v>16.330639150606</v>
      </c>
      <c r="N82" s="3">
        <v>14.0379655693388</v>
      </c>
    </row>
    <row r="83" spans="1:14" x14ac:dyDescent="0.35">
      <c r="A83" s="2">
        <v>44169</v>
      </c>
      <c r="B83" s="3">
        <v>32.510482361186703</v>
      </c>
      <c r="C83" s="3">
        <v>19.895533141163401</v>
      </c>
      <c r="D83" s="3">
        <v>16.281204563142701</v>
      </c>
      <c r="E83" s="3">
        <v>16.020263008206999</v>
      </c>
      <c r="F83" s="3">
        <v>18.5712872999413</v>
      </c>
      <c r="G83" s="3">
        <v>18.390612947930201</v>
      </c>
      <c r="H83" s="3">
        <v>15.202551839061901</v>
      </c>
      <c r="I83" s="3">
        <v>30.139721885604999</v>
      </c>
      <c r="J83" s="3">
        <v>22.174384600877701</v>
      </c>
      <c r="K83" s="3">
        <v>19.0429811307927</v>
      </c>
      <c r="L83" s="3">
        <v>20.553514499592499</v>
      </c>
      <c r="M83" s="3">
        <v>17.3762929965275</v>
      </c>
      <c r="N83" s="3">
        <v>15.1804070132994</v>
      </c>
    </row>
    <row r="84" spans="1:14" x14ac:dyDescent="0.35">
      <c r="A84" s="2">
        <v>44200</v>
      </c>
      <c r="B84" s="3">
        <v>34.240525726989397</v>
      </c>
      <c r="C84" s="3">
        <v>19.188047088724499</v>
      </c>
      <c r="D84" s="3">
        <v>15.8363864674998</v>
      </c>
      <c r="E84" s="3">
        <v>16.045315224138498</v>
      </c>
      <c r="F84" s="3">
        <v>18.242116507129701</v>
      </c>
      <c r="G84" s="3">
        <v>18.941151677706401</v>
      </c>
      <c r="H84" s="3">
        <v>14.516904076420101</v>
      </c>
      <c r="I84" s="3">
        <v>29.600789530839101</v>
      </c>
      <c r="J84" s="3">
        <v>22.044118939613099</v>
      </c>
      <c r="K84" s="3">
        <v>18.070118527392399</v>
      </c>
      <c r="L84" s="3">
        <v>20.794734791155498</v>
      </c>
      <c r="M84" s="3">
        <v>18.1626013899605</v>
      </c>
      <c r="N84" s="3">
        <v>14.7743712672419</v>
      </c>
    </row>
    <row r="85" spans="1:14" x14ac:dyDescent="0.35">
      <c r="A85" s="2">
        <v>44231</v>
      </c>
      <c r="B85" s="3">
        <v>32.887299404861899</v>
      </c>
      <c r="C85" s="3">
        <v>18.849667802636301</v>
      </c>
      <c r="D85" s="3">
        <v>15.958983506061299</v>
      </c>
      <c r="E85" s="3">
        <v>15.8699070910335</v>
      </c>
      <c r="F85" s="3">
        <v>18.461430229615999</v>
      </c>
      <c r="G85" s="3">
        <v>18.8034266989157</v>
      </c>
      <c r="H85" s="3">
        <v>13.839832063831899</v>
      </c>
      <c r="I85" s="3">
        <v>29.9640015785162</v>
      </c>
      <c r="J85" s="3">
        <v>22.017037430780601</v>
      </c>
      <c r="K85" s="3">
        <v>17.8270398121279</v>
      </c>
      <c r="L85" s="3">
        <v>21.783021628364601</v>
      </c>
      <c r="M85" s="3">
        <v>19.020605115940899</v>
      </c>
      <c r="N85" s="3">
        <v>14.0779901231629</v>
      </c>
    </row>
    <row r="86" spans="1:14" x14ac:dyDescent="0.35">
      <c r="A86" s="2">
        <v>44259</v>
      </c>
      <c r="B86" s="3">
        <v>31.734720397585701</v>
      </c>
      <c r="C86" s="3">
        <v>18.222269178345499</v>
      </c>
      <c r="D86" s="3">
        <v>15.1903969819962</v>
      </c>
      <c r="E86" s="3">
        <v>15.5363241990428</v>
      </c>
      <c r="F86" s="3">
        <v>17.571277200459001</v>
      </c>
      <c r="G86" s="3">
        <v>18.354778021543201</v>
      </c>
      <c r="H86" s="3">
        <v>14.10661778962</v>
      </c>
      <c r="I86" s="3">
        <v>26.815206381181699</v>
      </c>
      <c r="J86" s="3">
        <v>21.0854565012942</v>
      </c>
      <c r="K86" s="3">
        <v>18.029026275030901</v>
      </c>
      <c r="L86" s="3">
        <v>20.957646609182898</v>
      </c>
      <c r="M86" s="3">
        <v>19.239814280482999</v>
      </c>
      <c r="N86" s="3">
        <v>13.509807782844099</v>
      </c>
    </row>
    <row r="87" spans="1:14" x14ac:dyDescent="0.35">
      <c r="A87" s="2">
        <v>44287</v>
      </c>
      <c r="B87" s="3">
        <v>32.164656082461903</v>
      </c>
      <c r="C87" s="3">
        <v>17.661166539356898</v>
      </c>
      <c r="D87" s="3">
        <v>15.522341639242301</v>
      </c>
      <c r="E87" s="3">
        <v>16.235076160323299</v>
      </c>
      <c r="F87" s="3">
        <v>17.5855024192748</v>
      </c>
      <c r="G87" s="3">
        <v>18.814076523044999</v>
      </c>
      <c r="H87" s="3">
        <v>13.431647037593001</v>
      </c>
      <c r="I87" s="3">
        <v>28.4157878524009</v>
      </c>
      <c r="J87" s="3">
        <v>22.053882877233601</v>
      </c>
      <c r="K87" s="3">
        <v>18.300491405888899</v>
      </c>
      <c r="L87" s="3">
        <v>22.738661708558901</v>
      </c>
      <c r="M87" s="3">
        <v>20.275064223915201</v>
      </c>
      <c r="N87" s="3">
        <v>14.0471705125076</v>
      </c>
    </row>
    <row r="88" spans="1:14" x14ac:dyDescent="0.35">
      <c r="A88" s="2">
        <v>44320</v>
      </c>
      <c r="B88" s="3">
        <v>32.821079488604603</v>
      </c>
      <c r="C88" s="3">
        <v>18.011754156192701</v>
      </c>
      <c r="D88" s="3">
        <v>15.4359678041476</v>
      </c>
      <c r="E88" s="3">
        <v>14.799241957013599</v>
      </c>
      <c r="F88" s="3">
        <v>16.639356216321602</v>
      </c>
      <c r="G88" s="3">
        <v>18.7506297023134</v>
      </c>
      <c r="H88" s="3">
        <v>13.130077552079801</v>
      </c>
      <c r="I88" s="3">
        <v>27.101718365015302</v>
      </c>
      <c r="J88" s="3">
        <v>21.458862699926499</v>
      </c>
      <c r="K88" s="3">
        <v>17.801561399723401</v>
      </c>
      <c r="L88" s="3">
        <v>21.290819043519399</v>
      </c>
      <c r="M88" s="3">
        <v>17.7102747895429</v>
      </c>
      <c r="N88" s="3">
        <v>13.3022681019328</v>
      </c>
    </row>
    <row r="89" spans="1:14" x14ac:dyDescent="0.35">
      <c r="A89" s="2">
        <v>44351</v>
      </c>
      <c r="B89" s="3">
        <v>33.181841521010497</v>
      </c>
      <c r="C89" s="3">
        <v>18.441006314499901</v>
      </c>
      <c r="D89" s="3">
        <v>15.589017186383799</v>
      </c>
      <c r="E89" s="3">
        <v>15.0243898816647</v>
      </c>
      <c r="F89" s="3">
        <v>16.6345877129577</v>
      </c>
      <c r="G89" s="3">
        <v>19.613022446120301</v>
      </c>
      <c r="H89" s="3">
        <v>13.180368126348901</v>
      </c>
      <c r="I89" s="3">
        <v>27.025989998425999</v>
      </c>
      <c r="J89" s="3">
        <v>21.304072182828001</v>
      </c>
      <c r="K89" s="3">
        <v>17.8812166742069</v>
      </c>
      <c r="L89" s="3">
        <v>21.3284086523289</v>
      </c>
      <c r="M89" s="3">
        <v>18.678738749802001</v>
      </c>
      <c r="N89" s="3">
        <v>13.731968872828601</v>
      </c>
    </row>
    <row r="90" spans="1:14" x14ac:dyDescent="0.35">
      <c r="A90" s="2">
        <v>44379</v>
      </c>
      <c r="B90" s="3">
        <v>34.2994539736844</v>
      </c>
      <c r="C90" s="3">
        <v>17.306681803481698</v>
      </c>
      <c r="D90" s="3">
        <v>15.5841026701326</v>
      </c>
      <c r="E90" s="3">
        <v>14.7441992827428</v>
      </c>
      <c r="F90" s="3">
        <v>16.320679330987701</v>
      </c>
      <c r="G90" s="3">
        <v>19.751334170711999</v>
      </c>
      <c r="H90" s="3">
        <v>12.6943475296701</v>
      </c>
      <c r="I90" s="3">
        <v>28.617714887298199</v>
      </c>
      <c r="J90" s="3">
        <v>21.592782528342099</v>
      </c>
      <c r="K90" s="3">
        <v>17.462556640655301</v>
      </c>
      <c r="L90" s="3">
        <v>21.305875520764801</v>
      </c>
      <c r="M90" s="3">
        <v>18.696771378725501</v>
      </c>
      <c r="N90" s="3">
        <v>13.433709034557401</v>
      </c>
    </row>
    <row r="91" spans="1:14" x14ac:dyDescent="0.35">
      <c r="A91" s="2">
        <v>44412</v>
      </c>
      <c r="B91" s="3">
        <v>34.3120024276324</v>
      </c>
      <c r="C91" s="3">
        <v>17.099690987291702</v>
      </c>
      <c r="D91" s="3">
        <v>15.117262107010101</v>
      </c>
      <c r="E91" s="3">
        <v>14.3549178194486</v>
      </c>
      <c r="F91" s="3">
        <v>15.629578519918001</v>
      </c>
      <c r="G91" s="3">
        <v>19.837715123944101</v>
      </c>
      <c r="H91" s="3">
        <v>12.3712007275688</v>
      </c>
      <c r="I91" s="3">
        <v>28.1215922684984</v>
      </c>
      <c r="J91" s="3">
        <v>20.935406784833599</v>
      </c>
      <c r="K91" s="3">
        <v>16.8221721808954</v>
      </c>
      <c r="L91" s="3">
        <v>21.7471664019874</v>
      </c>
      <c r="M91" s="3">
        <v>18.659389813826799</v>
      </c>
      <c r="N91" s="3">
        <v>12.1118347771608</v>
      </c>
    </row>
    <row r="92" spans="1:14" x14ac:dyDescent="0.35">
      <c r="A92" s="2">
        <v>44442</v>
      </c>
      <c r="B92" s="3">
        <v>35.055802509477203</v>
      </c>
      <c r="C92" s="3">
        <v>17.387460383849</v>
      </c>
      <c r="D92" s="3">
        <v>15.0059607722278</v>
      </c>
      <c r="E92" s="3">
        <v>14.1712702010605</v>
      </c>
      <c r="F92" s="3">
        <v>15.7491392162721</v>
      </c>
      <c r="G92" s="3">
        <v>19.7512107895055</v>
      </c>
      <c r="H92" s="3">
        <v>12.241956316277699</v>
      </c>
      <c r="I92" s="3">
        <v>28.740138713787701</v>
      </c>
      <c r="J92" s="3">
        <v>21.2531059495434</v>
      </c>
      <c r="K92" s="3">
        <v>16.2904181560816</v>
      </c>
      <c r="L92" s="3">
        <v>21.947895163742199</v>
      </c>
      <c r="M92" s="3">
        <v>18.6210488248724</v>
      </c>
      <c r="N92" s="3">
        <v>11.9288059196513</v>
      </c>
    </row>
    <row r="93" spans="1:14" x14ac:dyDescent="0.35">
      <c r="A93" s="2">
        <v>44473</v>
      </c>
      <c r="B93" s="3">
        <v>34.6220436903752</v>
      </c>
      <c r="C93" s="3">
        <v>17.024482515763399</v>
      </c>
      <c r="D93" s="3">
        <v>14.342208765588101</v>
      </c>
      <c r="E93" s="3">
        <v>13.3514167342625</v>
      </c>
      <c r="F93" s="3">
        <v>15.0481377645604</v>
      </c>
      <c r="G93" s="3">
        <v>18.221192814397501</v>
      </c>
      <c r="H93" s="3">
        <v>11.777661952792601</v>
      </c>
      <c r="I93" s="3">
        <v>26.4484614429869</v>
      </c>
      <c r="J93" s="3">
        <v>20.052414993339202</v>
      </c>
      <c r="K93" s="3">
        <v>15.422354446169299</v>
      </c>
      <c r="L93" s="3">
        <v>19.897036152513799</v>
      </c>
      <c r="M93" s="3">
        <v>17.6172395888089</v>
      </c>
      <c r="N93" s="3">
        <v>11.511751906207</v>
      </c>
    </row>
    <row r="94" spans="1:14" x14ac:dyDescent="0.35">
      <c r="A94" s="2">
        <v>44504</v>
      </c>
      <c r="B94" s="3">
        <v>33.468061654686203</v>
      </c>
      <c r="C94" s="3">
        <v>17.960160062758199</v>
      </c>
      <c r="D94" s="3">
        <v>14.925291514468</v>
      </c>
      <c r="E94" s="3">
        <v>13.944791087757601</v>
      </c>
      <c r="F94" s="3">
        <v>15.534984882281201</v>
      </c>
      <c r="G94" s="3">
        <v>19.409762712728899</v>
      </c>
      <c r="H94" s="3">
        <v>12.1260170097143</v>
      </c>
      <c r="I94" s="3">
        <v>29.663587581699399</v>
      </c>
      <c r="J94" s="3">
        <v>21.4021003573203</v>
      </c>
      <c r="K94" s="3">
        <v>15.861041918548301</v>
      </c>
      <c r="L94" s="3">
        <v>21.620843991316899</v>
      </c>
      <c r="M94" s="3">
        <v>18.576158259628201</v>
      </c>
      <c r="N94" s="3">
        <v>11.795568733293701</v>
      </c>
    </row>
    <row r="95" spans="1:14" x14ac:dyDescent="0.35">
      <c r="A95" s="2">
        <v>44533</v>
      </c>
      <c r="B95" s="3">
        <v>31.1544012693683</v>
      </c>
      <c r="C95" s="3">
        <v>16.917272551144499</v>
      </c>
      <c r="D95" s="3">
        <v>14.0775350596005</v>
      </c>
      <c r="E95" s="3">
        <v>12.862443249117399</v>
      </c>
      <c r="F95" s="3">
        <v>14.506280421085</v>
      </c>
      <c r="G95" s="3">
        <v>18.677307144645301</v>
      </c>
      <c r="H95" s="3">
        <v>11.7320197099531</v>
      </c>
      <c r="I95" s="3">
        <v>28.198320740491202</v>
      </c>
      <c r="J95" s="3">
        <v>20.535228786463598</v>
      </c>
      <c r="K95" s="3">
        <v>15.139832931153</v>
      </c>
      <c r="L95" s="3">
        <v>19.773992773067999</v>
      </c>
      <c r="M95" s="3">
        <v>18.3813314189373</v>
      </c>
      <c r="N95" s="3">
        <v>10.6649134370866</v>
      </c>
    </row>
    <row r="96" spans="1:14" x14ac:dyDescent="0.35">
      <c r="A96" s="2">
        <v>44565</v>
      </c>
      <c r="B96" s="3">
        <v>32.275931495849399</v>
      </c>
      <c r="C96" s="3">
        <v>17.7139952423083</v>
      </c>
      <c r="D96" s="3">
        <v>14.4135665598288</v>
      </c>
      <c r="E96" s="3">
        <v>13.6012592582598</v>
      </c>
      <c r="F96" s="3">
        <v>14.7601063445943</v>
      </c>
      <c r="G96" s="3">
        <v>19.7856136131679</v>
      </c>
      <c r="H96" s="3">
        <v>12.407071354388901</v>
      </c>
      <c r="I96" s="3">
        <v>29.044226063548201</v>
      </c>
      <c r="J96" s="3">
        <v>21.402555966289</v>
      </c>
      <c r="K96" s="3">
        <v>16.103052074448801</v>
      </c>
      <c r="L96" s="3">
        <v>20.6173908746817</v>
      </c>
      <c r="M96" s="3">
        <v>18.849971867332201</v>
      </c>
      <c r="N96" s="3">
        <v>11.3657601300363</v>
      </c>
    </row>
    <row r="97" spans="1:14" x14ac:dyDescent="0.35">
      <c r="A97" s="2">
        <v>44596</v>
      </c>
      <c r="B97" s="3">
        <v>30.278627011963401</v>
      </c>
      <c r="C97" s="3">
        <v>15.8324556469375</v>
      </c>
      <c r="D97" s="3">
        <v>14.1827105139414</v>
      </c>
      <c r="E97" s="3">
        <v>12.6296505986975</v>
      </c>
      <c r="F97" s="3">
        <v>13.7802969918217</v>
      </c>
      <c r="G97" s="3">
        <v>18.072222990406502</v>
      </c>
      <c r="H97" s="3">
        <v>12.2266360997776</v>
      </c>
      <c r="I97" s="3">
        <v>25.866913725532399</v>
      </c>
      <c r="J97" s="3">
        <v>19.838317811677499</v>
      </c>
      <c r="K97" s="3">
        <v>14.8152666728467</v>
      </c>
      <c r="L97" s="3">
        <v>18.260906774450198</v>
      </c>
      <c r="M97" s="3">
        <v>16.317333332573199</v>
      </c>
      <c r="N97" s="3">
        <v>10.5799456219617</v>
      </c>
    </row>
    <row r="98" spans="1:14" x14ac:dyDescent="0.35">
      <c r="A98" s="2">
        <v>44624</v>
      </c>
      <c r="B98" s="3">
        <v>29.459261062196202</v>
      </c>
      <c r="C98" s="3">
        <v>15.699185544893099</v>
      </c>
      <c r="D98" s="3">
        <v>13.9791952098913</v>
      </c>
      <c r="E98" s="3">
        <v>10.651027889958501</v>
      </c>
      <c r="F98" s="3">
        <v>12.764842791795701</v>
      </c>
      <c r="G98" s="3">
        <v>17.099265065509801</v>
      </c>
      <c r="H98" s="3">
        <v>11.182221945642199</v>
      </c>
      <c r="I98" s="3">
        <v>24.041684683634902</v>
      </c>
      <c r="J98" s="3">
        <v>18.860370175799002</v>
      </c>
      <c r="K98" s="3">
        <v>12.592477411613601</v>
      </c>
      <c r="L98" s="3">
        <v>16.272087538851199</v>
      </c>
      <c r="M98" s="3">
        <v>14.015002578483299</v>
      </c>
      <c r="N98" s="3">
        <v>8.9315736712448199</v>
      </c>
    </row>
    <row r="99" spans="1:14" x14ac:dyDescent="0.35">
      <c r="A99" s="2">
        <v>44655</v>
      </c>
      <c r="B99" s="3">
        <v>28.7294182256224</v>
      </c>
      <c r="C99" s="3">
        <v>16.0905199310405</v>
      </c>
      <c r="D99" s="3">
        <v>13.6700244452683</v>
      </c>
      <c r="E99" s="3">
        <v>11.7069187401926</v>
      </c>
      <c r="F99" s="3">
        <v>13.3114412798827</v>
      </c>
      <c r="G99" s="3">
        <v>18.5606498338934</v>
      </c>
      <c r="H99" s="3">
        <v>11.1939891562853</v>
      </c>
      <c r="I99" s="3">
        <v>26.116430536779902</v>
      </c>
      <c r="J99" s="3">
        <v>19.632800140203202</v>
      </c>
      <c r="K99" s="3">
        <v>13.5609960682267</v>
      </c>
      <c r="L99" s="3">
        <v>18.591689580445799</v>
      </c>
      <c r="M99" s="3">
        <v>15.3836944739876</v>
      </c>
      <c r="N99" s="3">
        <v>9.7508409963730696</v>
      </c>
    </row>
    <row r="100" spans="1:14" x14ac:dyDescent="0.35">
      <c r="A100" s="2">
        <v>44685</v>
      </c>
      <c r="B100" s="3">
        <v>28.9937376547513</v>
      </c>
      <c r="C100" s="3">
        <v>14.7806516550441</v>
      </c>
      <c r="D100" s="3">
        <v>12.7675803875727</v>
      </c>
      <c r="E100" s="3">
        <v>10.955653702074001</v>
      </c>
      <c r="F100" s="3">
        <v>12.833923780487201</v>
      </c>
      <c r="G100" s="3">
        <v>17.4354113924282</v>
      </c>
      <c r="H100" s="3">
        <v>10.5465951320364</v>
      </c>
      <c r="I100" s="3">
        <v>23.582813234798</v>
      </c>
      <c r="J100" s="3">
        <v>18.2206266036189</v>
      </c>
      <c r="K100" s="3">
        <v>12.5451346254352</v>
      </c>
      <c r="L100" s="3">
        <v>16.818012589373598</v>
      </c>
      <c r="M100" s="3">
        <v>14.1800480480437</v>
      </c>
      <c r="N100" s="3">
        <v>9.1766832579217397</v>
      </c>
    </row>
    <row r="101" spans="1:14" x14ac:dyDescent="0.35">
      <c r="A101" s="2">
        <v>44715</v>
      </c>
      <c r="B101" s="3">
        <v>26.9009383698974</v>
      </c>
      <c r="C101" s="3">
        <v>14.255987418612801</v>
      </c>
      <c r="D101" s="3">
        <v>12.4319886314992</v>
      </c>
      <c r="E101" s="3">
        <v>11.035352981560401</v>
      </c>
      <c r="F101" s="3">
        <v>12.928823726106099</v>
      </c>
      <c r="G101" s="3">
        <v>16.848724453765001</v>
      </c>
      <c r="H101" s="3">
        <v>10.4172119471055</v>
      </c>
      <c r="I101" s="3">
        <v>21.648358325041801</v>
      </c>
      <c r="J101" s="3">
        <v>17.233844417268699</v>
      </c>
      <c r="K101" s="3">
        <v>12.4292431743521</v>
      </c>
      <c r="L101" s="3">
        <v>17.227420533907601</v>
      </c>
      <c r="M101" s="3">
        <v>16.208110968465199</v>
      </c>
      <c r="N101" s="3">
        <v>8.7634567918341908</v>
      </c>
    </row>
    <row r="102" spans="1:14" x14ac:dyDescent="0.35">
      <c r="A102" s="2">
        <v>44743</v>
      </c>
      <c r="B102" s="3">
        <v>25.335570939777</v>
      </c>
      <c r="C102" s="3">
        <v>12.472434732323901</v>
      </c>
      <c r="D102" s="3">
        <v>11.225587953096101</v>
      </c>
      <c r="E102" s="3">
        <v>9.7040564377485001</v>
      </c>
      <c r="F102" s="3">
        <v>12.1577790481003</v>
      </c>
      <c r="G102" s="3">
        <v>15.7364674893585</v>
      </c>
      <c r="H102" s="3">
        <v>9.53875295596883</v>
      </c>
      <c r="I102" s="3">
        <v>20.087404989772399</v>
      </c>
      <c r="J102" s="3">
        <v>15.984134507000199</v>
      </c>
      <c r="K102" s="3">
        <v>11.1853188289709</v>
      </c>
      <c r="L102" s="3">
        <v>15.839937689206799</v>
      </c>
      <c r="M102" s="3">
        <v>14.1175286908588</v>
      </c>
      <c r="N102" s="3">
        <v>7.7034553301887501</v>
      </c>
    </row>
    <row r="103" spans="1:14" x14ac:dyDescent="0.35">
      <c r="A103" s="2">
        <v>44777</v>
      </c>
      <c r="B103" s="3">
        <v>26.7626790880838</v>
      </c>
      <c r="C103" s="3">
        <v>13.784869190616099</v>
      </c>
      <c r="D103" s="3">
        <v>11.4747062697648</v>
      </c>
      <c r="E103" s="3">
        <v>10.408843997469001</v>
      </c>
      <c r="F103" s="3">
        <v>12.690893817928499</v>
      </c>
      <c r="G103" s="3">
        <v>16.929075179358499</v>
      </c>
      <c r="H103" s="3">
        <v>9.8040547442111805</v>
      </c>
      <c r="I103" s="3">
        <v>23.620647305356002</v>
      </c>
      <c r="J103" s="3">
        <v>17.497489111822301</v>
      </c>
      <c r="K103" s="3">
        <v>11.8109593984701</v>
      </c>
      <c r="L103" s="3">
        <v>18.156217906595199</v>
      </c>
      <c r="M103" s="3">
        <v>15.115023588655299</v>
      </c>
      <c r="N103" s="3">
        <v>7.7403876802685998</v>
      </c>
    </row>
    <row r="104" spans="1:14" x14ac:dyDescent="0.35">
      <c r="A104" s="2">
        <v>44806</v>
      </c>
      <c r="B104" s="3">
        <v>27.088721641737202</v>
      </c>
      <c r="C104" s="3">
        <v>13.5788553456945</v>
      </c>
      <c r="D104" s="3">
        <v>11.298260428512201</v>
      </c>
      <c r="E104" s="3">
        <v>9.7251626841816705</v>
      </c>
      <c r="F104" s="3">
        <v>12.6231584924877</v>
      </c>
      <c r="G104" s="3">
        <v>16.1352721568786</v>
      </c>
      <c r="H104" s="3">
        <v>9.2201465394110702</v>
      </c>
      <c r="I104" s="3">
        <v>21.481374181519399</v>
      </c>
      <c r="J104" s="3">
        <v>16.514203297387599</v>
      </c>
      <c r="K104" s="3">
        <v>11.1241657096226</v>
      </c>
      <c r="L104" s="3">
        <v>15.9523177472139</v>
      </c>
      <c r="M104" s="3">
        <v>13.9407914784345</v>
      </c>
      <c r="N104" s="3">
        <v>7.6407777485836501</v>
      </c>
    </row>
    <row r="105" spans="1:14" x14ac:dyDescent="0.35">
      <c r="A105" s="2">
        <v>44838</v>
      </c>
      <c r="B105" s="3">
        <v>24.090125195062502</v>
      </c>
      <c r="C105" s="3">
        <v>13.0926361235895</v>
      </c>
      <c r="D105" s="3">
        <v>11.3148012604548</v>
      </c>
      <c r="E105" s="3">
        <v>9.4034217224560006</v>
      </c>
      <c r="F105" s="3">
        <v>12.3501910219507</v>
      </c>
      <c r="G105" s="3">
        <v>15.441984771414001</v>
      </c>
      <c r="H105" s="3">
        <v>8.9209045282440602</v>
      </c>
      <c r="I105" s="3">
        <v>20.5998240557849</v>
      </c>
      <c r="J105" s="3">
        <v>16.0088902394908</v>
      </c>
      <c r="K105" s="3">
        <v>10.761484203836799</v>
      </c>
      <c r="L105" s="3">
        <v>15.218856379648299</v>
      </c>
      <c r="M105" s="3">
        <v>13.645737457825501</v>
      </c>
      <c r="N105" s="3">
        <v>7.5368975923427</v>
      </c>
    </row>
    <row r="106" spans="1:14" x14ac:dyDescent="0.35">
      <c r="A106" s="2">
        <v>44869</v>
      </c>
      <c r="B106" s="3">
        <v>23.5137564579036</v>
      </c>
      <c r="C106" s="3">
        <v>13.4695934600517</v>
      </c>
      <c r="D106" s="3">
        <v>11.518614667542099</v>
      </c>
      <c r="E106" s="3">
        <v>10.0330089952636</v>
      </c>
      <c r="F106" s="3">
        <v>12.4068219032521</v>
      </c>
      <c r="G106" s="3">
        <v>15.9973445308328</v>
      </c>
      <c r="H106" s="3">
        <v>9.2107465382689409</v>
      </c>
      <c r="I106" s="3">
        <v>20.264359416364801</v>
      </c>
      <c r="J106" s="3">
        <v>16.3196021821568</v>
      </c>
      <c r="K106" s="3">
        <v>11.425547667119501</v>
      </c>
      <c r="L106" s="3">
        <v>14.9663822434631</v>
      </c>
      <c r="M106" s="3">
        <v>12.6298503986909</v>
      </c>
      <c r="N106" s="3">
        <v>8.0748708304560299</v>
      </c>
    </row>
    <row r="107" spans="1:14" x14ac:dyDescent="0.35">
      <c r="A107" s="2">
        <v>44897</v>
      </c>
      <c r="B107" s="3">
        <v>23.470197961287202</v>
      </c>
      <c r="C107" s="3">
        <v>14.5963023095546</v>
      </c>
      <c r="D107" s="3">
        <v>12.4490725801399</v>
      </c>
      <c r="E107" s="3">
        <v>10.8692756991826</v>
      </c>
      <c r="F107" s="3">
        <v>12.7461019649459</v>
      </c>
      <c r="G107" s="3">
        <v>16.911965544968801</v>
      </c>
      <c r="H107" s="3">
        <v>9.9316123646562495</v>
      </c>
      <c r="I107" s="3">
        <v>22.277224184968102</v>
      </c>
      <c r="J107" s="3">
        <v>17.5965965003554</v>
      </c>
      <c r="K107" s="3">
        <v>12.184677230831699</v>
      </c>
      <c r="L107" s="3">
        <v>16.4611003122291</v>
      </c>
      <c r="M107" s="3">
        <v>13.2020133958543</v>
      </c>
      <c r="N107" s="3">
        <v>7.8885780405258501</v>
      </c>
    </row>
    <row r="108" spans="1:14" x14ac:dyDescent="0.35">
      <c r="A108" s="2">
        <v>44930</v>
      </c>
      <c r="B108" s="3">
        <v>23.3023161140285</v>
      </c>
      <c r="C108" s="3">
        <v>14.0266685111293</v>
      </c>
      <c r="D108" s="3">
        <v>12.0384878604288</v>
      </c>
      <c r="E108" s="3">
        <v>10.9618174906824</v>
      </c>
      <c r="F108" s="3">
        <v>12.0482122134764</v>
      </c>
      <c r="G108" s="3">
        <v>16.837017349796302</v>
      </c>
      <c r="H108" s="3">
        <v>9.99167607243254</v>
      </c>
      <c r="I108" s="3">
        <v>20.828087867363799</v>
      </c>
      <c r="J108" s="3">
        <v>16.724071126003999</v>
      </c>
      <c r="K108" s="3">
        <v>12.341981719946</v>
      </c>
      <c r="L108" s="3">
        <v>16.121924252765499</v>
      </c>
      <c r="M108" s="3">
        <v>13.0640349450541</v>
      </c>
      <c r="N108" s="3">
        <v>7.9419834681083001</v>
      </c>
    </row>
    <row r="109" spans="1:14" x14ac:dyDescent="0.35">
      <c r="A109" s="2">
        <v>44960</v>
      </c>
      <c r="B109" s="3">
        <v>24.418262407685202</v>
      </c>
      <c r="C109" s="3">
        <v>15.0568337909699</v>
      </c>
      <c r="D109" s="3">
        <v>13.068455910617001</v>
      </c>
      <c r="E109" s="3">
        <v>11.770747303154099</v>
      </c>
      <c r="F109" s="3">
        <v>12.8646775621292</v>
      </c>
      <c r="G109" s="3">
        <v>17.4210693655025</v>
      </c>
      <c r="H109" s="3">
        <v>10.4981612295588</v>
      </c>
      <c r="I109" s="3">
        <v>24.3287716323719</v>
      </c>
      <c r="J109" s="3">
        <v>18.259923784849398</v>
      </c>
      <c r="K109" s="3">
        <v>13.416609517335401</v>
      </c>
      <c r="L109" s="3">
        <v>17.366868711504701</v>
      </c>
      <c r="M109" s="3">
        <v>14.5470689674175</v>
      </c>
      <c r="N109" s="3">
        <v>8.4120325693579598</v>
      </c>
    </row>
    <row r="110" spans="1:14" x14ac:dyDescent="0.35">
      <c r="A110" s="2">
        <v>44988</v>
      </c>
      <c r="B110" s="3">
        <v>23.569910273123799</v>
      </c>
      <c r="C110" s="3">
        <v>14.520146099182099</v>
      </c>
      <c r="D110" s="3">
        <v>12.969992481804301</v>
      </c>
      <c r="E110" s="3">
        <v>11.6753014994328</v>
      </c>
      <c r="F110" s="3">
        <v>13.3078478400138</v>
      </c>
      <c r="G110" s="3">
        <v>17.148176041652199</v>
      </c>
      <c r="H110" s="3">
        <v>10.544444517773901</v>
      </c>
      <c r="I110" s="3">
        <v>23.5610648811803</v>
      </c>
      <c r="J110" s="3">
        <v>17.802685532293101</v>
      </c>
      <c r="K110" s="3">
        <v>13.342403467808699</v>
      </c>
      <c r="L110" s="3">
        <v>16.710047956735998</v>
      </c>
      <c r="M110" s="3">
        <v>14.2596382117256</v>
      </c>
      <c r="N110" s="3">
        <v>8.7761051157397993</v>
      </c>
    </row>
    <row r="111" spans="1:14" x14ac:dyDescent="0.35">
      <c r="A111" s="2">
        <v>45020</v>
      </c>
      <c r="B111" s="3">
        <v>23.364078492874999</v>
      </c>
      <c r="C111" s="3">
        <v>14.4792312011978</v>
      </c>
      <c r="D111" s="3">
        <v>12.8861702480357</v>
      </c>
      <c r="E111" s="3">
        <v>11.3763071093856</v>
      </c>
      <c r="F111" s="3">
        <v>13.299744421089899</v>
      </c>
      <c r="G111" s="3">
        <v>17.096372614308301</v>
      </c>
      <c r="H111" s="3">
        <v>10.444600726904801</v>
      </c>
      <c r="I111" s="3">
        <v>24.8688863325334</v>
      </c>
      <c r="J111" s="3">
        <v>18.031233553593601</v>
      </c>
      <c r="K111" s="3">
        <v>13.3762972054909</v>
      </c>
      <c r="L111" s="3">
        <v>16.447212735678502</v>
      </c>
      <c r="M111" s="3">
        <v>13.7710976189543</v>
      </c>
      <c r="N111" s="3">
        <v>8.4965659154077908</v>
      </c>
    </row>
    <row r="112" spans="1:14" x14ac:dyDescent="0.35">
      <c r="A112" s="2">
        <v>45050</v>
      </c>
      <c r="B112" s="3">
        <v>23.581768078001801</v>
      </c>
      <c r="C112" s="3">
        <v>14.378059229763201</v>
      </c>
      <c r="D112" s="3">
        <v>12.800130474758999</v>
      </c>
      <c r="E112" s="3">
        <v>11.121368268906</v>
      </c>
      <c r="F112" s="3">
        <v>13.639223234714599</v>
      </c>
      <c r="G112" s="3">
        <v>17.572470453022699</v>
      </c>
      <c r="H112" s="3">
        <v>10.498084174977601</v>
      </c>
      <c r="I112" s="3">
        <v>24.076173416446998</v>
      </c>
      <c r="J112" s="3">
        <v>17.685696116296199</v>
      </c>
      <c r="K112" s="3">
        <v>13.3878340064485</v>
      </c>
      <c r="L112" s="3">
        <v>15.5571081627764</v>
      </c>
      <c r="M112" s="3">
        <v>13.5747628484398</v>
      </c>
      <c r="N112" s="3">
        <v>8.3368416150035696</v>
      </c>
    </row>
    <row r="113" spans="1:25" x14ac:dyDescent="0.35">
      <c r="A113" s="2">
        <v>45079</v>
      </c>
      <c r="B113" s="3">
        <v>21.1567770376368</v>
      </c>
      <c r="C113" s="3">
        <v>14.3998475346568</v>
      </c>
      <c r="D113" s="3">
        <v>12.9375850240642</v>
      </c>
      <c r="E113" s="3">
        <v>10.862806121860199</v>
      </c>
      <c r="F113" s="3">
        <v>14.3085834324374</v>
      </c>
      <c r="G113" s="3">
        <v>16.777987686295699</v>
      </c>
      <c r="H113" s="3">
        <v>10.3040301855153</v>
      </c>
      <c r="I113" s="3">
        <v>26.128499654911</v>
      </c>
      <c r="J113" s="3">
        <v>18.462947126651699</v>
      </c>
      <c r="K113" s="3">
        <v>13.133613153858599</v>
      </c>
      <c r="L113" s="3">
        <v>15.749804453227901</v>
      </c>
      <c r="M113" s="3">
        <v>13.679210960010399</v>
      </c>
      <c r="N113" s="3">
        <v>8.5453776071113605</v>
      </c>
    </row>
    <row r="114" spans="1:25" x14ac:dyDescent="0.35">
      <c r="A114" s="2">
        <v>45110</v>
      </c>
      <c r="B114" s="3">
        <v>21.036094828270901</v>
      </c>
      <c r="C114" s="3">
        <v>15.0142265583721</v>
      </c>
      <c r="D114" s="3">
        <v>13.00512848392</v>
      </c>
      <c r="E114" s="3">
        <v>10.7944403863895</v>
      </c>
      <c r="F114" s="3">
        <v>15.086512304888601</v>
      </c>
      <c r="G114" s="3">
        <v>16.413547505914099</v>
      </c>
      <c r="H114" s="3">
        <v>10.3552482902038</v>
      </c>
      <c r="I114" s="3">
        <v>26.802162424010401</v>
      </c>
      <c r="J114" s="3">
        <v>19.144850027131302</v>
      </c>
      <c r="K114" s="3">
        <v>13.2760080130871</v>
      </c>
      <c r="L114" s="3">
        <v>15.936959852738701</v>
      </c>
      <c r="M114" s="3">
        <v>13.5505958179827</v>
      </c>
      <c r="N114" s="3">
        <v>8.8444898902223308</v>
      </c>
    </row>
    <row r="115" spans="1:25" x14ac:dyDescent="0.35">
      <c r="A115" s="2">
        <v>45142</v>
      </c>
      <c r="B115" s="3">
        <v>20.9424546735886</v>
      </c>
      <c r="C115" s="3">
        <v>15.4026298204681</v>
      </c>
      <c r="D115" s="3">
        <v>13.208959184377701</v>
      </c>
      <c r="E115" s="3">
        <v>10.665236338355401</v>
      </c>
      <c r="F115" s="3">
        <v>14.4457757151244</v>
      </c>
      <c r="G115" s="3">
        <v>16.632252728840399</v>
      </c>
      <c r="H115" s="3">
        <v>10.569762465067599</v>
      </c>
      <c r="I115" s="3">
        <v>24.900999560428399</v>
      </c>
      <c r="J115" s="3">
        <v>19.013501307721398</v>
      </c>
      <c r="K115" s="3">
        <v>13.045112210231</v>
      </c>
      <c r="L115" s="3">
        <v>15.677186759241501</v>
      </c>
      <c r="M115" s="3">
        <v>13.1148555301017</v>
      </c>
      <c r="N115" s="3">
        <v>8.3889777085031199</v>
      </c>
    </row>
    <row r="116" spans="1:25" x14ac:dyDescent="0.35">
      <c r="A116" s="2">
        <v>45170</v>
      </c>
      <c r="B116" s="3">
        <v>20.879533436840902</v>
      </c>
      <c r="C116" s="3">
        <v>15.5104648620548</v>
      </c>
      <c r="D116" s="3">
        <v>13.354403091929001</v>
      </c>
      <c r="E116" s="3">
        <v>10.645678523652901</v>
      </c>
      <c r="F116" s="3">
        <v>14.676220662293399</v>
      </c>
      <c r="G116" s="3">
        <v>16.6087456617472</v>
      </c>
      <c r="H116" s="3">
        <v>10.371577213373</v>
      </c>
      <c r="I116" s="3">
        <v>24.649251009230401</v>
      </c>
      <c r="J116" s="3">
        <v>18.8904508192918</v>
      </c>
      <c r="K116" s="3">
        <v>12.9497600687677</v>
      </c>
      <c r="L116" s="3">
        <v>14.7364793744004</v>
      </c>
      <c r="M116" s="3">
        <v>12.9963127514576</v>
      </c>
      <c r="N116" s="3">
        <v>8.4826107969633497</v>
      </c>
    </row>
    <row r="117" spans="1:25" x14ac:dyDescent="0.35">
      <c r="A117" s="2">
        <v>45203</v>
      </c>
      <c r="B117" s="3">
        <v>19.978468520657302</v>
      </c>
      <c r="C117" s="3">
        <v>14.400614631878501</v>
      </c>
      <c r="D117" s="3">
        <v>12.2386242350722</v>
      </c>
      <c r="E117" s="3">
        <v>10.1314261612947</v>
      </c>
      <c r="F117" s="3">
        <v>13.7326333822466</v>
      </c>
      <c r="G117" s="3">
        <v>15.7902835833192</v>
      </c>
      <c r="H117" s="3">
        <v>10.112898917850201</v>
      </c>
      <c r="I117" s="3">
        <v>23.224047119706</v>
      </c>
      <c r="J117" s="3">
        <v>17.7410244971942</v>
      </c>
      <c r="K117" s="3">
        <v>12.214277629167601</v>
      </c>
      <c r="L117" s="3">
        <v>13.3892221550472</v>
      </c>
      <c r="M117" s="3">
        <v>12.6074397527864</v>
      </c>
      <c r="N117" s="3">
        <v>8.0078235771158504</v>
      </c>
    </row>
    <row r="118" spans="1:25" x14ac:dyDescent="0.35">
      <c r="A118" s="2">
        <v>45233</v>
      </c>
      <c r="B118" s="3">
        <v>20.058441392312702</v>
      </c>
      <c r="C118" s="3">
        <v>14.8757381207264</v>
      </c>
      <c r="D118" s="3">
        <v>12.6045907623818</v>
      </c>
      <c r="E118" s="3">
        <v>10.1543236777341</v>
      </c>
      <c r="F118" s="3">
        <v>14.1559623356939</v>
      </c>
      <c r="G118" s="3">
        <v>15.774393214579501</v>
      </c>
      <c r="H118" s="3">
        <v>10.2453737443902</v>
      </c>
      <c r="I118" s="3">
        <v>23.382905527761601</v>
      </c>
      <c r="J118" s="3">
        <v>18.039074380910101</v>
      </c>
      <c r="K118" s="3">
        <v>12.4413113283708</v>
      </c>
      <c r="L118" s="3">
        <v>13.8966704821205</v>
      </c>
      <c r="M118" s="3">
        <v>12.8675068628209</v>
      </c>
      <c r="N118" s="3">
        <v>8.1680480257491705</v>
      </c>
    </row>
    <row r="119" spans="1:25" x14ac:dyDescent="0.35">
      <c r="A119" s="2">
        <v>45264</v>
      </c>
      <c r="B119" s="3">
        <v>21.603388916212499</v>
      </c>
      <c r="C119" s="3">
        <v>15.398533278866999</v>
      </c>
      <c r="D119" s="3">
        <v>13.087235589204299</v>
      </c>
      <c r="E119" s="3">
        <v>11.058947198018799</v>
      </c>
      <c r="F119" s="3">
        <v>14.1545954825582</v>
      </c>
      <c r="G119" s="3">
        <v>16.398737798289599</v>
      </c>
      <c r="H119" s="3">
        <v>10.5474355489927</v>
      </c>
      <c r="I119" s="3">
        <v>24.025138066747999</v>
      </c>
      <c r="J119" s="3">
        <v>18.7079135530477</v>
      </c>
      <c r="K119" s="3">
        <v>12.974018161954501</v>
      </c>
      <c r="L119" s="3">
        <v>14.6009605588415</v>
      </c>
      <c r="M119" s="3">
        <v>14.678386786396601</v>
      </c>
      <c r="N119" s="3">
        <v>8.6681648777690992</v>
      </c>
    </row>
    <row r="120" spans="1:25" x14ac:dyDescent="0.35">
      <c r="A120" s="2">
        <v>45295</v>
      </c>
      <c r="B120" s="3">
        <v>22.8233927344052</v>
      </c>
      <c r="C120" s="3">
        <v>16.176457093935301</v>
      </c>
      <c r="D120" s="3">
        <v>13.584002710972401</v>
      </c>
      <c r="E120" s="3">
        <v>11.0643972329554</v>
      </c>
      <c r="F120" s="3">
        <v>14.058709048772</v>
      </c>
      <c r="G120" s="3">
        <v>16.9225962370184</v>
      </c>
      <c r="H120" s="3">
        <v>11.0234643386872</v>
      </c>
      <c r="I120" s="3">
        <v>24.226533277603799</v>
      </c>
      <c r="J120" s="3">
        <v>19.151028581353501</v>
      </c>
      <c r="K120" s="3">
        <v>13.262899228157901</v>
      </c>
      <c r="L120" s="3">
        <v>14.744761771639601</v>
      </c>
      <c r="M120" s="3">
        <v>15.359278883493699</v>
      </c>
      <c r="N120" s="3">
        <v>8.9499535018272294</v>
      </c>
    </row>
    <row r="121" spans="1:25" x14ac:dyDescent="0.35">
      <c r="A121" s="2">
        <v>45324</v>
      </c>
      <c r="B121" s="3">
        <v>22.446969997152301</v>
      </c>
      <c r="C121" s="3">
        <v>16.5898470502772</v>
      </c>
      <c r="D121" s="3">
        <v>13.859644907486301</v>
      </c>
      <c r="E121" s="3">
        <v>11.532266769186</v>
      </c>
      <c r="F121" s="3">
        <v>14.9532248374916</v>
      </c>
      <c r="G121" s="3">
        <v>17.113211215527802</v>
      </c>
      <c r="H121" s="3">
        <v>11.058656821389601</v>
      </c>
      <c r="I121" s="3">
        <v>25.9873097032666</v>
      </c>
      <c r="J121" s="3">
        <v>20.168084686600999</v>
      </c>
      <c r="K121" s="3">
        <v>13.646139231257701</v>
      </c>
      <c r="L121" s="3">
        <v>15.787421298524601</v>
      </c>
      <c r="M121" s="3">
        <v>15.6260785549776</v>
      </c>
      <c r="N121" s="3">
        <v>9.0038837561944103</v>
      </c>
    </row>
    <row r="122" spans="1:25" x14ac:dyDescent="0.35">
      <c r="A122" s="2">
        <v>45350</v>
      </c>
      <c r="B122" s="3">
        <v>23.383712403852801</v>
      </c>
      <c r="C122" s="3">
        <v>16.606962296029401</v>
      </c>
      <c r="D122" s="3">
        <v>14.8629000203024</v>
      </c>
      <c r="E122" s="3">
        <v>12.463589319483599</v>
      </c>
      <c r="F122" s="3">
        <v>17.0299526822646</v>
      </c>
      <c r="G122" s="3">
        <v>19.1591141359456</v>
      </c>
      <c r="H122" s="3">
        <v>11.424759028730101</v>
      </c>
      <c r="I122" s="3">
        <v>26.572932649109699</v>
      </c>
      <c r="J122" s="3">
        <v>22.7851734342265</v>
      </c>
      <c r="K122" s="3">
        <v>15.539703596871099</v>
      </c>
      <c r="L122" s="3">
        <v>18.571548265378901</v>
      </c>
      <c r="M122" s="3">
        <v>15.870621943014999</v>
      </c>
      <c r="N122" s="3">
        <v>9.2784963394066207</v>
      </c>
    </row>
    <row r="124" spans="1:25" x14ac:dyDescent="0.35">
      <c r="A124" s="2" t="s">
        <v>95</v>
      </c>
      <c r="B124" s="3" cm="1">
        <f t="array" ref="B124">MIN(_xlfn._xlws.FILTER(B1:B122, ISNUMBER(B1:B122)))</f>
        <v>16.970063539864601</v>
      </c>
      <c r="C124" s="3" cm="1">
        <f t="array" ref="C124">MIN(_xlfn._xlws.FILTER(C1:C122, ISNUMBER(C1:C122)))</f>
        <v>12.472434732323901</v>
      </c>
      <c r="D124" s="3" cm="1">
        <f t="array" ref="D124">MIN(_xlfn._xlws.FILTER(D1:D122, ISNUMBER(D1:D122)))</f>
        <v>11.225587953096101</v>
      </c>
      <c r="E124" s="3" cm="1">
        <f t="array" ref="E124">MIN(_xlfn._xlws.FILTER(E1:E122, ISNUMBER(E1:E122)))</f>
        <v>9.4034217224560006</v>
      </c>
      <c r="F124" s="3" cm="1">
        <f t="array" ref="F124">MIN(_xlfn._xlws.FILTER(F1:F122, ISNUMBER(F1:F122)))</f>
        <v>10.954834020876101</v>
      </c>
      <c r="G124" s="3" cm="1">
        <f t="array" ref="G124">MIN(_xlfn._xlws.FILTER(G1:G122, ISNUMBER(G1:G122)))</f>
        <v>14.7844400374552</v>
      </c>
      <c r="H124" s="3" cm="1">
        <f t="array" ref="H124">MIN(_xlfn._xlws.FILTER(H1:H122, ISNUMBER(H1:H122)))</f>
        <v>8.9209045282440602</v>
      </c>
      <c r="I124" s="3" cm="1">
        <f t="array" ref="I124">MIN(_xlfn._xlws.FILTER(I1:I122, ISNUMBER(I1:I122)))</f>
        <v>16.676264867038199</v>
      </c>
      <c r="J124" s="3" cm="1">
        <f t="array" ref="J124">MIN(_xlfn._xlws.FILTER(J1:J122, ISNUMBER(J1:J122)))</f>
        <v>14.6350443624539</v>
      </c>
      <c r="K124" s="3" cm="1">
        <f t="array" ref="K124">MIN(_xlfn._xlws.FILTER(K1:K122, ISNUMBER(K1:K122)))</f>
        <v>10.761484203836799</v>
      </c>
      <c r="L124" s="3" cm="1">
        <f t="array" ref="L124">MIN(_xlfn._xlws.FILTER(L1:L122, ISNUMBER(L1:L122)))</f>
        <v>13.120370306583</v>
      </c>
      <c r="M124" s="3" cm="1">
        <f t="array" ref="M124">MIN(_xlfn._xlws.FILTER(M1:M122, ISNUMBER(M1:M122)))</f>
        <v>12.6074397527864</v>
      </c>
      <c r="N124" s="3" cm="1">
        <f t="array" ref="N124">MIN(_xlfn._xlws.FILTER(N1:N122, ISNUMBER(N1:N122)))</f>
        <v>7.5368975923427</v>
      </c>
    </row>
    <row r="125" spans="1:25" x14ac:dyDescent="0.35">
      <c r="A125" s="2" t="s">
        <v>96</v>
      </c>
      <c r="B125" s="3" cm="1">
        <f t="array" ref="B125">MAX(_xlfn._xlws.FILTER(B1:B122, ISNUMBER(B1:B122)))</f>
        <v>35.055802509477203</v>
      </c>
      <c r="C125" s="3" cm="1">
        <f t="array" ref="C125">MAX(_xlfn._xlws.FILTER(C1:C122, ISNUMBER(C1:C122)))</f>
        <v>19.895533141163401</v>
      </c>
      <c r="D125" s="3" cm="1">
        <f t="array" ref="D125">MAX(_xlfn._xlws.FILTER(D1:D122, ISNUMBER(D1:D122)))</f>
        <v>18.236743119279801</v>
      </c>
      <c r="E125" s="3" cm="1">
        <f t="array" ref="E125">MAX(_xlfn._xlws.FILTER(E1:E122, ISNUMBER(E1:E122)))</f>
        <v>18.152960269473802</v>
      </c>
      <c r="F125" s="3" cm="1">
        <f t="array" ref="F125">MAX(_xlfn._xlws.FILTER(F1:F122, ISNUMBER(F1:F122)))</f>
        <v>18.5712872999413</v>
      </c>
      <c r="G125" s="3" cm="1">
        <f t="array" ref="G125">MAX(_xlfn._xlws.FILTER(G1:G122, ISNUMBER(G1:G122)))</f>
        <v>19.837715123944101</v>
      </c>
      <c r="H125" s="3" cm="1">
        <f t="array" ref="H125">MAX(_xlfn._xlws.FILTER(H1:H122, ISNUMBER(H1:H122)))</f>
        <v>16.5052472874318</v>
      </c>
      <c r="I125" s="3" cm="1">
        <f t="array" ref="I125">MAX(_xlfn._xlws.FILTER(I1:I122, ISNUMBER(I1:I122)))</f>
        <v>30.1632566756378</v>
      </c>
      <c r="J125" s="3" cm="1">
        <f t="array" ref="J125">MAX(_xlfn._xlws.FILTER(J1:J122, ISNUMBER(J1:J122)))</f>
        <v>22.7851734342265</v>
      </c>
      <c r="K125" s="3" cm="1">
        <f t="array" ref="K125">MAX(_xlfn._xlws.FILTER(K1:K122, ISNUMBER(K1:K122)))</f>
        <v>19.6356046065242</v>
      </c>
      <c r="L125" s="3" cm="1">
        <f t="array" ref="L125">MAX(_xlfn._xlws.FILTER(L1:L122, ISNUMBER(L1:L122)))</f>
        <v>22.738661708558901</v>
      </c>
      <c r="M125" s="3" cm="1">
        <f t="array" ref="M125">MAX(_xlfn._xlws.FILTER(M1:M122, ISNUMBER(M1:M122)))</f>
        <v>20.275064223915201</v>
      </c>
      <c r="N125" s="3" cm="1">
        <f t="array" ref="N125">MAX(_xlfn._xlws.FILTER(N1:N122, ISNUMBER(N1:N122)))</f>
        <v>17.976099175463201</v>
      </c>
    </row>
    <row r="127" spans="1:25" x14ac:dyDescent="0.35">
      <c r="A127" s="2" t="s">
        <v>97</v>
      </c>
      <c r="B127" s="9" cm="1">
        <f t="array" ref="B127">_xlfn.PERCENTRANK.EXC(_xlfn._xlws.FILTER(B1:B122, ISNUMBER(B1:B122)),B122)</f>
        <v>0.622</v>
      </c>
      <c r="C127" s="9" cm="1">
        <f t="array" ref="C127">_xlfn.PERCENTRANK.EXC(_xlfn._xlws.FILTER(C1:C122, ISNUMBER(C1:C122)),C122)</f>
        <v>0.78600000000000003</v>
      </c>
      <c r="D127" s="9" cm="1">
        <f t="array" ref="D127">_xlfn.PERCENTRANK.EXC(_xlfn._xlws.FILTER(D1:D122, ISNUMBER(D1:D122)),D122)</f>
        <v>0.52400000000000002</v>
      </c>
      <c r="E127" s="9" cm="1">
        <f t="array" ref="E127">_xlfn.PERCENTRANK.EXC(_xlfn._xlws.FILTER(E1:E122, ISNUMBER(E1:E122)),E122)</f>
        <v>0.33600000000000002</v>
      </c>
      <c r="F127" s="9" cm="1">
        <f t="array" ref="F127">_xlfn.PERCENTRANK.EXC(_xlfn._xlws.FILTER(F1:F122, ISNUMBER(F1:F122)),F122)</f>
        <v>0.90100000000000002</v>
      </c>
      <c r="G127" s="9" cm="1">
        <f t="array" ref="G127">_xlfn.PERCENTRANK.EXC(_xlfn._xlws.FILTER(G1:G122, ISNUMBER(G1:G122)),G122)</f>
        <v>0.91800000000000004</v>
      </c>
      <c r="H127" s="9" cm="1">
        <f t="array" ref="H127">_xlfn.PERCENTRANK.EXC(_xlfn._xlws.FILTER(H1:H122, ISNUMBER(H1:H122)),H122)</f>
        <v>0.20399999999999999</v>
      </c>
      <c r="I127" s="9" cm="1">
        <f t="array" ref="I127">_xlfn.PERCENTRANK.EXC(_xlfn._xlws.FILTER(I1:I122, ISNUMBER(I1:I122)),I122)</f>
        <v>0.82699999999999996</v>
      </c>
      <c r="J127" s="9" cm="1">
        <f t="array" ref="J127">_xlfn.PERCENTRANK.EXC(_xlfn._xlws.FILTER(J1:J122, ISNUMBER(J1:J122)),J122)</f>
        <v>0.99099999999999999</v>
      </c>
      <c r="K127" s="9" cm="1">
        <f t="array" ref="K127">_xlfn.PERCENTRANK.EXC(_xlfn._xlws.FILTER(K1:K122, ISNUMBER(K1:K122)),K122)</f>
        <v>0.78600000000000003</v>
      </c>
      <c r="L127" s="9" cm="1">
        <f t="array" ref="L127">_xlfn.PERCENTRANK.EXC(_xlfn._xlws.FILTER(L1:L122, ISNUMBER(L1:L122)),L122)</f>
        <v>0.81899999999999995</v>
      </c>
      <c r="M127" s="9" cm="1">
        <f t="array" ref="M127">_xlfn.PERCENTRANK.EXC(_xlfn._xlws.FILTER(M1:M122, ISNUMBER(M1:M122)),M122)</f>
        <v>0.58099999999999996</v>
      </c>
      <c r="N127" s="9" cm="1">
        <f t="array" ref="N127">_xlfn.PERCENTRANK.EXC(_xlfn._xlws.FILTER(N1:N122, ISNUMBER(N1:N122)),N122)</f>
        <v>0.19600000000000001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14" x14ac:dyDescent="0.35">
      <c r="B1" s="3" t="s">
        <v>435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122">_xll.FDS(B1,"JULIAN(FMA_DIV_YLD(NTMA,-10AY,0,AM,""PORTAGG"",""MEANR"").dates)")</f>
        <v>41702</v>
      </c>
      <c r="B2" s="3" cm="1">
        <f t="array" ref="B2:B122">_xll.FDS(B1,"FMA_DIV_YLD(NTMA,-10AY,0,AM,""PORTAGG"",""MEANR"")")</f>
        <v>4.0948463409551898</v>
      </c>
      <c r="C2" s="3" cm="1">
        <f t="array" ref="C2:C122">_xll.FDS(C1,"FMA_DIV_YLD(NTMA,-10AY,0,AM,""PORTAGG"",""MEANR"")")</f>
        <v>4.8544906774910501</v>
      </c>
      <c r="D2" s="3" cm="1">
        <f t="array" ref="D2:D122">_xll.FDS(D1,"FMA_DIV_YLD(NTMA,-10AY,0,AM,""PORTAGG"",""MEANR"")")</f>
        <v>2.88882392696835</v>
      </c>
      <c r="E2" s="3" cm="1">
        <f t="array" ref="E2:E122">_xll.FDS(E1,"FMA_DIV_YLD(NTMA,-10AY,0,AM,""PORTAGG"",""MEANR"")")</f>
        <v>2.9272792372515202</v>
      </c>
      <c r="F2" s="3" cm="1">
        <f t="array" ref="F2:F122">_xll.FDS(F1,"FMA_DIV_YLD(NTMA,-10AY,0,AM,""PORTAGG"",""MEANR"")")</f>
        <v>2.0833985252212299</v>
      </c>
      <c r="G2" s="3" cm="1">
        <f t="array" ref="G2:G122">_xll.FDS(G1,"FMA_DIV_YLD(NTMA,-10AY,0,AM,""PORTAGG"",""MEANR"")")</f>
        <v>3.19573279031993</v>
      </c>
      <c r="H2" s="3" cm="1">
        <f t="array" ref="H2:H122">_xll.FDS(H1,"FMA_DIV_YLD(NTMA,-10AY,0,AM,""PORTAGG"",""MEANR"")")</f>
        <v>3.8214825898257399</v>
      </c>
      <c r="I2" s="3" cm="1">
        <f t="array" ref="I2:I122">_xll.FDS(I1,"FMA_DIV_YLD(NTMA,-10AY,0,AM,""PORTAGG"",""MEANR"")")</f>
        <v>1.3759409691690001</v>
      </c>
      <c r="J2" s="3" cm="1">
        <f t="array" ref="J2:J122">_xll.FDS(J1,"FMA_DIV_YLD(NTMA,-10AY,0,AM,""PORTAGG"",""MEANR"")")</f>
        <v>2.15372065918412</v>
      </c>
      <c r="K2" s="3" cm="1">
        <f t="array" ref="K2:K122">_xll.FDS(K1,"FMA_DIV_YLD(NTMA,-10AY,0,AM,""PORTAGG"",""MEANR"")")</f>
        <v>3.4880006560968102</v>
      </c>
      <c r="L2" s="3" cm="1">
        <f t="array" ref="L2:L122">_xll.FDS(L1,"FMA_DIV_YLD(NTMA,-10AY,0,AM,""PORTAGG"",""MEANR"")")</f>
        <v>2.68984532508254</v>
      </c>
      <c r="M2" s="3" cm="1">
        <f t="array" ref="M2:M122">_xll.FDS(M1,"FMA_DIV_YLD(NTMA,-10AY,0,AM,""PORTAGG"",""MEANR"")")</f>
        <v>3.9936684818469299</v>
      </c>
      <c r="N2" s="3" cm="1">
        <f t="array" ref="N2:N122">_xll.FDS(N1,"FMA_DIV_YLD(NTMA,-10AY,0,AM,""PORTAGG"",""MEANR"")")</f>
        <v>3.5324227606642502</v>
      </c>
    </row>
    <row r="3" spans="1:14" x14ac:dyDescent="0.35">
      <c r="A3" s="2">
        <v>41733</v>
      </c>
      <c r="B3" s="3">
        <v>4.0895677922805804</v>
      </c>
      <c r="C3" s="3">
        <v>4.7999976650859297</v>
      </c>
      <c r="D3" s="3">
        <v>2.9118719586002899</v>
      </c>
      <c r="E3" s="3">
        <v>2.9270486553061401</v>
      </c>
      <c r="F3" s="3">
        <v>2.0797072903227498</v>
      </c>
      <c r="G3" s="3">
        <v>3.1957212384115801</v>
      </c>
      <c r="H3" s="3">
        <v>3.90077181712625</v>
      </c>
      <c r="I3" s="3">
        <v>1.42203366990281</v>
      </c>
      <c r="J3" s="3">
        <v>2.1711171046384301</v>
      </c>
      <c r="K3" s="3">
        <v>3.4452387175986798</v>
      </c>
      <c r="L3" s="3">
        <v>2.6712670752437302</v>
      </c>
      <c r="M3" s="3">
        <v>3.99126325412964</v>
      </c>
      <c r="N3" s="3">
        <v>3.30926893787696</v>
      </c>
    </row>
    <row r="4" spans="1:14" x14ac:dyDescent="0.35">
      <c r="A4" s="2">
        <v>41761</v>
      </c>
      <c r="B4" s="3">
        <v>4.0233407256534699</v>
      </c>
      <c r="C4" s="3">
        <v>4.7860717327580096</v>
      </c>
      <c r="D4" s="3">
        <v>2.8496909755856099</v>
      </c>
      <c r="E4" s="3">
        <v>3.0054661336784601</v>
      </c>
      <c r="F4" s="3">
        <v>2.15781029827312</v>
      </c>
      <c r="G4" s="3">
        <v>3.1994148650080199</v>
      </c>
      <c r="H4" s="3">
        <v>3.819658860763</v>
      </c>
      <c r="I4" s="3">
        <v>1.3576502200634299</v>
      </c>
      <c r="J4" s="3">
        <v>2.1569156843285202</v>
      </c>
      <c r="K4" s="3">
        <v>3.4638687105566</v>
      </c>
      <c r="L4" s="3">
        <v>2.8169734803431901</v>
      </c>
      <c r="M4" s="3">
        <v>4.1118722665011802</v>
      </c>
      <c r="N4" s="3">
        <v>3.3992814152499902</v>
      </c>
    </row>
    <row r="5" spans="1:14" x14ac:dyDescent="0.35">
      <c r="A5" s="2">
        <v>41794</v>
      </c>
      <c r="B5" s="3">
        <v>4.2245921584264101</v>
      </c>
      <c r="C5" s="3">
        <v>4.81573749921409</v>
      </c>
      <c r="D5" s="3">
        <v>2.86445334380831</v>
      </c>
      <c r="E5" s="3">
        <v>2.97118918547174</v>
      </c>
      <c r="F5" s="3">
        <v>2.10484082061671</v>
      </c>
      <c r="G5" s="3">
        <v>3.2162066224983001</v>
      </c>
      <c r="H5" s="3">
        <v>3.8574980750043699</v>
      </c>
      <c r="I5" s="3">
        <v>1.31085769127697</v>
      </c>
      <c r="J5" s="3">
        <v>2.1212284276778299</v>
      </c>
      <c r="K5" s="3">
        <v>3.4031467781742699</v>
      </c>
      <c r="L5" s="3">
        <v>2.81302604363984</v>
      </c>
      <c r="M5" s="3">
        <v>4.0674504129396301</v>
      </c>
      <c r="N5" s="3">
        <v>3.4852803285338698</v>
      </c>
    </row>
    <row r="6" spans="1:14" x14ac:dyDescent="0.35">
      <c r="A6" s="2">
        <v>41823</v>
      </c>
      <c r="B6" s="3">
        <v>4.421391511775</v>
      </c>
      <c r="C6" s="3">
        <v>4.7895479661527602</v>
      </c>
      <c r="D6" s="3">
        <v>2.7969086060078299</v>
      </c>
      <c r="E6" s="3">
        <v>2.97712171938965</v>
      </c>
      <c r="F6" s="3">
        <v>2.04869438770492</v>
      </c>
      <c r="G6" s="3">
        <v>3.2778253014955201</v>
      </c>
      <c r="H6" s="3">
        <v>3.8006162773929701</v>
      </c>
      <c r="I6" s="3">
        <v>1.2429523936479501</v>
      </c>
      <c r="J6" s="3">
        <v>2.0728783812713201</v>
      </c>
      <c r="K6" s="3">
        <v>3.3946654796295301</v>
      </c>
      <c r="L6" s="3">
        <v>2.74809731260379</v>
      </c>
      <c r="M6" s="3">
        <v>4.0513519981743098</v>
      </c>
      <c r="N6" s="3">
        <v>3.2772915824992901</v>
      </c>
    </row>
    <row r="7" spans="1:14" x14ac:dyDescent="0.35">
      <c r="A7" s="2">
        <v>41855</v>
      </c>
      <c r="B7" s="3">
        <v>4.5222618342320704</v>
      </c>
      <c r="C7" s="3">
        <v>4.7249409949201597</v>
      </c>
      <c r="D7" s="3">
        <v>2.8037945732357401</v>
      </c>
      <c r="E7" s="3">
        <v>3.2795249870720502</v>
      </c>
      <c r="F7" s="3">
        <v>2.0684394263979202</v>
      </c>
      <c r="G7" s="3">
        <v>3.4373614142056401</v>
      </c>
      <c r="H7" s="3">
        <v>3.94260197358662</v>
      </c>
      <c r="I7" s="3">
        <v>1.2600903545025799</v>
      </c>
      <c r="J7" s="3">
        <v>2.1412459750778901</v>
      </c>
      <c r="K7" s="3">
        <v>3.6293892203342599</v>
      </c>
      <c r="L7" s="3">
        <v>3.0285580878165299</v>
      </c>
      <c r="M7" s="3">
        <v>4.2841171791209902</v>
      </c>
      <c r="N7" s="3">
        <v>3.5736755904708</v>
      </c>
    </row>
    <row r="8" spans="1:14" x14ac:dyDescent="0.35">
      <c r="A8" s="2">
        <v>41886</v>
      </c>
      <c r="B8" s="3">
        <v>4.5538297847439697</v>
      </c>
      <c r="C8" s="3">
        <v>4.6852912419517496</v>
      </c>
      <c r="D8" s="3">
        <v>2.75454630731311</v>
      </c>
      <c r="E8" s="3">
        <v>3.0916174194669201</v>
      </c>
      <c r="F8" s="3">
        <v>2.057172969887</v>
      </c>
      <c r="G8" s="3">
        <v>3.2624979549924502</v>
      </c>
      <c r="H8" s="3">
        <v>3.8657250242256902</v>
      </c>
      <c r="I8" s="3">
        <v>1.21679091316816</v>
      </c>
      <c r="J8" s="3">
        <v>2.0921385709673301</v>
      </c>
      <c r="K8" s="3">
        <v>3.4605156924875602</v>
      </c>
      <c r="L8" s="3">
        <v>2.9283390560087801</v>
      </c>
      <c r="M8" s="3">
        <v>4.18828352234158</v>
      </c>
      <c r="N8" s="3">
        <v>3.45177240438227</v>
      </c>
    </row>
    <row r="9" spans="1:14" x14ac:dyDescent="0.35">
      <c r="A9" s="2">
        <v>41915</v>
      </c>
      <c r="B9" s="3">
        <v>4.6018441958213003</v>
      </c>
      <c r="C9" s="3">
        <v>5.0505751923125297</v>
      </c>
      <c r="D9" s="3">
        <v>2.9136947450646602</v>
      </c>
      <c r="E9" s="3">
        <v>3.2918812746062098</v>
      </c>
      <c r="F9" s="3">
        <v>2.0950817466838201</v>
      </c>
      <c r="G9" s="3">
        <v>3.3997593548756799</v>
      </c>
      <c r="H9" s="3">
        <v>4.1343508821861903</v>
      </c>
      <c r="I9" s="3">
        <v>1.2465488339708399</v>
      </c>
      <c r="J9" s="3">
        <v>2.1383790731585202</v>
      </c>
      <c r="K9" s="3">
        <v>3.6636616617606399</v>
      </c>
      <c r="L9" s="3">
        <v>3.0663210573131501</v>
      </c>
      <c r="M9" s="3">
        <v>4.3073899954270702</v>
      </c>
      <c r="N9" s="3">
        <v>3.7721589548540599</v>
      </c>
    </row>
    <row r="10" spans="1:14" x14ac:dyDescent="0.35">
      <c r="A10" s="2">
        <v>41947</v>
      </c>
      <c r="B10" s="3">
        <v>4.4799005881870499</v>
      </c>
      <c r="C10" s="3">
        <v>4.8428285744274202</v>
      </c>
      <c r="D10" s="3">
        <v>3.0148751553673598</v>
      </c>
      <c r="E10" s="3">
        <v>3.3210644941492302</v>
      </c>
      <c r="F10" s="3">
        <v>1.9672808223510401</v>
      </c>
      <c r="G10" s="3">
        <v>3.3608291599013902</v>
      </c>
      <c r="H10" s="3">
        <v>4.1535549676239798</v>
      </c>
      <c r="I10" s="3">
        <v>1.22815233439533</v>
      </c>
      <c r="J10" s="3">
        <v>2.1157293271772999</v>
      </c>
      <c r="K10" s="3">
        <v>3.7829506498874701</v>
      </c>
      <c r="L10" s="3">
        <v>3.1382556192667801</v>
      </c>
      <c r="M10" s="3">
        <v>4.21474888694285</v>
      </c>
      <c r="N10" s="3">
        <v>4.0431746040927301</v>
      </c>
    </row>
    <row r="11" spans="1:14" x14ac:dyDescent="0.35">
      <c r="A11" s="2">
        <v>41977</v>
      </c>
      <c r="B11" s="3">
        <v>4.5075964245315197</v>
      </c>
      <c r="C11" s="3">
        <v>4.9793321952458003</v>
      </c>
      <c r="D11" s="3">
        <v>2.98312231478788</v>
      </c>
      <c r="E11" s="3">
        <v>3.1695357827974</v>
      </c>
      <c r="F11" s="3">
        <v>1.91677458682577</v>
      </c>
      <c r="G11" s="3">
        <v>3.2382515753593499</v>
      </c>
      <c r="H11" s="3">
        <v>4.0524567181778197</v>
      </c>
      <c r="I11" s="3">
        <v>1.19860449424864</v>
      </c>
      <c r="J11" s="3">
        <v>2.07346328990957</v>
      </c>
      <c r="K11" s="3">
        <v>3.6005312573779702</v>
      </c>
      <c r="L11" s="3">
        <v>3.0133365225154498</v>
      </c>
      <c r="M11" s="3">
        <v>4.1189321066983204</v>
      </c>
      <c r="N11" s="3">
        <v>3.9333828042141001</v>
      </c>
    </row>
    <row r="12" spans="1:14" x14ac:dyDescent="0.35">
      <c r="A12" s="2">
        <v>42006</v>
      </c>
      <c r="B12" s="3">
        <v>4.4358679634783202</v>
      </c>
      <c r="C12" s="3">
        <v>4.9561055006104802</v>
      </c>
      <c r="D12" s="3">
        <v>2.9062713291534599</v>
      </c>
      <c r="E12" s="3">
        <v>3.2067397206617598</v>
      </c>
      <c r="F12" s="3">
        <v>1.9823228051247399</v>
      </c>
      <c r="G12" s="3">
        <v>3.31217177074199</v>
      </c>
      <c r="H12" s="3">
        <v>4.1700632662538801</v>
      </c>
      <c r="I12" s="3">
        <v>1.2078907210396901</v>
      </c>
      <c r="J12" s="3">
        <v>2.1022932342426501</v>
      </c>
      <c r="K12" s="3">
        <v>3.6491623084804501</v>
      </c>
      <c r="L12" s="3">
        <v>3.0814615464786699</v>
      </c>
      <c r="M12" s="3">
        <v>4.0974509664979504</v>
      </c>
      <c r="N12" s="3">
        <v>4.0613458766300203</v>
      </c>
    </row>
    <row r="13" spans="1:14" x14ac:dyDescent="0.35">
      <c r="A13" s="2">
        <v>42039</v>
      </c>
      <c r="B13" s="3">
        <v>4.2939646340505702</v>
      </c>
      <c r="C13" s="3">
        <v>4.69378123510542</v>
      </c>
      <c r="D13" s="3">
        <v>2.89425708206254</v>
      </c>
      <c r="E13" s="3">
        <v>2.8951408329497901</v>
      </c>
      <c r="F13" s="3">
        <v>2.0028942242896801</v>
      </c>
      <c r="G13" s="3">
        <v>3.2918169317797998</v>
      </c>
      <c r="H13" s="3">
        <v>3.9989393994876301</v>
      </c>
      <c r="I13" s="3">
        <v>1.26336058111876</v>
      </c>
      <c r="J13" s="3">
        <v>2.1549667726442201</v>
      </c>
      <c r="K13" s="3">
        <v>3.2987069627623602</v>
      </c>
      <c r="L13" s="3">
        <v>2.90041212861688</v>
      </c>
      <c r="M13" s="3">
        <v>3.8336999084263299</v>
      </c>
      <c r="N13" s="3">
        <v>3.71302426186281</v>
      </c>
    </row>
    <row r="14" spans="1:14" x14ac:dyDescent="0.35">
      <c r="A14" s="2">
        <v>42067</v>
      </c>
      <c r="B14" s="3">
        <v>4.2786939582460199</v>
      </c>
      <c r="C14" s="3">
        <v>4.5751627807176103</v>
      </c>
      <c r="D14" s="3">
        <v>2.8817856093137801</v>
      </c>
      <c r="E14" s="3">
        <v>2.7830902482211601</v>
      </c>
      <c r="F14" s="3">
        <v>1.8945902498606599</v>
      </c>
      <c r="G14" s="3">
        <v>3.1790003717084301</v>
      </c>
      <c r="H14" s="3">
        <v>3.9099848483326598</v>
      </c>
      <c r="I14" s="3">
        <v>1.2101408545018799</v>
      </c>
      <c r="J14" s="3">
        <v>2.1352215920001298</v>
      </c>
      <c r="K14" s="3">
        <v>3.2032266719908198</v>
      </c>
      <c r="L14" s="3">
        <v>2.7115116715301699</v>
      </c>
      <c r="M14" s="3">
        <v>3.6701945058399499</v>
      </c>
      <c r="N14" s="3">
        <v>3.4747231844366002</v>
      </c>
    </row>
    <row r="15" spans="1:14" x14ac:dyDescent="0.35">
      <c r="A15" s="2">
        <v>42096</v>
      </c>
      <c r="B15" s="3">
        <v>4.4138014957123</v>
      </c>
      <c r="C15" s="3">
        <v>4.6105427087076096</v>
      </c>
      <c r="D15" s="3">
        <v>2.8898505926306899</v>
      </c>
      <c r="E15" s="3">
        <v>2.6897686403498202</v>
      </c>
      <c r="F15" s="3">
        <v>1.87306489716522</v>
      </c>
      <c r="G15" s="3">
        <v>3.1310947975759502</v>
      </c>
      <c r="H15" s="3">
        <v>4.0204209325582001</v>
      </c>
      <c r="I15" s="3">
        <v>1.2822542300114801</v>
      </c>
      <c r="J15" s="3">
        <v>2.18037388974949</v>
      </c>
      <c r="K15" s="3">
        <v>3.1690834870554498</v>
      </c>
      <c r="L15" s="3">
        <v>2.6544686056369402</v>
      </c>
      <c r="M15" s="3">
        <v>3.6593769068961501</v>
      </c>
      <c r="N15" s="3">
        <v>3.1316035807262699</v>
      </c>
    </row>
    <row r="16" spans="1:14" x14ac:dyDescent="0.35">
      <c r="A16" s="2">
        <v>42128</v>
      </c>
      <c r="B16" s="3">
        <v>4.4798010827833403</v>
      </c>
      <c r="C16" s="3">
        <v>4.6412195906918097</v>
      </c>
      <c r="D16" s="3">
        <v>2.8164815887254999</v>
      </c>
      <c r="E16" s="3">
        <v>2.8313052755384298</v>
      </c>
      <c r="F16" s="3">
        <v>1.8641846079772599</v>
      </c>
      <c r="G16" s="3">
        <v>3.0971168579077299</v>
      </c>
      <c r="H16" s="3">
        <v>3.9203949349509499</v>
      </c>
      <c r="I16" s="3">
        <v>1.23725505667508</v>
      </c>
      <c r="J16" s="3">
        <v>2.1441308405287001</v>
      </c>
      <c r="K16" s="3">
        <v>3.23008449182558</v>
      </c>
      <c r="L16" s="3">
        <v>2.7385138050708502</v>
      </c>
      <c r="M16" s="3">
        <v>3.7922137696959699</v>
      </c>
      <c r="N16" s="3">
        <v>3.17642927206668</v>
      </c>
    </row>
    <row r="17" spans="1:14" x14ac:dyDescent="0.35">
      <c r="A17" s="2">
        <v>42159</v>
      </c>
      <c r="B17" s="3">
        <v>4.4201361714595704</v>
      </c>
      <c r="C17" s="3">
        <v>4.9402546925016599</v>
      </c>
      <c r="D17" s="3">
        <v>2.90063917353018</v>
      </c>
      <c r="E17" s="3">
        <v>2.96323636338921</v>
      </c>
      <c r="F17" s="3">
        <v>1.8470796544233501</v>
      </c>
      <c r="G17" s="3">
        <v>3.1205149689682701</v>
      </c>
      <c r="H17" s="3">
        <v>3.9896961127748298</v>
      </c>
      <c r="I17" s="3">
        <v>1.24566531612437</v>
      </c>
      <c r="J17" s="3">
        <v>2.1738431608619901</v>
      </c>
      <c r="K17" s="3">
        <v>3.3042734333581598</v>
      </c>
      <c r="L17" s="3">
        <v>2.86920066045636</v>
      </c>
      <c r="M17" s="3">
        <v>3.84371011100898</v>
      </c>
      <c r="N17" s="3">
        <v>3.22621512697682</v>
      </c>
    </row>
    <row r="18" spans="1:14" x14ac:dyDescent="0.35">
      <c r="A18" s="2">
        <v>42187</v>
      </c>
      <c r="B18" s="3">
        <v>4.6118671941691503</v>
      </c>
      <c r="C18" s="3">
        <v>4.85649458853878</v>
      </c>
      <c r="D18" s="3">
        <v>3.0015151753047</v>
      </c>
      <c r="E18" s="3">
        <v>3.05685616476568</v>
      </c>
      <c r="F18" s="3">
        <v>1.9015929706569401</v>
      </c>
      <c r="G18" s="3">
        <v>3.2380626026624202</v>
      </c>
      <c r="H18" s="3">
        <v>4.1442046729690496</v>
      </c>
      <c r="I18" s="3">
        <v>1.2612209277419599</v>
      </c>
      <c r="J18" s="3">
        <v>2.19149921343609</v>
      </c>
      <c r="K18" s="3">
        <v>3.4291090081297502</v>
      </c>
      <c r="L18" s="3">
        <v>2.9503104836919598</v>
      </c>
      <c r="M18" s="3">
        <v>4.0262084881765796</v>
      </c>
      <c r="N18" s="3">
        <v>3.3237778299065299</v>
      </c>
    </row>
    <row r="19" spans="1:14" x14ac:dyDescent="0.35">
      <c r="A19" s="2">
        <v>42220</v>
      </c>
      <c r="B19" s="3">
        <v>4.5394004670719497</v>
      </c>
      <c r="C19" s="3">
        <v>4.7967084146360097</v>
      </c>
      <c r="D19" s="3">
        <v>3.0603238578866998</v>
      </c>
      <c r="E19" s="3">
        <v>2.9752385699538402</v>
      </c>
      <c r="F19" s="3">
        <v>1.90297415196875</v>
      </c>
      <c r="G19" s="3">
        <v>3.0944325510196302</v>
      </c>
      <c r="H19" s="3">
        <v>4.1017500484471201</v>
      </c>
      <c r="I19" s="3">
        <v>1.26898564208871</v>
      </c>
      <c r="J19" s="3">
        <v>2.2034946792876</v>
      </c>
      <c r="K19" s="3">
        <v>3.2806617251395398</v>
      </c>
      <c r="L19" s="3">
        <v>2.86384022510323</v>
      </c>
      <c r="M19" s="3">
        <v>3.9765215516692201</v>
      </c>
      <c r="N19" s="3">
        <v>3.1342844475480498</v>
      </c>
    </row>
    <row r="20" spans="1:14" x14ac:dyDescent="0.35">
      <c r="A20" s="2">
        <v>42251</v>
      </c>
      <c r="B20" s="3">
        <v>5.22260074814821</v>
      </c>
      <c r="C20" s="3">
        <v>5.51200695998104</v>
      </c>
      <c r="D20" s="3">
        <v>3.2566041998067798</v>
      </c>
      <c r="E20" s="3">
        <v>3.4008612431173901</v>
      </c>
      <c r="F20" s="3">
        <v>2.20556783206123</v>
      </c>
      <c r="G20" s="3">
        <v>3.3934667117799302</v>
      </c>
      <c r="H20" s="3">
        <v>4.5752074776156197</v>
      </c>
      <c r="I20" s="3">
        <v>1.39250307387024</v>
      </c>
      <c r="J20" s="3">
        <v>2.4153190608063202</v>
      </c>
      <c r="K20" s="3">
        <v>3.7202261220455699</v>
      </c>
      <c r="L20" s="3">
        <v>3.4837398594693698</v>
      </c>
      <c r="M20" s="3">
        <v>4.4089477179791396</v>
      </c>
      <c r="N20" s="3">
        <v>3.4494806855654199</v>
      </c>
    </row>
    <row r="21" spans="1:14" x14ac:dyDescent="0.35">
      <c r="A21" s="2">
        <v>42279</v>
      </c>
      <c r="B21" s="3">
        <v>5.2983767660273404</v>
      </c>
      <c r="C21" s="3">
        <v>5.4549610302002796</v>
      </c>
      <c r="D21" s="3">
        <v>3.3054713154918698</v>
      </c>
      <c r="E21" s="3">
        <v>3.51099814566017</v>
      </c>
      <c r="F21" s="3">
        <v>2.2133136853556601</v>
      </c>
      <c r="G21" s="3">
        <v>3.43939997398871</v>
      </c>
      <c r="H21" s="3">
        <v>4.4296831846613296</v>
      </c>
      <c r="I21" s="3">
        <v>1.3672001617655101</v>
      </c>
      <c r="J21" s="3">
        <v>2.3819927400980299</v>
      </c>
      <c r="K21" s="3">
        <v>3.75713712725147</v>
      </c>
      <c r="L21" s="3">
        <v>3.5927448490592102</v>
      </c>
      <c r="M21" s="3">
        <v>4.5713656665182398</v>
      </c>
      <c r="N21" s="3">
        <v>3.69527891923271</v>
      </c>
    </row>
    <row r="22" spans="1:14" x14ac:dyDescent="0.35">
      <c r="A22" s="2">
        <v>42312</v>
      </c>
      <c r="B22" s="3">
        <v>4.8425768586286697</v>
      </c>
      <c r="C22" s="3">
        <v>5.2331221559621799</v>
      </c>
      <c r="D22" s="3">
        <v>3.2338390162216601</v>
      </c>
      <c r="E22" s="3">
        <v>2.9998287589586399</v>
      </c>
      <c r="F22" s="3">
        <v>2.0795174694723699</v>
      </c>
      <c r="G22" s="3">
        <v>3.2441379162591</v>
      </c>
      <c r="H22" s="3">
        <v>4.1890863447480102</v>
      </c>
      <c r="I22" s="3">
        <v>1.2500149945807</v>
      </c>
      <c r="J22" s="3">
        <v>2.2265060951735798</v>
      </c>
      <c r="K22" s="3">
        <v>3.4057143489167898</v>
      </c>
      <c r="L22" s="3">
        <v>3.1852585945635101</v>
      </c>
      <c r="M22" s="3">
        <v>4.12405639252162</v>
      </c>
      <c r="N22" s="3">
        <v>3.5889715710003598</v>
      </c>
    </row>
    <row r="23" spans="1:14" x14ac:dyDescent="0.35">
      <c r="A23" s="2">
        <v>42342</v>
      </c>
      <c r="B23" s="3">
        <v>4.78887374216258</v>
      </c>
      <c r="C23" s="3">
        <v>5.2746795711733201</v>
      </c>
      <c r="D23" s="3">
        <v>3.3127328869269101</v>
      </c>
      <c r="E23" s="3">
        <v>3.02327542846115</v>
      </c>
      <c r="F23" s="3">
        <v>2.0516927131749001</v>
      </c>
      <c r="G23" s="3">
        <v>3.2845116199108899</v>
      </c>
      <c r="H23" s="3">
        <v>4.2863550785478903</v>
      </c>
      <c r="I23" s="3">
        <v>1.2594201906243001</v>
      </c>
      <c r="J23" s="3">
        <v>2.2641211874548</v>
      </c>
      <c r="K23" s="3">
        <v>3.5326087758085598</v>
      </c>
      <c r="L23" s="3">
        <v>3.2459220238840798</v>
      </c>
      <c r="M23" s="3">
        <v>4.2157138131563903</v>
      </c>
      <c r="N23" s="3">
        <v>3.6609645805887499</v>
      </c>
    </row>
    <row r="24" spans="1:14" x14ac:dyDescent="0.35">
      <c r="A24" s="2">
        <v>42373</v>
      </c>
      <c r="B24" s="3">
        <v>4.7301952688323601</v>
      </c>
      <c r="C24" s="3">
        <v>5.1425333614273798</v>
      </c>
      <c r="D24" s="3">
        <v>3.3821873196577501</v>
      </c>
      <c r="E24" s="3">
        <v>3.1627918187645099</v>
      </c>
      <c r="F24" s="3">
        <v>2.1509945239934001</v>
      </c>
      <c r="G24" s="3">
        <v>3.3422514923307598</v>
      </c>
      <c r="H24" s="3">
        <v>4.4146472962079901</v>
      </c>
      <c r="I24" s="3">
        <v>1.2875104026795401</v>
      </c>
      <c r="J24" s="3">
        <v>2.35278634248131</v>
      </c>
      <c r="K24" s="3">
        <v>3.6951359339969998</v>
      </c>
      <c r="L24" s="3">
        <v>3.2175942245315401</v>
      </c>
      <c r="M24" s="3">
        <v>4.4674352594582603</v>
      </c>
      <c r="N24" s="3">
        <v>3.9866949557329101</v>
      </c>
    </row>
    <row r="25" spans="1:14" x14ac:dyDescent="0.35">
      <c r="A25" s="2">
        <v>42404</v>
      </c>
      <c r="B25" s="3">
        <v>4.8815805438372699</v>
      </c>
      <c r="C25" s="3">
        <v>5.1446920414845696</v>
      </c>
      <c r="D25" s="3">
        <v>3.37988259420051</v>
      </c>
      <c r="E25" s="3">
        <v>3.4841343956224202</v>
      </c>
      <c r="F25" s="3">
        <v>2.34772702152295</v>
      </c>
      <c r="G25" s="3">
        <v>3.51354674088293</v>
      </c>
      <c r="H25" s="3">
        <v>4.5277995906779704</v>
      </c>
      <c r="I25" s="3">
        <v>1.3984289379076</v>
      </c>
      <c r="J25" s="3">
        <v>2.4518202590146898</v>
      </c>
      <c r="K25" s="3">
        <v>3.9150136998354101</v>
      </c>
      <c r="L25" s="3">
        <v>3.4065065226489901</v>
      </c>
      <c r="M25" s="3">
        <v>4.5132168642495598</v>
      </c>
      <c r="N25" s="3">
        <v>4.5965907639730004</v>
      </c>
    </row>
    <row r="26" spans="1:14" x14ac:dyDescent="0.35">
      <c r="A26" s="2">
        <v>42433</v>
      </c>
      <c r="B26" s="3">
        <v>4.7355690434556204</v>
      </c>
      <c r="C26" s="3">
        <v>4.8076398435173999</v>
      </c>
      <c r="D26" s="3">
        <v>3.25532814973938</v>
      </c>
      <c r="E26" s="3">
        <v>3.3580765193853099</v>
      </c>
      <c r="F26" s="3">
        <v>2.3348712620541701</v>
      </c>
      <c r="G26" s="3">
        <v>3.48595322964661</v>
      </c>
      <c r="H26" s="3">
        <v>4.3451297176959001</v>
      </c>
      <c r="I26" s="3">
        <v>1.3752583445411299</v>
      </c>
      <c r="J26" s="3">
        <v>2.4751977345461702</v>
      </c>
      <c r="K26" s="3">
        <v>3.7332835280433501</v>
      </c>
      <c r="L26" s="3">
        <v>3.30689514791493</v>
      </c>
      <c r="M26" s="3">
        <v>4.2724422741614401</v>
      </c>
      <c r="N26" s="3">
        <v>4.3335672392327496</v>
      </c>
    </row>
    <row r="27" spans="1:14" x14ac:dyDescent="0.35">
      <c r="A27" s="2">
        <v>42464</v>
      </c>
      <c r="B27" s="3">
        <v>4.5540894814410899</v>
      </c>
      <c r="C27" s="3">
        <v>4.9388432787726204</v>
      </c>
      <c r="D27" s="3">
        <v>3.1960417937109602</v>
      </c>
      <c r="E27" s="3">
        <v>3.3384261133544202</v>
      </c>
      <c r="F27" s="3">
        <v>2.4826517338591398</v>
      </c>
      <c r="G27" s="3">
        <v>3.5720704575452098</v>
      </c>
      <c r="H27" s="3">
        <v>4.3671734109404401</v>
      </c>
      <c r="I27" s="3">
        <v>1.3257056083218599</v>
      </c>
      <c r="J27" s="3">
        <v>2.2917987413403398</v>
      </c>
      <c r="K27" s="3">
        <v>3.8020944205311702</v>
      </c>
      <c r="L27" s="3">
        <v>3.3342024712768099</v>
      </c>
      <c r="M27" s="3">
        <v>4.4026623563380998</v>
      </c>
      <c r="N27" s="3">
        <v>4.5400717595901599</v>
      </c>
    </row>
    <row r="28" spans="1:14" x14ac:dyDescent="0.35">
      <c r="A28" s="2">
        <v>42494</v>
      </c>
      <c r="B28" s="3">
        <v>4.5754346484583301</v>
      </c>
      <c r="C28" s="3">
        <v>4.6373535844382499</v>
      </c>
      <c r="D28" s="3">
        <v>3.1259452667250298</v>
      </c>
      <c r="E28" s="3">
        <v>3.3797492932466802</v>
      </c>
      <c r="F28" s="3">
        <v>2.46637665648089</v>
      </c>
      <c r="G28" s="3">
        <v>3.5821444808761602</v>
      </c>
      <c r="H28" s="3">
        <v>4.3840908476051696</v>
      </c>
      <c r="I28" s="3">
        <v>1.40017082717854</v>
      </c>
      <c r="J28" s="3">
        <v>2.2927014117324598</v>
      </c>
      <c r="K28" s="3">
        <v>3.8050040825951501</v>
      </c>
      <c r="L28" s="3">
        <v>3.4449171676166501</v>
      </c>
      <c r="M28" s="3">
        <v>4.5066376565326802</v>
      </c>
      <c r="N28" s="3">
        <v>4.4813716475648704</v>
      </c>
    </row>
    <row r="29" spans="1:14" x14ac:dyDescent="0.35">
      <c r="A29" s="2">
        <v>42524</v>
      </c>
      <c r="B29" s="3">
        <v>4.3243854089323799</v>
      </c>
      <c r="C29" s="3">
        <v>4.6073685139404503</v>
      </c>
      <c r="D29" s="3">
        <v>3.0146854903203102</v>
      </c>
      <c r="E29" s="3">
        <v>3.3264989388852499</v>
      </c>
      <c r="F29" s="3">
        <v>2.3645745513007199</v>
      </c>
      <c r="G29" s="3">
        <v>3.4711195277941602</v>
      </c>
      <c r="H29" s="3">
        <v>4.2939492948551203</v>
      </c>
      <c r="I29" s="3">
        <v>1.34556864664874</v>
      </c>
      <c r="J29" s="3">
        <v>2.2720847472371499</v>
      </c>
      <c r="K29" s="3">
        <v>3.74099399348952</v>
      </c>
      <c r="L29" s="3">
        <v>3.15820379646118</v>
      </c>
      <c r="M29" s="3">
        <v>4.4492085155359398</v>
      </c>
      <c r="N29" s="3">
        <v>4.6806841080965702</v>
      </c>
    </row>
    <row r="30" spans="1:14" x14ac:dyDescent="0.35">
      <c r="A30" s="2">
        <v>42552</v>
      </c>
      <c r="B30" s="3">
        <v>4.39813902459698</v>
      </c>
      <c r="C30" s="3">
        <v>4.6711015072447699</v>
      </c>
      <c r="D30" s="3">
        <v>3.0768974137006002</v>
      </c>
      <c r="E30" s="3">
        <v>3.4509056450175302</v>
      </c>
      <c r="F30" s="3">
        <v>2.5223679725129</v>
      </c>
      <c r="G30" s="3">
        <v>3.5203014955333001</v>
      </c>
      <c r="H30" s="3">
        <v>4.1832785336422598</v>
      </c>
      <c r="I30" s="3">
        <v>1.35862473258535</v>
      </c>
      <c r="J30" s="3">
        <v>2.2767591215617702</v>
      </c>
      <c r="K30" s="3">
        <v>3.8749892885785799</v>
      </c>
      <c r="L30" s="3">
        <v>3.3296145943365199</v>
      </c>
      <c r="M30" s="3">
        <v>4.4598482880517798</v>
      </c>
      <c r="N30" s="3">
        <v>4.95911206174502</v>
      </c>
    </row>
    <row r="31" spans="1:14" x14ac:dyDescent="0.35">
      <c r="A31" s="2">
        <v>42586</v>
      </c>
      <c r="B31" s="3">
        <v>4.1756382331329496</v>
      </c>
      <c r="C31" s="3">
        <v>4.5067475101508201</v>
      </c>
      <c r="D31" s="3">
        <v>2.9933494731812398</v>
      </c>
      <c r="E31" s="3">
        <v>3.29355906323087</v>
      </c>
      <c r="F31" s="3">
        <v>2.4555376380872702</v>
      </c>
      <c r="G31" s="3">
        <v>3.5118009164571502</v>
      </c>
      <c r="H31" s="3">
        <v>4.1339116674230203</v>
      </c>
      <c r="I31" s="3">
        <v>1.2881413867148499</v>
      </c>
      <c r="J31" s="3">
        <v>2.2206927845399398</v>
      </c>
      <c r="K31" s="3">
        <v>3.8065177941373398</v>
      </c>
      <c r="L31" s="3">
        <v>3.22708402576824</v>
      </c>
      <c r="M31" s="3">
        <v>4.3684161080334603</v>
      </c>
      <c r="N31" s="3">
        <v>4.9181401791549204</v>
      </c>
    </row>
    <row r="32" spans="1:14" x14ac:dyDescent="0.35">
      <c r="A32" s="2">
        <v>42615</v>
      </c>
      <c r="B32" s="3">
        <v>4.1999024551795703</v>
      </c>
      <c r="C32" s="3">
        <v>4.5823608241987204</v>
      </c>
      <c r="D32" s="3">
        <v>2.9357004564537701</v>
      </c>
      <c r="E32" s="3">
        <v>3.1575918083706598</v>
      </c>
      <c r="F32" s="3">
        <v>2.3410050025581901</v>
      </c>
      <c r="G32" s="3">
        <v>3.4282207094856698</v>
      </c>
      <c r="H32" s="3">
        <v>4.0356491162386998</v>
      </c>
      <c r="I32" s="3">
        <v>1.28338731892531</v>
      </c>
      <c r="J32" s="3">
        <v>2.21341278146833</v>
      </c>
      <c r="K32" s="3">
        <v>3.65727704865518</v>
      </c>
      <c r="L32" s="3">
        <v>3.0671957463802402</v>
      </c>
      <c r="M32" s="3">
        <v>4.1854020946983601</v>
      </c>
      <c r="N32" s="3">
        <v>4.71141530882967</v>
      </c>
    </row>
    <row r="33" spans="1:14" x14ac:dyDescent="0.35">
      <c r="A33" s="2">
        <v>42647</v>
      </c>
      <c r="B33" s="3">
        <v>4.31175282565325</v>
      </c>
      <c r="C33" s="3">
        <v>4.5114034593338204</v>
      </c>
      <c r="D33" s="3">
        <v>2.9709131661730699</v>
      </c>
      <c r="E33" s="3">
        <v>3.1368079695418101</v>
      </c>
      <c r="F33" s="3">
        <v>2.3795188794894502</v>
      </c>
      <c r="G33" s="3">
        <v>3.4693262125998898</v>
      </c>
      <c r="H33" s="3">
        <v>4.0927771825230401</v>
      </c>
      <c r="I33" s="3">
        <v>1.2651742188449799</v>
      </c>
      <c r="J33" s="3">
        <v>2.2400826857109801</v>
      </c>
      <c r="K33" s="3">
        <v>3.69666651328337</v>
      </c>
      <c r="L33" s="3">
        <v>3.08425972778601</v>
      </c>
      <c r="M33" s="3">
        <v>4.1418716639045199</v>
      </c>
      <c r="N33" s="3">
        <v>5.0069152120356097</v>
      </c>
    </row>
    <row r="34" spans="1:14" x14ac:dyDescent="0.35">
      <c r="A34" s="2">
        <v>42678</v>
      </c>
      <c r="B34" s="3">
        <v>4.7555480054140702</v>
      </c>
      <c r="C34" s="3">
        <v>4.7768930052530898</v>
      </c>
      <c r="D34" s="3">
        <v>2.9927632344179398</v>
      </c>
      <c r="E34" s="3">
        <v>3.27905138003926</v>
      </c>
      <c r="F34" s="3">
        <v>2.3909010067058398</v>
      </c>
      <c r="G34" s="3">
        <v>3.71827232610039</v>
      </c>
      <c r="H34" s="3">
        <v>4.4726564020469697</v>
      </c>
      <c r="I34" s="3">
        <v>1.33313270243846</v>
      </c>
      <c r="J34" s="3">
        <v>2.3238411603778601</v>
      </c>
      <c r="K34" s="3">
        <v>3.8420670036528199</v>
      </c>
      <c r="L34" s="3">
        <v>3.2294777760324802</v>
      </c>
      <c r="M34" s="3">
        <v>4.2457055587185097</v>
      </c>
      <c r="N34" s="3">
        <v>4.9969074976834698</v>
      </c>
    </row>
    <row r="35" spans="1:14" x14ac:dyDescent="0.35">
      <c r="A35" s="2">
        <v>42706</v>
      </c>
      <c r="B35" s="3">
        <v>4.5771612799335903</v>
      </c>
      <c r="C35" s="3">
        <v>4.5921258937981202</v>
      </c>
      <c r="D35" s="3">
        <v>2.8850908089866398</v>
      </c>
      <c r="E35" s="3">
        <v>3.2270697440505201</v>
      </c>
      <c r="F35" s="3">
        <v>2.1676026399486101</v>
      </c>
      <c r="G35" s="3">
        <v>3.7163069981916199</v>
      </c>
      <c r="H35" s="3">
        <v>4.4379286725315099</v>
      </c>
      <c r="I35" s="3">
        <v>1.3159234002306099</v>
      </c>
      <c r="J35" s="3">
        <v>2.2232763064649599</v>
      </c>
      <c r="K35" s="3">
        <v>3.6935932302750398</v>
      </c>
      <c r="L35" s="3">
        <v>3.1743143630295698</v>
      </c>
      <c r="M35" s="3">
        <v>4.03949567137985</v>
      </c>
      <c r="N35" s="3">
        <v>4.8237432990970799</v>
      </c>
    </row>
    <row r="36" spans="1:14" x14ac:dyDescent="0.35">
      <c r="A36" s="2">
        <v>42739</v>
      </c>
      <c r="B36" s="3">
        <v>4.5854951229860204</v>
      </c>
      <c r="C36" s="3">
        <v>4.4719070394181797</v>
      </c>
      <c r="D36" s="3">
        <v>2.8082013098954901</v>
      </c>
      <c r="E36" s="3">
        <v>2.9542452089483802</v>
      </c>
      <c r="F36" s="3">
        <v>2.0775685046377199</v>
      </c>
      <c r="G36" s="3">
        <v>3.5122864385178398</v>
      </c>
      <c r="H36" s="3">
        <v>4.25376568923103</v>
      </c>
      <c r="I36" s="3">
        <v>1.28306640940629</v>
      </c>
      <c r="J36" s="3">
        <v>2.1592873186382899</v>
      </c>
      <c r="K36" s="3">
        <v>3.4457616683946002</v>
      </c>
      <c r="L36" s="3">
        <v>2.9390998275587799</v>
      </c>
      <c r="M36" s="3">
        <v>3.8654011357032898</v>
      </c>
      <c r="N36" s="3">
        <v>4.2301917276839003</v>
      </c>
    </row>
    <row r="37" spans="1:14" x14ac:dyDescent="0.35">
      <c r="A37" s="2">
        <v>42769</v>
      </c>
      <c r="B37" s="3">
        <v>4.4877159654301799</v>
      </c>
      <c r="C37" s="3">
        <v>4.5826792781228098</v>
      </c>
      <c r="D37" s="3">
        <v>2.8248768484555198</v>
      </c>
      <c r="E37" s="3">
        <v>2.96780169636894</v>
      </c>
      <c r="F37" s="3">
        <v>2.1650400585982998</v>
      </c>
      <c r="G37" s="3">
        <v>3.4472700678564099</v>
      </c>
      <c r="H37" s="3">
        <v>4.2925041356029903</v>
      </c>
      <c r="I37" s="3">
        <v>1.2389942599388299</v>
      </c>
      <c r="J37" s="3">
        <v>2.15382596381122</v>
      </c>
      <c r="K37" s="3">
        <v>3.48467204640201</v>
      </c>
      <c r="L37" s="3">
        <v>2.9453471749987998</v>
      </c>
      <c r="M37" s="3">
        <v>3.6798441314298702</v>
      </c>
      <c r="N37" s="3">
        <v>4.3562680021264697</v>
      </c>
    </row>
    <row r="38" spans="1:14" x14ac:dyDescent="0.35">
      <c r="A38" s="2">
        <v>42797</v>
      </c>
      <c r="B38" s="3">
        <v>4.5385388196988501</v>
      </c>
      <c r="C38" s="3">
        <v>4.5658548654995403</v>
      </c>
      <c r="D38" s="3">
        <v>2.87954070619418</v>
      </c>
      <c r="E38" s="3">
        <v>2.9145313297344502</v>
      </c>
      <c r="F38" s="3">
        <v>2.1333885394956198</v>
      </c>
      <c r="G38" s="3">
        <v>3.3496627877658298</v>
      </c>
      <c r="H38" s="3">
        <v>4.28452968118164</v>
      </c>
      <c r="I38" s="3">
        <v>1.2159597853727699</v>
      </c>
      <c r="J38" s="3">
        <v>2.0887819076200702</v>
      </c>
      <c r="K38" s="3">
        <v>3.43312872630518</v>
      </c>
      <c r="L38" s="3">
        <v>2.81676394391233</v>
      </c>
      <c r="M38" s="3">
        <v>3.6383066445052101</v>
      </c>
      <c r="N38" s="3">
        <v>4.0599035047738896</v>
      </c>
    </row>
    <row r="39" spans="1:14" x14ac:dyDescent="0.35">
      <c r="A39" s="2">
        <v>42829</v>
      </c>
      <c r="B39" s="3">
        <v>4.5487337288240299</v>
      </c>
      <c r="C39" s="3">
        <v>4.52036715266029</v>
      </c>
      <c r="D39" s="3">
        <v>2.8988789168117099</v>
      </c>
      <c r="E39" s="3">
        <v>2.918040731529</v>
      </c>
      <c r="F39" s="3">
        <v>2.2349412893962701</v>
      </c>
      <c r="G39" s="3">
        <v>3.4231489445731902</v>
      </c>
      <c r="H39" s="3">
        <v>4.3461831119786103</v>
      </c>
      <c r="I39" s="3">
        <v>1.2068655906874799</v>
      </c>
      <c r="J39" s="3">
        <v>2.12061673233943</v>
      </c>
      <c r="K39" s="3">
        <v>3.3654130582075301</v>
      </c>
      <c r="L39" s="3">
        <v>2.7751955848228098</v>
      </c>
      <c r="M39" s="3">
        <v>3.67771797992242</v>
      </c>
      <c r="N39" s="3">
        <v>3.9495916764357601</v>
      </c>
    </row>
    <row r="40" spans="1:14" x14ac:dyDescent="0.35">
      <c r="A40" s="2">
        <v>42859</v>
      </c>
      <c r="B40" s="3">
        <v>4.4920920379242402</v>
      </c>
      <c r="C40" s="3">
        <v>4.5259007535702898</v>
      </c>
      <c r="D40" s="3">
        <v>2.9703478790569</v>
      </c>
      <c r="E40" s="3">
        <v>2.8728308734216101</v>
      </c>
      <c r="F40" s="3">
        <v>2.1896464583029198</v>
      </c>
      <c r="G40" s="3">
        <v>3.3211775435648101</v>
      </c>
      <c r="H40" s="3">
        <v>4.3640763639265003</v>
      </c>
      <c r="I40" s="3">
        <v>1.1830403351376899</v>
      </c>
      <c r="J40" s="3">
        <v>2.1067028500838898</v>
      </c>
      <c r="K40" s="3">
        <v>3.20302724166321</v>
      </c>
      <c r="L40" s="3">
        <v>2.6989620753892098</v>
      </c>
      <c r="M40" s="3">
        <v>3.5127057442930001</v>
      </c>
      <c r="N40" s="3">
        <v>3.8200839697748799</v>
      </c>
    </row>
    <row r="41" spans="1:14" x14ac:dyDescent="0.35">
      <c r="A41" s="2">
        <v>42888</v>
      </c>
      <c r="B41" s="3">
        <v>4.4118676527318099</v>
      </c>
      <c r="C41" s="3">
        <v>4.6112418730562599</v>
      </c>
      <c r="D41" s="3">
        <v>2.9794980092830601</v>
      </c>
      <c r="E41" s="3">
        <v>2.8934581401345598</v>
      </c>
      <c r="F41" s="3">
        <v>2.13768306048346</v>
      </c>
      <c r="G41" s="3">
        <v>3.2691637748831499</v>
      </c>
      <c r="H41" s="3">
        <v>4.2203661247031103</v>
      </c>
      <c r="I41" s="3">
        <v>1.1410321241391701</v>
      </c>
      <c r="J41" s="3">
        <v>2.0749453225239698</v>
      </c>
      <c r="K41" s="3">
        <v>3.2257745583614801</v>
      </c>
      <c r="L41" s="3">
        <v>2.6927038252585902</v>
      </c>
      <c r="M41" s="3">
        <v>3.3660431580176899</v>
      </c>
      <c r="N41" s="3">
        <v>3.79358750966842</v>
      </c>
    </row>
    <row r="42" spans="1:14" x14ac:dyDescent="0.35">
      <c r="A42" s="2">
        <v>42919</v>
      </c>
      <c r="B42" s="3">
        <v>4.4072224799542399</v>
      </c>
      <c r="C42" s="3">
        <v>4.6559301981127597</v>
      </c>
      <c r="D42" s="3">
        <v>3.0513431131620399</v>
      </c>
      <c r="E42" s="3">
        <v>3.0004145659501602</v>
      </c>
      <c r="F42" s="3">
        <v>2.1677046596338201</v>
      </c>
      <c r="G42" s="3">
        <v>3.2630517763917402</v>
      </c>
      <c r="H42" s="3">
        <v>4.3235689855315202</v>
      </c>
      <c r="I42" s="3">
        <v>1.21065328104709</v>
      </c>
      <c r="J42" s="3">
        <v>2.1012994409914101</v>
      </c>
      <c r="K42" s="3">
        <v>3.35209483649732</v>
      </c>
      <c r="L42" s="3">
        <v>2.8002921219541399</v>
      </c>
      <c r="M42" s="3">
        <v>3.56050769275156</v>
      </c>
      <c r="N42" s="3">
        <v>3.8099664237187998</v>
      </c>
    </row>
    <row r="43" spans="1:14" x14ac:dyDescent="0.35">
      <c r="A43" s="2">
        <v>42951</v>
      </c>
      <c r="B43" s="3">
        <v>4.3617634683403699</v>
      </c>
      <c r="C43" s="3">
        <v>4.6026109278046397</v>
      </c>
      <c r="D43" s="3">
        <v>3.01971169312734</v>
      </c>
      <c r="E43" s="3">
        <v>3.0466426738721402</v>
      </c>
      <c r="F43" s="3">
        <v>2.1645406637068598</v>
      </c>
      <c r="G43" s="3">
        <v>3.2385510174472198</v>
      </c>
      <c r="H43" s="3">
        <v>4.2279744618422397</v>
      </c>
      <c r="I43" s="3">
        <v>1.1733588326675</v>
      </c>
      <c r="J43" s="3">
        <v>2.0822004347271101</v>
      </c>
      <c r="K43" s="3">
        <v>3.3498223415706199</v>
      </c>
      <c r="L43" s="3">
        <v>2.7501230696009502</v>
      </c>
      <c r="M43" s="3">
        <v>3.6872827469713201</v>
      </c>
      <c r="N43" s="3">
        <v>3.7112126741980398</v>
      </c>
    </row>
    <row r="44" spans="1:14" x14ac:dyDescent="0.35">
      <c r="A44" s="2">
        <v>42979</v>
      </c>
      <c r="B44" s="3">
        <v>4.3877691292458101</v>
      </c>
      <c r="C44" s="3">
        <v>4.5739171505752498</v>
      </c>
      <c r="D44" s="3">
        <v>3.0708359150306999</v>
      </c>
      <c r="E44" s="3">
        <v>3.12476873166622</v>
      </c>
      <c r="F44" s="3">
        <v>2.20887719488853</v>
      </c>
      <c r="G44" s="3">
        <v>3.3196690323312401</v>
      </c>
      <c r="H44" s="3">
        <v>4.3144270116887604</v>
      </c>
      <c r="I44" s="3">
        <v>1.16027732463639</v>
      </c>
      <c r="J44" s="3">
        <v>2.0926726252533601</v>
      </c>
      <c r="K44" s="3">
        <v>3.4048012319706702</v>
      </c>
      <c r="L44" s="3">
        <v>2.86919605885253</v>
      </c>
      <c r="M44" s="3">
        <v>3.7410051753084601</v>
      </c>
      <c r="N44" s="3">
        <v>3.7636520894242902</v>
      </c>
    </row>
    <row r="45" spans="1:14" x14ac:dyDescent="0.35">
      <c r="A45" s="2">
        <v>43012</v>
      </c>
      <c r="B45" s="3">
        <v>4.4123228709317903</v>
      </c>
      <c r="C45" s="3">
        <v>4.6511264228967697</v>
      </c>
      <c r="D45" s="3">
        <v>2.9649231189701601</v>
      </c>
      <c r="E45" s="3">
        <v>2.9577658764748902</v>
      </c>
      <c r="F45" s="3">
        <v>2.1542803391633201</v>
      </c>
      <c r="G45" s="3">
        <v>3.2319141752183</v>
      </c>
      <c r="H45" s="3">
        <v>4.2715185785721097</v>
      </c>
      <c r="I45" s="3">
        <v>1.16023455436958</v>
      </c>
      <c r="J45" s="3">
        <v>2.0473876096388302</v>
      </c>
      <c r="K45" s="3">
        <v>3.2826454472718001</v>
      </c>
      <c r="L45" s="3">
        <v>2.77129783606755</v>
      </c>
      <c r="M45" s="3">
        <v>3.5263425702805602</v>
      </c>
      <c r="N45" s="3">
        <v>3.7976569744254398</v>
      </c>
    </row>
    <row r="46" spans="1:14" x14ac:dyDescent="0.35">
      <c r="A46" s="2">
        <v>43042</v>
      </c>
      <c r="B46" s="3">
        <v>4.4075702403316797</v>
      </c>
      <c r="C46" s="3">
        <v>4.4690097871741399</v>
      </c>
      <c r="D46" s="3">
        <v>2.9155958220189202</v>
      </c>
      <c r="E46" s="3">
        <v>2.8528624226719299</v>
      </c>
      <c r="F46" s="3">
        <v>2.0362271998346899</v>
      </c>
      <c r="G46" s="3">
        <v>3.2263265005114699</v>
      </c>
      <c r="H46" s="3">
        <v>4.2861520225808203</v>
      </c>
      <c r="I46" s="3">
        <v>1.11336772703611</v>
      </c>
      <c r="J46" s="3">
        <v>2.02482466402925</v>
      </c>
      <c r="K46" s="3">
        <v>3.2288127284464498</v>
      </c>
      <c r="L46" s="3">
        <v>2.7432985167933799</v>
      </c>
      <c r="M46" s="3">
        <v>3.5137970766270499</v>
      </c>
      <c r="N46" s="3">
        <v>3.7384130467608299</v>
      </c>
    </row>
    <row r="47" spans="1:14" x14ac:dyDescent="0.35">
      <c r="A47" s="2">
        <v>43073</v>
      </c>
      <c r="B47" s="3">
        <v>4.3410706465001896</v>
      </c>
      <c r="C47" s="3">
        <v>4.5010212676043899</v>
      </c>
      <c r="D47" s="3">
        <v>2.9338021613706999</v>
      </c>
      <c r="E47" s="3">
        <v>2.9114200537962902</v>
      </c>
      <c r="F47" s="3">
        <v>2.0835876942962002</v>
      </c>
      <c r="G47" s="3">
        <v>3.23359095534239</v>
      </c>
      <c r="H47" s="3">
        <v>4.3867258266985898</v>
      </c>
      <c r="I47" s="3">
        <v>1.1222086981642601</v>
      </c>
      <c r="J47" s="3">
        <v>1.9776678866936099</v>
      </c>
      <c r="K47" s="3">
        <v>3.2709402070873299</v>
      </c>
      <c r="L47" s="3">
        <v>2.8482211556875598</v>
      </c>
      <c r="M47" s="3">
        <v>3.6650053479509701</v>
      </c>
      <c r="N47" s="3">
        <v>3.88694648558752</v>
      </c>
    </row>
    <row r="48" spans="1:14" x14ac:dyDescent="0.35">
      <c r="A48" s="2">
        <v>43104</v>
      </c>
      <c r="B48" s="3">
        <v>4.1876341949334197</v>
      </c>
      <c r="C48" s="3">
        <v>4.4451170148607204</v>
      </c>
      <c r="D48" s="3">
        <v>2.8771265397931698</v>
      </c>
      <c r="E48" s="3">
        <v>2.8986437346842302</v>
      </c>
      <c r="F48" s="3">
        <v>2.0073735900368499</v>
      </c>
      <c r="G48" s="3">
        <v>3.17900439832344</v>
      </c>
      <c r="H48" s="3">
        <v>4.1881788415493997</v>
      </c>
      <c r="I48" s="3">
        <v>1.0713288724385099</v>
      </c>
      <c r="J48" s="3">
        <v>1.9285477244952201</v>
      </c>
      <c r="K48" s="3">
        <v>3.2649216074092098</v>
      </c>
      <c r="L48" s="3">
        <v>2.8195410035829802</v>
      </c>
      <c r="M48" s="3">
        <v>3.7030625093220699</v>
      </c>
      <c r="N48" s="3">
        <v>3.8879926617652298</v>
      </c>
    </row>
    <row r="49" spans="1:14" x14ac:dyDescent="0.35">
      <c r="A49" s="2">
        <v>43133</v>
      </c>
      <c r="B49" s="3">
        <v>4.1922913911989399</v>
      </c>
      <c r="C49" s="3">
        <v>4.4730608812452299</v>
      </c>
      <c r="D49" s="3">
        <v>3.0344459458536699</v>
      </c>
      <c r="E49" s="3">
        <v>3.03486414155075</v>
      </c>
      <c r="F49" s="3">
        <v>2.03511276396523</v>
      </c>
      <c r="G49" s="3">
        <v>3.2339927761948202</v>
      </c>
      <c r="H49" s="3">
        <v>4.2797272394745001</v>
      </c>
      <c r="I49" s="3">
        <v>1.0631498940693</v>
      </c>
      <c r="J49" s="3">
        <v>1.9280779015741101</v>
      </c>
      <c r="K49" s="3">
        <v>3.2879864495511599</v>
      </c>
      <c r="L49" s="3">
        <v>2.8516294004674898</v>
      </c>
      <c r="M49" s="3">
        <v>3.8127309028438501</v>
      </c>
      <c r="N49" s="3">
        <v>3.8234207733703802</v>
      </c>
    </row>
    <row r="50" spans="1:14" x14ac:dyDescent="0.35">
      <c r="A50" s="2">
        <v>43161</v>
      </c>
      <c r="B50" s="3">
        <v>4.2890364617011603</v>
      </c>
      <c r="C50" s="3">
        <v>4.6655946532039101</v>
      </c>
      <c r="D50" s="3">
        <v>3.1664404485766302</v>
      </c>
      <c r="E50" s="3">
        <v>3.2641544217434202</v>
      </c>
      <c r="F50" s="3">
        <v>2.2691825195966699</v>
      </c>
      <c r="G50" s="3">
        <v>3.5284385682339199</v>
      </c>
      <c r="H50" s="3">
        <v>4.7258745631615602</v>
      </c>
      <c r="I50" s="3">
        <v>1.07210358135772</v>
      </c>
      <c r="J50" s="3">
        <v>2.00588531378872</v>
      </c>
      <c r="K50" s="3">
        <v>3.4729556178548999</v>
      </c>
      <c r="L50" s="3">
        <v>3.0171312447530401</v>
      </c>
      <c r="M50" s="3">
        <v>3.9858224750922502</v>
      </c>
      <c r="N50" s="3">
        <v>4.1433448917959197</v>
      </c>
    </row>
    <row r="51" spans="1:14" x14ac:dyDescent="0.35">
      <c r="A51" s="2">
        <v>43194</v>
      </c>
      <c r="B51" s="3">
        <v>4.2796868203671403</v>
      </c>
      <c r="C51" s="3">
        <v>4.8377965262842499</v>
      </c>
      <c r="D51" s="3">
        <v>3.2337328107546499</v>
      </c>
      <c r="E51" s="3">
        <v>3.2910605175106702</v>
      </c>
      <c r="F51" s="3">
        <v>2.2899700825297198</v>
      </c>
      <c r="G51" s="3">
        <v>3.5728231134433299</v>
      </c>
      <c r="H51" s="3">
        <v>4.5746127182734098</v>
      </c>
      <c r="I51" s="3">
        <v>1.12858728074745</v>
      </c>
      <c r="J51" s="3">
        <v>2.0571953212428098</v>
      </c>
      <c r="K51" s="3">
        <v>3.4888383882973599</v>
      </c>
      <c r="L51" s="3">
        <v>3.0160106675034801</v>
      </c>
      <c r="M51" s="3">
        <v>4.1637963367181801</v>
      </c>
      <c r="N51" s="3">
        <v>4.1084128803373501</v>
      </c>
    </row>
    <row r="52" spans="1:14" x14ac:dyDescent="0.35">
      <c r="A52" s="2">
        <v>43224</v>
      </c>
      <c r="B52" s="3">
        <v>4.2158892253853999</v>
      </c>
      <c r="C52" s="3">
        <v>4.67529411445381</v>
      </c>
      <c r="D52" s="3">
        <v>3.1334356872658198</v>
      </c>
      <c r="E52" s="3">
        <v>3.1195843423405099</v>
      </c>
      <c r="F52" s="3">
        <v>2.2151202571347799</v>
      </c>
      <c r="G52" s="3">
        <v>3.4711290525709999</v>
      </c>
      <c r="H52" s="3">
        <v>4.3546189047231199</v>
      </c>
      <c r="I52" s="3">
        <v>1.11070277517455</v>
      </c>
      <c r="J52" s="3">
        <v>2.0663921065984798</v>
      </c>
      <c r="K52" s="3">
        <v>3.3037109831064702</v>
      </c>
      <c r="L52" s="3">
        <v>2.9320710356759898</v>
      </c>
      <c r="M52" s="3">
        <v>4.0337433824572697</v>
      </c>
      <c r="N52" s="3">
        <v>3.8397496963501401</v>
      </c>
    </row>
    <row r="53" spans="1:14" x14ac:dyDescent="0.35">
      <c r="A53" s="2">
        <v>43255</v>
      </c>
      <c r="B53" s="3">
        <v>4.17116088116122</v>
      </c>
      <c r="C53" s="3">
        <v>4.7260350998072802</v>
      </c>
      <c r="D53" s="3">
        <v>3.09685861351478</v>
      </c>
      <c r="E53" s="3">
        <v>3.1477797933358</v>
      </c>
      <c r="F53" s="3">
        <v>2.2405938798188401</v>
      </c>
      <c r="G53" s="3">
        <v>3.5459554398852098</v>
      </c>
      <c r="H53" s="3">
        <v>4.3098581703382202</v>
      </c>
      <c r="I53" s="3">
        <v>1.05666052867409</v>
      </c>
      <c r="J53" s="3">
        <v>2.0145353512673698</v>
      </c>
      <c r="K53" s="3">
        <v>3.3523484143255202</v>
      </c>
      <c r="L53" s="3">
        <v>2.8765837011058601</v>
      </c>
      <c r="M53" s="3">
        <v>4.0893710098326697</v>
      </c>
      <c r="N53" s="3">
        <v>4.34169098146298</v>
      </c>
    </row>
    <row r="54" spans="1:14" x14ac:dyDescent="0.35">
      <c r="A54" s="2">
        <v>43284</v>
      </c>
      <c r="B54" s="3">
        <v>4.0145683088214001</v>
      </c>
      <c r="C54" s="3">
        <v>4.5929636200057704</v>
      </c>
      <c r="D54" s="3">
        <v>3.0753412419583199</v>
      </c>
      <c r="E54" s="3">
        <v>3.2681498878459299</v>
      </c>
      <c r="F54" s="3">
        <v>2.3515379573335702</v>
      </c>
      <c r="G54" s="3">
        <v>3.5522652063850502</v>
      </c>
      <c r="H54" s="3">
        <v>4.4355280619011204</v>
      </c>
      <c r="I54" s="3">
        <v>1.0810501539859301</v>
      </c>
      <c r="J54" s="3">
        <v>2.0587995920464599</v>
      </c>
      <c r="K54" s="3">
        <v>3.4665935651196</v>
      </c>
      <c r="L54" s="3">
        <v>2.9666762201022201</v>
      </c>
      <c r="M54" s="3">
        <v>4.17906637120055</v>
      </c>
      <c r="N54" s="3">
        <v>4.4734304311105797</v>
      </c>
    </row>
    <row r="55" spans="1:14" x14ac:dyDescent="0.35">
      <c r="A55" s="2">
        <v>43315</v>
      </c>
      <c r="B55" s="3">
        <v>4.1403200013465797</v>
      </c>
      <c r="C55" s="3">
        <v>4.63159948350894</v>
      </c>
      <c r="D55" s="3">
        <v>3.0707001063754502</v>
      </c>
      <c r="E55" s="3">
        <v>3.20173208428678</v>
      </c>
      <c r="F55" s="3">
        <v>2.2928213476572901</v>
      </c>
      <c r="G55" s="3">
        <v>3.3745904544224499</v>
      </c>
      <c r="H55" s="3">
        <v>4.4234967968111603</v>
      </c>
      <c r="I55" s="3">
        <v>1.0795035387195699</v>
      </c>
      <c r="J55" s="3">
        <v>1.98851052453935</v>
      </c>
      <c r="K55" s="3">
        <v>3.3947373539399499</v>
      </c>
      <c r="L55" s="3">
        <v>2.8361045196146999</v>
      </c>
      <c r="M55" s="3">
        <v>4.0956234979869102</v>
      </c>
      <c r="N55" s="3">
        <v>4.4423208419397504</v>
      </c>
    </row>
    <row r="56" spans="1:14" x14ac:dyDescent="0.35">
      <c r="A56" s="2">
        <v>43347</v>
      </c>
      <c r="B56" s="3">
        <v>3.9170686228114899</v>
      </c>
      <c r="C56" s="3">
        <v>4.6476361350580797</v>
      </c>
      <c r="D56" s="3">
        <v>3.1450760883458102</v>
      </c>
      <c r="E56" s="3">
        <v>3.30082908432317</v>
      </c>
      <c r="F56" s="3">
        <v>2.33894835363632</v>
      </c>
      <c r="G56" s="3">
        <v>3.42509276169003</v>
      </c>
      <c r="H56" s="3">
        <v>4.5932105384240502</v>
      </c>
      <c r="I56" s="3">
        <v>1.0548818350092199</v>
      </c>
      <c r="J56" s="3">
        <v>1.95979248615028</v>
      </c>
      <c r="K56" s="3">
        <v>3.4962465948667001</v>
      </c>
      <c r="L56" s="3">
        <v>2.9457349883553001</v>
      </c>
      <c r="M56" s="3">
        <v>4.0451121468169902</v>
      </c>
      <c r="N56" s="3">
        <v>4.7003781161118896</v>
      </c>
    </row>
    <row r="57" spans="1:14" x14ac:dyDescent="0.35">
      <c r="A57" s="2">
        <v>43377</v>
      </c>
      <c r="B57" s="3">
        <v>4.0340606704150899</v>
      </c>
      <c r="C57" s="3">
        <v>4.7947704097067998</v>
      </c>
      <c r="D57" s="3">
        <v>3.1838177117666802</v>
      </c>
      <c r="E57" s="3">
        <v>3.3276028671472502</v>
      </c>
      <c r="F57" s="3">
        <v>2.2414915571765701</v>
      </c>
      <c r="G57" s="3">
        <v>3.4420817033610298</v>
      </c>
      <c r="H57" s="3">
        <v>4.5723367434426896</v>
      </c>
      <c r="I57" s="3">
        <v>1.08265742986666</v>
      </c>
      <c r="J57" s="3">
        <v>1.9690113128983799</v>
      </c>
      <c r="K57" s="3">
        <v>3.4915924869710602</v>
      </c>
      <c r="L57" s="3">
        <v>3.0626344642722998</v>
      </c>
      <c r="M57" s="3">
        <v>4.0540247591319201</v>
      </c>
      <c r="N57" s="3">
        <v>4.7324612041095104</v>
      </c>
    </row>
    <row r="58" spans="1:14" x14ac:dyDescent="0.35">
      <c r="A58" s="2">
        <v>43406</v>
      </c>
      <c r="B58" s="3">
        <v>4.2119740238094998</v>
      </c>
      <c r="C58" s="3">
        <v>5.0732344328433499</v>
      </c>
      <c r="D58" s="3">
        <v>3.38607122550708</v>
      </c>
      <c r="E58" s="3">
        <v>3.5880819167473201</v>
      </c>
      <c r="F58" s="3">
        <v>2.4450371195043599</v>
      </c>
      <c r="G58" s="3">
        <v>3.5045369907554602</v>
      </c>
      <c r="H58" s="3">
        <v>4.8525065115873698</v>
      </c>
      <c r="I58" s="3">
        <v>1.1821925784935201</v>
      </c>
      <c r="J58" s="3">
        <v>2.1013667816829402</v>
      </c>
      <c r="K58" s="3">
        <v>3.7018332273390899</v>
      </c>
      <c r="L58" s="3">
        <v>3.1999416607388702</v>
      </c>
      <c r="M58" s="3">
        <v>4.3071938840821904</v>
      </c>
      <c r="N58" s="3">
        <v>5.02846733666882</v>
      </c>
    </row>
    <row r="59" spans="1:14" x14ac:dyDescent="0.35">
      <c r="A59" s="2">
        <v>43438</v>
      </c>
      <c r="B59" s="3">
        <v>4.1155742955602603</v>
      </c>
      <c r="C59" s="3">
        <v>5.2787550377823802</v>
      </c>
      <c r="D59" s="3">
        <v>3.4080264900638402</v>
      </c>
      <c r="E59" s="3">
        <v>3.6612965633855499</v>
      </c>
      <c r="F59" s="3">
        <v>2.4828869264882401</v>
      </c>
      <c r="G59" s="3">
        <v>3.50676905467239</v>
      </c>
      <c r="H59" s="3">
        <v>4.9610495824494798</v>
      </c>
      <c r="I59" s="3">
        <v>1.21844131815612</v>
      </c>
      <c r="J59" s="3">
        <v>2.1346312487744199</v>
      </c>
      <c r="K59" s="3">
        <v>3.77375068983075</v>
      </c>
      <c r="L59" s="3">
        <v>3.2200215523407101</v>
      </c>
      <c r="M59" s="3">
        <v>4.4588485126336703</v>
      </c>
      <c r="N59" s="3">
        <v>5.1951762827849697</v>
      </c>
    </row>
    <row r="60" spans="1:14" x14ac:dyDescent="0.35">
      <c r="A60" s="2">
        <v>43469</v>
      </c>
      <c r="B60" s="3">
        <v>4.19553378891551</v>
      </c>
      <c r="C60" s="3">
        <v>5.3555576445058302</v>
      </c>
      <c r="D60" s="3">
        <v>3.5743536428213201</v>
      </c>
      <c r="E60" s="3">
        <v>3.8803184061531</v>
      </c>
      <c r="F60" s="3">
        <v>2.7942279675749502</v>
      </c>
      <c r="G60" s="3">
        <v>3.636441554693</v>
      </c>
      <c r="H60" s="3">
        <v>5.2568020275078302</v>
      </c>
      <c r="I60" s="3">
        <v>1.3035472974435101</v>
      </c>
      <c r="J60" s="3">
        <v>2.2990818870937701</v>
      </c>
      <c r="K60" s="3">
        <v>4.0029931856217704</v>
      </c>
      <c r="L60" s="3">
        <v>3.4555205597822698</v>
      </c>
      <c r="M60" s="3">
        <v>4.6446982944077604</v>
      </c>
      <c r="N60" s="3">
        <v>5.2786932270062303</v>
      </c>
    </row>
    <row r="61" spans="1:14" x14ac:dyDescent="0.35">
      <c r="A61" s="2">
        <v>43500</v>
      </c>
      <c r="B61" s="3">
        <v>4.1094632030556797</v>
      </c>
      <c r="C61" s="3">
        <v>5.0950350851901396</v>
      </c>
      <c r="D61" s="3">
        <v>3.3233481536177898</v>
      </c>
      <c r="E61" s="3">
        <v>3.7173364700760998</v>
      </c>
      <c r="F61" s="3">
        <v>2.6134079880701502</v>
      </c>
      <c r="G61" s="3">
        <v>3.4653860514866701</v>
      </c>
      <c r="H61" s="3">
        <v>5.03469624008848</v>
      </c>
      <c r="I61" s="3">
        <v>1.2114485367710901</v>
      </c>
      <c r="J61" s="3">
        <v>2.1475729117980298</v>
      </c>
      <c r="K61" s="3">
        <v>3.7935959367438099</v>
      </c>
      <c r="L61" s="3">
        <v>3.2500171218083298</v>
      </c>
      <c r="M61" s="3">
        <v>4.31295938189837</v>
      </c>
      <c r="N61" s="3">
        <v>5.1168197442728696</v>
      </c>
    </row>
    <row r="62" spans="1:14" x14ac:dyDescent="0.35">
      <c r="A62" s="2">
        <v>43528</v>
      </c>
      <c r="B62" s="3">
        <v>3.8887071742991099</v>
      </c>
      <c r="C62" s="3">
        <v>4.9182233736674403</v>
      </c>
      <c r="D62" s="3">
        <v>3.2690267521679099</v>
      </c>
      <c r="E62" s="3">
        <v>3.57796067458287</v>
      </c>
      <c r="F62" s="3">
        <v>2.5364186431760798</v>
      </c>
      <c r="G62" s="3">
        <v>3.3434183867151899</v>
      </c>
      <c r="H62" s="3">
        <v>4.9663099175244101</v>
      </c>
      <c r="I62" s="3">
        <v>1.1703388748799</v>
      </c>
      <c r="J62" s="3">
        <v>2.1034652089378301</v>
      </c>
      <c r="K62" s="3">
        <v>3.61018153264353</v>
      </c>
      <c r="L62" s="3">
        <v>3.10244073755478</v>
      </c>
      <c r="M62" s="3">
        <v>4.1296297563964099</v>
      </c>
      <c r="N62" s="3">
        <v>4.7793103127203302</v>
      </c>
    </row>
    <row r="63" spans="1:14" x14ac:dyDescent="0.35">
      <c r="A63" s="2">
        <v>43559</v>
      </c>
      <c r="B63" s="3">
        <v>3.7414405654926299</v>
      </c>
      <c r="C63" s="3">
        <v>4.8988154007473099</v>
      </c>
      <c r="D63" s="3">
        <v>3.2338733633392498</v>
      </c>
      <c r="E63" s="3">
        <v>3.4858833668459801</v>
      </c>
      <c r="F63" s="3">
        <v>2.5604329640999701</v>
      </c>
      <c r="G63" s="3">
        <v>3.2963424855168202</v>
      </c>
      <c r="H63" s="3">
        <v>4.8256743929208898</v>
      </c>
      <c r="I63" s="3">
        <v>1.11521314586928</v>
      </c>
      <c r="J63" s="3">
        <v>2.0600776121258102</v>
      </c>
      <c r="K63" s="3">
        <v>3.5325753513280298</v>
      </c>
      <c r="L63" s="3">
        <v>3.00838411035306</v>
      </c>
      <c r="M63" s="3">
        <v>4.0741596534933304</v>
      </c>
      <c r="N63" s="3">
        <v>4.6171682000536496</v>
      </c>
    </row>
    <row r="64" spans="1:14" x14ac:dyDescent="0.35">
      <c r="A64" s="2">
        <v>43588</v>
      </c>
      <c r="B64" s="3">
        <v>3.6933471545993299</v>
      </c>
      <c r="C64" s="3">
        <v>4.8789762186178303</v>
      </c>
      <c r="D64" s="3">
        <v>3.2212488066083398</v>
      </c>
      <c r="E64" s="3">
        <v>3.3798528009891502</v>
      </c>
      <c r="F64" s="3">
        <v>2.5679259710403701</v>
      </c>
      <c r="G64" s="3">
        <v>3.2613671467848602</v>
      </c>
      <c r="H64" s="3">
        <v>4.8524683957399199</v>
      </c>
      <c r="I64" s="3">
        <v>1.0802552840141899</v>
      </c>
      <c r="J64" s="3">
        <v>2.0238384191446799</v>
      </c>
      <c r="K64" s="3">
        <v>3.4898344139045498</v>
      </c>
      <c r="L64" s="3">
        <v>2.9531329821735399</v>
      </c>
      <c r="M64" s="3">
        <v>4.0250773945670897</v>
      </c>
      <c r="N64" s="3">
        <v>4.6341291795723496</v>
      </c>
    </row>
    <row r="65" spans="1:14" x14ac:dyDescent="0.35">
      <c r="A65" s="2">
        <v>43620</v>
      </c>
      <c r="B65" s="3">
        <v>3.77917319202755</v>
      </c>
      <c r="C65" s="3">
        <v>4.8534546775583198</v>
      </c>
      <c r="D65" s="3">
        <v>3.3540468397582202</v>
      </c>
      <c r="E65" s="3">
        <v>3.5875130521290801</v>
      </c>
      <c r="F65" s="3">
        <v>2.7781645131379298</v>
      </c>
      <c r="G65" s="3">
        <v>3.3148319930864001</v>
      </c>
      <c r="H65" s="3">
        <v>4.9148280796081902</v>
      </c>
      <c r="I65" s="3">
        <v>1.1946491609795999</v>
      </c>
      <c r="J65" s="3">
        <v>2.13909420065111</v>
      </c>
      <c r="K65" s="3">
        <v>3.6894129350832401</v>
      </c>
      <c r="L65" s="3">
        <v>3.1556844896453602</v>
      </c>
      <c r="M65" s="3">
        <v>4.3729530028458701</v>
      </c>
      <c r="N65" s="3">
        <v>5.0534818251191496</v>
      </c>
    </row>
    <row r="66" spans="1:14" x14ac:dyDescent="0.35">
      <c r="A66" s="2">
        <v>43649</v>
      </c>
      <c r="B66" s="3">
        <v>3.5487745125634498</v>
      </c>
      <c r="C66" s="3">
        <v>4.6132305304365202</v>
      </c>
      <c r="D66" s="3">
        <v>3.28350093395983</v>
      </c>
      <c r="E66" s="3">
        <v>3.4263104497266301</v>
      </c>
      <c r="F66" s="3">
        <v>2.6405883284129699</v>
      </c>
      <c r="G66" s="3">
        <v>3.1791284894457199</v>
      </c>
      <c r="H66" s="3">
        <v>4.6996267632754201</v>
      </c>
      <c r="I66" s="3">
        <v>1.08864064799322</v>
      </c>
      <c r="J66" s="3">
        <v>2.01162769265154</v>
      </c>
      <c r="K66" s="3">
        <v>3.4830783525906899</v>
      </c>
      <c r="L66" s="3">
        <v>2.9424171183944301</v>
      </c>
      <c r="M66" s="3">
        <v>4.09586167505537</v>
      </c>
      <c r="N66" s="3">
        <v>4.6971118470554796</v>
      </c>
    </row>
    <row r="67" spans="1:14" x14ac:dyDescent="0.35">
      <c r="A67" s="2">
        <v>43679</v>
      </c>
      <c r="B67" s="3">
        <v>3.4045182177879001</v>
      </c>
      <c r="C67" s="3">
        <v>4.56425079486326</v>
      </c>
      <c r="D67" s="3">
        <v>3.3863835815424701</v>
      </c>
      <c r="E67" s="3">
        <v>3.5395087204224698</v>
      </c>
      <c r="F67" s="3">
        <v>2.7160504249803901</v>
      </c>
      <c r="G67" s="3">
        <v>3.2536793091485801</v>
      </c>
      <c r="H67" s="3">
        <v>4.9557584365651897</v>
      </c>
      <c r="I67" s="3">
        <v>1.1162191895570299</v>
      </c>
      <c r="J67" s="3">
        <v>2.0652722228834102</v>
      </c>
      <c r="K67" s="3">
        <v>3.6599211096662501</v>
      </c>
      <c r="L67" s="3">
        <v>2.9691377792406799</v>
      </c>
      <c r="M67" s="3">
        <v>4.1520859183796999</v>
      </c>
      <c r="N67" s="3">
        <v>4.9104069267287302</v>
      </c>
    </row>
    <row r="68" spans="1:14" x14ac:dyDescent="0.35">
      <c r="A68" s="2">
        <v>43712</v>
      </c>
      <c r="B68" s="3">
        <v>3.3019887689455198</v>
      </c>
      <c r="C68" s="3">
        <v>4.6119010729337999</v>
      </c>
      <c r="D68" s="3">
        <v>3.3868660461764102</v>
      </c>
      <c r="E68" s="3">
        <v>3.49094372410817</v>
      </c>
      <c r="F68" s="3">
        <v>2.7564393361065398</v>
      </c>
      <c r="G68" s="3">
        <v>3.2170192967394402</v>
      </c>
      <c r="H68" s="3">
        <v>4.9929347745818902</v>
      </c>
      <c r="I68" s="3">
        <v>1.11438660086899</v>
      </c>
      <c r="J68" s="3">
        <v>2.0737650139862098</v>
      </c>
      <c r="K68" s="3">
        <v>3.5715763134311498</v>
      </c>
      <c r="L68" s="3">
        <v>2.9258647337431101</v>
      </c>
      <c r="M68" s="3">
        <v>4.1616160839249003</v>
      </c>
      <c r="N68" s="3">
        <v>4.8009680299700097</v>
      </c>
    </row>
    <row r="69" spans="1:14" x14ac:dyDescent="0.35">
      <c r="A69" s="2">
        <v>43742</v>
      </c>
      <c r="B69" s="3">
        <v>3.3454783724441302</v>
      </c>
      <c r="C69" s="3">
        <v>4.55438622426741</v>
      </c>
      <c r="D69" s="3">
        <v>3.3886205927452502</v>
      </c>
      <c r="E69" s="3">
        <v>3.4970880139619598</v>
      </c>
      <c r="F69" s="3">
        <v>2.6508703686883699</v>
      </c>
      <c r="G69" s="3">
        <v>3.27933245349102</v>
      </c>
      <c r="H69" s="3">
        <v>5.05931907495121</v>
      </c>
      <c r="I69" s="3">
        <v>1.11610304227057</v>
      </c>
      <c r="J69" s="3">
        <v>2.0732652108410599</v>
      </c>
      <c r="K69" s="3">
        <v>3.6019278658263998</v>
      </c>
      <c r="L69" s="3">
        <v>2.81032375082343</v>
      </c>
      <c r="M69" s="3">
        <v>4.0408478989100498</v>
      </c>
      <c r="N69" s="3">
        <v>4.8800723202173604</v>
      </c>
    </row>
    <row r="70" spans="1:14" x14ac:dyDescent="0.35">
      <c r="A70" s="2">
        <v>43773</v>
      </c>
      <c r="B70" s="3">
        <v>3.3677019151207501</v>
      </c>
      <c r="C70" s="3">
        <v>4.3814530962434901</v>
      </c>
      <c r="D70" s="3">
        <v>3.3175710379836598</v>
      </c>
      <c r="E70" s="3">
        <v>3.1977115549922299</v>
      </c>
      <c r="F70" s="3">
        <v>2.5164545400613099</v>
      </c>
      <c r="G70" s="3">
        <v>3.1220445272772199</v>
      </c>
      <c r="H70" s="3">
        <v>4.7724929510349003</v>
      </c>
      <c r="I70" s="3">
        <v>1.06797775553727</v>
      </c>
      <c r="J70" s="3">
        <v>2.00438008006279</v>
      </c>
      <c r="K70" s="3">
        <v>3.4010317380988102</v>
      </c>
      <c r="L70" s="3">
        <v>2.7106462665013198</v>
      </c>
      <c r="M70" s="3">
        <v>3.6599152565670998</v>
      </c>
      <c r="N70" s="3">
        <v>4.5384445976779597</v>
      </c>
    </row>
    <row r="71" spans="1:14" x14ac:dyDescent="0.35">
      <c r="A71" s="2">
        <v>43803</v>
      </c>
      <c r="B71" s="3">
        <v>3.26406685053044</v>
      </c>
      <c r="C71" s="3">
        <v>4.4088369609069398</v>
      </c>
      <c r="D71" s="3">
        <v>3.2826107618126099</v>
      </c>
      <c r="E71" s="3">
        <v>3.1178354097752399</v>
      </c>
      <c r="F71" s="3">
        <v>2.46255614710075</v>
      </c>
      <c r="G71" s="3">
        <v>3.1352836081267101</v>
      </c>
      <c r="H71" s="3">
        <v>4.8193758926881003</v>
      </c>
      <c r="I71" s="3">
        <v>1.08654061774371</v>
      </c>
      <c r="J71" s="3">
        <v>1.99520521291437</v>
      </c>
      <c r="K71" s="3">
        <v>3.4363819458644498</v>
      </c>
      <c r="L71" s="3">
        <v>2.6760129581046801</v>
      </c>
      <c r="M71" s="3">
        <v>3.72833813680238</v>
      </c>
      <c r="N71" s="3">
        <v>4.6114457289707698</v>
      </c>
    </row>
    <row r="72" spans="1:14" x14ac:dyDescent="0.35">
      <c r="A72" s="2">
        <v>43833</v>
      </c>
      <c r="B72" s="3">
        <v>3.1539880737759498</v>
      </c>
      <c r="C72" s="3">
        <v>4.2914743023878597</v>
      </c>
      <c r="D72" s="3">
        <v>3.2643285477653601</v>
      </c>
      <c r="E72" s="3">
        <v>3.0987281538940801</v>
      </c>
      <c r="F72" s="3">
        <v>2.4471056255701802</v>
      </c>
      <c r="G72" s="3">
        <v>3.0226171047913701</v>
      </c>
      <c r="H72" s="3">
        <v>4.5536035854311399</v>
      </c>
      <c r="I72" s="3">
        <v>1.0411164867806999</v>
      </c>
      <c r="J72" s="3">
        <v>1.93167258024595</v>
      </c>
      <c r="K72" s="3">
        <v>3.32107569158241</v>
      </c>
      <c r="L72" s="3">
        <v>2.5769230848688398</v>
      </c>
      <c r="M72" s="3">
        <v>3.5954907021996201</v>
      </c>
      <c r="N72" s="3">
        <v>4.4842432747532097</v>
      </c>
    </row>
    <row r="73" spans="1:14" x14ac:dyDescent="0.35">
      <c r="A73" s="2">
        <v>43865</v>
      </c>
      <c r="B73" s="3">
        <v>3.15408053259321</v>
      </c>
      <c r="C73" s="3">
        <v>4.1947156635132501</v>
      </c>
      <c r="D73" s="3">
        <v>3.2403005422061302</v>
      </c>
      <c r="E73" s="3">
        <v>3.10255154453835</v>
      </c>
      <c r="F73" s="3">
        <v>2.5023954726709299</v>
      </c>
      <c r="G73" s="3">
        <v>2.99210895299057</v>
      </c>
      <c r="H73" s="3">
        <v>4.6823403143571003</v>
      </c>
      <c r="I73" s="3">
        <v>0.986578331159224</v>
      </c>
      <c r="J73" s="3">
        <v>1.9116495173989301</v>
      </c>
      <c r="K73" s="3">
        <v>3.3653009620213798</v>
      </c>
      <c r="L73" s="3">
        <v>2.6037133971620499</v>
      </c>
      <c r="M73" s="3">
        <v>3.5447541139724201</v>
      </c>
      <c r="N73" s="3">
        <v>4.5203675226161302</v>
      </c>
    </row>
    <row r="74" spans="1:14" x14ac:dyDescent="0.35">
      <c r="A74" s="2">
        <v>43894</v>
      </c>
      <c r="B74" s="3">
        <v>3.12590309709881</v>
      </c>
      <c r="C74" s="3">
        <v>4.5606191423027198</v>
      </c>
      <c r="D74" s="3">
        <v>3.4285173055402498</v>
      </c>
      <c r="E74" s="3">
        <v>3.3785534524755998</v>
      </c>
      <c r="F74" s="3">
        <v>2.77954222126291</v>
      </c>
      <c r="G74" s="3">
        <v>3.1481455422031299</v>
      </c>
      <c r="H74" s="3">
        <v>5.1450297854659803</v>
      </c>
      <c r="I74" s="3">
        <v>1.0356278139797901</v>
      </c>
      <c r="J74" s="3">
        <v>2.0265427101993798</v>
      </c>
      <c r="K74" s="3">
        <v>3.60785633554719</v>
      </c>
      <c r="L74" s="3">
        <v>2.7806929774099798</v>
      </c>
      <c r="M74" s="3">
        <v>3.7516860399089098</v>
      </c>
      <c r="N74" s="3">
        <v>4.9629103012771001</v>
      </c>
    </row>
    <row r="75" spans="1:14" x14ac:dyDescent="0.35">
      <c r="A75" s="2">
        <v>43924</v>
      </c>
      <c r="B75" s="3">
        <v>3.1903300879588801</v>
      </c>
      <c r="C75" s="3">
        <v>5.1303469485334903</v>
      </c>
      <c r="D75" s="3">
        <v>4.4274093326505</v>
      </c>
      <c r="E75" s="3">
        <v>4.0076095072639299</v>
      </c>
      <c r="F75" s="3">
        <v>3.1421569354446599</v>
      </c>
      <c r="G75" s="3">
        <v>3.5331030674948698</v>
      </c>
      <c r="H75" s="3">
        <v>6.3800701856375897</v>
      </c>
      <c r="I75" s="3">
        <v>1.2314570073004301</v>
      </c>
      <c r="J75" s="3">
        <v>2.5174298324267199</v>
      </c>
      <c r="K75" s="3">
        <v>4.4884395162109696</v>
      </c>
      <c r="L75" s="3">
        <v>3.2048560952892702</v>
      </c>
      <c r="M75" s="3">
        <v>3.9919705418182301</v>
      </c>
      <c r="N75" s="3">
        <v>6.36779775197604</v>
      </c>
    </row>
    <row r="76" spans="1:14" x14ac:dyDescent="0.35">
      <c r="A76" s="2">
        <v>43955</v>
      </c>
      <c r="B76" s="3">
        <v>2.7045371176222801</v>
      </c>
      <c r="C76" s="3">
        <v>4.00674108048484</v>
      </c>
      <c r="D76" s="3">
        <v>3.8724996151620399</v>
      </c>
      <c r="E76" s="3">
        <v>3.47439046850271</v>
      </c>
      <c r="F76" s="3">
        <v>2.8650961210624701</v>
      </c>
      <c r="G76" s="3">
        <v>3.3777186414414002</v>
      </c>
      <c r="H76" s="3">
        <v>4.836052495283</v>
      </c>
      <c r="I76" s="3">
        <v>1.0315644146698599</v>
      </c>
      <c r="J76" s="3">
        <v>2.1422200886330098</v>
      </c>
      <c r="K76" s="3">
        <v>3.6650147151400301</v>
      </c>
      <c r="L76" s="3">
        <v>2.7663588935998602</v>
      </c>
      <c r="M76" s="3">
        <v>3.43330175363627</v>
      </c>
      <c r="N76" s="3">
        <v>5.4635202648736003</v>
      </c>
    </row>
    <row r="77" spans="1:14" x14ac:dyDescent="0.35">
      <c r="A77" s="2">
        <v>43986</v>
      </c>
      <c r="B77" s="3">
        <v>2.53802682270805</v>
      </c>
      <c r="C77" s="3">
        <v>3.3462846918442901</v>
      </c>
      <c r="D77" s="3">
        <v>3.5438441791806601</v>
      </c>
      <c r="E77" s="3">
        <v>2.8598309711686398</v>
      </c>
      <c r="F77" s="3">
        <v>2.47321109300713</v>
      </c>
      <c r="G77" s="3">
        <v>3.0873093361186599</v>
      </c>
      <c r="H77" s="3">
        <v>3.95289395542081</v>
      </c>
      <c r="I77" s="3">
        <v>0.94390861919166802</v>
      </c>
      <c r="J77" s="3">
        <v>1.9387055435571401</v>
      </c>
      <c r="K77" s="3">
        <v>3.0983844945420902</v>
      </c>
      <c r="L77" s="3">
        <v>2.3802870608897901</v>
      </c>
      <c r="M77" s="3">
        <v>2.9398972206795002</v>
      </c>
      <c r="N77" s="3">
        <v>4.2283856992954103</v>
      </c>
    </row>
    <row r="78" spans="1:14" x14ac:dyDescent="0.35">
      <c r="A78" s="2">
        <v>44014</v>
      </c>
      <c r="B78" s="3">
        <v>2.4694063472930901</v>
      </c>
      <c r="C78" s="3">
        <v>3.3886707717089299</v>
      </c>
      <c r="D78" s="3">
        <v>3.5263001018989701</v>
      </c>
      <c r="E78" s="3">
        <v>2.8655914908376801</v>
      </c>
      <c r="F78" s="3">
        <v>2.5332265257202602</v>
      </c>
      <c r="G78" s="3">
        <v>3.0430185724154399</v>
      </c>
      <c r="H78" s="3">
        <v>4.0839248035576601</v>
      </c>
      <c r="I78" s="3">
        <v>0.87962469433777701</v>
      </c>
      <c r="J78" s="3">
        <v>1.9141150253514401</v>
      </c>
      <c r="K78" s="3">
        <v>3.0826010357346401</v>
      </c>
      <c r="L78" s="3">
        <v>2.3437097190671499</v>
      </c>
      <c r="M78" s="3">
        <v>3.0045038236438302</v>
      </c>
      <c r="N78" s="3">
        <v>4.26315896223712</v>
      </c>
    </row>
    <row r="79" spans="1:14" x14ac:dyDescent="0.35">
      <c r="A79" s="2">
        <v>44047</v>
      </c>
      <c r="B79" s="3">
        <v>2.3637468546866098</v>
      </c>
      <c r="C79" s="3">
        <v>3.3865732581546699</v>
      </c>
      <c r="D79" s="3">
        <v>3.3824659604006202</v>
      </c>
      <c r="E79" s="3">
        <v>2.8707004588086402</v>
      </c>
      <c r="F79" s="3">
        <v>2.5080012928206701</v>
      </c>
      <c r="G79" s="3">
        <v>2.96687242714275</v>
      </c>
      <c r="H79" s="3">
        <v>4.0003060257378404</v>
      </c>
      <c r="I79" s="3">
        <v>0.82139778299504895</v>
      </c>
      <c r="J79" s="3">
        <v>1.7997033948791601</v>
      </c>
      <c r="K79" s="3">
        <v>3.1750708230869802</v>
      </c>
      <c r="L79" s="3">
        <v>2.3647043844533999</v>
      </c>
      <c r="M79" s="3">
        <v>3.0270629483129698</v>
      </c>
      <c r="N79" s="3">
        <v>3.94921362535655</v>
      </c>
    </row>
    <row r="80" spans="1:14" x14ac:dyDescent="0.35">
      <c r="A80" s="2">
        <v>44078</v>
      </c>
      <c r="B80" s="3">
        <v>2.3912737862189299</v>
      </c>
      <c r="C80" s="3">
        <v>3.5095581192595802</v>
      </c>
      <c r="D80" s="3">
        <v>3.41112968466877</v>
      </c>
      <c r="E80" s="3">
        <v>2.8590949416068598</v>
      </c>
      <c r="F80" s="3">
        <v>2.38062225314233</v>
      </c>
      <c r="G80" s="3">
        <v>2.9828708778369002</v>
      </c>
      <c r="H80" s="3">
        <v>4.1844964272571197</v>
      </c>
      <c r="I80" s="3">
        <v>0.78685076828295497</v>
      </c>
      <c r="J80" s="3">
        <v>1.74173338241266</v>
      </c>
      <c r="K80" s="3">
        <v>3.1509713084998698</v>
      </c>
      <c r="L80" s="3">
        <v>2.3577811188830502</v>
      </c>
      <c r="M80" s="3">
        <v>3.0461361994532301</v>
      </c>
      <c r="N80" s="3">
        <v>4.1045846920680198</v>
      </c>
    </row>
    <row r="81" spans="1:14" x14ac:dyDescent="0.35">
      <c r="A81" s="2">
        <v>44106</v>
      </c>
      <c r="B81" s="3">
        <v>2.4501519045880298</v>
      </c>
      <c r="C81" s="3">
        <v>3.7249684556834901</v>
      </c>
      <c r="D81" s="3">
        <v>3.4366620525084999</v>
      </c>
      <c r="E81" s="3">
        <v>2.8779421610387002</v>
      </c>
      <c r="F81" s="3">
        <v>2.4189894988520502</v>
      </c>
      <c r="G81" s="3">
        <v>2.9544104904960098</v>
      </c>
      <c r="H81" s="3">
        <v>4.2341674395293101</v>
      </c>
      <c r="I81" s="3">
        <v>0.81263971321582795</v>
      </c>
      <c r="J81" s="3">
        <v>1.7815290001955699</v>
      </c>
      <c r="K81" s="3">
        <v>3.27596497862787</v>
      </c>
      <c r="L81" s="3">
        <v>2.3266707057297702</v>
      </c>
      <c r="M81" s="3">
        <v>3.0326695227194</v>
      </c>
      <c r="N81" s="3">
        <v>4.2128087944612904</v>
      </c>
    </row>
    <row r="82" spans="1:14" x14ac:dyDescent="0.35">
      <c r="A82" s="2">
        <v>44139</v>
      </c>
      <c r="B82" s="3">
        <v>2.4080174106268202</v>
      </c>
      <c r="C82" s="3">
        <v>3.70433970946549</v>
      </c>
      <c r="D82" s="3">
        <v>3.4678082183877201</v>
      </c>
      <c r="E82" s="3">
        <v>2.9976125165051499</v>
      </c>
      <c r="F82" s="3">
        <v>2.39042496579895</v>
      </c>
      <c r="G82" s="3">
        <v>2.9463373869862202</v>
      </c>
      <c r="H82" s="3">
        <v>4.3743216449210598</v>
      </c>
      <c r="I82" s="3">
        <v>0.78685561973653495</v>
      </c>
      <c r="J82" s="3">
        <v>1.7411568880474499</v>
      </c>
      <c r="K82" s="3">
        <v>3.2244523959140898</v>
      </c>
      <c r="L82" s="3">
        <v>2.2948103784960301</v>
      </c>
      <c r="M82" s="3">
        <v>3.17647111945125</v>
      </c>
      <c r="N82" s="3">
        <v>4.2694597206508096</v>
      </c>
    </row>
    <row r="83" spans="1:14" x14ac:dyDescent="0.35">
      <c r="A83" s="2">
        <v>44169</v>
      </c>
      <c r="B83" s="3">
        <v>2.41266385854858</v>
      </c>
      <c r="C83" s="3">
        <v>3.4243803648986102</v>
      </c>
      <c r="D83" s="3">
        <v>3.1250323502730399</v>
      </c>
      <c r="E83" s="3">
        <v>2.7788620418417902</v>
      </c>
      <c r="F83" s="3">
        <v>2.1633150250908102</v>
      </c>
      <c r="G83" s="3">
        <v>2.92200975373758</v>
      </c>
      <c r="H83" s="3">
        <v>3.84858808246676</v>
      </c>
      <c r="I83" s="3">
        <v>0.74136195603362498</v>
      </c>
      <c r="J83" s="3">
        <v>1.6220832396102101</v>
      </c>
      <c r="K83" s="3">
        <v>2.8595569599683999</v>
      </c>
      <c r="L83" s="3">
        <v>2.0551381128142299</v>
      </c>
      <c r="M83" s="3">
        <v>3.0139746035041601</v>
      </c>
      <c r="N83" s="3">
        <v>3.9368062781048798</v>
      </c>
    </row>
    <row r="84" spans="1:14" x14ac:dyDescent="0.35">
      <c r="A84" s="2">
        <v>44200</v>
      </c>
      <c r="B84" s="3">
        <v>2.4128274558384</v>
      </c>
      <c r="C84" s="3">
        <v>3.5412185007266599</v>
      </c>
      <c r="D84" s="3">
        <v>3.1173385164362402</v>
      </c>
      <c r="E84" s="3">
        <v>2.71128493244629</v>
      </c>
      <c r="F84" s="3">
        <v>2.1515537764952302</v>
      </c>
      <c r="G84" s="3">
        <v>2.8078468389217002</v>
      </c>
      <c r="H84" s="3">
        <v>3.9001017601378001</v>
      </c>
      <c r="I84" s="3">
        <v>0.77533409894102401</v>
      </c>
      <c r="J84" s="3">
        <v>1.60126083660986</v>
      </c>
      <c r="K84" s="3">
        <v>2.9203651256325198</v>
      </c>
      <c r="L84" s="3">
        <v>1.9468442336095699</v>
      </c>
      <c r="M84" s="3">
        <v>3.08317272557961</v>
      </c>
      <c r="N84" s="3">
        <v>3.94015298222961</v>
      </c>
    </row>
    <row r="85" spans="1:14" x14ac:dyDescent="0.35">
      <c r="A85" s="2">
        <v>44231</v>
      </c>
      <c r="B85" s="3">
        <v>2.5026855000255499</v>
      </c>
      <c r="C85" s="3">
        <v>3.60855689339928</v>
      </c>
      <c r="D85" s="3">
        <v>3.0196957763212899</v>
      </c>
      <c r="E85" s="3">
        <v>2.7203220188489001</v>
      </c>
      <c r="F85" s="3">
        <v>2.09717196542287</v>
      </c>
      <c r="G85" s="3">
        <v>2.8197023085253399</v>
      </c>
      <c r="H85" s="3">
        <v>4.0615483350439403</v>
      </c>
      <c r="I85" s="3">
        <v>0.73202243579000703</v>
      </c>
      <c r="J85" s="3">
        <v>1.5478703576409201</v>
      </c>
      <c r="K85" s="3">
        <v>2.9418216585311301</v>
      </c>
      <c r="L85" s="3">
        <v>1.9410179083804</v>
      </c>
      <c r="M85" s="3">
        <v>2.9655206065748398</v>
      </c>
      <c r="N85" s="3">
        <v>3.947679057397</v>
      </c>
    </row>
    <row r="86" spans="1:14" x14ac:dyDescent="0.35">
      <c r="A86" s="2">
        <v>44259</v>
      </c>
      <c r="B86" s="3">
        <v>2.61571444079244</v>
      </c>
      <c r="C86" s="3">
        <v>3.8622132220508001</v>
      </c>
      <c r="D86" s="3">
        <v>2.9607200674261098</v>
      </c>
      <c r="E86" s="3">
        <v>2.8105447408611299</v>
      </c>
      <c r="F86" s="3">
        <v>2.1147546480725001</v>
      </c>
      <c r="G86" s="3">
        <v>2.8897132242403099</v>
      </c>
      <c r="H86" s="3">
        <v>3.96711984776389</v>
      </c>
      <c r="I86" s="3">
        <v>0.80326998186490794</v>
      </c>
      <c r="J86" s="3">
        <v>1.5989647314664499</v>
      </c>
      <c r="K86" s="3">
        <v>2.8214626162773402</v>
      </c>
      <c r="L86" s="3">
        <v>2.0916827322230902</v>
      </c>
      <c r="M86" s="3">
        <v>2.9107231293916498</v>
      </c>
      <c r="N86" s="3">
        <v>4.2166381005087397</v>
      </c>
    </row>
    <row r="87" spans="1:14" x14ac:dyDescent="0.35">
      <c r="A87" s="2">
        <v>44287</v>
      </c>
      <c r="B87" s="3">
        <v>2.5951383958601801</v>
      </c>
      <c r="C87" s="3">
        <v>3.97163701521748</v>
      </c>
      <c r="D87" s="3">
        <v>2.80258135035122</v>
      </c>
      <c r="E87" s="3">
        <v>2.6899807727586098</v>
      </c>
      <c r="F87" s="3">
        <v>2.0639765421062601</v>
      </c>
      <c r="G87" s="3">
        <v>2.7935006971027998</v>
      </c>
      <c r="H87" s="3">
        <v>4.0490320608381403</v>
      </c>
      <c r="I87" s="3">
        <v>0.75417258751375704</v>
      </c>
      <c r="J87" s="3">
        <v>1.5064657700042401</v>
      </c>
      <c r="K87" s="3">
        <v>2.7400858139562998</v>
      </c>
      <c r="L87" s="3">
        <v>1.9176825648873801</v>
      </c>
      <c r="M87" s="3">
        <v>2.7547793073899798</v>
      </c>
      <c r="N87" s="3">
        <v>3.9963737163555502</v>
      </c>
    </row>
    <row r="88" spans="1:14" x14ac:dyDescent="0.35">
      <c r="A88" s="2">
        <v>44320</v>
      </c>
      <c r="B88" s="3">
        <v>2.55724370305018</v>
      </c>
      <c r="C88" s="3">
        <v>3.9111947970851699</v>
      </c>
      <c r="D88" s="3">
        <v>2.7452953046589901</v>
      </c>
      <c r="E88" s="3">
        <v>2.8350070830347902</v>
      </c>
      <c r="F88" s="3">
        <v>2.16458536319394</v>
      </c>
      <c r="G88" s="3">
        <v>2.7952639627317102</v>
      </c>
      <c r="H88" s="3">
        <v>3.9854835684293599</v>
      </c>
      <c r="I88" s="3">
        <v>0.74804055190243801</v>
      </c>
      <c r="J88" s="3">
        <v>1.46696350678992</v>
      </c>
      <c r="K88" s="3">
        <v>2.7247317055501901</v>
      </c>
      <c r="L88" s="3">
        <v>2.0150422023860202</v>
      </c>
      <c r="M88" s="3">
        <v>2.8795330892550601</v>
      </c>
      <c r="N88" s="3">
        <v>4.2263489936296104</v>
      </c>
    </row>
    <row r="89" spans="1:14" x14ac:dyDescent="0.35">
      <c r="A89" s="2">
        <v>44351</v>
      </c>
      <c r="B89" s="3">
        <v>2.6850615959980701</v>
      </c>
      <c r="C89" s="3">
        <v>3.8208968694180601</v>
      </c>
      <c r="D89" s="3">
        <v>2.5945381468635</v>
      </c>
      <c r="E89" s="3">
        <v>2.7778418824614701</v>
      </c>
      <c r="F89" s="3">
        <v>2.1424430693942602</v>
      </c>
      <c r="G89" s="3">
        <v>2.6723385570607698</v>
      </c>
      <c r="H89" s="3">
        <v>3.88651397325149</v>
      </c>
      <c r="I89" s="3">
        <v>0.739173930389873</v>
      </c>
      <c r="J89" s="3">
        <v>1.45319438385991</v>
      </c>
      <c r="K89" s="3">
        <v>2.6710376994432599</v>
      </c>
      <c r="L89" s="3">
        <v>2.0007175762881699</v>
      </c>
      <c r="M89" s="3">
        <v>2.6761497734937598</v>
      </c>
      <c r="N89" s="3">
        <v>4.0578080931420999</v>
      </c>
    </row>
    <row r="90" spans="1:14" x14ac:dyDescent="0.35">
      <c r="A90" s="2">
        <v>44379</v>
      </c>
      <c r="B90" s="3">
        <v>2.6251517760140199</v>
      </c>
      <c r="C90" s="3">
        <v>4.0588734035747196</v>
      </c>
      <c r="D90" s="3">
        <v>2.7041918481249398</v>
      </c>
      <c r="E90" s="3">
        <v>2.8024834719227099</v>
      </c>
      <c r="F90" s="3">
        <v>2.1821508817311499</v>
      </c>
      <c r="G90" s="3">
        <v>2.6310063326827202</v>
      </c>
      <c r="H90" s="3">
        <v>3.99409262579473</v>
      </c>
      <c r="I90" s="3">
        <v>0.69620934283835401</v>
      </c>
      <c r="J90" s="3">
        <v>1.42593221304371</v>
      </c>
      <c r="K90" s="3">
        <v>2.6931270443976199</v>
      </c>
      <c r="L90" s="3">
        <v>2.0086946793146501</v>
      </c>
      <c r="M90" s="3">
        <v>2.6956297805783098</v>
      </c>
      <c r="N90" s="3">
        <v>4.1376130952577999</v>
      </c>
    </row>
    <row r="91" spans="1:14" x14ac:dyDescent="0.35">
      <c r="A91" s="2">
        <v>44412</v>
      </c>
      <c r="B91" s="3">
        <v>2.61415249844945</v>
      </c>
      <c r="C91" s="3">
        <v>4.0443422198980601</v>
      </c>
      <c r="D91" s="3">
        <v>2.7007869544874801</v>
      </c>
      <c r="E91" s="3">
        <v>2.8245996735883301</v>
      </c>
      <c r="F91" s="3">
        <v>2.2539451959797301</v>
      </c>
      <c r="G91" s="3">
        <v>2.5799198824263501</v>
      </c>
      <c r="H91" s="3">
        <v>4.1323998057080997</v>
      </c>
      <c r="I91" s="3">
        <v>0.69984012522108796</v>
      </c>
      <c r="J91" s="3">
        <v>1.4286963669732</v>
      </c>
      <c r="K91" s="3">
        <v>2.6938533592653502</v>
      </c>
      <c r="L91" s="3">
        <v>1.9248875890576</v>
      </c>
      <c r="M91" s="3">
        <v>2.7073902782232899</v>
      </c>
      <c r="N91" s="3">
        <v>4.3631039615526301</v>
      </c>
    </row>
    <row r="92" spans="1:14" x14ac:dyDescent="0.35">
      <c r="A92" s="2">
        <v>44442</v>
      </c>
      <c r="B92" s="3">
        <v>2.5643717151279</v>
      </c>
      <c r="C92" s="3">
        <v>4.0138660273057596</v>
      </c>
      <c r="D92" s="3">
        <v>2.7130578577917199</v>
      </c>
      <c r="E92" s="3">
        <v>2.8433104513362899</v>
      </c>
      <c r="F92" s="3">
        <v>2.1925257663557098</v>
      </c>
      <c r="G92" s="3">
        <v>2.5755871068023701</v>
      </c>
      <c r="H92" s="3">
        <v>4.1645028881805404</v>
      </c>
      <c r="I92" s="3">
        <v>0.67707934468187003</v>
      </c>
      <c r="J92" s="3">
        <v>1.39709799515581</v>
      </c>
      <c r="K92" s="3">
        <v>2.75626790754225</v>
      </c>
      <c r="L92" s="3">
        <v>1.8382556948222799</v>
      </c>
      <c r="M92" s="3">
        <v>2.7295762590538102</v>
      </c>
      <c r="N92" s="3">
        <v>4.4217926580871003</v>
      </c>
    </row>
    <row r="93" spans="1:14" x14ac:dyDescent="0.35">
      <c r="A93" s="2">
        <v>44473</v>
      </c>
      <c r="B93" s="3">
        <v>2.6059248427350901</v>
      </c>
      <c r="C93" s="3">
        <v>4.0837451160997302</v>
      </c>
      <c r="D93" s="3">
        <v>2.8371025384995199</v>
      </c>
      <c r="E93" s="3">
        <v>3.0250430106015198</v>
      </c>
      <c r="F93" s="3">
        <v>2.2712791203562701</v>
      </c>
      <c r="G93" s="3">
        <v>2.7783502870210599</v>
      </c>
      <c r="H93" s="3">
        <v>4.2120967598114198</v>
      </c>
      <c r="I93" s="3">
        <v>0.73966076641302203</v>
      </c>
      <c r="J93" s="3">
        <v>1.47924110718746</v>
      </c>
      <c r="K93" s="3">
        <v>2.88467128624076</v>
      </c>
      <c r="L93" s="3">
        <v>2.0120675887299599</v>
      </c>
      <c r="M93" s="3">
        <v>2.9370122119897801</v>
      </c>
      <c r="N93" s="3">
        <v>4.5802589361693498</v>
      </c>
    </row>
    <row r="94" spans="1:14" x14ac:dyDescent="0.35">
      <c r="A94" s="2">
        <v>44504</v>
      </c>
      <c r="B94" s="3">
        <v>2.6824368095991802</v>
      </c>
      <c r="C94" s="3">
        <v>3.3607709186319399</v>
      </c>
      <c r="D94" s="3">
        <v>2.7195679021030701</v>
      </c>
      <c r="E94" s="3">
        <v>2.9047568431767101</v>
      </c>
      <c r="F94" s="3">
        <v>2.1979804224428001</v>
      </c>
      <c r="G94" s="3">
        <v>2.5771394436640298</v>
      </c>
      <c r="H94" s="3">
        <v>4.0500687532736297</v>
      </c>
      <c r="I94" s="3">
        <v>0.65829900365007399</v>
      </c>
      <c r="J94" s="3">
        <v>1.37371930415087</v>
      </c>
      <c r="K94" s="3">
        <v>2.7470924851871699</v>
      </c>
      <c r="L94" s="3">
        <v>1.84565483419015</v>
      </c>
      <c r="M94" s="3">
        <v>2.9878565372816102</v>
      </c>
      <c r="N94" s="3">
        <v>4.32112627872643</v>
      </c>
    </row>
    <row r="95" spans="1:14" x14ac:dyDescent="0.35">
      <c r="A95" s="2">
        <v>44533</v>
      </c>
      <c r="B95" s="3">
        <v>2.7972686376152098</v>
      </c>
      <c r="C95" s="3">
        <v>4.0399429949094099</v>
      </c>
      <c r="D95" s="3">
        <v>2.8714511077597402</v>
      </c>
      <c r="E95" s="3">
        <v>3.15433445094716</v>
      </c>
      <c r="F95" s="3">
        <v>2.33627409612125</v>
      </c>
      <c r="G95" s="3">
        <v>2.6707760747183702</v>
      </c>
      <c r="H95" s="3">
        <v>4.1077278254668297</v>
      </c>
      <c r="I95" s="3">
        <v>0.69027890707236605</v>
      </c>
      <c r="J95" s="3">
        <v>1.4199731422970401</v>
      </c>
      <c r="K95" s="3">
        <v>2.8763062933855501</v>
      </c>
      <c r="L95" s="3">
        <v>2.0059587022778298</v>
      </c>
      <c r="M95" s="3">
        <v>3.0255724313551799</v>
      </c>
      <c r="N95" s="3">
        <v>4.7523535882579697</v>
      </c>
    </row>
    <row r="96" spans="1:14" x14ac:dyDescent="0.35">
      <c r="A96" s="2">
        <v>44565</v>
      </c>
      <c r="B96" s="3">
        <v>2.7696535201869601</v>
      </c>
      <c r="C96" s="3">
        <v>3.8121530631221798</v>
      </c>
      <c r="D96" s="3">
        <v>2.7858488908291701</v>
      </c>
      <c r="E96" s="3">
        <v>2.99933909828433</v>
      </c>
      <c r="F96" s="3">
        <v>2.2737087970580498</v>
      </c>
      <c r="G96" s="3">
        <v>2.5280489055520898</v>
      </c>
      <c r="H96" s="3">
        <v>3.8360526545624301</v>
      </c>
      <c r="I96" s="3">
        <v>0.67172764581250399</v>
      </c>
      <c r="J96" s="3">
        <v>1.34876972215271</v>
      </c>
      <c r="K96" s="3">
        <v>2.6875497606492398</v>
      </c>
      <c r="L96" s="3">
        <v>1.93435633515663</v>
      </c>
      <c r="M96" s="3">
        <v>2.7981371200377501</v>
      </c>
      <c r="N96" s="3">
        <v>4.5123428300335204</v>
      </c>
    </row>
    <row r="97" spans="1:14" x14ac:dyDescent="0.35">
      <c r="A97" s="2">
        <v>44596</v>
      </c>
      <c r="B97" s="3">
        <v>2.9481547308778802</v>
      </c>
      <c r="C97" s="3">
        <v>4.3114491725965998</v>
      </c>
      <c r="D97" s="3">
        <v>2.8036267952063199</v>
      </c>
      <c r="E97" s="3">
        <v>3.2422356938473098</v>
      </c>
      <c r="F97" s="3">
        <v>2.4384292761389101</v>
      </c>
      <c r="G97" s="3">
        <v>2.7748580148498898</v>
      </c>
      <c r="H97" s="3">
        <v>3.83763462893458</v>
      </c>
      <c r="I97" s="3">
        <v>0.75343894275718803</v>
      </c>
      <c r="J97" s="3">
        <v>1.45574455054108</v>
      </c>
      <c r="K97" s="3">
        <v>2.8918213069057099</v>
      </c>
      <c r="L97" s="3">
        <v>2.2318437509392801</v>
      </c>
      <c r="M97" s="3">
        <v>2.9440482081742698</v>
      </c>
      <c r="N97" s="3">
        <v>4.8217482873471997</v>
      </c>
    </row>
    <row r="98" spans="1:14" x14ac:dyDescent="0.35">
      <c r="A98" s="2">
        <v>44624</v>
      </c>
      <c r="B98" s="3">
        <v>3.0044200844493401</v>
      </c>
      <c r="C98" s="3">
        <v>4.3056108704206197</v>
      </c>
      <c r="D98" s="3">
        <v>2.8455788547432102</v>
      </c>
      <c r="E98" s="3">
        <v>3.86072841516427</v>
      </c>
      <c r="F98" s="3">
        <v>2.6226796155255498</v>
      </c>
      <c r="G98" s="3">
        <v>2.9672191572464399</v>
      </c>
      <c r="H98" s="3">
        <v>4.1826931261269298</v>
      </c>
      <c r="I98" s="3">
        <v>0.81128575397071601</v>
      </c>
      <c r="J98" s="3">
        <v>1.52745698222879</v>
      </c>
      <c r="K98" s="3">
        <v>3.4006010868894001</v>
      </c>
      <c r="L98" s="3">
        <v>2.4978094812559402</v>
      </c>
      <c r="M98" s="3">
        <v>3.3734334293753099</v>
      </c>
      <c r="N98" s="3">
        <v>5.6503761022117498</v>
      </c>
    </row>
    <row r="99" spans="1:14" x14ac:dyDescent="0.35">
      <c r="A99" s="2">
        <v>44655</v>
      </c>
      <c r="B99" s="3">
        <v>3.0814951353446398</v>
      </c>
      <c r="C99" s="3">
        <v>4.3075442218698203</v>
      </c>
      <c r="D99" s="3">
        <v>2.8102731527668099</v>
      </c>
      <c r="E99" s="3">
        <v>3.51401099695744</v>
      </c>
      <c r="F99" s="3">
        <v>2.5026446282151</v>
      </c>
      <c r="G99" s="3">
        <v>2.74864770252585</v>
      </c>
      <c r="H99" s="3">
        <v>3.9715372608923198</v>
      </c>
      <c r="I99" s="3">
        <v>0.74320820483071204</v>
      </c>
      <c r="J99" s="3">
        <v>1.4391042188621199</v>
      </c>
      <c r="K99" s="3">
        <v>3.0660765643285801</v>
      </c>
      <c r="L99" s="3">
        <v>2.2112889163671601</v>
      </c>
      <c r="M99" s="3">
        <v>3.0801419651124702</v>
      </c>
      <c r="N99" s="3">
        <v>5.0086286158638798</v>
      </c>
    </row>
    <row r="100" spans="1:14" x14ac:dyDescent="0.35">
      <c r="A100" s="2">
        <v>44685</v>
      </c>
      <c r="B100" s="3">
        <v>3.0951189305750999</v>
      </c>
      <c r="C100" s="3">
        <v>4.5447799666001201</v>
      </c>
      <c r="D100" s="3">
        <v>3.0030289671060002</v>
      </c>
      <c r="E100" s="3">
        <v>3.7657962102951101</v>
      </c>
      <c r="F100" s="3">
        <v>2.5872157503950199</v>
      </c>
      <c r="G100" s="3">
        <v>2.9114694932808098</v>
      </c>
      <c r="H100" s="3">
        <v>4.10815404555977</v>
      </c>
      <c r="I100" s="3">
        <v>0.83541560501348899</v>
      </c>
      <c r="J100" s="3">
        <v>1.53843923385629</v>
      </c>
      <c r="K100" s="3">
        <v>3.22448161084733</v>
      </c>
      <c r="L100" s="3">
        <v>2.4158905923317602</v>
      </c>
      <c r="M100" s="3">
        <v>3.3813013588832099</v>
      </c>
      <c r="N100" s="3">
        <v>5.1822227951149502</v>
      </c>
    </row>
    <row r="101" spans="1:14" x14ac:dyDescent="0.35">
      <c r="A101" s="2">
        <v>44715</v>
      </c>
      <c r="B101" s="3">
        <v>3.2006022936426102</v>
      </c>
      <c r="C101" s="3">
        <v>4.67171506929082</v>
      </c>
      <c r="D101" s="3">
        <v>3.1024299942501798</v>
      </c>
      <c r="E101" s="3">
        <v>3.7266379651703998</v>
      </c>
      <c r="F101" s="3">
        <v>2.5820584000168201</v>
      </c>
      <c r="G101" s="3">
        <v>2.97445030051647</v>
      </c>
      <c r="H101" s="3">
        <v>4.0698231549119601</v>
      </c>
      <c r="I101" s="3">
        <v>0.90885262836717495</v>
      </c>
      <c r="J101" s="3">
        <v>1.6177869178634501</v>
      </c>
      <c r="K101" s="3">
        <v>3.2079262143016898</v>
      </c>
      <c r="L101" s="3">
        <v>2.5609364680395799</v>
      </c>
      <c r="M101" s="3">
        <v>3.2385929629980499</v>
      </c>
      <c r="N101" s="3">
        <v>5.2622055760474398</v>
      </c>
    </row>
    <row r="102" spans="1:14" x14ac:dyDescent="0.35">
      <c r="A102" s="2">
        <v>44743</v>
      </c>
      <c r="B102" s="3">
        <v>3.4063392320034298</v>
      </c>
      <c r="C102" s="3">
        <v>5.3160403707034201</v>
      </c>
      <c r="D102" s="3">
        <v>3.42241268976922</v>
      </c>
      <c r="E102" s="3">
        <v>4.2119272278797499</v>
      </c>
      <c r="F102" s="3">
        <v>2.7404965644684798</v>
      </c>
      <c r="G102" s="3">
        <v>3.1965228343549001</v>
      </c>
      <c r="H102" s="3">
        <v>4.32321531067159</v>
      </c>
      <c r="I102" s="3">
        <v>0.99234214423649103</v>
      </c>
      <c r="J102" s="3">
        <v>1.7549580657847501</v>
      </c>
      <c r="K102" s="3">
        <v>3.5373011191181098</v>
      </c>
      <c r="L102" s="3">
        <v>3.4842035294572802</v>
      </c>
      <c r="M102" s="3">
        <v>3.6385290539806801</v>
      </c>
      <c r="N102" s="3">
        <v>5.9288194662000402</v>
      </c>
    </row>
    <row r="103" spans="1:14" x14ac:dyDescent="0.35">
      <c r="A103" s="2">
        <v>44777</v>
      </c>
      <c r="B103" s="3">
        <v>3.1864450035761802</v>
      </c>
      <c r="C103" s="3">
        <v>4.8323350851885998</v>
      </c>
      <c r="D103" s="3">
        <v>3.3485858179233801</v>
      </c>
      <c r="E103" s="3">
        <v>3.9554891889274399</v>
      </c>
      <c r="F103" s="3">
        <v>2.6238090017996898</v>
      </c>
      <c r="G103" s="3">
        <v>3.05614856348982</v>
      </c>
      <c r="H103" s="3">
        <v>4.1895963961131697</v>
      </c>
      <c r="I103" s="3">
        <v>0.86965596649926902</v>
      </c>
      <c r="J103" s="3">
        <v>1.6247142680595299</v>
      </c>
      <c r="K103" s="3">
        <v>3.2571298555985102</v>
      </c>
      <c r="L103" s="3">
        <v>3.0413857238227</v>
      </c>
      <c r="M103" s="3">
        <v>3.4589274163749901</v>
      </c>
      <c r="N103" s="3">
        <v>5.7768383769001304</v>
      </c>
    </row>
    <row r="104" spans="1:14" x14ac:dyDescent="0.35">
      <c r="A104" s="2">
        <v>44806</v>
      </c>
      <c r="B104" s="3">
        <v>3.1945586702973401</v>
      </c>
      <c r="C104" s="3">
        <v>4.8731086432875701</v>
      </c>
      <c r="D104" s="3">
        <v>3.4774993126967799</v>
      </c>
      <c r="E104" s="3">
        <v>4.1385548345337</v>
      </c>
      <c r="F104" s="3">
        <v>2.64148441307765</v>
      </c>
      <c r="G104" s="3">
        <v>3.1965103585154302</v>
      </c>
      <c r="H104" s="3">
        <v>4.4384675155815101</v>
      </c>
      <c r="I104" s="3">
        <v>0.962519191385244</v>
      </c>
      <c r="J104" s="3">
        <v>1.7407625855084501</v>
      </c>
      <c r="K104" s="3">
        <v>3.4973700253473798</v>
      </c>
      <c r="L104" s="3">
        <v>3.79304012738644</v>
      </c>
      <c r="M104" s="3">
        <v>3.7126333199120398</v>
      </c>
      <c r="N104" s="3">
        <v>5.6446969685769499</v>
      </c>
    </row>
    <row r="105" spans="1:14" x14ac:dyDescent="0.35">
      <c r="A105" s="2">
        <v>44838</v>
      </c>
      <c r="B105" s="3">
        <v>3.41081862285077</v>
      </c>
      <c r="C105" s="3">
        <v>5.0310982971114804</v>
      </c>
      <c r="D105" s="3">
        <v>3.4613445308720099</v>
      </c>
      <c r="E105" s="3">
        <v>4.2806059344270402</v>
      </c>
      <c r="F105" s="3">
        <v>2.7049862597560601</v>
      </c>
      <c r="G105" s="3">
        <v>3.3228446187262799</v>
      </c>
      <c r="H105" s="3">
        <v>4.5285152673959104</v>
      </c>
      <c r="I105" s="3">
        <v>1.01424016343692</v>
      </c>
      <c r="J105" s="3">
        <v>1.8087295803523999</v>
      </c>
      <c r="K105" s="3">
        <v>3.5928058702526902</v>
      </c>
      <c r="L105" s="3">
        <v>2.91948559780481</v>
      </c>
      <c r="M105" s="3">
        <v>3.6264155553332098</v>
      </c>
      <c r="N105" s="3">
        <v>5.9182761072336501</v>
      </c>
    </row>
    <row r="106" spans="1:14" x14ac:dyDescent="0.35">
      <c r="A106" s="2">
        <v>44869</v>
      </c>
      <c r="B106" s="3">
        <v>3.40173226780716</v>
      </c>
      <c r="C106" s="3">
        <v>4.9267094317270601</v>
      </c>
      <c r="D106" s="3">
        <v>3.46403487133021</v>
      </c>
      <c r="E106" s="3">
        <v>4.06174750648161</v>
      </c>
      <c r="F106" s="3">
        <v>2.6945901359837299</v>
      </c>
      <c r="G106" s="3">
        <v>3.2886204579789098</v>
      </c>
      <c r="H106" s="3">
        <v>4.4438586698168701</v>
      </c>
      <c r="I106" s="3">
        <v>1.0907144875189001</v>
      </c>
      <c r="J106" s="3">
        <v>1.8332845841849299</v>
      </c>
      <c r="K106" s="3">
        <v>3.4227645376661502</v>
      </c>
      <c r="L106" s="3">
        <v>2.9488402237690599</v>
      </c>
      <c r="M106" s="3">
        <v>3.7190774032631699</v>
      </c>
      <c r="N106" s="3">
        <v>5.5466455385619202</v>
      </c>
    </row>
    <row r="107" spans="1:14" x14ac:dyDescent="0.35">
      <c r="A107" s="2">
        <v>44897</v>
      </c>
      <c r="B107" s="3">
        <v>3.3856709197202801</v>
      </c>
      <c r="C107" s="3">
        <v>4.4336585553645804</v>
      </c>
      <c r="D107" s="3">
        <v>3.2817011342395501</v>
      </c>
      <c r="E107" s="3">
        <v>3.7098850693713601</v>
      </c>
      <c r="F107" s="3">
        <v>2.64007884930232</v>
      </c>
      <c r="G107" s="3">
        <v>3.0846754008923898</v>
      </c>
      <c r="H107" s="3">
        <v>4.2121674823373603</v>
      </c>
      <c r="I107" s="3">
        <v>0.98703769284804899</v>
      </c>
      <c r="J107" s="3">
        <v>1.69919760724794</v>
      </c>
      <c r="K107" s="3">
        <v>3.2603258108665201</v>
      </c>
      <c r="L107" s="3">
        <v>2.6342428956904902</v>
      </c>
      <c r="M107" s="3">
        <v>3.5593135803742801</v>
      </c>
      <c r="N107" s="3">
        <v>5.6775556387591504</v>
      </c>
    </row>
    <row r="108" spans="1:14" x14ac:dyDescent="0.35">
      <c r="A108" s="2">
        <v>44930</v>
      </c>
      <c r="B108" s="3">
        <v>3.4324412808642299</v>
      </c>
      <c r="C108" s="3">
        <v>4.5997796822579602</v>
      </c>
      <c r="D108" s="3">
        <v>3.43467322805486</v>
      </c>
      <c r="E108" s="3">
        <v>3.6763884610911401</v>
      </c>
      <c r="F108" s="3">
        <v>2.7941179269229899</v>
      </c>
      <c r="G108" s="3">
        <v>3.1109595762854698</v>
      </c>
      <c r="H108" s="3">
        <v>4.2284205718015597</v>
      </c>
      <c r="I108" s="3">
        <v>1.04194380046685</v>
      </c>
      <c r="J108" s="3">
        <v>1.80505656755424</v>
      </c>
      <c r="K108" s="3">
        <v>3.2468052809521302</v>
      </c>
      <c r="L108" s="3">
        <v>2.68045351424372</v>
      </c>
      <c r="M108" s="3">
        <v>3.6472275225294499</v>
      </c>
      <c r="N108" s="3">
        <v>5.6651830242386803</v>
      </c>
    </row>
    <row r="109" spans="1:14" x14ac:dyDescent="0.35">
      <c r="A109" s="2">
        <v>44960</v>
      </c>
      <c r="B109" s="3">
        <v>3.2761515492568498</v>
      </c>
      <c r="C109" s="3">
        <v>4.2493445040074604</v>
      </c>
      <c r="D109" s="3">
        <v>3.2536756515630398</v>
      </c>
      <c r="E109" s="3">
        <v>3.42585563222999</v>
      </c>
      <c r="F109" s="3">
        <v>2.6331921878522202</v>
      </c>
      <c r="G109" s="3">
        <v>3.0273949318444102</v>
      </c>
      <c r="H109" s="3">
        <v>4.0946523137157298</v>
      </c>
      <c r="I109" s="3">
        <v>0.91467169867355502</v>
      </c>
      <c r="J109" s="3">
        <v>1.69153170106217</v>
      </c>
      <c r="K109" s="3">
        <v>3.05813258530929</v>
      </c>
      <c r="L109" s="3">
        <v>2.50476080702443</v>
      </c>
      <c r="M109" s="3">
        <v>3.4277718142556699</v>
      </c>
      <c r="N109" s="3">
        <v>5.4338696736761802</v>
      </c>
    </row>
    <row r="110" spans="1:14" x14ac:dyDescent="0.35">
      <c r="A110" s="2">
        <v>44988</v>
      </c>
      <c r="B110" s="3">
        <v>3.38884001554701</v>
      </c>
      <c r="C110" s="3">
        <v>4.4570027669012102</v>
      </c>
      <c r="D110" s="3">
        <v>3.2869995218633901</v>
      </c>
      <c r="E110" s="3">
        <v>3.4825021363935198</v>
      </c>
      <c r="F110" s="3">
        <v>2.5773960298370899</v>
      </c>
      <c r="G110" s="3">
        <v>3.1339740688302502</v>
      </c>
      <c r="H110" s="3">
        <v>4.1258415674168498</v>
      </c>
      <c r="I110" s="3">
        <v>0.94246103972681805</v>
      </c>
      <c r="J110" s="3">
        <v>1.7363792813052501</v>
      </c>
      <c r="K110" s="3">
        <v>3.1361680972822499</v>
      </c>
      <c r="L110" s="3">
        <v>2.62721850533603</v>
      </c>
      <c r="M110" s="3">
        <v>3.4974282075294698</v>
      </c>
      <c r="N110" s="3">
        <v>5.2194612572616901</v>
      </c>
    </row>
    <row r="111" spans="1:14" x14ac:dyDescent="0.35">
      <c r="A111" s="2">
        <v>45020</v>
      </c>
      <c r="B111" s="3">
        <v>3.3921402452871798</v>
      </c>
      <c r="C111" s="3">
        <v>4.4811363499133403</v>
      </c>
      <c r="D111" s="3">
        <v>3.3050867897691898</v>
      </c>
      <c r="E111" s="3">
        <v>3.5366289750311601</v>
      </c>
      <c r="F111" s="3">
        <v>2.5997998117191998</v>
      </c>
      <c r="G111" s="3">
        <v>3.1703658260629202</v>
      </c>
      <c r="H111" s="3">
        <v>4.2026996783982398</v>
      </c>
      <c r="I111" s="3">
        <v>0.88925204306321204</v>
      </c>
      <c r="J111" s="3">
        <v>1.7203647719147099</v>
      </c>
      <c r="K111" s="3">
        <v>3.1675205911258799</v>
      </c>
      <c r="L111" s="3">
        <v>2.6528040119315199</v>
      </c>
      <c r="M111" s="3">
        <v>3.6415466584335698</v>
      </c>
      <c r="N111" s="3">
        <v>5.4561500407907797</v>
      </c>
    </row>
    <row r="112" spans="1:14" x14ac:dyDescent="0.35">
      <c r="A112" s="2">
        <v>45050</v>
      </c>
      <c r="B112" s="3">
        <v>3.40414705841494</v>
      </c>
      <c r="C112" s="3">
        <v>4.4768385587083497</v>
      </c>
      <c r="D112" s="3">
        <v>3.3014586218392701</v>
      </c>
      <c r="E112" s="3">
        <v>3.57287175517332</v>
      </c>
      <c r="F112" s="3">
        <v>2.5359325129244699</v>
      </c>
      <c r="G112" s="3">
        <v>3.0655609582525698</v>
      </c>
      <c r="H112" s="3">
        <v>4.2483860169452798</v>
      </c>
      <c r="I112" s="3">
        <v>0.88207154929947895</v>
      </c>
      <c r="J112" s="3">
        <v>1.73832392291671</v>
      </c>
      <c r="K112" s="3">
        <v>3.1979636577310901</v>
      </c>
      <c r="L112" s="3">
        <v>2.7262835534165899</v>
      </c>
      <c r="M112" s="3">
        <v>3.7111604829611502</v>
      </c>
      <c r="N112" s="3">
        <v>5.5152293213307004</v>
      </c>
    </row>
    <row r="113" spans="1:25" x14ac:dyDescent="0.35">
      <c r="A113" s="2">
        <v>45079</v>
      </c>
      <c r="B113" s="3">
        <v>3.41498057686381</v>
      </c>
      <c r="C113" s="3">
        <v>4.4791514095311404</v>
      </c>
      <c r="D113" s="3">
        <v>3.31108210263712</v>
      </c>
      <c r="E113" s="3">
        <v>3.618187211125</v>
      </c>
      <c r="F113" s="3">
        <v>2.42131978097059</v>
      </c>
      <c r="G113" s="3">
        <v>3.12627979885354</v>
      </c>
      <c r="H113" s="3">
        <v>4.3529412669634304</v>
      </c>
      <c r="I113" s="3">
        <v>0.79160704344900201</v>
      </c>
      <c r="J113" s="3">
        <v>1.6560809438312101</v>
      </c>
      <c r="K113" s="3">
        <v>3.2604129702845901</v>
      </c>
      <c r="L113" s="3">
        <v>2.68778023644371</v>
      </c>
      <c r="M113" s="3">
        <v>3.7123831910177998</v>
      </c>
      <c r="N113" s="3">
        <v>5.43936078668085</v>
      </c>
    </row>
    <row r="114" spans="1:25" x14ac:dyDescent="0.35">
      <c r="A114" s="2">
        <v>45110</v>
      </c>
      <c r="B114" s="3">
        <v>3.4117985593628699</v>
      </c>
      <c r="C114" s="3">
        <v>4.2792914252348302</v>
      </c>
      <c r="D114" s="3">
        <v>3.2469932279143099</v>
      </c>
      <c r="E114" s="3">
        <v>3.6405617429898398</v>
      </c>
      <c r="F114" s="3">
        <v>2.3000287082022299</v>
      </c>
      <c r="G114" s="3">
        <v>3.1855511409335699</v>
      </c>
      <c r="H114" s="3">
        <v>4.38194774822776</v>
      </c>
      <c r="I114" s="3">
        <v>0.76138757299413695</v>
      </c>
      <c r="J114" s="3">
        <v>1.5950735173711901</v>
      </c>
      <c r="K114" s="3">
        <v>3.2409978295240802</v>
      </c>
      <c r="L114" s="3">
        <v>2.6843837012634402</v>
      </c>
      <c r="M114" s="3">
        <v>3.7282645262010901</v>
      </c>
      <c r="N114" s="3">
        <v>5.2626367402740497</v>
      </c>
    </row>
    <row r="115" spans="1:25" x14ac:dyDescent="0.35">
      <c r="A115" s="2">
        <v>45142</v>
      </c>
      <c r="B115" s="3">
        <v>3.4436464331165602</v>
      </c>
      <c r="C115" s="3">
        <v>4.1646608715307796</v>
      </c>
      <c r="D115" s="3">
        <v>3.4456465088263699</v>
      </c>
      <c r="E115" s="3">
        <v>3.7029481607211898</v>
      </c>
      <c r="F115" s="3">
        <v>2.38120643485238</v>
      </c>
      <c r="G115" s="3">
        <v>3.2027226644568998</v>
      </c>
      <c r="H115" s="3">
        <v>4.3868625526995197</v>
      </c>
      <c r="I115" s="3">
        <v>0.88268287994045003</v>
      </c>
      <c r="J115" s="3">
        <v>1.59905272211324</v>
      </c>
      <c r="K115" s="3">
        <v>3.3076032469677501</v>
      </c>
      <c r="L115" s="3">
        <v>2.72316917583791</v>
      </c>
      <c r="M115" s="3">
        <v>3.8619696130851802</v>
      </c>
      <c r="N115" s="3">
        <v>5.4608374885718298</v>
      </c>
    </row>
    <row r="116" spans="1:25" x14ac:dyDescent="0.35">
      <c r="A116" s="2">
        <v>45170</v>
      </c>
      <c r="B116" s="3">
        <v>3.3057300783437702</v>
      </c>
      <c r="C116" s="3">
        <v>4.1546426282075704</v>
      </c>
      <c r="D116" s="3">
        <v>3.4466919749037901</v>
      </c>
      <c r="E116" s="3">
        <v>3.7174742276483501</v>
      </c>
      <c r="F116" s="3">
        <v>2.3355259292245498</v>
      </c>
      <c r="G116" s="3">
        <v>3.24519618034505</v>
      </c>
      <c r="H116" s="3">
        <v>4.4743179863087299</v>
      </c>
      <c r="I116" s="3">
        <v>0.87404495416283301</v>
      </c>
      <c r="J116" s="3">
        <v>1.59248821145404</v>
      </c>
      <c r="K116" s="3">
        <v>3.3246122010785601</v>
      </c>
      <c r="L116" s="3">
        <v>2.8812866531433099</v>
      </c>
      <c r="M116" s="3">
        <v>3.9544965355283099</v>
      </c>
      <c r="N116" s="3">
        <v>5.3873841436868402</v>
      </c>
    </row>
    <row r="117" spans="1:25" x14ac:dyDescent="0.35">
      <c r="A117" s="2">
        <v>45203</v>
      </c>
      <c r="B117" s="3">
        <v>3.4460462425750702</v>
      </c>
      <c r="C117" s="3">
        <v>4.4465436030633896</v>
      </c>
      <c r="D117" s="3">
        <v>3.7406081436546499</v>
      </c>
      <c r="E117" s="3">
        <v>3.9336181352167001</v>
      </c>
      <c r="F117" s="3">
        <v>2.4999367812823898</v>
      </c>
      <c r="G117" s="3">
        <v>3.4195311978305001</v>
      </c>
      <c r="H117" s="3">
        <v>4.6059392141522304</v>
      </c>
      <c r="I117" s="3">
        <v>0.94256807547140298</v>
      </c>
      <c r="J117" s="3">
        <v>1.70035947326065</v>
      </c>
      <c r="K117" s="3">
        <v>3.4915238470057801</v>
      </c>
      <c r="L117" s="3">
        <v>3.0568815734352799</v>
      </c>
      <c r="M117" s="3">
        <v>4.1029925090972696</v>
      </c>
      <c r="N117" s="3">
        <v>5.7007460943189399</v>
      </c>
    </row>
    <row r="118" spans="1:25" x14ac:dyDescent="0.35">
      <c r="A118" s="2">
        <v>45233</v>
      </c>
      <c r="B118" s="3">
        <v>3.4712841481807502</v>
      </c>
      <c r="C118" s="3">
        <v>4.3654809027651096</v>
      </c>
      <c r="D118" s="3">
        <v>3.61425551147236</v>
      </c>
      <c r="E118" s="3">
        <v>3.9302320250845799</v>
      </c>
      <c r="F118" s="3">
        <v>2.4076347767203501</v>
      </c>
      <c r="G118" s="3">
        <v>3.4625795957695198</v>
      </c>
      <c r="H118" s="3">
        <v>4.5637104277410296</v>
      </c>
      <c r="I118" s="3">
        <v>0.92832005586592004</v>
      </c>
      <c r="J118" s="3">
        <v>1.66926217162396</v>
      </c>
      <c r="K118" s="3">
        <v>3.4541575001755001</v>
      </c>
      <c r="L118" s="3">
        <v>2.9724928462136102</v>
      </c>
      <c r="M118" s="3">
        <v>3.8562615146888599</v>
      </c>
      <c r="N118" s="3">
        <v>5.5752846282580304</v>
      </c>
    </row>
    <row r="119" spans="1:25" x14ac:dyDescent="0.35">
      <c r="A119" s="2">
        <v>45264</v>
      </c>
      <c r="B119" s="3">
        <v>3.1334922034391299</v>
      </c>
      <c r="C119" s="3">
        <v>4.2623856080653404</v>
      </c>
      <c r="D119" s="3">
        <v>3.4470468459070398</v>
      </c>
      <c r="E119" s="3">
        <v>3.6083368671111602</v>
      </c>
      <c r="F119" s="3">
        <v>2.41367930190169</v>
      </c>
      <c r="G119" s="3">
        <v>3.35570980213868</v>
      </c>
      <c r="H119" s="3">
        <v>4.42303827012522</v>
      </c>
      <c r="I119" s="3">
        <v>0.89333643426943299</v>
      </c>
      <c r="J119" s="3">
        <v>1.59614951267697</v>
      </c>
      <c r="K119" s="3">
        <v>3.3267450405696599</v>
      </c>
      <c r="L119" s="3">
        <v>2.78745573827148</v>
      </c>
      <c r="M119" s="3">
        <v>3.1380418365287501</v>
      </c>
      <c r="N119" s="3">
        <v>5.4492500661688297</v>
      </c>
    </row>
    <row r="120" spans="1:25" x14ac:dyDescent="0.35">
      <c r="A120" s="2">
        <v>45295</v>
      </c>
      <c r="B120" s="3">
        <v>2.9872675440561101</v>
      </c>
      <c r="C120" s="3">
        <v>4.0540102095414996</v>
      </c>
      <c r="D120" s="3">
        <v>3.36761991574715</v>
      </c>
      <c r="E120" s="3">
        <v>3.5946681386848698</v>
      </c>
      <c r="F120" s="3">
        <v>2.4217736015217701</v>
      </c>
      <c r="G120" s="3">
        <v>3.2703207718709701</v>
      </c>
      <c r="H120" s="3">
        <v>4.2681527582985499</v>
      </c>
      <c r="I120" s="3">
        <v>0.95069016051516397</v>
      </c>
      <c r="J120" s="3">
        <v>1.5714093305094801</v>
      </c>
      <c r="K120" s="3">
        <v>3.2682167380110001</v>
      </c>
      <c r="L120" s="3">
        <v>2.7330378591201301</v>
      </c>
      <c r="M120" s="3">
        <v>2.9819789107831101</v>
      </c>
      <c r="N120" s="3">
        <v>5.4546459887771901</v>
      </c>
    </row>
    <row r="121" spans="1:25" x14ac:dyDescent="0.35">
      <c r="A121" s="2">
        <v>45324</v>
      </c>
      <c r="B121" s="3">
        <v>2.9801678058251402</v>
      </c>
      <c r="C121" s="3">
        <v>3.9590217454451002</v>
      </c>
      <c r="D121" s="3">
        <v>3.3257935057736501</v>
      </c>
      <c r="E121" s="3">
        <v>3.5332540779234498</v>
      </c>
      <c r="F121" s="3">
        <v>2.2780490696722002</v>
      </c>
      <c r="G121" s="3">
        <v>3.3120104350974402</v>
      </c>
      <c r="H121" s="3">
        <v>4.29795264424164</v>
      </c>
      <c r="I121" s="3">
        <v>0.87594575709865097</v>
      </c>
      <c r="J121" s="3">
        <v>1.4928715530922601</v>
      </c>
      <c r="K121" s="3">
        <v>3.20794258474006</v>
      </c>
      <c r="L121" s="3">
        <v>2.5514004803216599</v>
      </c>
      <c r="M121" s="3">
        <v>3.3140954838562999</v>
      </c>
      <c r="N121" s="3">
        <v>5.3782130191392401</v>
      </c>
    </row>
    <row r="122" spans="1:25" x14ac:dyDescent="0.35">
      <c r="A122" s="2">
        <v>45350</v>
      </c>
      <c r="B122" s="3">
        <v>2.7282408260597499</v>
      </c>
      <c r="C122" s="3">
        <v>3.99904361092918</v>
      </c>
      <c r="D122" s="3">
        <v>3.2555869773717898</v>
      </c>
      <c r="E122" s="3">
        <v>3.2735636222126301</v>
      </c>
      <c r="F122" s="3">
        <v>2.0526383755287099</v>
      </c>
      <c r="G122" s="3">
        <v>3.1441590430338602</v>
      </c>
      <c r="H122" s="3">
        <v>4.0843042691293503</v>
      </c>
      <c r="I122" s="3">
        <v>0.86122362057608504</v>
      </c>
      <c r="J122" s="3">
        <v>1.3845303156400901</v>
      </c>
      <c r="K122" s="3">
        <v>2.9556117525030299</v>
      </c>
      <c r="L122" s="3">
        <v>2.4548069260638301</v>
      </c>
      <c r="M122" s="3">
        <v>3.25106600410122</v>
      </c>
      <c r="N122" s="3">
        <v>4.9558559770583299</v>
      </c>
    </row>
    <row r="125" spans="1:25" x14ac:dyDescent="0.35">
      <c r="A125" s="2" t="s">
        <v>95</v>
      </c>
      <c r="B125" s="3" cm="1">
        <f t="array" ref="B125">MIN(_xlfn._xlws.FILTER(B1:B122, ISNUMBER(B1:B122)))</f>
        <v>2.3637468546866098</v>
      </c>
      <c r="C125" s="3" cm="1">
        <f t="array" ref="C125">MIN(_xlfn._xlws.FILTER(C1:C122, ISNUMBER(C1:C122)))</f>
        <v>3.3462846918442901</v>
      </c>
      <c r="D125" s="3" cm="1">
        <f t="array" ref="D125">MIN(_xlfn._xlws.FILTER(D1:D122, ISNUMBER(D1:D122)))</f>
        <v>2.5945381468635</v>
      </c>
      <c r="E125" s="3" cm="1">
        <f t="array" ref="E125">MIN(_xlfn._xlws.FILTER(E1:E122, ISNUMBER(E1:E122)))</f>
        <v>2.6897686403498202</v>
      </c>
      <c r="F125" s="3" cm="1">
        <f t="array" ref="F125">MIN(_xlfn._xlws.FILTER(F1:F122, ISNUMBER(F1:F122)))</f>
        <v>1.8470796544233501</v>
      </c>
      <c r="G125" s="3" cm="1">
        <f t="array" ref="G125">MIN(_xlfn._xlws.FILTER(G1:G122, ISNUMBER(G1:G122)))</f>
        <v>2.5280489055520898</v>
      </c>
      <c r="H125" s="3" cm="1">
        <f t="array" ref="H125">MIN(_xlfn._xlws.FILTER(H1:H122, ISNUMBER(H1:H122)))</f>
        <v>3.8006162773929701</v>
      </c>
      <c r="I125" s="3" cm="1">
        <f t="array" ref="I125">MIN(_xlfn._xlws.FILTER(I1:I122, ISNUMBER(I1:I122)))</f>
        <v>0.65829900365007399</v>
      </c>
      <c r="J125" s="3" cm="1">
        <f t="array" ref="J125">MIN(_xlfn._xlws.FILTER(J1:J122, ISNUMBER(J1:J122)))</f>
        <v>1.34876972215271</v>
      </c>
      <c r="K125" s="3" cm="1">
        <f t="array" ref="K125">MIN(_xlfn._xlws.FILTER(K1:K122, ISNUMBER(K1:K122)))</f>
        <v>2.6710376994432599</v>
      </c>
      <c r="L125" s="3" cm="1">
        <f t="array" ref="L125">MIN(_xlfn._xlws.FILTER(L1:L122, ISNUMBER(L1:L122)))</f>
        <v>1.8382556948222799</v>
      </c>
      <c r="M125" s="3" cm="1">
        <f t="array" ref="M125">MIN(_xlfn._xlws.FILTER(M1:M122, ISNUMBER(M1:M122)))</f>
        <v>2.6761497734937598</v>
      </c>
      <c r="N125" s="3" cm="1">
        <f t="array" ref="N125">MIN(_xlfn._xlws.FILTER(N1:N122, ISNUMBER(N1:N122)))</f>
        <v>3.1316035807262699</v>
      </c>
    </row>
    <row r="126" spans="1:25" x14ac:dyDescent="0.35">
      <c r="A126" s="2" t="s">
        <v>96</v>
      </c>
      <c r="B126" s="3" cm="1">
        <f t="array" ref="B126">MAX(_xlfn._xlws.FILTER(B1:B122, ISNUMBER(B1:B122)))</f>
        <v>5.2983767660273404</v>
      </c>
      <c r="C126" s="3" cm="1">
        <f t="array" ref="C126">MAX(_xlfn._xlws.FILTER(C1:C122, ISNUMBER(C1:C122)))</f>
        <v>5.51200695998104</v>
      </c>
      <c r="D126" s="3" cm="1">
        <f t="array" ref="D126">MAX(_xlfn._xlws.FILTER(D1:D122, ISNUMBER(D1:D122)))</f>
        <v>4.4274093326505</v>
      </c>
      <c r="E126" s="3" cm="1">
        <f t="array" ref="E126">MAX(_xlfn._xlws.FILTER(E1:E122, ISNUMBER(E1:E122)))</f>
        <v>4.2806059344270402</v>
      </c>
      <c r="F126" s="3" cm="1">
        <f t="array" ref="F126">MAX(_xlfn._xlws.FILTER(F1:F122, ISNUMBER(F1:F122)))</f>
        <v>3.1421569354446599</v>
      </c>
      <c r="G126" s="3" cm="1">
        <f t="array" ref="G126">MAX(_xlfn._xlws.FILTER(G1:G122, ISNUMBER(G1:G122)))</f>
        <v>3.71827232610039</v>
      </c>
      <c r="H126" s="3" cm="1">
        <f t="array" ref="H126">MAX(_xlfn._xlws.FILTER(H1:H122, ISNUMBER(H1:H122)))</f>
        <v>6.3800701856375897</v>
      </c>
      <c r="I126" s="3" cm="1">
        <f t="array" ref="I126">MAX(_xlfn._xlws.FILTER(I1:I122, ISNUMBER(I1:I122)))</f>
        <v>1.42203366990281</v>
      </c>
      <c r="J126" s="3" cm="1">
        <f t="array" ref="J126">MAX(_xlfn._xlws.FILTER(J1:J122, ISNUMBER(J1:J122)))</f>
        <v>2.5174298324267199</v>
      </c>
      <c r="K126" s="3" cm="1">
        <f t="array" ref="K126">MAX(_xlfn._xlws.FILTER(K1:K122, ISNUMBER(K1:K122)))</f>
        <v>4.4884395162109696</v>
      </c>
      <c r="L126" s="3" cm="1">
        <f t="array" ref="L126">MAX(_xlfn._xlws.FILTER(L1:L122, ISNUMBER(L1:L122)))</f>
        <v>3.79304012738644</v>
      </c>
      <c r="M126" s="3" cm="1">
        <f t="array" ref="M126">MAX(_xlfn._xlws.FILTER(M1:M122, ISNUMBER(M1:M122)))</f>
        <v>4.6446982944077604</v>
      </c>
      <c r="N126" s="3" cm="1">
        <f t="array" ref="N126">MAX(_xlfn._xlws.FILTER(N1:N122, ISNUMBER(N1:N122)))</f>
        <v>6.36779775197604</v>
      </c>
    </row>
    <row r="128" spans="1:25" x14ac:dyDescent="0.35">
      <c r="A128" s="2" t="s">
        <v>97</v>
      </c>
      <c r="B128" s="9" cm="1">
        <f t="array" ref="B128">_xlfn.PERCENTRANK.EXC(_xlfn._xlws.FILTER(B1:B122, ISNUMBER(B1:B122)),B122)</f>
        <v>0.16300000000000001</v>
      </c>
      <c r="C128" s="9" cm="1">
        <f t="array" ref="C128">_xlfn.PERCENTRANK.EXC(_xlfn._xlws.FILTER(C1:C122, ISNUMBER(C1:C122)),C122)</f>
        <v>0.13900000000000001</v>
      </c>
      <c r="D128" s="9" cm="1">
        <f t="array" ref="D128">_xlfn.PERCENTRANK.EXC(_xlfn._xlws.FILTER(D1:D122, ISNUMBER(D1:D122)),D122)</f>
        <v>0.622</v>
      </c>
      <c r="E128" s="9" cm="1">
        <f t="array" ref="E128">_xlfn.PERCENTRANK.EXC(_xlfn._xlws.FILTER(E1:E122, ISNUMBER(E1:E122)),E122)</f>
        <v>0.54</v>
      </c>
      <c r="F128" s="9" cm="1">
        <f t="array" ref="F128">_xlfn.PERCENTRANK.EXC(_xlfn._xlws.FILTER(F1:F122, ISNUMBER(F1:F122)),F122)</f>
        <v>0.13100000000000001</v>
      </c>
      <c r="G128" s="9" cm="1">
        <f t="array" ref="G128">_xlfn.PERCENTRANK.EXC(_xlfn._xlws.FILTER(G1:G122, ISNUMBER(G1:G122)),G122)</f>
        <v>0.33600000000000002</v>
      </c>
      <c r="H128" s="9" cm="1">
        <f t="array" ref="H128">_xlfn.PERCENTRANK.EXC(_xlfn._xlws.FILTER(H1:H122, ISNUMBER(H1:H122)),H122)</f>
        <v>0.254</v>
      </c>
      <c r="I128" s="9" cm="1">
        <f t="array" ref="I128">_xlfn.PERCENTRANK.EXC(_xlfn._xlws.FILTER(I1:I122, ISNUMBER(I1:I122)),I122)</f>
        <v>0.20399999999999999</v>
      </c>
      <c r="J128" s="9" cm="1">
        <f t="array" ref="J128">_xlfn.PERCENTRANK.EXC(_xlfn._xlws.FILTER(J1:J122, ISNUMBER(J1:J122)),J122)</f>
        <v>2.4E-2</v>
      </c>
      <c r="K128" s="9" cm="1">
        <f t="array" ref="K128">_xlfn.PERCENTRANK.EXC(_xlfn._xlws.FILTER(K1:K122, ISNUMBER(K1:K122)),K122)</f>
        <v>0.13100000000000001</v>
      </c>
      <c r="L128" s="9" cm="1">
        <f t="array" ref="L128">_xlfn.PERCENTRANK.EXC(_xlfn._xlws.FILTER(L1:L122, ISNUMBER(L1:L122)),L122)</f>
        <v>0.19600000000000001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0.70399999999999996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6328125" bestFit="1" customWidth="1"/>
  </cols>
  <sheetData>
    <row r="1" spans="1:26" x14ac:dyDescent="0.35">
      <c r="B1" s="3" t="s">
        <v>435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26" x14ac:dyDescent="0.35">
      <c r="A2" s="2" cm="1">
        <f t="array" ref="A2:A122">_xll.FDS(B1,"JULIAN(FG_TOTAL_RETURNC(-10AY,0,AM).dates)")</f>
        <v>41702</v>
      </c>
      <c r="B2" s="33" cm="1">
        <f t="array" ref="B2:B122">_xll.FDS(B1,"FG_TOTAL_RETURNC(-10AY,0,AM)")/100</f>
        <v>7.5039505999999992E-2</v>
      </c>
      <c r="C2" s="33" cm="1">
        <f t="array" ref="C2:C122">_xll.FDS(C1,"FG_TOTAL_RETURNC(-10AY,0,AM)")/100</f>
        <v>8.0895060000000005E-2</v>
      </c>
      <c r="D2" s="33" cm="1">
        <f t="array" ref="D2:D122">_xll.FDS(D1,"FG_TOTAL_RETURNC(-10AY,0,AM)")/100</f>
        <v>5.7142853999999993E-2</v>
      </c>
      <c r="E2" s="33" cm="1">
        <f t="array" ref="E2:E122">_xll.FDS(E1,"FG_TOTAL_RETURNC(-10AY,0,AM)")/100</f>
        <v>6.0636879999999997E-2</v>
      </c>
      <c r="F2" s="33" cm="1">
        <f t="array" ref="F2:F122">_xll.FDS(F1,"FG_TOTAL_RETURNC(-10AY,0,AM)")/100</f>
        <v>4.6804667000000001E-2</v>
      </c>
      <c r="G2" s="33" cm="1">
        <f t="array" ref="G2:G122">_xll.FDS(G1,"FG_TOTAL_RETURNC(-10AY,0,AM)")/100</f>
        <v>6.7881822999999994E-2</v>
      </c>
      <c r="H2" s="33" cm="1">
        <f t="array" ref="H2:H122">_xll.FDS(H1,"FG_TOTAL_RETURNC(-10AY,0,AM)")/100</f>
        <v>7.6766609999999999E-2</v>
      </c>
      <c r="I2" s="33" cm="1">
        <f t="array" ref="I2:I122">_xll.FDS(I1,"FG_TOTAL_RETURNC(-10AY,0,AM)")/100</f>
        <v>7.3897599999999994E-2</v>
      </c>
      <c r="J2" s="33" cm="1">
        <f t="array" ref="J2:J122">_xll.FDS(J1,"FG_TOTAL_RETURNC(-10AY,0,AM)")/100</f>
        <v>6.953274999999999E-2</v>
      </c>
      <c r="K2" s="33" cm="1">
        <f t="array" ref="K2:K122">_xll.FDS(K1,"FG_TOTAL_RETURNC(-10AY,0,AM)")/100</f>
        <v>8.068728E-2</v>
      </c>
      <c r="L2" s="33" cm="1">
        <f t="array" ref="L2:L122">_xll.FDS(L1,"FG_TOTAL_RETURNC(-10AY,0,AM)")/100</f>
        <v>5.9455036999999995E-2</v>
      </c>
      <c r="M2" s="33" cm="1">
        <f t="array" ref="M2:M122">_xll.FDS(M1,"FG_TOTAL_RETURNC(-10AY,0,AM)")/100</f>
        <v>7.1005940000000003E-2</v>
      </c>
      <c r="N2" s="33" cm="1">
        <f t="array" ref="N2:N122">_xll.FDS(N1,"FG_TOTAL_RETURNC(-10AY,0,AM)")/100</f>
        <v>8.3605399999999996E-2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35">
      <c r="A3" s="2">
        <v>41733</v>
      </c>
      <c r="B3" s="33">
        <v>3.2574057999999996E-2</v>
      </c>
      <c r="C3" s="33">
        <v>3.0652761000000001E-2</v>
      </c>
      <c r="D3" s="33">
        <v>2.0869017E-2</v>
      </c>
      <c r="E3" s="33">
        <v>9.5820429999999993E-4</v>
      </c>
      <c r="F3" s="33">
        <v>-2.4075627000000002E-2</v>
      </c>
      <c r="G3" s="33">
        <v>4.7086476999999996E-3</v>
      </c>
      <c r="H3" s="33">
        <v>-2.8328657E-2</v>
      </c>
      <c r="I3" s="33">
        <v>-4.6691179999999999E-2</v>
      </c>
      <c r="J3" s="33">
        <v>-1.8899441E-3</v>
      </c>
      <c r="K3" s="33">
        <v>1.6591787E-2</v>
      </c>
      <c r="L3" s="33">
        <v>1.3639927000000001E-2</v>
      </c>
      <c r="M3" s="33">
        <v>-2.7632713000000001E-4</v>
      </c>
      <c r="N3" s="33">
        <v>7.3538183999999993E-2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35">
      <c r="A4" s="2">
        <v>41761</v>
      </c>
      <c r="B4" s="33">
        <v>3.7950634999999996E-2</v>
      </c>
      <c r="C4" s="33">
        <v>1.4677525E-2</v>
      </c>
      <c r="D4" s="33">
        <v>2.6474476E-2</v>
      </c>
      <c r="E4" s="33">
        <v>3.8288832E-3</v>
      </c>
      <c r="F4" s="33">
        <v>-1.3215900000000001E-2</v>
      </c>
      <c r="G4" s="33">
        <v>2.4604560000000001E-2</v>
      </c>
      <c r="H4" s="33">
        <v>4.9562692999999998E-2</v>
      </c>
      <c r="I4" s="33">
        <v>1.2967467E-2</v>
      </c>
      <c r="J4" s="33">
        <v>8.9056489999999999E-3</v>
      </c>
      <c r="K4" s="33">
        <v>1.8361092000000002E-2</v>
      </c>
      <c r="L4" s="33">
        <v>-1.7301082999999998E-2</v>
      </c>
      <c r="M4" s="33">
        <v>1.6026616E-2</v>
      </c>
      <c r="N4" s="33">
        <v>8.4222554999999998E-3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35">
      <c r="A5" s="2">
        <v>41794</v>
      </c>
      <c r="B5" s="33">
        <v>-4.7989009999999999E-2</v>
      </c>
      <c r="C5" s="33">
        <v>-7.6133009999999998E-4</v>
      </c>
      <c r="D5" s="33">
        <v>4.5707226000000004E-3</v>
      </c>
      <c r="E5" s="33">
        <v>1.5893220999999999E-2</v>
      </c>
      <c r="F5" s="33">
        <v>5.1785707E-2</v>
      </c>
      <c r="G5" s="33">
        <v>3.4304856999999998E-3</v>
      </c>
      <c r="H5" s="33">
        <v>1.8517970999999999E-3</v>
      </c>
      <c r="I5" s="33">
        <v>4.6062350000000002E-2</v>
      </c>
      <c r="J5" s="33">
        <v>2.7278543000000002E-2</v>
      </c>
      <c r="K5" s="33">
        <v>1.6694069000000001E-3</v>
      </c>
      <c r="L5" s="33">
        <v>1.3302088E-2</v>
      </c>
      <c r="M5" s="33">
        <v>7.6148510000000006E-3</v>
      </c>
      <c r="N5" s="33">
        <v>-1.6703724999999999E-2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35">
      <c r="A6" s="2">
        <v>41823</v>
      </c>
      <c r="B6" s="33">
        <v>4.2865157000000001E-2</v>
      </c>
      <c r="C6" s="33">
        <v>2.6272654999999999E-2</v>
      </c>
      <c r="D6" s="33">
        <v>6.5368294999999993E-2</v>
      </c>
      <c r="E6" s="33">
        <v>1.1873722E-2</v>
      </c>
      <c r="F6" s="33">
        <v>4.1032552999999999E-2</v>
      </c>
      <c r="G6" s="33">
        <v>8.7007283999999997E-3</v>
      </c>
      <c r="H6" s="33">
        <v>3.2214642000000002E-2</v>
      </c>
      <c r="I6" s="33">
        <v>4.8480869999999995E-2</v>
      </c>
      <c r="J6" s="33">
        <v>3.0837416999999999E-2</v>
      </c>
      <c r="K6" s="33">
        <v>-1.1857748E-3</v>
      </c>
      <c r="L6" s="33">
        <v>1.8771528999999999E-2</v>
      </c>
      <c r="M6" s="33">
        <v>-1.7177104999999998E-2</v>
      </c>
      <c r="N6" s="33">
        <v>1.9749283999999999E-2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35">
      <c r="A7" s="2">
        <v>41855</v>
      </c>
      <c r="B7" s="33">
        <v>-5.1565885999999998E-2</v>
      </c>
      <c r="C7" s="33">
        <v>-3.7682055999999997E-4</v>
      </c>
      <c r="D7" s="33">
        <v>-1.5365720000000001E-2</v>
      </c>
      <c r="E7" s="33">
        <v>-9.2744464999999998E-2</v>
      </c>
      <c r="F7" s="33">
        <v>-1.3957322000000001E-2</v>
      </c>
      <c r="G7" s="33">
        <v>-5.5764256000000005E-2</v>
      </c>
      <c r="H7" s="33">
        <v>-4.3212770000000005E-2</v>
      </c>
      <c r="I7" s="33">
        <v>-3.9707421999999994E-3</v>
      </c>
      <c r="J7" s="33">
        <v>-2.1745681999999999E-2</v>
      </c>
      <c r="K7" s="33">
        <v>-6.9846687000000005E-2</v>
      </c>
      <c r="L7" s="33">
        <v>-7.8734040000000005E-2</v>
      </c>
      <c r="M7" s="33">
        <v>-3.9830506000000002E-2</v>
      </c>
      <c r="N7" s="33">
        <v>-7.4887395000000009E-2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35">
      <c r="A8" s="2">
        <v>41886</v>
      </c>
      <c r="B8" s="33">
        <v>4.7169923999999998E-3</v>
      </c>
      <c r="C8" s="33">
        <v>2.7139068000000002E-2</v>
      </c>
      <c r="D8" s="33">
        <v>2.3720264000000001E-2</v>
      </c>
      <c r="E8" s="33">
        <v>1.4951348E-2</v>
      </c>
      <c r="F8" s="33">
        <v>-9.9916459999999999E-3</v>
      </c>
      <c r="G8" s="33">
        <v>2.815175E-2</v>
      </c>
      <c r="H8" s="33">
        <v>1.4727116E-3</v>
      </c>
      <c r="I8" s="33">
        <v>4.2698264000000007E-2</v>
      </c>
      <c r="J8" s="33">
        <v>3.2596349999999996E-2</v>
      </c>
      <c r="K8" s="33">
        <v>1.8315076999999999E-2</v>
      </c>
      <c r="L8" s="33">
        <v>3.5609483999999997E-2</v>
      </c>
      <c r="M8" s="33">
        <v>-5.0015449999999996E-3</v>
      </c>
      <c r="N8" s="33">
        <v>-2.4346112999999998E-3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35">
      <c r="A9" s="2">
        <v>41915</v>
      </c>
      <c r="B9" s="33">
        <v>-5.3867044000000003E-2</v>
      </c>
      <c r="C9" s="33">
        <v>-0.11853211999999999</v>
      </c>
      <c r="D9" s="33">
        <v>-7.7134131999999994E-2</v>
      </c>
      <c r="E9" s="33">
        <v>-7.3997916999999996E-2</v>
      </c>
      <c r="F9" s="33">
        <v>-3.2800674000000002E-2</v>
      </c>
      <c r="G9" s="33">
        <v>-5.8035670000000004E-2</v>
      </c>
      <c r="H9" s="33">
        <v>-7.3529424999999995E-2</v>
      </c>
      <c r="I9" s="33">
        <v>-9.9256039999999993E-3</v>
      </c>
      <c r="J9" s="33">
        <v>-1.3837813999999999E-2</v>
      </c>
      <c r="K9" s="33">
        <v>-7.5899243000000005E-2</v>
      </c>
      <c r="L9" s="33">
        <v>-4.7330084000000001E-2</v>
      </c>
      <c r="M9" s="33">
        <v>-4.7900619999999998E-2</v>
      </c>
      <c r="N9" s="33">
        <v>-7.8706445999999999E-2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35">
      <c r="A10" s="2">
        <v>41947</v>
      </c>
      <c r="B10" s="33">
        <v>4.0480493999999999E-2</v>
      </c>
      <c r="C10" s="33">
        <v>4.371357E-2</v>
      </c>
      <c r="D10" s="33">
        <v>-4.0634273999999998E-2</v>
      </c>
      <c r="E10" s="33">
        <v>-5.5494310000000005E-3</v>
      </c>
      <c r="F10" s="33">
        <v>2.7826070000000001E-2</v>
      </c>
      <c r="G10" s="33">
        <v>1.1690378E-2</v>
      </c>
      <c r="H10" s="33">
        <v>-6.3491464000000001E-3</v>
      </c>
      <c r="I10" s="33">
        <v>3.2494663999999999E-2</v>
      </c>
      <c r="J10" s="33">
        <v>2.3152828E-2</v>
      </c>
      <c r="K10" s="33">
        <v>-2.3355424E-2</v>
      </c>
      <c r="L10" s="33">
        <v>8.4924700000000002E-4</v>
      </c>
      <c r="M10" s="33">
        <v>1.3354063000000001E-2</v>
      </c>
      <c r="N10" s="33">
        <v>-5.0993385000000002E-2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35">
      <c r="A11" s="2">
        <v>41977</v>
      </c>
      <c r="B11" s="33">
        <v>1.6014099E-2</v>
      </c>
      <c r="C11" s="33">
        <v>-6.1029077000000001E-2</v>
      </c>
      <c r="D11" s="33">
        <v>1.446271E-2</v>
      </c>
      <c r="E11" s="33">
        <v>6.0267925E-2</v>
      </c>
      <c r="F11" s="33">
        <v>-6.7681670000000003E-3</v>
      </c>
      <c r="G11" s="33">
        <v>3.2479763000000002E-2</v>
      </c>
      <c r="H11" s="33">
        <v>1.4376879E-2</v>
      </c>
      <c r="I11" s="33">
        <v>3.9561987E-2</v>
      </c>
      <c r="J11" s="33">
        <v>3.2774686999999997E-2</v>
      </c>
      <c r="K11" s="33">
        <v>3.7863730999999998E-2</v>
      </c>
      <c r="L11" s="33">
        <v>5.2609204999999999E-2</v>
      </c>
      <c r="M11" s="33">
        <v>1.7468572000000002E-2</v>
      </c>
      <c r="N11" s="33">
        <v>1.3258934E-2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5">
      <c r="A12" s="2">
        <v>42006</v>
      </c>
      <c r="B12" s="33">
        <v>6.5152644999999995E-3</v>
      </c>
      <c r="C12" s="33">
        <v>-3.0665814999999999E-2</v>
      </c>
      <c r="D12" s="33">
        <v>-1.2688816E-2</v>
      </c>
      <c r="E12" s="33">
        <v>-4.2806983E-2</v>
      </c>
      <c r="F12" s="33">
        <v>-3.5241662999999999E-2</v>
      </c>
      <c r="G12" s="33">
        <v>-4.6279488000000008E-2</v>
      </c>
      <c r="H12" s="33">
        <v>-4.3962479999999998E-2</v>
      </c>
      <c r="I12" s="33">
        <v>-1.9439161E-2</v>
      </c>
      <c r="J12" s="33">
        <v>-5.3023695999999997E-3</v>
      </c>
      <c r="K12" s="33">
        <v>-5.0007286000000005E-2</v>
      </c>
      <c r="L12" s="33">
        <v>-3.7427901999999999E-2</v>
      </c>
      <c r="M12" s="33">
        <v>-4.5451283000000002E-2</v>
      </c>
      <c r="N12" s="33">
        <v>-5.4770890000000003E-2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35">
      <c r="A13" s="2">
        <v>42039</v>
      </c>
      <c r="B13" s="33">
        <v>-4.7944188000000002E-3</v>
      </c>
      <c r="C13" s="33">
        <v>2.8506756000000001E-2</v>
      </c>
      <c r="D13" s="33">
        <v>-4.6706200000000003E-2</v>
      </c>
      <c r="E13" s="33">
        <v>5.3519009999999999E-2</v>
      </c>
      <c r="F13" s="33">
        <v>3.4635782000000004E-2</v>
      </c>
      <c r="G13" s="33">
        <v>2.9178619999999999E-2</v>
      </c>
      <c r="H13" s="33">
        <v>3.4714339999999996E-2</v>
      </c>
      <c r="I13" s="33">
        <v>-6.8002939999999999E-4</v>
      </c>
      <c r="J13" s="33">
        <v>-6.668925E-3</v>
      </c>
      <c r="K13" s="33">
        <v>3.8336039000000002E-2</v>
      </c>
      <c r="L13" s="33">
        <v>9.2437270000000002E-3</v>
      </c>
      <c r="M13" s="33">
        <v>3.0832887000000003E-2</v>
      </c>
      <c r="N13" s="33">
        <v>2.6412249000000002E-2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35">
      <c r="A14" s="2">
        <v>42067</v>
      </c>
      <c r="B14" s="33">
        <v>4.2089223999999995E-2</v>
      </c>
      <c r="C14" s="33">
        <v>3.7395477000000003E-2</v>
      </c>
      <c r="D14" s="33">
        <v>1.9744039000000001E-2</v>
      </c>
      <c r="E14" s="33">
        <v>2.3660421000000001E-2</v>
      </c>
      <c r="F14" s="33">
        <v>5.2360535E-2</v>
      </c>
      <c r="G14" s="33">
        <v>1.8798113000000002E-2</v>
      </c>
      <c r="H14" s="33">
        <v>2.0562887000000002E-2</v>
      </c>
      <c r="I14" s="33">
        <v>5.4243207000000002E-2</v>
      </c>
      <c r="J14" s="33">
        <v>3.0236719999999998E-2</v>
      </c>
      <c r="K14" s="33">
        <v>2.7494192000000001E-2</v>
      </c>
      <c r="L14" s="33">
        <v>6.3280582000000002E-2</v>
      </c>
      <c r="M14" s="33">
        <v>5.7971000000000002E-2</v>
      </c>
      <c r="N14" s="33">
        <v>4.5032144000000003E-2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35">
      <c r="A15" s="2">
        <v>42096</v>
      </c>
      <c r="B15" s="33">
        <v>-2.0681201999999999E-2</v>
      </c>
      <c r="C15" s="33">
        <v>-2.5445282E-2</v>
      </c>
      <c r="D15" s="33">
        <v>-9.3223449999999992E-3</v>
      </c>
      <c r="E15" s="33">
        <v>3.0931354000000001E-2</v>
      </c>
      <c r="F15" s="33">
        <v>3.5073400000000005E-2</v>
      </c>
      <c r="G15" s="33">
        <v>2.2686004999999999E-2</v>
      </c>
      <c r="H15" s="33">
        <v>-3.3934294999999996E-2</v>
      </c>
      <c r="I15" s="33">
        <v>-2.8489947000000002E-2</v>
      </c>
      <c r="J15" s="33">
        <v>-1.3708234E-2</v>
      </c>
      <c r="K15" s="33">
        <v>1.5290498999999999E-2</v>
      </c>
      <c r="L15" s="33">
        <v>1.4487027999999999E-2</v>
      </c>
      <c r="M15" s="33">
        <v>-1.6321837999999998E-2</v>
      </c>
      <c r="N15" s="33">
        <v>3.2831788000000001E-2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x14ac:dyDescent="0.35">
      <c r="A16" s="2">
        <v>42128</v>
      </c>
      <c r="B16" s="33">
        <v>1.9875765000000002E-3</v>
      </c>
      <c r="C16" s="33">
        <v>1.8711925000000001E-2</v>
      </c>
      <c r="D16" s="33">
        <v>6.1527369999999998E-2</v>
      </c>
      <c r="E16" s="33">
        <v>-1.1539756999999999E-2</v>
      </c>
      <c r="F16" s="33">
        <v>3.0732870000000002E-2</v>
      </c>
      <c r="G16" s="33">
        <v>3.4605144999999997E-2</v>
      </c>
      <c r="H16" s="33">
        <v>5.7628989999999998E-2</v>
      </c>
      <c r="I16" s="33">
        <v>3.9098144000000001E-2</v>
      </c>
      <c r="J16" s="33">
        <v>2.366364E-2</v>
      </c>
      <c r="K16" s="33">
        <v>2.9367447000000001E-2</v>
      </c>
      <c r="L16" s="33">
        <v>1.42802E-2</v>
      </c>
      <c r="M16" s="33">
        <v>1.2148141999999999E-2</v>
      </c>
      <c r="N16" s="33">
        <v>2.1854281000000003E-2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x14ac:dyDescent="0.35">
      <c r="A17" s="2">
        <v>42159</v>
      </c>
      <c r="B17" s="33">
        <v>-4.6617927999999996E-2</v>
      </c>
      <c r="C17" s="33">
        <v>-7.6890172999999992E-2</v>
      </c>
      <c r="D17" s="33">
        <v>-5.7279229999999993E-2</v>
      </c>
      <c r="E17" s="33">
        <v>-2.0680428000000001E-2</v>
      </c>
      <c r="F17" s="33">
        <v>-3.0580760000000003E-3</v>
      </c>
      <c r="G17" s="33">
        <v>9.719848599999999E-3</v>
      </c>
      <c r="H17" s="33">
        <v>-1.2454569E-2</v>
      </c>
      <c r="I17" s="33">
        <v>3.0211209999999999E-3</v>
      </c>
      <c r="J17" s="33">
        <v>-5.6350829999999999E-3</v>
      </c>
      <c r="K17" s="33">
        <v>-6.5837500000000002E-3</v>
      </c>
      <c r="L17" s="33">
        <v>1.255703E-2</v>
      </c>
      <c r="M17" s="33">
        <v>1.0831356E-2</v>
      </c>
      <c r="N17" s="33">
        <v>1.6850232999999999E-2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x14ac:dyDescent="0.35">
      <c r="A18" s="2">
        <v>42187</v>
      </c>
      <c r="B18" s="33">
        <v>-6.8306627000000009E-2</v>
      </c>
      <c r="C18" s="33">
        <v>1.3806819999999999E-2</v>
      </c>
      <c r="D18" s="33">
        <v>-2.6924252999999999E-2</v>
      </c>
      <c r="E18" s="33">
        <v>-2.8731287000000001E-2</v>
      </c>
      <c r="F18" s="33">
        <v>-5.7451724999999995E-3</v>
      </c>
      <c r="G18" s="33">
        <v>-3.8731813000000004E-2</v>
      </c>
      <c r="H18" s="33">
        <v>-1.6553998E-2</v>
      </c>
      <c r="I18" s="33">
        <v>-1.2416303E-2</v>
      </c>
      <c r="J18" s="33">
        <v>-8.5958839999999998E-3</v>
      </c>
      <c r="K18" s="33">
        <v>-3.4376859999999995E-2</v>
      </c>
      <c r="L18" s="33">
        <v>-2.2060692E-2</v>
      </c>
      <c r="M18" s="33">
        <v>-4.9956800000000003E-2</v>
      </c>
      <c r="N18" s="33">
        <v>-2.8431296000000002E-2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35">
      <c r="A19" s="2">
        <v>42220</v>
      </c>
      <c r="B19" s="33">
        <v>-1.030916E-2</v>
      </c>
      <c r="C19" s="33">
        <v>-1.4025210999999999E-2</v>
      </c>
      <c r="D19" s="33">
        <v>-4.8689184000000003E-2</v>
      </c>
      <c r="E19" s="33">
        <v>1.7481207999999998E-2</v>
      </c>
      <c r="F19" s="33">
        <v>-3.1007528000000003E-3</v>
      </c>
      <c r="G19" s="33">
        <v>2.4427055999999999E-2</v>
      </c>
      <c r="H19" s="33">
        <v>7.0729255999999992E-3</v>
      </c>
      <c r="I19" s="33">
        <v>3.186667E-2</v>
      </c>
      <c r="J19" s="33">
        <v>9.9850892999999996E-3</v>
      </c>
      <c r="K19" s="33">
        <v>3.7999153000000001E-2</v>
      </c>
      <c r="L19" s="33">
        <v>3.4603477000000001E-2</v>
      </c>
      <c r="M19" s="33">
        <v>-1.2622476E-3</v>
      </c>
      <c r="N19" s="33">
        <v>2.3364544000000001E-2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x14ac:dyDescent="0.35">
      <c r="A20" s="2">
        <v>42251</v>
      </c>
      <c r="B20" s="33">
        <v>-9.8669049999999994E-2</v>
      </c>
      <c r="C20" s="33">
        <v>-0.16832619999999998</v>
      </c>
      <c r="D20" s="33">
        <v>-7.9921190000000003E-2</v>
      </c>
      <c r="E20" s="33">
        <v>-0.10308557499999998</v>
      </c>
      <c r="F20" s="33">
        <v>-0.10653185999999999</v>
      </c>
      <c r="G20" s="33">
        <v>-8.6546955000000009E-2</v>
      </c>
      <c r="H20" s="33">
        <v>-0.11669368000000001</v>
      </c>
      <c r="I20" s="33">
        <v>-8.2861959999999998E-2</v>
      </c>
      <c r="J20" s="33">
        <v>-8.0189170000000004E-2</v>
      </c>
      <c r="K20" s="33">
        <v>-9.6376530000000002E-2</v>
      </c>
      <c r="L20" s="33">
        <v>-0.10747844000000001</v>
      </c>
      <c r="M20" s="33">
        <v>-6.5402802999999995E-2</v>
      </c>
      <c r="N20" s="33">
        <v>-6.5883874999999995E-2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x14ac:dyDescent="0.35">
      <c r="A21" s="2">
        <v>42279</v>
      </c>
      <c r="B21" s="33">
        <v>3.5955070999999998E-2</v>
      </c>
      <c r="C21" s="33">
        <v>4.0478826000000002E-2</v>
      </c>
      <c r="D21" s="33">
        <v>-8.5580349999999999E-4</v>
      </c>
      <c r="E21" s="33">
        <v>-2.8146982000000001E-2</v>
      </c>
      <c r="F21" s="33">
        <v>1.3925195E-2</v>
      </c>
      <c r="G21" s="33">
        <v>-1.2891293000000001E-3</v>
      </c>
      <c r="H21" s="33">
        <v>3.302741E-2</v>
      </c>
      <c r="I21" s="33">
        <v>2.0621657000000002E-2</v>
      </c>
      <c r="J21" s="33">
        <v>1.7867326999999999E-2</v>
      </c>
      <c r="K21" s="33">
        <v>1.2401819000000001E-2</v>
      </c>
      <c r="L21" s="33">
        <v>-4.2104719999999998E-4</v>
      </c>
      <c r="M21" s="33">
        <v>-5.4090620000000001E-3</v>
      </c>
      <c r="N21" s="33">
        <v>2.4441361000000002E-2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x14ac:dyDescent="0.35">
      <c r="A22" s="2">
        <v>42312</v>
      </c>
      <c r="B22" s="33">
        <v>0.11465764000000001</v>
      </c>
      <c r="C22" s="33">
        <v>4.0547966999999997E-2</v>
      </c>
      <c r="D22" s="33">
        <v>2.6980639000000001E-2</v>
      </c>
      <c r="E22" s="33">
        <v>8.00482E-2</v>
      </c>
      <c r="F22" s="33">
        <v>5.9227467000000006E-2</v>
      </c>
      <c r="G22" s="33">
        <v>2.7428270000000001E-2</v>
      </c>
      <c r="H22" s="33">
        <v>4.4997096E-2</v>
      </c>
      <c r="I22" s="33">
        <v>0.10585509999999999</v>
      </c>
      <c r="J22" s="33">
        <v>7.8769207000000008E-2</v>
      </c>
      <c r="K22" s="33">
        <v>5.5532930000000001E-2</v>
      </c>
      <c r="L22" s="33">
        <v>5.5602310000000002E-2</v>
      </c>
      <c r="M22" s="33">
        <v>3.5350084000000004E-2</v>
      </c>
      <c r="N22" s="33">
        <v>-6.8166850000000003E-3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x14ac:dyDescent="0.35">
      <c r="A23" s="2">
        <v>42342</v>
      </c>
      <c r="B23" s="33">
        <v>2.5576829999999998E-2</v>
      </c>
      <c r="C23" s="33">
        <v>2.1063684999999999E-2</v>
      </c>
      <c r="D23" s="33">
        <v>-3.6697210000000001E-2</v>
      </c>
      <c r="E23" s="33">
        <v>2.9795169999999997E-3</v>
      </c>
      <c r="F23" s="33">
        <v>6.4829589999999999E-3</v>
      </c>
      <c r="G23" s="33">
        <v>-9.1080665999999991E-3</v>
      </c>
      <c r="H23" s="33">
        <v>-3.6260605000000001E-2</v>
      </c>
      <c r="I23" s="33">
        <v>1.0433197E-3</v>
      </c>
      <c r="J23" s="33">
        <v>-3.5178064999999998E-3</v>
      </c>
      <c r="K23" s="33">
        <v>-2.9400407999999999E-2</v>
      </c>
      <c r="L23" s="33">
        <v>-2.0351170999999998E-2</v>
      </c>
      <c r="M23" s="33">
        <v>1.6415119000000001E-3</v>
      </c>
      <c r="N23" s="33">
        <v>-3.4316777999999996E-3</v>
      </c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x14ac:dyDescent="0.35">
      <c r="A24" s="2">
        <v>42373</v>
      </c>
      <c r="B24" s="33">
        <v>2.7684570000000002E-2</v>
      </c>
      <c r="C24" s="33">
        <v>-8.6529255000000003E-3</v>
      </c>
      <c r="D24" s="33">
        <v>-7.0225419999999997E-2</v>
      </c>
      <c r="E24" s="33">
        <v>-5.0872684000000001E-2</v>
      </c>
      <c r="F24" s="33">
        <v>-3.2459676E-2</v>
      </c>
      <c r="G24" s="33">
        <v>-2.7258277000000001E-2</v>
      </c>
      <c r="H24" s="33">
        <v>-4.7790109999999997E-2</v>
      </c>
      <c r="I24" s="33">
        <v>-4.6019610000000002E-2</v>
      </c>
      <c r="J24" s="33">
        <v>-3.5221933999999996E-2</v>
      </c>
      <c r="K24" s="33">
        <v>-4.7169330000000002E-2</v>
      </c>
      <c r="L24" s="33">
        <v>-3.8932084999999998E-2</v>
      </c>
      <c r="M24" s="33">
        <v>-6.2426624000000007E-2</v>
      </c>
      <c r="N24" s="33">
        <v>-6.4675330000000003E-2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x14ac:dyDescent="0.35">
      <c r="A25" s="2">
        <v>42404</v>
      </c>
      <c r="B25" s="33">
        <v>-3.1182766000000001E-2</v>
      </c>
      <c r="C25" s="33">
        <v>-5.6149779999999996E-2</v>
      </c>
      <c r="D25" s="33">
        <v>3.3034086000000001E-3</v>
      </c>
      <c r="E25" s="33">
        <v>-5.8685419999999995E-2</v>
      </c>
      <c r="F25" s="33">
        <v>-6.6219625000000004E-2</v>
      </c>
      <c r="G25" s="33">
        <v>-5.9302689999999998E-2</v>
      </c>
      <c r="H25" s="33">
        <v>-4.4710340000000001E-2</v>
      </c>
      <c r="I25" s="33">
        <v>-7.1689486999999996E-2</v>
      </c>
      <c r="J25" s="33">
        <v>-4.6857176E-2</v>
      </c>
      <c r="K25" s="33">
        <v>-3.1066297999999999E-2</v>
      </c>
      <c r="L25" s="33">
        <v>-7.6759460000000003E-3</v>
      </c>
      <c r="M25" s="33">
        <v>-4.3736876999999993E-2</v>
      </c>
      <c r="N25" s="33">
        <v>-0.13146234000000001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x14ac:dyDescent="0.35">
      <c r="A26" s="2">
        <v>42433</v>
      </c>
      <c r="B26" s="33">
        <v>6.6870092999999992E-2</v>
      </c>
      <c r="C26" s="33">
        <v>7.9320073000000005E-2</v>
      </c>
      <c r="D26" s="33">
        <v>6.3969970000000001E-2</v>
      </c>
      <c r="E26" s="33">
        <v>2.0781398000000003E-2</v>
      </c>
      <c r="F26" s="33">
        <v>3.4111261000000004E-2</v>
      </c>
      <c r="G26" s="33">
        <v>1.3162373999999999E-2</v>
      </c>
      <c r="H26" s="33">
        <v>2.6367783999999998E-2</v>
      </c>
      <c r="I26" s="33">
        <v>3.9547443000000002E-2</v>
      </c>
      <c r="J26" s="33">
        <v>4.6085477E-2</v>
      </c>
      <c r="K26" s="33">
        <v>2.3830174999999999E-2</v>
      </c>
      <c r="L26" s="33">
        <v>1.6330003999999999E-2</v>
      </c>
      <c r="M26" s="33">
        <v>4.2078257000000001E-2</v>
      </c>
      <c r="N26" s="33">
        <v>1.6156435E-2</v>
      </c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x14ac:dyDescent="0.35">
      <c r="A27" s="2">
        <v>42464</v>
      </c>
      <c r="B27" s="33">
        <v>5.1495433000000007E-2</v>
      </c>
      <c r="C27" s="33">
        <v>-4.724443E-3</v>
      </c>
      <c r="D27" s="33">
        <v>3.0946016E-2</v>
      </c>
      <c r="E27" s="33">
        <v>3.420198E-2</v>
      </c>
      <c r="F27" s="33">
        <v>-3.3854187000000001E-2</v>
      </c>
      <c r="G27" s="33">
        <v>1.2991428000000001E-2</v>
      </c>
      <c r="H27" s="33">
        <v>6.4229965000000004E-4</v>
      </c>
      <c r="I27" s="33">
        <v>4.3488382999999999E-2</v>
      </c>
      <c r="J27" s="33">
        <v>3.4322261999999999E-2</v>
      </c>
      <c r="K27" s="33">
        <v>1.4811754E-2</v>
      </c>
      <c r="L27" s="33">
        <v>3.5517930000000003E-2</v>
      </c>
      <c r="M27" s="33">
        <v>3.3707857000000001E-2</v>
      </c>
      <c r="N27" s="33">
        <v>-5.8577060000000007E-3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x14ac:dyDescent="0.35">
      <c r="A28" s="2">
        <v>42494</v>
      </c>
      <c r="B28" s="33">
        <v>2.3002744000000002E-2</v>
      </c>
      <c r="C28" s="33">
        <v>2.9535889999999999E-2</v>
      </c>
      <c r="D28" s="33">
        <v>3.6020637000000001E-2</v>
      </c>
      <c r="E28" s="33">
        <v>1.2204646999999999E-2</v>
      </c>
      <c r="F28" s="33">
        <v>2.6055693999999997E-2</v>
      </c>
      <c r="G28" s="33">
        <v>1.5187383E-2</v>
      </c>
      <c r="H28" s="33">
        <v>1.4120698000000001E-2</v>
      </c>
      <c r="I28" s="33">
        <v>-4.4478774000000006E-2</v>
      </c>
      <c r="J28" s="33">
        <v>-6.0121420000000007E-3</v>
      </c>
      <c r="K28" s="33">
        <v>1.2927531999999999E-2</v>
      </c>
      <c r="L28" s="33">
        <v>-6.9416165E-3</v>
      </c>
      <c r="M28" s="33">
        <v>-7.4728729999999997E-3</v>
      </c>
      <c r="N28" s="33">
        <v>3.1144737999999998E-2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x14ac:dyDescent="0.35">
      <c r="A29" s="2">
        <v>42524</v>
      </c>
      <c r="B29" s="33">
        <v>4.3278575000000007E-2</v>
      </c>
      <c r="C29" s="33">
        <v>6.1475040000000007E-3</v>
      </c>
      <c r="D29" s="33">
        <v>3.6837697000000003E-2</v>
      </c>
      <c r="E29" s="33">
        <v>1.5947223E-2</v>
      </c>
      <c r="F29" s="33">
        <v>2.7145267000000001E-2</v>
      </c>
      <c r="G29" s="33">
        <v>2.8257965999999999E-2</v>
      </c>
      <c r="H29" s="33">
        <v>2.9746890000000002E-2</v>
      </c>
      <c r="I29" s="33">
        <v>4.7691464000000003E-2</v>
      </c>
      <c r="J29" s="33">
        <v>2.5706053E-2</v>
      </c>
      <c r="K29" s="33">
        <v>2.3466467999999997E-2</v>
      </c>
      <c r="L29" s="33">
        <v>3.7006616999999999E-2</v>
      </c>
      <c r="M29" s="33">
        <v>2.0533920000000001E-2</v>
      </c>
      <c r="N29" s="33">
        <v>-1.6326487000000001E-2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x14ac:dyDescent="0.35">
      <c r="A30" s="2">
        <v>42552</v>
      </c>
      <c r="B30" s="33">
        <v>1.8619895000000001E-2</v>
      </c>
      <c r="C30" s="33">
        <v>9.0146064999999994E-3</v>
      </c>
      <c r="D30" s="33">
        <v>-9.1099740000000001E-4</v>
      </c>
      <c r="E30" s="33">
        <v>-5.4130609999999996E-2</v>
      </c>
      <c r="F30" s="33">
        <v>-1.3546883999999999E-2</v>
      </c>
      <c r="G30" s="33">
        <v>-1.0553478999999999E-2</v>
      </c>
      <c r="H30" s="33">
        <v>-3.2005430000000001E-2</v>
      </c>
      <c r="I30" s="33">
        <v>-1.5346825E-2</v>
      </c>
      <c r="J30" s="33">
        <v>3.5048722999999997E-3</v>
      </c>
      <c r="K30" s="33">
        <v>-5.5503902000000001E-2</v>
      </c>
      <c r="L30" s="33">
        <v>-7.0414542999999996E-2</v>
      </c>
      <c r="M30" s="33">
        <v>-4.233551E-2</v>
      </c>
      <c r="N30" s="33">
        <v>-7.6491299999999998E-2</v>
      </c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x14ac:dyDescent="0.35">
      <c r="A31" s="2">
        <v>42586</v>
      </c>
      <c r="B31" s="33">
        <v>6.1290263999999997E-2</v>
      </c>
      <c r="C31" s="33">
        <v>5.7318210000000001E-2</v>
      </c>
      <c r="D31" s="33">
        <v>1.20821E-2</v>
      </c>
      <c r="E31" s="33">
        <v>4.8921942999999996E-2</v>
      </c>
      <c r="F31" s="33">
        <v>5.0522685000000005E-2</v>
      </c>
      <c r="G31" s="33">
        <v>5.0318240000000007E-3</v>
      </c>
      <c r="H31" s="33">
        <v>1.3012289999999999E-2</v>
      </c>
      <c r="I31" s="33">
        <v>7.0225715999999994E-2</v>
      </c>
      <c r="J31" s="33">
        <v>3.0911088000000003E-2</v>
      </c>
      <c r="K31" s="33">
        <v>2.3591160000000003E-2</v>
      </c>
      <c r="L31" s="33">
        <v>3.1155347999999999E-2</v>
      </c>
      <c r="M31" s="33">
        <v>1.0921001E-2</v>
      </c>
      <c r="N31" s="33">
        <v>-4.6210289999999996E-3</v>
      </c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x14ac:dyDescent="0.35">
      <c r="A32" s="2">
        <v>42615</v>
      </c>
      <c r="B32" s="33">
        <v>3.2783270000000003E-2</v>
      </c>
      <c r="C32" s="33">
        <v>-1.5488862999999999E-2</v>
      </c>
      <c r="D32" s="33">
        <v>2.9049040000000002E-2</v>
      </c>
      <c r="E32" s="33">
        <v>4.9011946000000001E-2</v>
      </c>
      <c r="F32" s="33">
        <v>3.3167480999999999E-2</v>
      </c>
      <c r="G32" s="33">
        <v>2.2029399999999998E-2</v>
      </c>
      <c r="H32" s="33">
        <v>4.0462493999999995E-2</v>
      </c>
      <c r="I32" s="33">
        <v>1.2535691E-2</v>
      </c>
      <c r="J32" s="33">
        <v>9.0582370000000002E-3</v>
      </c>
      <c r="K32" s="33">
        <v>4.4387460000000004E-2</v>
      </c>
      <c r="L32" s="33">
        <v>6.4204810000000001E-2</v>
      </c>
      <c r="M32" s="33">
        <v>4.2131780000000001E-2</v>
      </c>
      <c r="N32" s="33">
        <v>6.4995289999999997E-2</v>
      </c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35">
      <c r="A33" s="2">
        <v>42647</v>
      </c>
      <c r="B33" s="33">
        <v>-3.2793820000000001E-2</v>
      </c>
      <c r="C33" s="33">
        <v>2.1632314E-2</v>
      </c>
      <c r="D33" s="33">
        <v>-2.4361967999999998E-2</v>
      </c>
      <c r="E33" s="33">
        <v>-9.7965599999999993E-3</v>
      </c>
      <c r="F33" s="33">
        <v>-2.4076700000000002E-3</v>
      </c>
      <c r="G33" s="33">
        <v>-6.5317153999999997E-3</v>
      </c>
      <c r="H33" s="33">
        <v>-1.9753098E-2</v>
      </c>
      <c r="I33" s="33">
        <v>1.3205051000000001E-2</v>
      </c>
      <c r="J33" s="33">
        <v>-1.1912404999999999E-2</v>
      </c>
      <c r="K33" s="33">
        <v>-1.3485909000000001E-2</v>
      </c>
      <c r="L33" s="33">
        <v>-9.4637274999999996E-3</v>
      </c>
      <c r="M33" s="33">
        <v>6.5652129999999994E-3</v>
      </c>
      <c r="N33" s="33">
        <v>-5.4054019999999994E-2</v>
      </c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35">
      <c r="A34" s="2">
        <v>42678</v>
      </c>
      <c r="B34" s="33">
        <v>-7.8026533000000009E-2</v>
      </c>
      <c r="C34" s="33">
        <v>-4.2348440000000001E-2</v>
      </c>
      <c r="D34" s="33">
        <v>-1.1890590000000001E-2</v>
      </c>
      <c r="E34" s="33">
        <v>-4.1476430000000002E-2</v>
      </c>
      <c r="F34" s="33">
        <v>-4.0225386999999998E-3</v>
      </c>
      <c r="G34" s="33">
        <v>-5.8842896999999998E-2</v>
      </c>
      <c r="H34" s="33">
        <v>-7.2418155999999997E-2</v>
      </c>
      <c r="I34" s="33">
        <v>-3.9874969999999996E-2</v>
      </c>
      <c r="J34" s="33">
        <v>-2.8554081999999998E-2</v>
      </c>
      <c r="K34" s="33">
        <v>-2.526921E-2</v>
      </c>
      <c r="L34" s="33">
        <v>-4.6974539999999995E-2</v>
      </c>
      <c r="M34" s="33">
        <v>-7.6553345000000009E-2</v>
      </c>
      <c r="N34" s="33">
        <v>-2.7650595E-3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35">
      <c r="A35" s="2">
        <v>42706</v>
      </c>
      <c r="B35" s="33">
        <v>4.9505234000000002E-3</v>
      </c>
      <c r="C35" s="33">
        <v>3.9698482E-2</v>
      </c>
      <c r="D35" s="33">
        <v>5.2145960000000005E-2</v>
      </c>
      <c r="E35" s="33">
        <v>-1.7864287E-2</v>
      </c>
      <c r="F35" s="33">
        <v>2.0194053999999999E-3</v>
      </c>
      <c r="G35" s="33">
        <v>-1.1177063000000001E-2</v>
      </c>
      <c r="H35" s="33">
        <v>3.0210495E-2</v>
      </c>
      <c r="I35" s="33">
        <v>1.8037795999999998E-2</v>
      </c>
      <c r="J35" s="33">
        <v>5.3368450000000005E-2</v>
      </c>
      <c r="K35" s="33">
        <v>-5.9499144999999995E-3</v>
      </c>
      <c r="L35" s="33">
        <v>-3.2163740000000003E-2</v>
      </c>
      <c r="M35" s="33">
        <v>2.0074367999999999E-2</v>
      </c>
      <c r="N35" s="33">
        <v>2.2643209000000001E-2</v>
      </c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35">
      <c r="A36" s="2">
        <v>42739</v>
      </c>
      <c r="B36" s="33">
        <v>-1.6901790999999999E-2</v>
      </c>
      <c r="C36" s="33">
        <v>3.4679055E-2</v>
      </c>
      <c r="D36" s="33">
        <v>2.9629470000000002E-2</v>
      </c>
      <c r="E36" s="33">
        <v>7.7977420000000006E-2</v>
      </c>
      <c r="F36" s="33">
        <v>2.4574159999999998E-2</v>
      </c>
      <c r="G36" s="33">
        <v>5.5409074000000003E-2</v>
      </c>
      <c r="H36" s="33">
        <v>3.9235473E-2</v>
      </c>
      <c r="I36" s="33">
        <v>4.1890143999999997E-2</v>
      </c>
      <c r="J36" s="33">
        <v>3.7500143E-2</v>
      </c>
      <c r="K36" s="33">
        <v>6.5380216000000005E-2</v>
      </c>
      <c r="L36" s="33">
        <v>6.3158274E-2</v>
      </c>
      <c r="M36" s="33">
        <v>6.0311912999999995E-2</v>
      </c>
      <c r="N36" s="33">
        <v>0.12460661000000001</v>
      </c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35">
      <c r="A37" s="2">
        <v>42769</v>
      </c>
      <c r="B37" s="33">
        <v>7.7511786999999999E-2</v>
      </c>
      <c r="C37" s="33">
        <v>3.5491585999999999E-2</v>
      </c>
      <c r="D37" s="33">
        <v>1.9820570999999999E-2</v>
      </c>
      <c r="E37" s="33">
        <v>3.713429E-2</v>
      </c>
      <c r="F37" s="33">
        <v>1.5920401000000001E-2</v>
      </c>
      <c r="G37" s="33">
        <v>3.1480193000000004E-2</v>
      </c>
      <c r="H37" s="33">
        <v>1.2536168E-2</v>
      </c>
      <c r="I37" s="33">
        <v>4.5677659999999995E-2</v>
      </c>
      <c r="J37" s="33">
        <v>1.2181163E-2</v>
      </c>
      <c r="K37" s="33">
        <v>1.5706777999999998E-2</v>
      </c>
      <c r="L37" s="33">
        <v>3.3305883000000001E-2</v>
      </c>
      <c r="M37" s="33">
        <v>6.2908172999999998E-2</v>
      </c>
      <c r="N37" s="33">
        <v>-1.4598547999999999E-2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35">
      <c r="A38" s="2">
        <v>42797</v>
      </c>
      <c r="B38" s="33">
        <v>-3.5509825000000002E-2</v>
      </c>
      <c r="C38" s="33">
        <v>1.8063902999999999E-2</v>
      </c>
      <c r="D38" s="33">
        <v>-1.5768230000000001E-2</v>
      </c>
      <c r="E38" s="33">
        <v>1.2296557E-2</v>
      </c>
      <c r="F38" s="33">
        <v>6.2683820000000003E-3</v>
      </c>
      <c r="G38" s="33">
        <v>2.1753192000000001E-2</v>
      </c>
      <c r="H38" s="33">
        <v>1.6825317999999999E-2</v>
      </c>
      <c r="I38" s="33">
        <v>4.2488933E-2</v>
      </c>
      <c r="J38" s="33">
        <v>3.9591908000000002E-2</v>
      </c>
      <c r="K38" s="33">
        <v>1.5860437999999998E-2</v>
      </c>
      <c r="L38" s="33">
        <v>3.5415888E-2</v>
      </c>
      <c r="M38" s="33">
        <v>-6.4683557000000001E-3</v>
      </c>
      <c r="N38" s="33">
        <v>9.4650984000000001E-3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35">
      <c r="A39" s="2">
        <v>42829</v>
      </c>
      <c r="B39" s="33">
        <v>6.6509247000000006E-3</v>
      </c>
      <c r="C39" s="33">
        <v>2.2747993000000001E-2</v>
      </c>
      <c r="D39" s="33">
        <v>1.4902352999999998E-3</v>
      </c>
      <c r="E39" s="33">
        <v>2.6437998000000001E-2</v>
      </c>
      <c r="F39" s="33">
        <v>4.0880441999999999E-3</v>
      </c>
      <c r="G39" s="33">
        <v>1.7477035999999998E-2</v>
      </c>
      <c r="H39" s="33">
        <v>1.1551738000000001E-2</v>
      </c>
      <c r="I39" s="33">
        <v>1.3477683000000001E-2</v>
      </c>
      <c r="J39" s="33">
        <v>-8.0263615000000007E-3</v>
      </c>
      <c r="K39" s="33">
        <v>3.3177137000000002E-2</v>
      </c>
      <c r="L39" s="33">
        <v>2.9976845000000002E-2</v>
      </c>
      <c r="M39" s="33">
        <v>1.2044310000000001E-2</v>
      </c>
      <c r="N39" s="33">
        <v>3.9951085999999997E-2</v>
      </c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35">
      <c r="A40" s="2">
        <v>42859</v>
      </c>
      <c r="B40" s="33">
        <v>1.4157295000000001E-3</v>
      </c>
      <c r="C40" s="33">
        <v>-2.1352289999999999E-2</v>
      </c>
      <c r="D40" s="33">
        <v>-3.9806544999999999E-2</v>
      </c>
      <c r="E40" s="33">
        <v>5.8823585999999997E-2</v>
      </c>
      <c r="F40" s="33">
        <v>1.7448544999999999E-2</v>
      </c>
      <c r="G40" s="33">
        <v>6.6520929999999992E-2</v>
      </c>
      <c r="H40" s="33">
        <v>2.7160405999999998E-2</v>
      </c>
      <c r="I40" s="33">
        <v>3.4186124999999998E-2</v>
      </c>
      <c r="J40" s="33">
        <v>1.3929009999999999E-2</v>
      </c>
      <c r="K40" s="33">
        <v>9.4068769999999996E-2</v>
      </c>
      <c r="L40" s="33">
        <v>7.8731419999999996E-2</v>
      </c>
      <c r="M40" s="33">
        <v>8.4271429999999994E-2</v>
      </c>
      <c r="N40" s="33">
        <v>7.4480534000000001E-2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35">
      <c r="A41" s="2">
        <v>42888</v>
      </c>
      <c r="B41" s="33">
        <v>6.4443946000000002E-2</v>
      </c>
      <c r="C41" s="33">
        <v>-1.272732E-2</v>
      </c>
      <c r="D41" s="33">
        <v>2.0534753999999999E-2</v>
      </c>
      <c r="E41" s="33">
        <v>4.1748880000000002E-2</v>
      </c>
      <c r="F41" s="33">
        <v>4.6112895000000001E-2</v>
      </c>
      <c r="G41" s="33">
        <v>3.6017537000000002E-2</v>
      </c>
      <c r="H41" s="33">
        <v>4.5673130000000006E-2</v>
      </c>
      <c r="I41" s="33">
        <v>4.6847700000000006E-2</v>
      </c>
      <c r="J41" s="33">
        <v>2.2658706000000001E-2</v>
      </c>
      <c r="K41" s="33">
        <v>3.2458543999999999E-2</v>
      </c>
      <c r="L41" s="33">
        <v>3.3206581999999998E-2</v>
      </c>
      <c r="M41" s="33">
        <v>2.8181552999999998E-2</v>
      </c>
      <c r="N41" s="33">
        <v>3.4294128E-2</v>
      </c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35">
      <c r="A42" s="2">
        <v>42919</v>
      </c>
      <c r="B42" s="33">
        <v>3.5700679999999999E-2</v>
      </c>
      <c r="C42" s="33">
        <v>1.5399814000000001E-2</v>
      </c>
      <c r="D42" s="33">
        <v>3.1214355999999999E-2</v>
      </c>
      <c r="E42" s="33">
        <v>-2.5563300000000001E-2</v>
      </c>
      <c r="F42" s="33">
        <v>-2.1239758000000001E-2</v>
      </c>
      <c r="G42" s="33">
        <v>-8.9314579999999998E-3</v>
      </c>
      <c r="H42" s="33">
        <v>-2.0758450000000001E-2</v>
      </c>
      <c r="I42" s="33">
        <v>-4.8075795000000004E-2</v>
      </c>
      <c r="J42" s="33">
        <v>-3.1903386000000002E-3</v>
      </c>
      <c r="K42" s="33">
        <v>-2.1837354000000003E-2</v>
      </c>
      <c r="L42" s="33">
        <v>-2.1290182999999997E-2</v>
      </c>
      <c r="M42" s="33">
        <v>2.6469229999999998E-3</v>
      </c>
      <c r="N42" s="33">
        <v>7.4261427E-3</v>
      </c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35">
      <c r="A43" s="2">
        <v>42951</v>
      </c>
      <c r="B43" s="33">
        <v>3.3964753E-2</v>
      </c>
      <c r="C43" s="33">
        <v>4.4949054999999995E-2</v>
      </c>
      <c r="D43" s="33">
        <v>3.0809164E-2</v>
      </c>
      <c r="E43" s="33">
        <v>2.5420904000000001E-2</v>
      </c>
      <c r="F43" s="33">
        <v>3.2777666999999996E-2</v>
      </c>
      <c r="G43" s="33">
        <v>1.3690591E-2</v>
      </c>
      <c r="H43" s="33">
        <v>3.1503081000000002E-2</v>
      </c>
      <c r="I43" s="33">
        <v>5.4776309999999995E-2</v>
      </c>
      <c r="J43" s="33">
        <v>2.1468997E-2</v>
      </c>
      <c r="K43" s="33">
        <v>4.1391372999999995E-2</v>
      </c>
      <c r="L43" s="33">
        <v>7.2022199999999995E-2</v>
      </c>
      <c r="M43" s="33">
        <v>1.3537407E-2</v>
      </c>
      <c r="N43" s="33">
        <v>7.985747E-2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35">
      <c r="A44" s="2">
        <v>42979</v>
      </c>
      <c r="B44" s="33">
        <v>-2.5689662000000002E-2</v>
      </c>
      <c r="C44" s="33">
        <v>1.1973381E-2</v>
      </c>
      <c r="D44" s="33">
        <v>1.224339E-2</v>
      </c>
      <c r="E44" s="33">
        <v>-6.7610740000000006E-3</v>
      </c>
      <c r="F44" s="33">
        <v>-1.1788130000000001E-2</v>
      </c>
      <c r="G44" s="33">
        <v>-1.5517293999999999E-2</v>
      </c>
      <c r="H44" s="33">
        <v>-1.1343776999999999E-2</v>
      </c>
      <c r="I44" s="33">
        <v>1.6359209999999999E-2</v>
      </c>
      <c r="J44" s="33">
        <v>1.7379521999999999E-3</v>
      </c>
      <c r="K44" s="33">
        <v>-4.6760439999999999E-3</v>
      </c>
      <c r="L44" s="33">
        <v>-9.0438723999999998E-3</v>
      </c>
      <c r="M44" s="33">
        <v>1.074338E-2</v>
      </c>
      <c r="N44" s="33">
        <v>4.6219826000000004E-3</v>
      </c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35">
      <c r="A45" s="2">
        <v>43012</v>
      </c>
      <c r="B45" s="33">
        <v>1.0373831E-2</v>
      </c>
      <c r="C45" s="33">
        <v>-2.1910607999999998E-2</v>
      </c>
      <c r="D45" s="33">
        <v>3.5574555000000001E-2</v>
      </c>
      <c r="E45" s="33">
        <v>5.2836299999999996E-2</v>
      </c>
      <c r="F45" s="33">
        <v>2.8629064999999999E-2</v>
      </c>
      <c r="G45" s="33">
        <v>2.7437330000000003E-2</v>
      </c>
      <c r="H45" s="33">
        <v>2.6184200999999997E-2</v>
      </c>
      <c r="I45" s="33">
        <v>2.400279E-3</v>
      </c>
      <c r="J45" s="33">
        <v>2.6526093000000001E-2</v>
      </c>
      <c r="K45" s="33">
        <v>3.7248373000000001E-2</v>
      </c>
      <c r="L45" s="33">
        <v>2.4445891000000001E-2</v>
      </c>
      <c r="M45" s="33">
        <v>4.0505649999999997E-2</v>
      </c>
      <c r="N45" s="33">
        <v>1.1830449E-2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35">
      <c r="A46" s="2">
        <v>43042</v>
      </c>
      <c r="B46" s="33">
        <v>-2.6310146E-2</v>
      </c>
      <c r="C46" s="33">
        <v>2.3745536999999997E-2</v>
      </c>
      <c r="D46" s="33">
        <v>0</v>
      </c>
      <c r="E46" s="33">
        <v>2.8017281999999998E-2</v>
      </c>
      <c r="F46" s="33">
        <v>5.602145E-2</v>
      </c>
      <c r="G46" s="33">
        <v>-1.6193150999999999E-2</v>
      </c>
      <c r="H46" s="33">
        <v>-8.6015460000000001E-4</v>
      </c>
      <c r="I46" s="33">
        <v>4.9578905000000006E-2</v>
      </c>
      <c r="J46" s="33">
        <v>2.0895958000000003E-2</v>
      </c>
      <c r="K46" s="33">
        <v>1.42349E-2</v>
      </c>
      <c r="L46" s="33">
        <v>6.3632727000000004E-3</v>
      </c>
      <c r="M46" s="33">
        <v>-1.8498122999999998E-2</v>
      </c>
      <c r="N46" s="33">
        <v>1.3965487E-2</v>
      </c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35">
      <c r="A47" s="2">
        <v>43073</v>
      </c>
      <c r="B47" s="33">
        <v>-6.5904856000000001E-4</v>
      </c>
      <c r="C47" s="33">
        <v>-6.5645576000000006E-3</v>
      </c>
      <c r="D47" s="33">
        <v>3.4351350000000002E-3</v>
      </c>
      <c r="E47" s="33">
        <v>-9.8831653999999994E-3</v>
      </c>
      <c r="F47" s="33">
        <v>-3.0410885999999997E-3</v>
      </c>
      <c r="G47" s="33">
        <v>8.3742139999999996E-3</v>
      </c>
      <c r="H47" s="33">
        <v>-8.6081030000000004E-4</v>
      </c>
      <c r="I47" s="33">
        <v>-3.6536455000000002E-3</v>
      </c>
      <c r="J47" s="33">
        <v>2.201593E-2</v>
      </c>
      <c r="K47" s="33">
        <v>-3.1898021999999999E-3</v>
      </c>
      <c r="L47" s="33">
        <v>-9.1685057000000011E-3</v>
      </c>
      <c r="M47" s="33">
        <v>-4.0225030000000002E-2</v>
      </c>
      <c r="N47" s="33">
        <v>-1.2171685999999999E-2</v>
      </c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35">
      <c r="A48" s="2">
        <v>43104</v>
      </c>
      <c r="B48" s="33">
        <v>8.328772000000001E-2</v>
      </c>
      <c r="C48" s="33">
        <v>6.3441156999999998E-2</v>
      </c>
      <c r="D48" s="33">
        <v>4.8174260000000003E-2</v>
      </c>
      <c r="E48" s="33">
        <v>3.0422330000000001E-2</v>
      </c>
      <c r="F48" s="33">
        <v>5.5491566999999999E-2</v>
      </c>
      <c r="G48" s="33">
        <v>3.4364342999999999E-2</v>
      </c>
      <c r="H48" s="33">
        <v>6.0154439999999997E-2</v>
      </c>
      <c r="I48" s="33">
        <v>5.1947355000000001E-2</v>
      </c>
      <c r="J48" s="33">
        <v>3.3494233999999998E-2</v>
      </c>
      <c r="K48" s="33">
        <v>2.5507927E-2</v>
      </c>
      <c r="L48" s="33">
        <v>3.7106276000000001E-2</v>
      </c>
      <c r="M48" s="33">
        <v>3.0730963E-2</v>
      </c>
      <c r="N48" s="33">
        <v>2.8014182999999998E-2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35">
      <c r="A49" s="2">
        <v>43133</v>
      </c>
      <c r="B49" s="33">
        <v>1.3650417E-2</v>
      </c>
      <c r="C49" s="33">
        <v>-1.6977787000000001E-3</v>
      </c>
      <c r="D49" s="33">
        <v>-4.2011260000000002E-2</v>
      </c>
      <c r="E49" s="33">
        <v>-3.5314560000000001E-3</v>
      </c>
      <c r="F49" s="33">
        <v>7.2733163999999994E-3</v>
      </c>
      <c r="G49" s="33">
        <v>1.1904715999999999E-2</v>
      </c>
      <c r="H49" s="33">
        <v>1.10411644E-3</v>
      </c>
      <c r="I49" s="33">
        <v>2.6823044000000001E-2</v>
      </c>
      <c r="J49" s="33">
        <v>1.4137983E-2</v>
      </c>
      <c r="K49" s="33">
        <v>1.9405246000000001E-2</v>
      </c>
      <c r="L49" s="33">
        <v>2.0730257000000002E-2</v>
      </c>
      <c r="M49" s="33">
        <v>1.8093109E-2</v>
      </c>
      <c r="N49" s="33">
        <v>5.2965403000000001E-2</v>
      </c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35">
      <c r="A50" s="2">
        <v>43161</v>
      </c>
      <c r="B50" s="33">
        <v>-6.7332983000000001E-3</v>
      </c>
      <c r="C50" s="33">
        <v>-3.3163310000000001E-2</v>
      </c>
      <c r="D50" s="33">
        <v>-5.1104965000000002E-2</v>
      </c>
      <c r="E50" s="33">
        <v>-6.0543420000000001E-2</v>
      </c>
      <c r="F50" s="33">
        <v>-3.7708579999999998E-2</v>
      </c>
      <c r="G50" s="33">
        <v>-5.9917870000000005E-2</v>
      </c>
      <c r="H50" s="33">
        <v>-5.238491E-2</v>
      </c>
      <c r="I50" s="33">
        <v>8.3835125000000007E-3</v>
      </c>
      <c r="J50" s="33">
        <v>-2.3125887000000001E-2</v>
      </c>
      <c r="K50" s="33">
        <v>-3.6843657000000002E-2</v>
      </c>
      <c r="L50" s="33">
        <v>-4.1830896999999999E-2</v>
      </c>
      <c r="M50" s="33">
        <v>-6.2341269999999997E-2</v>
      </c>
      <c r="N50" s="33">
        <v>-5.0903615999999999E-2</v>
      </c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35">
      <c r="A51" s="2">
        <v>43194</v>
      </c>
      <c r="B51" s="33">
        <v>1.7460942E-2</v>
      </c>
      <c r="C51" s="33">
        <v>-3.07827E-2</v>
      </c>
      <c r="D51" s="33">
        <v>-1.8194914E-3</v>
      </c>
      <c r="E51" s="33">
        <v>3.1435490000000001E-4</v>
      </c>
      <c r="F51" s="33">
        <v>5.0024986000000004E-3</v>
      </c>
      <c r="G51" s="33">
        <v>-1.4551818000000001E-2</v>
      </c>
      <c r="H51" s="33">
        <v>1.9202828000000002E-2</v>
      </c>
      <c r="I51" s="33">
        <v>-3.6060214E-2</v>
      </c>
      <c r="J51" s="33">
        <v>-1.6596376999999999E-2</v>
      </c>
      <c r="K51" s="33">
        <v>1.2750626000000002E-3</v>
      </c>
      <c r="L51" s="33">
        <v>7.9089403000000003E-3</v>
      </c>
      <c r="M51" s="33">
        <v>-1.8953085000000001E-2</v>
      </c>
      <c r="N51" s="33">
        <v>2.5388837000000001E-2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35">
      <c r="A52" s="2">
        <v>43224</v>
      </c>
      <c r="B52" s="33">
        <v>-1.8574535999999999E-2</v>
      </c>
      <c r="C52" s="33">
        <v>3.1306623999999998E-2</v>
      </c>
      <c r="D52" s="33">
        <v>3.2081604E-2</v>
      </c>
      <c r="E52" s="33">
        <v>3.2055378000000002E-2</v>
      </c>
      <c r="F52" s="33">
        <v>7.6322555999999995E-3</v>
      </c>
      <c r="G52" s="33">
        <v>6.2019824999999997E-3</v>
      </c>
      <c r="H52" s="33">
        <v>2.9688835E-2</v>
      </c>
      <c r="I52" s="33">
        <v>3.2114625000000001E-2</v>
      </c>
      <c r="J52" s="33">
        <v>9.3337300000000002E-3</v>
      </c>
      <c r="K52" s="33">
        <v>4.0433049999999998E-2</v>
      </c>
      <c r="L52" s="33">
        <v>3.1386614000000002E-3</v>
      </c>
      <c r="M52" s="33">
        <v>8.5862875000000012E-3</v>
      </c>
      <c r="N52" s="33">
        <v>5.1996349999999997E-2</v>
      </c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35">
      <c r="A53" s="2">
        <v>43255</v>
      </c>
      <c r="B53" s="33">
        <v>7.4058769999999999E-3</v>
      </c>
      <c r="C53" s="33">
        <v>5.7193039999999997E-3</v>
      </c>
      <c r="D53" s="33">
        <v>-4.5920014000000002E-3</v>
      </c>
      <c r="E53" s="33">
        <v>-2.5883079000000003E-2</v>
      </c>
      <c r="F53" s="33">
        <v>-3.6225914999999998E-3</v>
      </c>
      <c r="G53" s="33">
        <v>-1.0272920000000001E-2</v>
      </c>
      <c r="H53" s="33">
        <v>4.9903393000000004E-3</v>
      </c>
      <c r="I53" s="33">
        <v>5.7196616999999998E-2</v>
      </c>
      <c r="J53" s="33">
        <v>3.3380985000000002E-2</v>
      </c>
      <c r="K53" s="33">
        <v>-1.5605926999999999E-2</v>
      </c>
      <c r="L53" s="33">
        <v>-4.0675401999999998E-3</v>
      </c>
      <c r="M53" s="33">
        <v>-3.0398369000000003E-4</v>
      </c>
      <c r="N53" s="33">
        <v>-0.10826719000000001</v>
      </c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35">
      <c r="A54" s="2">
        <v>43284</v>
      </c>
      <c r="B54" s="33">
        <v>9.3579290000000009E-3</v>
      </c>
      <c r="C54" s="33">
        <v>3.8123129999999999E-4</v>
      </c>
      <c r="D54" s="33">
        <v>1.7239213E-2</v>
      </c>
      <c r="E54" s="33">
        <v>-4.1805386999999999E-2</v>
      </c>
      <c r="F54" s="33">
        <v>-5.1962137000000005E-2</v>
      </c>
      <c r="G54" s="33">
        <v>-6.5393449999999994E-3</v>
      </c>
      <c r="H54" s="33">
        <v>-2.6203156000000002E-2</v>
      </c>
      <c r="I54" s="33">
        <v>-1.7979622000000001E-2</v>
      </c>
      <c r="J54" s="33">
        <v>-1.0121644000000001E-2</v>
      </c>
      <c r="K54" s="33">
        <v>-3.2740653000000002E-2</v>
      </c>
      <c r="L54" s="33">
        <v>-3.035146E-2</v>
      </c>
      <c r="M54" s="33">
        <v>-2.4067162999999999E-2</v>
      </c>
      <c r="N54" s="33">
        <v>-1.7426908000000001E-2</v>
      </c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35">
      <c r="A55" s="2">
        <v>43315</v>
      </c>
      <c r="B55" s="33">
        <v>-2.3863374999999999E-2</v>
      </c>
      <c r="C55" s="33">
        <v>1.2929082000000001E-2</v>
      </c>
      <c r="D55" s="33">
        <v>2.8129339999999999E-2</v>
      </c>
      <c r="E55" s="33">
        <v>2.5392532000000002E-2</v>
      </c>
      <c r="F55" s="33">
        <v>2.8988122999999998E-2</v>
      </c>
      <c r="G55" s="33">
        <v>5.9057592999999999E-2</v>
      </c>
      <c r="H55" s="33">
        <v>2.9003619999999999E-4</v>
      </c>
      <c r="I55" s="33">
        <v>5.4332494999999995E-2</v>
      </c>
      <c r="J55" s="33">
        <v>4.688084E-2</v>
      </c>
      <c r="K55" s="33">
        <v>2.9855610000000001E-2</v>
      </c>
      <c r="L55" s="33">
        <v>4.2146800000000005E-2</v>
      </c>
      <c r="M55" s="33">
        <v>4.0769696000000001E-2</v>
      </c>
      <c r="N55" s="33">
        <v>-3.7969947E-3</v>
      </c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35">
      <c r="A56" s="2">
        <v>43347</v>
      </c>
      <c r="B56" s="33">
        <v>2.2549986999999997E-2</v>
      </c>
      <c r="C56" s="33">
        <v>-2.1126746999999998E-2</v>
      </c>
      <c r="D56" s="33">
        <v>-3.112173E-2</v>
      </c>
      <c r="E56" s="33">
        <v>-2.6067138E-2</v>
      </c>
      <c r="F56" s="33">
        <v>-1.8268704E-2</v>
      </c>
      <c r="G56" s="33">
        <v>-2.8893948000000003E-3</v>
      </c>
      <c r="H56" s="33">
        <v>-3.3343017000000003E-2</v>
      </c>
      <c r="I56" s="33">
        <v>3.2041311000000003E-2</v>
      </c>
      <c r="J56" s="33">
        <v>2.1896958000000001E-2</v>
      </c>
      <c r="K56" s="33">
        <v>-2.3574352E-2</v>
      </c>
      <c r="L56" s="33">
        <v>-2.7804077E-2</v>
      </c>
      <c r="M56" s="33">
        <v>-2.8204322E-3</v>
      </c>
      <c r="N56" s="33">
        <v>-4.712409E-2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35">
      <c r="A57" s="2">
        <v>43377</v>
      </c>
      <c r="B57" s="33">
        <v>-3.0502856000000002E-2</v>
      </c>
      <c r="C57" s="33">
        <v>-2.9676258999999997E-2</v>
      </c>
      <c r="D57" s="33">
        <v>1.3060331000000001E-2</v>
      </c>
      <c r="E57" s="33">
        <v>-1.4051497E-2</v>
      </c>
      <c r="F57" s="33">
        <v>2.8869509999999998E-2</v>
      </c>
      <c r="G57" s="33">
        <v>-9.2726945999999991E-3</v>
      </c>
      <c r="H57" s="33">
        <v>1.2297511000000001E-2</v>
      </c>
      <c r="I57" s="33">
        <v>-1.6911209E-2</v>
      </c>
      <c r="J57" s="33">
        <v>3.2471418000000001E-3</v>
      </c>
      <c r="K57" s="33">
        <v>2.6100874000000002E-3</v>
      </c>
      <c r="L57" s="33">
        <v>-3.8349031999999998E-2</v>
      </c>
      <c r="M57" s="33">
        <v>7.2281359999999996E-3</v>
      </c>
      <c r="N57" s="33">
        <v>-6.1818360000000004E-3</v>
      </c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35">
      <c r="A58" s="2">
        <v>43406</v>
      </c>
      <c r="B58" s="33">
        <v>-2.0408154000000001E-2</v>
      </c>
      <c r="C58" s="33">
        <v>-3.2437502999999999E-2</v>
      </c>
      <c r="D58" s="33">
        <v>-6.8292736999999992E-2</v>
      </c>
      <c r="E58" s="33">
        <v>-5.7346399999999999E-2</v>
      </c>
      <c r="F58" s="33">
        <v>-6.9979725000000007E-2</v>
      </c>
      <c r="G58" s="33">
        <v>-2.8663337000000001E-2</v>
      </c>
      <c r="H58" s="33">
        <v>-4.4148207000000002E-2</v>
      </c>
      <c r="I58" s="33">
        <v>-7.1279763999999995E-2</v>
      </c>
      <c r="J58" s="33">
        <v>-6.0634317E-2</v>
      </c>
      <c r="K58" s="33">
        <v>-6.3130435999999998E-2</v>
      </c>
      <c r="L58" s="33">
        <v>-3.3457219999999996E-2</v>
      </c>
      <c r="M58" s="33">
        <v>-6.5834580000000004E-2</v>
      </c>
      <c r="N58" s="33">
        <v>-5.7446003000000002E-2</v>
      </c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35">
      <c r="A59" s="2">
        <v>43438</v>
      </c>
      <c r="B59" s="33">
        <v>4.3402789999999997E-2</v>
      </c>
      <c r="C59" s="33">
        <v>-1.3888836E-2</v>
      </c>
      <c r="D59" s="33">
        <v>-1.1219144E-2</v>
      </c>
      <c r="E59" s="33">
        <v>-4.6796319999999995E-2</v>
      </c>
      <c r="F59" s="33">
        <v>-1.8175185E-2</v>
      </c>
      <c r="G59" s="33">
        <v>-5.7211520000000002E-3</v>
      </c>
      <c r="H59" s="33">
        <v>-3.7507712999999998E-2</v>
      </c>
      <c r="I59" s="33">
        <v>-2.1608233000000001E-2</v>
      </c>
      <c r="J59" s="33">
        <v>-6.0319303999999997E-3</v>
      </c>
      <c r="K59" s="33">
        <v>-3.9597153999999996E-2</v>
      </c>
      <c r="L59" s="33">
        <v>-1.7482519000000002E-2</v>
      </c>
      <c r="M59" s="33">
        <v>-3.2398164E-2</v>
      </c>
      <c r="N59" s="33">
        <v>-2.4068355999999999E-2</v>
      </c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35">
      <c r="A60" s="2">
        <v>43469</v>
      </c>
      <c r="B60" s="33">
        <v>-1.6525506999999998E-2</v>
      </c>
      <c r="C60" s="33">
        <v>-9.8301770000000007E-3</v>
      </c>
      <c r="D60" s="33">
        <v>-5.2090405999999999E-2</v>
      </c>
      <c r="E60" s="33">
        <v>-2.7190328E-2</v>
      </c>
      <c r="F60" s="33">
        <v>-2.1159827999999999E-2</v>
      </c>
      <c r="G60" s="33">
        <v>-2.9678939999999997E-2</v>
      </c>
      <c r="H60" s="33">
        <v>-1.4011145000000001E-2</v>
      </c>
      <c r="I60" s="33">
        <v>-5.4502068000000001E-2</v>
      </c>
      <c r="J60" s="33">
        <v>-6.0517550000000003E-2</v>
      </c>
      <c r="K60" s="33">
        <v>-3.3187149999999999E-2</v>
      </c>
      <c r="L60" s="33">
        <v>-5.311304E-2</v>
      </c>
      <c r="M60" s="33">
        <v>-1.5981436000000002E-2</v>
      </c>
      <c r="N60" s="33">
        <v>3.1099320000000001E-3</v>
      </c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35">
      <c r="A61" s="2">
        <v>43500</v>
      </c>
      <c r="B61" s="33">
        <v>4.1980624000000001E-2</v>
      </c>
      <c r="C61" s="33">
        <v>5.6036710000000003E-2</v>
      </c>
      <c r="D61" s="33">
        <v>0.10344828</v>
      </c>
      <c r="E61" s="33">
        <v>4.1149020000000001E-2</v>
      </c>
      <c r="F61" s="33">
        <v>3.2590031999999998E-2</v>
      </c>
      <c r="G61" s="33">
        <v>4.0262219999999994E-2</v>
      </c>
      <c r="H61" s="33">
        <v>5.7743669999999997E-2</v>
      </c>
      <c r="I61" s="33">
        <v>8.5130929999999994E-2</v>
      </c>
      <c r="J61" s="33">
        <v>7.753873E-2</v>
      </c>
      <c r="K61" s="33">
        <v>6.1255097000000001E-2</v>
      </c>
      <c r="L61" s="33">
        <v>7.9682826999999998E-2</v>
      </c>
      <c r="M61" s="33">
        <v>5.4405093000000002E-2</v>
      </c>
      <c r="N61" s="33">
        <v>4.9799204E-2</v>
      </c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35">
      <c r="A62" s="2">
        <v>43528</v>
      </c>
      <c r="B62" s="33">
        <v>3.285122E-2</v>
      </c>
      <c r="C62" s="33">
        <v>2.8461218E-2</v>
      </c>
      <c r="D62" s="33">
        <v>1.6544104E-2</v>
      </c>
      <c r="E62" s="33">
        <v>2.0507097000000002E-2</v>
      </c>
      <c r="F62" s="33">
        <v>3.1377076999999998E-3</v>
      </c>
      <c r="G62" s="33">
        <v>4.2604210000000003E-2</v>
      </c>
      <c r="H62" s="33">
        <v>2.7137875999999998E-2</v>
      </c>
      <c r="I62" s="33">
        <v>2.8844476000000001E-2</v>
      </c>
      <c r="J62" s="33">
        <v>2.7356981999999998E-2</v>
      </c>
      <c r="K62" s="33">
        <v>4.4971704000000001E-2</v>
      </c>
      <c r="L62" s="33">
        <v>3.8824797000000001E-2</v>
      </c>
      <c r="M62" s="33">
        <v>3.9945839999999998E-3</v>
      </c>
      <c r="N62" s="33">
        <v>3.7107944000000004E-2</v>
      </c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35">
      <c r="A63" s="2">
        <v>43559</v>
      </c>
      <c r="B63" s="33">
        <v>3.9207816E-2</v>
      </c>
      <c r="C63" s="33">
        <v>1.4540315E-2</v>
      </c>
      <c r="D63" s="33">
        <v>1.4466524000000001E-2</v>
      </c>
      <c r="E63" s="33">
        <v>1.9729613999999999E-2</v>
      </c>
      <c r="F63" s="33">
        <v>1.8031359E-2</v>
      </c>
      <c r="G63" s="33">
        <v>2.5323749000000003E-2</v>
      </c>
      <c r="H63" s="33">
        <v>3.5944820000000002E-2</v>
      </c>
      <c r="I63" s="33">
        <v>5.5175780000000001E-2</v>
      </c>
      <c r="J63" s="33">
        <v>3.2350897999999996E-2</v>
      </c>
      <c r="K63" s="33">
        <v>2.2704124000000003E-2</v>
      </c>
      <c r="L63" s="33">
        <v>3.0976415E-2</v>
      </c>
      <c r="M63" s="33">
        <v>4.4098140000000001E-2</v>
      </c>
      <c r="N63" s="33">
        <v>3.9468765000000003E-2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35">
      <c r="A64" s="2">
        <v>43588</v>
      </c>
      <c r="B64" s="33">
        <v>9.6249580000000001E-4</v>
      </c>
      <c r="C64" s="33">
        <v>9.2464685000000005E-3</v>
      </c>
      <c r="D64" s="33">
        <v>1.1764646E-2</v>
      </c>
      <c r="E64" s="33">
        <v>3.7262678E-2</v>
      </c>
      <c r="F64" s="33">
        <v>1.1386156000000001E-2</v>
      </c>
      <c r="G64" s="33">
        <v>1.8523693000000001E-2</v>
      </c>
      <c r="H64" s="33">
        <v>4.4482946000000004E-3</v>
      </c>
      <c r="I64" s="33">
        <v>4.0280820000000002E-2</v>
      </c>
      <c r="J64" s="33">
        <v>2.3852706000000001E-2</v>
      </c>
      <c r="K64" s="33">
        <v>1.7892598999999999E-2</v>
      </c>
      <c r="L64" s="33">
        <v>3.2005189999999996E-2</v>
      </c>
      <c r="M64" s="33">
        <v>1.6830801999999999E-2</v>
      </c>
      <c r="N64" s="33">
        <v>-1.4194845999999999E-3</v>
      </c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35">
      <c r="A65" s="2">
        <v>43620</v>
      </c>
      <c r="B65" s="33">
        <v>-2.1153808E-2</v>
      </c>
      <c r="C65" s="33">
        <v>9.619832E-3</v>
      </c>
      <c r="D65" s="33">
        <v>-2.0436942999999999E-2</v>
      </c>
      <c r="E65" s="33">
        <v>-4.421419E-2</v>
      </c>
      <c r="F65" s="33">
        <v>-4.1458187000000007E-2</v>
      </c>
      <c r="G65" s="33">
        <v>8.5421799999999999E-3</v>
      </c>
      <c r="H65" s="33">
        <v>-5.1372824000000004E-2</v>
      </c>
      <c r="I65" s="33">
        <v>-8.4767930000000005E-2</v>
      </c>
      <c r="J65" s="33">
        <v>-4.5913696000000004E-2</v>
      </c>
      <c r="K65" s="33">
        <v>-3.6783813999999998E-2</v>
      </c>
      <c r="L65" s="33">
        <v>-4.5253158000000002E-2</v>
      </c>
      <c r="M65" s="33">
        <v>-7.0580900000000002E-2</v>
      </c>
      <c r="N65" s="33">
        <v>-4.5842169999999995E-2</v>
      </c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35">
      <c r="A66" s="2">
        <v>43649</v>
      </c>
      <c r="B66" s="33">
        <v>7.5347543000000003E-2</v>
      </c>
      <c r="C66" s="33">
        <v>5.4226400000000001E-2</v>
      </c>
      <c r="D66" s="33">
        <v>5.2643776000000003E-2</v>
      </c>
      <c r="E66" s="33">
        <v>5.3398729999999998E-2</v>
      </c>
      <c r="F66" s="33">
        <v>4.7644140000000001E-2</v>
      </c>
      <c r="G66" s="33">
        <v>5.5404663E-2</v>
      </c>
      <c r="H66" s="33">
        <v>4.641199E-2</v>
      </c>
      <c r="I66" s="33">
        <v>9.6923110000000007E-2</v>
      </c>
      <c r="J66" s="33">
        <v>7.0313453999999997E-2</v>
      </c>
      <c r="K66" s="33">
        <v>7.2589397E-2</v>
      </c>
      <c r="L66" s="33">
        <v>6.4683675999999996E-2</v>
      </c>
      <c r="M66" s="33">
        <v>8.8193779999999999E-2</v>
      </c>
      <c r="N66" s="33">
        <v>8.9911350000000001E-2</v>
      </c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35">
      <c r="A67" s="2">
        <v>43679</v>
      </c>
      <c r="B67" s="33">
        <v>4.0801763999999997E-3</v>
      </c>
      <c r="C67" s="33">
        <v>-2.5032937999999998E-2</v>
      </c>
      <c r="D67" s="33">
        <v>-3.2413839999999999E-2</v>
      </c>
      <c r="E67" s="33">
        <v>-6.5209745999999999E-2</v>
      </c>
      <c r="F67" s="33">
        <v>-2.9269099999999999E-2</v>
      </c>
      <c r="G67" s="33">
        <v>-1.5852034000000001E-2</v>
      </c>
      <c r="H67" s="33">
        <v>-6.3148259999999998E-2</v>
      </c>
      <c r="I67" s="33">
        <v>-2.136439E-2</v>
      </c>
      <c r="J67" s="33">
        <v>-2.0682692999999999E-2</v>
      </c>
      <c r="K67" s="33">
        <v>-5.7797850000000005E-2</v>
      </c>
      <c r="L67" s="33">
        <v>-2.8070211000000001E-2</v>
      </c>
      <c r="M67" s="33">
        <v>-8.3811339999999998E-2</v>
      </c>
      <c r="N67" s="33">
        <v>-5.1272989999999997E-2</v>
      </c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35">
      <c r="A68" s="2">
        <v>43712</v>
      </c>
      <c r="B68" s="33">
        <v>-1.1267126000000001E-2</v>
      </c>
      <c r="C68" s="33">
        <v>-1.7567634999999998E-2</v>
      </c>
      <c r="D68" s="33">
        <v>8.9094640000000006E-3</v>
      </c>
      <c r="E68" s="33">
        <v>7.5411800000000002E-4</v>
      </c>
      <c r="F68" s="33">
        <v>3.5146474999999998E-3</v>
      </c>
      <c r="G68" s="33">
        <v>1.2617468999999999E-2</v>
      </c>
      <c r="H68" s="33">
        <v>3.9075613E-3</v>
      </c>
      <c r="I68" s="33">
        <v>5.2307844000000006E-3</v>
      </c>
      <c r="J68" s="33">
        <v>4.8527717999999999E-3</v>
      </c>
      <c r="K68" s="33">
        <v>2.1932839999999999E-2</v>
      </c>
      <c r="L68" s="33">
        <v>1.6409636000000002E-2</v>
      </c>
      <c r="M68" s="33">
        <v>-5.9130190000000003E-3</v>
      </c>
      <c r="N68" s="33">
        <v>2.4599313999999997E-2</v>
      </c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35">
      <c r="A69" s="2">
        <v>43742</v>
      </c>
      <c r="B69" s="33">
        <v>-1.8681109000000001E-2</v>
      </c>
      <c r="C69" s="33">
        <v>4.5847892999999998E-4</v>
      </c>
      <c r="D69" s="33">
        <v>-7.0643425000000001E-4</v>
      </c>
      <c r="E69" s="33">
        <v>-3.7679076000000002E-3</v>
      </c>
      <c r="F69" s="33">
        <v>4.5529960000000001E-2</v>
      </c>
      <c r="G69" s="33">
        <v>-1.8292724999999999E-2</v>
      </c>
      <c r="H69" s="33">
        <v>-7.784605E-3</v>
      </c>
      <c r="I69" s="33">
        <v>4.5703649999999998E-3</v>
      </c>
      <c r="J69" s="33">
        <v>5.6978463999999996E-3</v>
      </c>
      <c r="K69" s="33">
        <v>-1.0731040999999998E-2</v>
      </c>
      <c r="L69" s="33">
        <v>1.6144514E-3</v>
      </c>
      <c r="M69" s="33">
        <v>1.7493963000000002E-3</v>
      </c>
      <c r="N69" s="33">
        <v>-1.9643485999999998E-2</v>
      </c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35">
      <c r="A70" s="2">
        <v>43773</v>
      </c>
      <c r="B70" s="33">
        <v>6.6628455999999999E-3</v>
      </c>
      <c r="C70" s="33">
        <v>3.9871693E-2</v>
      </c>
      <c r="D70" s="33">
        <v>3.3580779999999998E-2</v>
      </c>
      <c r="E70" s="33">
        <v>9.9470500000000003E-2</v>
      </c>
      <c r="F70" s="33">
        <v>5.1833509999999999E-2</v>
      </c>
      <c r="G70" s="33">
        <v>4.8609375999999996E-2</v>
      </c>
      <c r="H70" s="33">
        <v>7.2899580000000005E-2</v>
      </c>
      <c r="I70" s="33">
        <v>5.9795619999999994E-2</v>
      </c>
      <c r="J70" s="33">
        <v>4.4232964999999999E-2</v>
      </c>
      <c r="K70" s="33">
        <v>7.1525455000000002E-2</v>
      </c>
      <c r="L70" s="33">
        <v>4.2875530000000002E-2</v>
      </c>
      <c r="M70" s="33">
        <v>0.12713945000000001</v>
      </c>
      <c r="N70" s="33">
        <v>9.4990729999999995E-2</v>
      </c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35">
      <c r="A71" s="2">
        <v>43803</v>
      </c>
      <c r="B71" s="33">
        <v>6.637668599999999E-2</v>
      </c>
      <c r="C71" s="33">
        <v>-8.3737372999999997E-3</v>
      </c>
      <c r="D71" s="33">
        <v>6.4979790000000001E-3</v>
      </c>
      <c r="E71" s="33">
        <v>-2.4079679999999999E-3</v>
      </c>
      <c r="F71" s="33">
        <v>9.2189309999999997E-3</v>
      </c>
      <c r="G71" s="33">
        <v>7.7259539999999997E-4</v>
      </c>
      <c r="H71" s="33">
        <v>-5.4844619999999998E-3</v>
      </c>
      <c r="I71" s="33">
        <v>1.1644125E-2</v>
      </c>
      <c r="J71" s="33">
        <v>1.3306379E-2</v>
      </c>
      <c r="K71" s="33">
        <v>-6.6434739999999999E-3</v>
      </c>
      <c r="L71" s="33">
        <v>7.1098804000000008E-3</v>
      </c>
      <c r="M71" s="33">
        <v>-8.6768269999999998E-3</v>
      </c>
      <c r="N71" s="33">
        <v>-2.0332098E-2</v>
      </c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35">
      <c r="A72" s="2">
        <v>43833</v>
      </c>
      <c r="B72" s="33">
        <v>3.9060472999999998E-2</v>
      </c>
      <c r="C72" s="33">
        <v>1.9992352000000001E-2</v>
      </c>
      <c r="D72" s="33">
        <v>2.7121425000000001E-2</v>
      </c>
      <c r="E72" s="33">
        <v>1.0689615999999999E-2</v>
      </c>
      <c r="F72" s="33">
        <v>-5.0980449999999998E-3</v>
      </c>
      <c r="G72" s="33">
        <v>4.7092080000000001E-2</v>
      </c>
      <c r="H72" s="33">
        <v>5.4916263E-2</v>
      </c>
      <c r="I72" s="33">
        <v>6.0330750000000002E-2</v>
      </c>
      <c r="J72" s="33">
        <v>4.0224194999999997E-2</v>
      </c>
      <c r="K72" s="33">
        <v>4.0427565999999998E-2</v>
      </c>
      <c r="L72" s="33">
        <v>4.2016625000000002E-2</v>
      </c>
      <c r="M72" s="33">
        <v>4.1971087000000004E-2</v>
      </c>
      <c r="N72" s="33">
        <v>2.7164220000000003E-2</v>
      </c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35">
      <c r="A73" s="2">
        <v>43865</v>
      </c>
      <c r="B73" s="33">
        <v>-2.143979E-2</v>
      </c>
      <c r="C73" s="33">
        <v>8.8889599999999996E-3</v>
      </c>
      <c r="D73" s="33">
        <v>6.0342549999999997E-3</v>
      </c>
      <c r="E73" s="33">
        <v>-7.1647763E-3</v>
      </c>
      <c r="F73" s="33">
        <v>-2.1959543000000001E-3</v>
      </c>
      <c r="G73" s="33">
        <v>1.4254211999999999E-2</v>
      </c>
      <c r="H73" s="33">
        <v>-2.7777731E-2</v>
      </c>
      <c r="I73" s="33">
        <v>6.20507E-2</v>
      </c>
      <c r="J73" s="33">
        <v>2.0625950000000001E-2</v>
      </c>
      <c r="K73" s="33">
        <v>-1.9018352000000002E-2</v>
      </c>
      <c r="L73" s="33">
        <v>-5.0281286E-3</v>
      </c>
      <c r="M73" s="33">
        <v>9.1135499999999998E-4</v>
      </c>
      <c r="N73" s="33">
        <v>-2.3736954E-3</v>
      </c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35">
      <c r="A74" s="2">
        <v>43894</v>
      </c>
      <c r="B74" s="33">
        <v>-1.8525124E-2</v>
      </c>
      <c r="C74" s="33">
        <v>-8.5022029999999998E-2</v>
      </c>
      <c r="D74" s="33">
        <v>-5.5648146000000002E-2</v>
      </c>
      <c r="E74" s="33">
        <v>-6.8041204999999993E-2</v>
      </c>
      <c r="F74" s="33">
        <v>-8.4306769999999989E-2</v>
      </c>
      <c r="G74" s="33">
        <v>-2.253455E-2</v>
      </c>
      <c r="H74" s="33">
        <v>-7.8115519999999994E-2</v>
      </c>
      <c r="I74" s="33">
        <v>-4.0664730000000003E-2</v>
      </c>
      <c r="J74" s="33">
        <v>-4.9231170000000005E-2</v>
      </c>
      <c r="K74" s="33">
        <v>-5.4409026999999999E-2</v>
      </c>
      <c r="L74" s="33">
        <v>-4.5481562999999996E-2</v>
      </c>
      <c r="M74" s="33">
        <v>-3.7632823000000003E-2</v>
      </c>
      <c r="N74" s="33">
        <v>-6.0163140000000004E-2</v>
      </c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35">
      <c r="A75" s="2">
        <v>43924</v>
      </c>
      <c r="B75" s="33">
        <v>-0.19453715999999999</v>
      </c>
      <c r="C75" s="33">
        <v>-0.2859894</v>
      </c>
      <c r="D75" s="33">
        <v>-0.25864500000000001</v>
      </c>
      <c r="E75" s="33">
        <v>-0.24668144000000003</v>
      </c>
      <c r="F75" s="33">
        <v>-0.13902754000000001</v>
      </c>
      <c r="G75" s="33">
        <v>-0.13881999</v>
      </c>
      <c r="H75" s="33">
        <v>-0.25651174999999998</v>
      </c>
      <c r="I75" s="33">
        <v>-0.15791339000000001</v>
      </c>
      <c r="J75" s="33">
        <v>-0.20183247000000001</v>
      </c>
      <c r="K75" s="33">
        <v>-0.27744704999999997</v>
      </c>
      <c r="L75" s="33">
        <v>-0.22734355999999997</v>
      </c>
      <c r="M75" s="33">
        <v>-0.248502</v>
      </c>
      <c r="N75" s="33">
        <v>-0.29150086999999997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35">
      <c r="A76" s="2">
        <v>43955</v>
      </c>
      <c r="B76" s="33">
        <v>9.6189860000000002E-2</v>
      </c>
      <c r="C76" s="33">
        <v>0.11665535</v>
      </c>
      <c r="D76" s="33">
        <v>0.14040923</v>
      </c>
      <c r="E76" s="33">
        <v>0.12187958</v>
      </c>
      <c r="F76" s="33">
        <v>8.6536410000000008E-2</v>
      </c>
      <c r="G76" s="33">
        <v>4.9222827000000004E-2</v>
      </c>
      <c r="H76" s="33">
        <v>9.5787159999999996E-2</v>
      </c>
      <c r="I76" s="33">
        <v>0.17369259000000001</v>
      </c>
      <c r="J76" s="33">
        <v>0.14255213999999999</v>
      </c>
      <c r="K76" s="33">
        <v>8.7871909999999998E-2</v>
      </c>
      <c r="L76" s="33">
        <v>0.12132203999999999</v>
      </c>
      <c r="M76" s="33">
        <v>0.11665976</v>
      </c>
      <c r="N76" s="33">
        <v>4.9515010000000005E-2</v>
      </c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35">
      <c r="A77" s="2">
        <v>43986</v>
      </c>
      <c r="B77" s="33">
        <v>0.1286186</v>
      </c>
      <c r="C77" s="33">
        <v>0.19444454</v>
      </c>
      <c r="D77" s="33">
        <v>9.7662809999999989E-2</v>
      </c>
      <c r="E77" s="33">
        <v>0.21771383</v>
      </c>
      <c r="F77" s="33">
        <v>0.11166012</v>
      </c>
      <c r="G77" s="33">
        <v>8.0109710000000001E-2</v>
      </c>
      <c r="H77" s="33">
        <v>0.10360182</v>
      </c>
      <c r="I77" s="33">
        <v>9.2045309999999991E-2</v>
      </c>
      <c r="J77" s="33">
        <v>9.8000409999999996E-2</v>
      </c>
      <c r="K77" s="33">
        <v>0.18300379</v>
      </c>
      <c r="L77" s="33">
        <v>0.17361618000000001</v>
      </c>
      <c r="M77" s="33">
        <v>0.21044720000000003</v>
      </c>
      <c r="N77" s="33">
        <v>0.19795715000000003</v>
      </c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35">
      <c r="A78" s="2">
        <v>44014</v>
      </c>
      <c r="B78" s="33">
        <v>4.9372434999999999E-2</v>
      </c>
      <c r="C78" s="33">
        <v>1.7390012999999999E-2</v>
      </c>
      <c r="D78" s="33">
        <v>4.6420096999999998E-4</v>
      </c>
      <c r="E78" s="33">
        <v>-1.8804072999999998E-3</v>
      </c>
      <c r="F78" s="33">
        <v>-1.1336684E-2</v>
      </c>
      <c r="G78" s="33">
        <v>1.9616127000000001E-2</v>
      </c>
      <c r="H78" s="33">
        <v>-2.6907443999999999E-2</v>
      </c>
      <c r="I78" s="33">
        <v>7.4856996999999995E-2</v>
      </c>
      <c r="J78" s="33">
        <v>7.2332620000000007E-3</v>
      </c>
      <c r="K78" s="33">
        <v>-3.4888387E-3</v>
      </c>
      <c r="L78" s="33">
        <v>2.2644042999999999E-2</v>
      </c>
      <c r="M78" s="33">
        <v>-1.7410755E-2</v>
      </c>
      <c r="N78" s="33">
        <v>8.4105729999999993E-3</v>
      </c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35">
      <c r="A79" s="2">
        <v>44047</v>
      </c>
      <c r="B79" s="33">
        <v>3.2849908000000004E-2</v>
      </c>
      <c r="C79" s="33">
        <v>2.4710059999999999E-2</v>
      </c>
      <c r="D79" s="33">
        <v>6.6026926E-2</v>
      </c>
      <c r="E79" s="33">
        <v>5.1867960000000005E-2</v>
      </c>
      <c r="F79" s="33">
        <v>1.6131996999999999E-2</v>
      </c>
      <c r="G79" s="33">
        <v>4.3544292000000005E-2</v>
      </c>
      <c r="H79" s="33">
        <v>1.4154553E-2</v>
      </c>
      <c r="I79" s="33">
        <v>7.2128177000000002E-2</v>
      </c>
      <c r="J79" s="33">
        <v>5.7105303000000003E-2</v>
      </c>
      <c r="K79" s="33">
        <v>2.8735637999999997E-2</v>
      </c>
      <c r="L79" s="33">
        <v>4.9713849999999997E-2</v>
      </c>
      <c r="M79" s="33">
        <v>0.10206032000000001</v>
      </c>
      <c r="N79" s="33">
        <v>3.9056182000000002E-2</v>
      </c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35">
      <c r="A80" s="2">
        <v>44078</v>
      </c>
      <c r="B80" s="33">
        <v>4.7369003000000002E-3</v>
      </c>
      <c r="C80" s="33">
        <v>-1.4763474E-3</v>
      </c>
      <c r="D80" s="33">
        <v>1.5844344999999999E-2</v>
      </c>
      <c r="E80" s="33">
        <v>2.9310345999999998E-2</v>
      </c>
      <c r="F80" s="33">
        <v>3.5497664999999998E-2</v>
      </c>
      <c r="G80" s="33">
        <v>8.2484484000000004E-3</v>
      </c>
      <c r="H80" s="33">
        <v>-1.3202607999999999E-2</v>
      </c>
      <c r="I80" s="33">
        <v>4.8820139999999998E-2</v>
      </c>
      <c r="J80" s="33">
        <v>3.7902235999999999E-2</v>
      </c>
      <c r="K80" s="33">
        <v>2.3393869999999997E-2</v>
      </c>
      <c r="L80" s="33">
        <v>8.6104870000000002E-4</v>
      </c>
      <c r="M80" s="33">
        <v>2.2720813999999999E-2</v>
      </c>
      <c r="N80" s="33">
        <v>0</v>
      </c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35">
      <c r="A81" s="2">
        <v>44106</v>
      </c>
      <c r="B81" s="33">
        <v>-1.7285763999999999E-2</v>
      </c>
      <c r="C81" s="33">
        <v>-2.1685599999999999E-2</v>
      </c>
      <c r="D81" s="33">
        <v>-2.3750365000000002E-2</v>
      </c>
      <c r="E81" s="33">
        <v>-2.2780597E-2</v>
      </c>
      <c r="F81" s="33">
        <v>1.2747645E-2</v>
      </c>
      <c r="G81" s="33">
        <v>-1.9249916E-3</v>
      </c>
      <c r="H81" s="33">
        <v>-1.6055048000000002E-2</v>
      </c>
      <c r="I81" s="33">
        <v>-3.1285225999999999E-2</v>
      </c>
      <c r="J81" s="33">
        <v>-2.1536767000000002E-2</v>
      </c>
      <c r="K81" s="33">
        <v>-4.1282835000000004E-2</v>
      </c>
      <c r="L81" s="33">
        <v>1.4625787999999999E-2</v>
      </c>
      <c r="M81" s="33">
        <v>-5.9055685999999993E-3</v>
      </c>
      <c r="N81" s="33">
        <v>-4.1895149999999999E-2</v>
      </c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35">
      <c r="A82" s="2">
        <v>44139</v>
      </c>
      <c r="B82" s="33">
        <v>4.2691109999999997E-2</v>
      </c>
      <c r="C82" s="33">
        <v>3.4256935000000002E-2</v>
      </c>
      <c r="D82" s="33">
        <v>3.6299230000000002E-4</v>
      </c>
      <c r="E82" s="33">
        <v>-4.4223546999999995E-2</v>
      </c>
      <c r="F82" s="33">
        <v>2.0411609999999997E-2</v>
      </c>
      <c r="G82" s="33">
        <v>4.0984154000000004E-3</v>
      </c>
      <c r="H82" s="33">
        <v>-7.7699419999999993E-3</v>
      </c>
      <c r="I82" s="33">
        <v>4.5933485000000003E-2</v>
      </c>
      <c r="J82" s="33">
        <v>2.9055833999999999E-2</v>
      </c>
      <c r="K82" s="33">
        <v>1.2099624E-2</v>
      </c>
      <c r="L82" s="33">
        <v>1.4414906999999999E-2</v>
      </c>
      <c r="M82" s="33">
        <v>9.3352794999999999E-3</v>
      </c>
      <c r="N82" s="33">
        <v>3.6779642000000002E-3</v>
      </c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35">
      <c r="A83" s="2">
        <v>44169</v>
      </c>
      <c r="B83" s="33">
        <v>8.5366959999999992E-2</v>
      </c>
      <c r="C83" s="33">
        <v>0.14807593999999999</v>
      </c>
      <c r="D83" s="33">
        <v>0.13756811000000002</v>
      </c>
      <c r="E83" s="33">
        <v>0.11692977</v>
      </c>
      <c r="F83" s="33">
        <v>0.10118340999999999</v>
      </c>
      <c r="G83" s="33">
        <v>3.8415313E-2</v>
      </c>
      <c r="H83" s="33">
        <v>0.16875479999999998</v>
      </c>
      <c r="I83" s="33">
        <v>6.4863442999999993E-2</v>
      </c>
      <c r="J83" s="33">
        <v>7.6584934999999993E-2</v>
      </c>
      <c r="K83" s="33">
        <v>0.18389584</v>
      </c>
      <c r="L83" s="33">
        <v>0.12705493000000001</v>
      </c>
      <c r="M83" s="33">
        <v>0.11715244999999999</v>
      </c>
      <c r="N83" s="33">
        <v>0.19096088000000003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35">
      <c r="A84" s="2">
        <v>44200</v>
      </c>
      <c r="B84" s="33">
        <v>4.0187239999999999E-2</v>
      </c>
      <c r="C84" s="33">
        <v>2.8168201E-2</v>
      </c>
      <c r="D84" s="33">
        <v>-4.0763617000000004E-4</v>
      </c>
      <c r="E84" s="33">
        <v>4.5766830000000001E-2</v>
      </c>
      <c r="F84" s="33">
        <v>1.4556527E-2</v>
      </c>
      <c r="G84" s="33">
        <v>4.4938684E-2</v>
      </c>
      <c r="H84" s="33">
        <v>5.6971309999999994E-3</v>
      </c>
      <c r="I84" s="33">
        <v>1.4244794999999999E-2</v>
      </c>
      <c r="J84" s="33">
        <v>1.4014244E-3</v>
      </c>
      <c r="K84" s="33">
        <v>3.7561654999999998E-3</v>
      </c>
      <c r="L84" s="33">
        <v>4.1217566000000004E-2</v>
      </c>
      <c r="M84" s="33">
        <v>1.8605231999999999E-2</v>
      </c>
      <c r="N84" s="33">
        <v>2.2737026E-2</v>
      </c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35">
      <c r="A85" s="2">
        <v>44231</v>
      </c>
      <c r="B85" s="33">
        <v>-5.8892964999999993E-3</v>
      </c>
      <c r="C85" s="33">
        <v>2.1639585000000003E-2</v>
      </c>
      <c r="D85" s="33">
        <v>2.5210023000000002E-2</v>
      </c>
      <c r="E85" s="33">
        <v>9.6393824000000003E-3</v>
      </c>
      <c r="F85" s="33">
        <v>2.9209018000000003E-2</v>
      </c>
      <c r="G85" s="33">
        <v>-1.1290670000000001E-2</v>
      </c>
      <c r="H85" s="33">
        <v>-6.7389009999999994E-4</v>
      </c>
      <c r="I85" s="33">
        <v>6.7666770000000001E-2</v>
      </c>
      <c r="J85" s="33">
        <v>4.7181249999999994E-2</v>
      </c>
      <c r="K85" s="33">
        <v>-1.2191474000000001E-2</v>
      </c>
      <c r="L85" s="33">
        <v>3.9542674999999999E-2</v>
      </c>
      <c r="M85" s="33">
        <v>3.9206028000000004E-2</v>
      </c>
      <c r="N85" s="33">
        <v>8.7630750000000004E-3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35">
      <c r="A86" s="2">
        <v>44259</v>
      </c>
      <c r="B86" s="33">
        <v>-7.8495206999999997E-2</v>
      </c>
      <c r="C86" s="33">
        <v>1.8329978E-2</v>
      </c>
      <c r="D86" s="33">
        <v>2.868855E-2</v>
      </c>
      <c r="E86" s="33">
        <v>-1.0471224999999999E-2</v>
      </c>
      <c r="F86" s="33">
        <v>-1.6009271000000002E-2</v>
      </c>
      <c r="G86" s="33">
        <v>-3.6498009999999997E-2</v>
      </c>
      <c r="H86" s="33">
        <v>4.1132809999999999E-2</v>
      </c>
      <c r="I86" s="33">
        <v>-7.9154489999999994E-2</v>
      </c>
      <c r="J86" s="33">
        <v>-2.4573385999999999E-2</v>
      </c>
      <c r="K86" s="33">
        <v>2.5888084999999998E-2</v>
      </c>
      <c r="L86" s="33">
        <v>-1.5811144999999999E-2</v>
      </c>
      <c r="M86" s="33">
        <v>1.9102216000000002E-2</v>
      </c>
      <c r="N86" s="33">
        <v>-1.3364553000000002E-3</v>
      </c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35">
      <c r="A87" s="2">
        <v>44287</v>
      </c>
      <c r="B87" s="33">
        <v>2.0892620000000002E-3</v>
      </c>
      <c r="C87" s="33">
        <v>5.199909E-3</v>
      </c>
      <c r="D87" s="33">
        <v>6.1599729999999998E-2</v>
      </c>
      <c r="E87" s="33">
        <v>5.6644917000000003E-2</v>
      </c>
      <c r="F87" s="33">
        <v>2.2629738E-2</v>
      </c>
      <c r="G87" s="33">
        <v>4.4620037000000001E-2</v>
      </c>
      <c r="H87" s="33">
        <v>2.558291E-2</v>
      </c>
      <c r="I87" s="33">
        <v>6.8635463999999993E-2</v>
      </c>
      <c r="J87" s="33">
        <v>6.6961290000000007E-2</v>
      </c>
      <c r="K87" s="33">
        <v>3.8438916000000004E-2</v>
      </c>
      <c r="L87" s="33">
        <v>0.10291028000000001</v>
      </c>
      <c r="M87" s="33">
        <v>6.0215592000000005E-2</v>
      </c>
      <c r="N87" s="33">
        <v>6.4570069999999993E-2</v>
      </c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35">
      <c r="A88" s="2">
        <v>44320</v>
      </c>
      <c r="B88" s="33">
        <v>4.2502046000000002E-2</v>
      </c>
      <c r="C88" s="33">
        <v>3.7007569999999997E-2</v>
      </c>
      <c r="D88" s="33">
        <v>3.2043933999999996E-2</v>
      </c>
      <c r="E88" s="33">
        <v>3.2401085E-3</v>
      </c>
      <c r="F88" s="33">
        <v>-2.5744855000000001E-2</v>
      </c>
      <c r="G88" s="33">
        <v>2.4694085000000001E-2</v>
      </c>
      <c r="H88" s="33">
        <v>3.1259893999999996E-2</v>
      </c>
      <c r="I88" s="33">
        <v>1.7161131E-2</v>
      </c>
      <c r="J88" s="33">
        <v>3.7467836999999997E-2</v>
      </c>
      <c r="K88" s="33">
        <v>4.4927954999999999E-2</v>
      </c>
      <c r="L88" s="33">
        <v>-1.2665987000000001E-3</v>
      </c>
      <c r="M88" s="33">
        <v>1.7237544E-2</v>
      </c>
      <c r="N88" s="33">
        <v>-1.0370850000000001E-2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35">
      <c r="A89" s="2">
        <v>44351</v>
      </c>
      <c r="B89" s="33">
        <v>-3.6307693000000002E-2</v>
      </c>
      <c r="C89" s="33">
        <v>5.0652385000000001E-2</v>
      </c>
      <c r="D89" s="33">
        <v>6.881118E-2</v>
      </c>
      <c r="E89" s="33">
        <v>6.4004659999999991E-2</v>
      </c>
      <c r="F89" s="33">
        <v>3.2511949999999998E-2</v>
      </c>
      <c r="G89" s="33">
        <v>7.4250937000000003E-2</v>
      </c>
      <c r="H89" s="33">
        <v>4.4396877000000001E-2</v>
      </c>
      <c r="I89" s="33">
        <v>1.6538382000000001E-2</v>
      </c>
      <c r="J89" s="33">
        <v>1.6794205E-2</v>
      </c>
      <c r="K89" s="33">
        <v>6.0302854000000003E-2</v>
      </c>
      <c r="L89" s="33">
        <v>5.6013464999999998E-2</v>
      </c>
      <c r="M89" s="33">
        <v>7.1475150000000001E-2</v>
      </c>
      <c r="N89" s="33">
        <v>8.3201049999999999E-2</v>
      </c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35">
      <c r="A90" s="2">
        <v>44379</v>
      </c>
      <c r="B90" s="33">
        <v>-7.0586800000000003E-3</v>
      </c>
      <c r="C90" s="33">
        <v>-3.1611502E-2</v>
      </c>
      <c r="D90" s="33">
        <v>-9.1173649999999988E-3</v>
      </c>
      <c r="E90" s="33">
        <v>-2.3419142E-2</v>
      </c>
      <c r="F90" s="33">
        <v>-1.6413033E-2</v>
      </c>
      <c r="G90" s="33">
        <v>7.7415705000000003E-3</v>
      </c>
      <c r="H90" s="33">
        <v>-1.5002310000000001E-2</v>
      </c>
      <c r="I90" s="33">
        <v>6.9884420000000003E-2</v>
      </c>
      <c r="J90" s="33">
        <v>2.9716491999999997E-2</v>
      </c>
      <c r="K90" s="33">
        <v>-1.8228589999999999E-2</v>
      </c>
      <c r="L90" s="33">
        <v>-2.4406313999999998E-2</v>
      </c>
      <c r="M90" s="33">
        <v>-2.4225712E-2</v>
      </c>
      <c r="N90" s="33">
        <v>-3.4692883000000001E-2</v>
      </c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35">
      <c r="A91" s="2">
        <v>44412</v>
      </c>
      <c r="B91" s="33">
        <v>6.8137645999999993E-3</v>
      </c>
      <c r="C91" s="33">
        <v>0</v>
      </c>
      <c r="D91" s="33">
        <v>-1.1692882E-2</v>
      </c>
      <c r="E91" s="33">
        <v>-5.7470800000000005E-4</v>
      </c>
      <c r="F91" s="33">
        <v>-5.1539539999999997E-3</v>
      </c>
      <c r="G91" s="33">
        <v>3.0433058999999998E-2</v>
      </c>
      <c r="H91" s="33">
        <v>4.8426390000000001E-3</v>
      </c>
      <c r="I91" s="33">
        <v>2.4258255999999999E-2</v>
      </c>
      <c r="J91" s="33">
        <v>1.2127638000000001E-2</v>
      </c>
      <c r="K91" s="33">
        <v>2.04885E-2</v>
      </c>
      <c r="L91" s="33">
        <v>4.4196724999999999E-2</v>
      </c>
      <c r="M91" s="33">
        <v>3.9549232000000004E-2</v>
      </c>
      <c r="N91" s="33">
        <v>3.0744075999999997E-4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35">
      <c r="A92" s="2">
        <v>44442</v>
      </c>
      <c r="B92" s="33">
        <v>4.3667315999999998E-2</v>
      </c>
      <c r="C92" s="33">
        <v>1.4914035999999999E-2</v>
      </c>
      <c r="D92" s="33">
        <v>2.4468898999999999E-2</v>
      </c>
      <c r="E92" s="33">
        <v>9.7757580000000007E-3</v>
      </c>
      <c r="F92" s="33">
        <v>6.2907099999999994E-2</v>
      </c>
      <c r="G92" s="33">
        <v>5.7482719999999996E-3</v>
      </c>
      <c r="H92" s="33">
        <v>8.1325770000000002E-3</v>
      </c>
      <c r="I92" s="33">
        <v>3.8738012000000002E-2</v>
      </c>
      <c r="J92" s="33">
        <v>3.2119870000000002E-2</v>
      </c>
      <c r="K92" s="33">
        <v>4.6331882E-3</v>
      </c>
      <c r="L92" s="33">
        <v>6.1511040000000003E-2</v>
      </c>
      <c r="M92" s="33">
        <v>-4.2953490000000004E-3</v>
      </c>
      <c r="N92" s="33">
        <v>1.7516851E-2</v>
      </c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35">
      <c r="A93" s="2">
        <v>44473</v>
      </c>
      <c r="B93" s="33">
        <v>-3.1032860000000002E-2</v>
      </c>
      <c r="C93" s="33">
        <v>-5.6141734000000006E-2</v>
      </c>
      <c r="D93" s="33">
        <v>-3.8057685000000001E-2</v>
      </c>
      <c r="E93" s="33">
        <v>-6.9476070000000001E-2</v>
      </c>
      <c r="F93" s="33">
        <v>-5.3195952999999997E-2</v>
      </c>
      <c r="G93" s="33">
        <v>-7.4300346000000003E-2</v>
      </c>
      <c r="H93" s="33">
        <v>-3.0475080000000002E-2</v>
      </c>
      <c r="I93" s="33">
        <v>-7.4824810000000005E-2</v>
      </c>
      <c r="J93" s="33">
        <v>-5.0880910000000001E-2</v>
      </c>
      <c r="K93" s="33">
        <v>-4.2018948E-2</v>
      </c>
      <c r="L93" s="33">
        <v>-9.260291000000001E-2</v>
      </c>
      <c r="M93" s="33">
        <v>-7.8677120000000003E-2</v>
      </c>
      <c r="N93" s="33">
        <v>-4.2283353999999995E-2</v>
      </c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35">
      <c r="A94" s="2">
        <v>44504</v>
      </c>
      <c r="B94" s="33">
        <v>1.9121170000000001E-3</v>
      </c>
      <c r="C94" s="33">
        <v>4.7505020000000002E-2</v>
      </c>
      <c r="D94" s="33">
        <v>7.6398373000000006E-2</v>
      </c>
      <c r="E94" s="33">
        <v>5.6303499999999999E-2</v>
      </c>
      <c r="F94" s="33">
        <v>3.3534288000000002E-2</v>
      </c>
      <c r="G94" s="33">
        <v>9.0909119999999996E-2</v>
      </c>
      <c r="H94" s="33">
        <v>2.8967619999999999E-2</v>
      </c>
      <c r="I94" s="33">
        <v>0.12931765000000001</v>
      </c>
      <c r="J94" s="33">
        <v>8.9282400000000012E-2</v>
      </c>
      <c r="K94" s="33">
        <v>7.2479250000000009E-2</v>
      </c>
      <c r="L94" s="33">
        <v>9.1786380000000001E-2</v>
      </c>
      <c r="M94" s="33">
        <v>8.6956500000000006E-2</v>
      </c>
      <c r="N94" s="33">
        <v>7.4424505000000002E-2</v>
      </c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35">
      <c r="A95" s="2">
        <v>44533</v>
      </c>
      <c r="B95" s="33">
        <v>-7.6812983000000001E-2</v>
      </c>
      <c r="C95" s="33">
        <v>-7.3551835999999995E-2</v>
      </c>
      <c r="D95" s="33">
        <v>-5.804819E-2</v>
      </c>
      <c r="E95" s="33">
        <v>-7.821554E-2</v>
      </c>
      <c r="F95" s="33">
        <v>-4.141164E-2</v>
      </c>
      <c r="G95" s="33">
        <v>-3.1615972999999999E-2</v>
      </c>
      <c r="H95" s="33">
        <v>-3.4141958E-2</v>
      </c>
      <c r="I95" s="33">
        <v>-3.7893593000000003E-2</v>
      </c>
      <c r="J95" s="33">
        <v>-2.8892039999999997E-2</v>
      </c>
      <c r="K95" s="33">
        <v>-5.7107153000000001E-2</v>
      </c>
      <c r="L95" s="33">
        <v>-9.2345295000000008E-2</v>
      </c>
      <c r="M95" s="33">
        <v>-8.8820570000000001E-2</v>
      </c>
      <c r="N95" s="33">
        <v>-7.279128E-2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35">
      <c r="A96" s="2">
        <v>44565</v>
      </c>
      <c r="B96" s="33">
        <v>3.6479712000000004E-2</v>
      </c>
      <c r="C96" s="33">
        <v>7.6521039999999999E-2</v>
      </c>
      <c r="D96" s="33">
        <v>4.1020750000000002E-2</v>
      </c>
      <c r="E96" s="33">
        <v>5.4297924000000004E-2</v>
      </c>
      <c r="F96" s="33">
        <v>2.1551132000000001E-2</v>
      </c>
      <c r="G96" s="33">
        <v>6.3683986999999997E-2</v>
      </c>
      <c r="H96" s="33">
        <v>7.5321079999999999E-2</v>
      </c>
      <c r="I96" s="33">
        <v>3.6154270000000002E-2</v>
      </c>
      <c r="J96" s="33">
        <v>5.6965469999999997E-2</v>
      </c>
      <c r="K96" s="33">
        <v>7.3325515000000008E-2</v>
      </c>
      <c r="L96" s="33">
        <v>4.4487475999999998E-2</v>
      </c>
      <c r="M96" s="33">
        <v>9.111727E-2</v>
      </c>
      <c r="N96" s="33">
        <v>7.5883149999999996E-2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35">
      <c r="A97" s="2">
        <v>44596</v>
      </c>
      <c r="B97" s="33">
        <v>-9.2642550000000004E-2</v>
      </c>
      <c r="C97" s="33">
        <v>-8.475244500000001E-2</v>
      </c>
      <c r="D97" s="33">
        <v>5.2369833000000003E-3</v>
      </c>
      <c r="E97" s="33">
        <v>-3.8484633000000004E-2</v>
      </c>
      <c r="F97" s="33">
        <v>-5.4336666999999998E-2</v>
      </c>
      <c r="G97" s="33">
        <v>-7.4081063000000003E-2</v>
      </c>
      <c r="H97" s="33">
        <v>1.1851907E-2</v>
      </c>
      <c r="I97" s="33">
        <v>-9.7006080000000008E-2</v>
      </c>
      <c r="J97" s="33">
        <v>-6.0412464000000006E-2</v>
      </c>
      <c r="K97" s="33">
        <v>-3.2160043999999999E-2</v>
      </c>
      <c r="L97" s="33">
        <v>-8.0844289999999999E-2</v>
      </c>
      <c r="M97" s="33">
        <v>-9.9808509999999989E-2</v>
      </c>
      <c r="N97" s="33">
        <v>-2.4171830000000002E-2</v>
      </c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35">
      <c r="A98" s="2">
        <v>44624</v>
      </c>
      <c r="B98" s="33">
        <v>4.0729046000000005E-2</v>
      </c>
      <c r="C98" s="33">
        <v>7.1830389999999994E-2</v>
      </c>
      <c r="D98" s="33">
        <v>3.9073229999999999E-3</v>
      </c>
      <c r="E98" s="33">
        <v>-0.19043154000000001</v>
      </c>
      <c r="F98" s="33">
        <v>-4.7337293999999995E-2</v>
      </c>
      <c r="G98" s="33">
        <v>-6.0159564000000006E-2</v>
      </c>
      <c r="H98" s="33">
        <v>-8.023429E-2</v>
      </c>
      <c r="I98" s="33">
        <v>-5.7847619999999995E-2</v>
      </c>
      <c r="J98" s="33">
        <v>-3.6839783000000001E-2</v>
      </c>
      <c r="K98" s="33">
        <v>-0.16457354999999999</v>
      </c>
      <c r="L98" s="33">
        <v>-0.16269493000000002</v>
      </c>
      <c r="M98" s="33">
        <v>-0.18723397999999999</v>
      </c>
      <c r="N98" s="33">
        <v>-0.18715595000000002</v>
      </c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35">
      <c r="A99" s="2">
        <v>44655</v>
      </c>
      <c r="B99" s="33">
        <v>-8.9349747000000007E-3</v>
      </c>
      <c r="C99" s="33">
        <v>8.5183620000000002E-2</v>
      </c>
      <c r="D99" s="33">
        <v>5.3969860000000001E-2</v>
      </c>
      <c r="E99" s="33">
        <v>0.10467362</v>
      </c>
      <c r="F99" s="33">
        <v>2.0431518999999999E-2</v>
      </c>
      <c r="G99" s="33">
        <v>8.4040999999999991E-2</v>
      </c>
      <c r="H99" s="33">
        <v>7.9274178000000001E-2</v>
      </c>
      <c r="I99" s="33">
        <v>9.6227409999999999E-2</v>
      </c>
      <c r="J99" s="33">
        <v>6.0239553000000001E-2</v>
      </c>
      <c r="K99" s="33">
        <v>0.11713112000000001</v>
      </c>
      <c r="L99" s="33">
        <v>0.11642944</v>
      </c>
      <c r="M99" s="33">
        <v>0.16026759999999998</v>
      </c>
      <c r="N99" s="33">
        <v>0.12151993</v>
      </c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x14ac:dyDescent="0.35">
      <c r="A100" s="2">
        <v>44685</v>
      </c>
      <c r="B100" s="33">
        <v>-9.1626410000000005E-2</v>
      </c>
      <c r="C100" s="33">
        <v>-5.6175528000000002E-2</v>
      </c>
      <c r="D100" s="33">
        <v>-5.7360887999999999E-2</v>
      </c>
      <c r="E100" s="33">
        <v>-6.5734329999999994E-2</v>
      </c>
      <c r="F100" s="33">
        <v>-6.9998383999999997E-2</v>
      </c>
      <c r="G100" s="33">
        <v>-6.5675855000000005E-2</v>
      </c>
      <c r="H100" s="33">
        <v>-2.5368750000000002E-2</v>
      </c>
      <c r="I100" s="33">
        <v>-0.10750061000000001</v>
      </c>
      <c r="J100" s="33">
        <v>-6.0726760000000005E-2</v>
      </c>
      <c r="K100" s="33">
        <v>-5.2705289999999995E-2</v>
      </c>
      <c r="L100" s="33">
        <v>-8.4588640000000007E-2</v>
      </c>
      <c r="M100" s="33">
        <v>-8.5986499999999993E-2</v>
      </c>
      <c r="N100" s="33">
        <v>-5.3002357E-2</v>
      </c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x14ac:dyDescent="0.35">
      <c r="A101" s="2">
        <v>44715</v>
      </c>
      <c r="B101" s="33">
        <v>-2.8948903000000002E-2</v>
      </c>
      <c r="C101" s="33">
        <v>-1.5372515E-2</v>
      </c>
      <c r="D101" s="33">
        <v>-7.051468E-3</v>
      </c>
      <c r="E101" s="33">
        <v>2.4326443999999999E-2</v>
      </c>
      <c r="F101" s="33">
        <v>-1.8084764E-2</v>
      </c>
      <c r="G101" s="33">
        <v>-3.3748924999999999E-2</v>
      </c>
      <c r="H101" s="33">
        <v>-4.8426390000000001E-3</v>
      </c>
      <c r="I101" s="33">
        <v>-7.0995150000000007E-2</v>
      </c>
      <c r="J101" s="33">
        <v>-4.3164069999999999E-2</v>
      </c>
      <c r="K101" s="33">
        <v>1.6572832999999999E-2</v>
      </c>
      <c r="L101" s="33">
        <v>-1.3924003000000001E-2</v>
      </c>
      <c r="M101" s="33">
        <v>1.1245251000000001E-2</v>
      </c>
      <c r="N101" s="33">
        <v>4.2508839999999999E-3</v>
      </c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x14ac:dyDescent="0.35">
      <c r="A102" s="2">
        <v>44743</v>
      </c>
      <c r="B102" s="33">
        <v>-8.2780599999999996E-2</v>
      </c>
      <c r="C102" s="33">
        <v>-0.1284486</v>
      </c>
      <c r="D102" s="33">
        <v>-9.800774000000001E-2</v>
      </c>
      <c r="E102" s="33">
        <v>-0.13255042</v>
      </c>
      <c r="F102" s="33">
        <v>-6.0357865999999996E-2</v>
      </c>
      <c r="G102" s="33">
        <v>-5.6098994999999999E-2</v>
      </c>
      <c r="H102" s="33">
        <v>-7.4246764000000007E-2</v>
      </c>
      <c r="I102" s="33">
        <v>-7.6879980000000001E-2</v>
      </c>
      <c r="J102" s="33">
        <v>-6.736702E-2</v>
      </c>
      <c r="K102" s="33">
        <v>-9.7579659999999999E-2</v>
      </c>
      <c r="L102" s="33">
        <v>-9.641087000000001E-2</v>
      </c>
      <c r="M102" s="33">
        <v>-0.14770830000000001</v>
      </c>
      <c r="N102" s="33">
        <v>-0.11981976</v>
      </c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x14ac:dyDescent="0.35">
      <c r="A103" s="2">
        <v>44777</v>
      </c>
      <c r="B103" s="33">
        <v>0.11025942000000001</v>
      </c>
      <c r="C103" s="33">
        <v>6.8753004000000006E-2</v>
      </c>
      <c r="D103" s="33">
        <v>2.6439428000000001E-2</v>
      </c>
      <c r="E103" s="33">
        <v>3.7342548000000003E-2</v>
      </c>
      <c r="F103" s="33">
        <v>4.9010395999999998E-2</v>
      </c>
      <c r="G103" s="33">
        <v>4.3290019999999999E-2</v>
      </c>
      <c r="H103" s="33">
        <v>3.0779480000000001E-2</v>
      </c>
      <c r="I103" s="33">
        <v>0.149824505</v>
      </c>
      <c r="J103" s="33">
        <v>8.6376080000000008E-2</v>
      </c>
      <c r="K103" s="33">
        <v>6.5426825999999993E-2</v>
      </c>
      <c r="L103" s="33">
        <v>0.10103619</v>
      </c>
      <c r="M103" s="33">
        <v>0.10412573999999999</v>
      </c>
      <c r="N103" s="33">
        <v>1.9826531000000001E-2</v>
      </c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x14ac:dyDescent="0.35">
      <c r="A104" s="2">
        <v>44806</v>
      </c>
      <c r="B104" s="33">
        <v>-4.8131647E-2</v>
      </c>
      <c r="C104" s="33">
        <v>-3.4161508E-2</v>
      </c>
      <c r="D104" s="33">
        <v>-3.6634207000000002E-2</v>
      </c>
      <c r="E104" s="33">
        <v>-0.10632061999999999</v>
      </c>
      <c r="F104" s="33">
        <v>-5.8939877000000002E-2</v>
      </c>
      <c r="G104" s="33">
        <v>-7.7685649999999995E-2</v>
      </c>
      <c r="H104" s="33">
        <v>-7.7896776000000001E-2</v>
      </c>
      <c r="I104" s="33">
        <v>-9.0104760000000006E-2</v>
      </c>
      <c r="J104" s="33">
        <v>-5.2949309999999999E-2</v>
      </c>
      <c r="K104" s="33">
        <v>-9.756862999999999E-2</v>
      </c>
      <c r="L104" s="33">
        <v>-0.13411766</v>
      </c>
      <c r="M104" s="33">
        <v>-0.13463819499999999</v>
      </c>
      <c r="N104" s="33">
        <v>-7.6144219999999999E-2</v>
      </c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x14ac:dyDescent="0.35">
      <c r="A105" s="2">
        <v>44838</v>
      </c>
      <c r="B105" s="33">
        <v>-9.0676365000000009E-2</v>
      </c>
      <c r="C105" s="33">
        <v>-4.2719364000000003E-2</v>
      </c>
      <c r="D105" s="33">
        <v>-1.8419445E-2</v>
      </c>
      <c r="E105" s="33">
        <v>-3.2786727000000001E-3</v>
      </c>
      <c r="F105" s="33">
        <v>-2.0049632000000001E-2</v>
      </c>
      <c r="G105" s="33">
        <v>-1.8745303000000001E-2</v>
      </c>
      <c r="H105" s="33">
        <v>-1.8303454E-2</v>
      </c>
      <c r="I105" s="33">
        <v>-4.2474985E-2</v>
      </c>
      <c r="J105" s="33">
        <v>-3.2390892999999997E-2</v>
      </c>
      <c r="K105" s="33">
        <v>-1.3816953000000002E-3</v>
      </c>
      <c r="L105" s="33">
        <v>1.2077093000000001E-3</v>
      </c>
      <c r="M105" s="33">
        <v>6.5113306000000003E-3</v>
      </c>
      <c r="N105" s="33">
        <v>1.6221045999999999E-2</v>
      </c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x14ac:dyDescent="0.35">
      <c r="A106" s="2">
        <v>44869</v>
      </c>
      <c r="B106" s="33">
        <v>4.6691774999999998E-2</v>
      </c>
      <c r="C106" s="33">
        <v>2.3512483000000001E-2</v>
      </c>
      <c r="D106" s="33">
        <v>9.3824862999999994E-3</v>
      </c>
      <c r="E106" s="33">
        <v>4.8402190000000005E-2</v>
      </c>
      <c r="F106" s="33">
        <v>-8.768498999999999E-3</v>
      </c>
      <c r="G106" s="33">
        <v>3.0566453999999999E-3</v>
      </c>
      <c r="H106" s="33">
        <v>3.2986759999999997E-2</v>
      </c>
      <c r="I106" s="33">
        <v>-6.1850967E-2</v>
      </c>
      <c r="J106" s="33">
        <v>-4.2860507999999999E-3</v>
      </c>
      <c r="K106" s="33">
        <v>6.2608123000000002E-2</v>
      </c>
      <c r="L106" s="33">
        <v>4.6743154999999998E-3</v>
      </c>
      <c r="M106" s="33">
        <v>3.7112593999999999E-2</v>
      </c>
      <c r="N106" s="33">
        <v>7.8516005999999999E-2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x14ac:dyDescent="0.35">
      <c r="A107" s="2">
        <v>44897</v>
      </c>
      <c r="B107" s="33">
        <v>0.11947988999999999</v>
      </c>
      <c r="C107" s="33">
        <v>0.10829819</v>
      </c>
      <c r="D107" s="33">
        <v>5.5472374000000005E-2</v>
      </c>
      <c r="E107" s="33">
        <v>0.15374278999999999</v>
      </c>
      <c r="F107" s="33">
        <v>9.9469299999999997E-2</v>
      </c>
      <c r="G107" s="33">
        <v>0.10208225</v>
      </c>
      <c r="H107" s="33">
        <v>0.10725438999999999</v>
      </c>
      <c r="I107" s="33">
        <v>0.10529697</v>
      </c>
      <c r="J107" s="33">
        <v>8.1200960000000003E-2</v>
      </c>
      <c r="K107" s="33">
        <v>0.10937511000000001</v>
      </c>
      <c r="L107" s="33">
        <v>0.18267154999999999</v>
      </c>
      <c r="M107" s="33">
        <v>0.12573873499999999</v>
      </c>
      <c r="N107" s="33">
        <v>0.11839998</v>
      </c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x14ac:dyDescent="0.35">
      <c r="A108" s="2">
        <v>44930</v>
      </c>
      <c r="B108" s="33">
        <v>-1.2857795E-2</v>
      </c>
      <c r="C108" s="33">
        <v>-2.8345406E-2</v>
      </c>
      <c r="D108" s="33">
        <v>-4.2498292999999999E-2</v>
      </c>
      <c r="E108" s="33">
        <v>5.3882600000000006E-3</v>
      </c>
      <c r="F108" s="33">
        <v>-2.9494584000000001E-2</v>
      </c>
      <c r="G108" s="33">
        <v>2.7649403000000001E-3</v>
      </c>
      <c r="H108" s="33">
        <v>-9.8543763000000003E-3</v>
      </c>
      <c r="I108" s="33">
        <v>-8.9435399999999998E-2</v>
      </c>
      <c r="J108" s="33">
        <v>-5.250871E-2</v>
      </c>
      <c r="K108" s="33">
        <v>1.1557937000000001E-2</v>
      </c>
      <c r="L108" s="33">
        <v>-4.2783021999999995E-3</v>
      </c>
      <c r="M108" s="33">
        <v>-2.3319483000000002E-2</v>
      </c>
      <c r="N108" s="33">
        <v>1.6126036999999999E-2</v>
      </c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x14ac:dyDescent="0.35">
      <c r="A109" s="2">
        <v>44960</v>
      </c>
      <c r="B109" s="33">
        <v>5.7888270000000006E-2</v>
      </c>
      <c r="C109" s="33">
        <v>8.780491E-2</v>
      </c>
      <c r="D109" s="33">
        <v>6.9235325E-2</v>
      </c>
      <c r="E109" s="33">
        <v>9.8569759999999992E-2</v>
      </c>
      <c r="F109" s="33">
        <v>7.2008849999999999E-2</v>
      </c>
      <c r="G109" s="33">
        <v>3.5386085999999997E-2</v>
      </c>
      <c r="H109" s="33">
        <v>3.5347103999999997E-2</v>
      </c>
      <c r="I109" s="33">
        <v>0.15217888000000002</v>
      </c>
      <c r="J109" s="33">
        <v>7.4499726000000002E-2</v>
      </c>
      <c r="K109" s="33">
        <v>8.1513880000000011E-2</v>
      </c>
      <c r="L109" s="33">
        <v>9.8230249999999991E-2</v>
      </c>
      <c r="M109" s="33">
        <v>8.1982020000000003E-2</v>
      </c>
      <c r="N109" s="33">
        <v>7.3597670000000004E-2</v>
      </c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x14ac:dyDescent="0.35">
      <c r="A110" s="2">
        <v>44988</v>
      </c>
      <c r="B110" s="33">
        <v>-4.1425824E-2</v>
      </c>
      <c r="C110" s="33">
        <v>-4.2804774999999996E-2</v>
      </c>
      <c r="D110" s="33">
        <v>-1.9144176999999998E-2</v>
      </c>
      <c r="E110" s="33">
        <v>-1.6889513000000002E-2</v>
      </c>
      <c r="F110" s="33">
        <v>-1.1712014999999999E-2</v>
      </c>
      <c r="G110" s="33">
        <v>-2.0195305E-2</v>
      </c>
      <c r="H110" s="33">
        <v>1.5518308000000001E-2</v>
      </c>
      <c r="I110" s="33">
        <v>-2.1229326999999999E-2</v>
      </c>
      <c r="J110" s="33">
        <v>-1.9789040000000001E-2</v>
      </c>
      <c r="K110" s="33">
        <v>4.3069123999999997E-3</v>
      </c>
      <c r="L110" s="33">
        <v>-2.4287760000000002E-2</v>
      </c>
      <c r="M110" s="33">
        <v>5.5515765999999999E-4</v>
      </c>
      <c r="N110" s="33">
        <v>2.5291204000000001E-2</v>
      </c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x14ac:dyDescent="0.35">
      <c r="A111" s="2">
        <v>45020</v>
      </c>
      <c r="B111" s="33">
        <v>1.045227E-2</v>
      </c>
      <c r="C111" s="33">
        <v>-1.4054537000000001E-2</v>
      </c>
      <c r="D111" s="33">
        <v>-3.444314E-3</v>
      </c>
      <c r="E111" s="33">
        <v>2.5769472000000002E-2</v>
      </c>
      <c r="F111" s="33">
        <v>2.718711E-2</v>
      </c>
      <c r="G111" s="33">
        <v>3.0804037999999999E-2</v>
      </c>
      <c r="H111" s="33">
        <v>-9.1695785999999996E-4</v>
      </c>
      <c r="I111" s="33">
        <v>6.6345689999999999E-2</v>
      </c>
      <c r="J111" s="33">
        <v>1.4988899E-2</v>
      </c>
      <c r="K111" s="33">
        <v>2.5194287000000003E-2</v>
      </c>
      <c r="L111" s="33">
        <v>1.5557765999999999E-2</v>
      </c>
      <c r="M111" s="33">
        <v>-6.9348215999999992E-3</v>
      </c>
      <c r="N111" s="33">
        <v>-5.5177209999999997E-3</v>
      </c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x14ac:dyDescent="0.35">
      <c r="A112" s="2">
        <v>45050</v>
      </c>
      <c r="B112" s="33">
        <v>3.9780140000000001E-4</v>
      </c>
      <c r="C112" s="33">
        <v>-2.1166325E-2</v>
      </c>
      <c r="D112" s="33">
        <v>-6.3364505999999998E-3</v>
      </c>
      <c r="E112" s="33">
        <v>1.4654517000000001E-2</v>
      </c>
      <c r="F112" s="33">
        <v>-3.3932328000000002E-3</v>
      </c>
      <c r="G112" s="33">
        <v>6.4820885999999994E-2</v>
      </c>
      <c r="H112" s="33">
        <v>1.8966079E-2</v>
      </c>
      <c r="I112" s="33">
        <v>-9.0888740000000003E-3</v>
      </c>
      <c r="J112" s="33">
        <v>-8.6622833999999999E-3</v>
      </c>
      <c r="K112" s="33">
        <v>1.6209126000000001E-2</v>
      </c>
      <c r="L112" s="33">
        <v>-2.0504354999999998E-2</v>
      </c>
      <c r="M112" s="33">
        <v>2.1787763000000002E-2</v>
      </c>
      <c r="N112" s="33">
        <v>1.8603086000000001E-2</v>
      </c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x14ac:dyDescent="0.35">
      <c r="A113" s="2">
        <v>45079</v>
      </c>
      <c r="B113" s="33">
        <v>-2.8633951999999997E-2</v>
      </c>
      <c r="C113" s="33">
        <v>2.2064446999999999E-3</v>
      </c>
      <c r="D113" s="33">
        <v>-1.7391443000000001E-3</v>
      </c>
      <c r="E113" s="33">
        <v>-1.6162276E-2</v>
      </c>
      <c r="F113" s="33">
        <v>5.5498719999999994E-2</v>
      </c>
      <c r="G113" s="33">
        <v>-2.6207208999999999E-2</v>
      </c>
      <c r="H113" s="33">
        <v>-2.0414293E-2</v>
      </c>
      <c r="I113" s="33">
        <v>0.1217066</v>
      </c>
      <c r="J113" s="33">
        <v>5.6253552000000005E-2</v>
      </c>
      <c r="K113" s="33">
        <v>-2.7527629999999997E-2</v>
      </c>
      <c r="L113" s="33">
        <v>2.6948929999999999E-2</v>
      </c>
      <c r="M113" s="33">
        <v>-3.6085367E-2</v>
      </c>
      <c r="N113" s="33">
        <v>-1.3777614000000001E-2</v>
      </c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x14ac:dyDescent="0.35">
      <c r="A114" s="2">
        <v>45110</v>
      </c>
      <c r="B114" s="33">
        <v>1.476562E-2</v>
      </c>
      <c r="C114" s="33">
        <v>1.7107009999999999E-2</v>
      </c>
      <c r="D114" s="33">
        <v>3.2423019999999997E-2</v>
      </c>
      <c r="E114" s="33">
        <v>2.0994544E-2</v>
      </c>
      <c r="F114" s="33">
        <v>8.5216760000000006E-3</v>
      </c>
      <c r="G114" s="33">
        <v>-5.0671697000000005E-3</v>
      </c>
      <c r="H114" s="33">
        <v>6.3036680000000001E-3</v>
      </c>
      <c r="I114" s="33">
        <v>4.5534014999999997E-2</v>
      </c>
      <c r="J114" s="33">
        <v>4.0952799999999998E-2</v>
      </c>
      <c r="K114" s="33">
        <v>3.8854837000000003E-2</v>
      </c>
      <c r="L114" s="33">
        <v>2.7551532E-2</v>
      </c>
      <c r="M114" s="33">
        <v>-1.4179944999999998E-3</v>
      </c>
      <c r="N114" s="33">
        <v>6.3148736999999996E-2</v>
      </c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x14ac:dyDescent="0.35">
      <c r="A115" s="2">
        <v>45142</v>
      </c>
      <c r="B115" s="33">
        <v>-1.5484988999999999E-2</v>
      </c>
      <c r="C115" s="33">
        <v>-8.8222619999999991E-3</v>
      </c>
      <c r="D115" s="33">
        <v>-1.0795474000000001E-2</v>
      </c>
      <c r="E115" s="33">
        <v>-7.0348379999999999E-3</v>
      </c>
      <c r="F115" s="33">
        <v>-4.9927829999999998E-3</v>
      </c>
      <c r="G115" s="33">
        <v>1.3066292E-2</v>
      </c>
      <c r="H115" s="33">
        <v>4.3464899999999997E-3</v>
      </c>
      <c r="I115" s="33">
        <v>4.7260523000000002E-3</v>
      </c>
      <c r="J115" s="33">
        <v>6.8049429999999999E-3</v>
      </c>
      <c r="K115" s="33">
        <v>-8.8518859999999998E-3</v>
      </c>
      <c r="L115" s="33">
        <v>-9.2220309999999995E-4</v>
      </c>
      <c r="M115" s="33">
        <v>-1.4200508999999998E-2</v>
      </c>
      <c r="N115" s="33">
        <v>5.9486629999999999E-3</v>
      </c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x14ac:dyDescent="0.35">
      <c r="A116" s="2">
        <v>45170</v>
      </c>
      <c r="B116" s="33">
        <v>-5.8360934000000003E-2</v>
      </c>
      <c r="C116" s="33">
        <v>-9.790778E-3</v>
      </c>
      <c r="D116" s="33">
        <v>3.1591654000000004E-3</v>
      </c>
      <c r="E116" s="33">
        <v>-2.1962404000000001E-2</v>
      </c>
      <c r="F116" s="33">
        <v>4.2085648E-3</v>
      </c>
      <c r="G116" s="33">
        <v>-1.2682735999999998E-2</v>
      </c>
      <c r="H116" s="33">
        <v>-8.9643599999999993E-3</v>
      </c>
      <c r="I116" s="33">
        <v>1.4917731E-2</v>
      </c>
      <c r="J116" s="33">
        <v>9.8028183000000001E-3</v>
      </c>
      <c r="K116" s="33">
        <v>-1.6811131999999999E-2</v>
      </c>
      <c r="L116" s="33">
        <v>-5.1234719999999997E-2</v>
      </c>
      <c r="M116" s="33">
        <v>-4.4943749999999998E-2</v>
      </c>
      <c r="N116" s="33">
        <v>-9.0258720000000008E-3</v>
      </c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x14ac:dyDescent="0.35">
      <c r="A117" s="2">
        <v>45203</v>
      </c>
      <c r="B117" s="33">
        <v>-3.5384655000000001E-2</v>
      </c>
      <c r="C117" s="33">
        <v>-6.0674190000000003E-2</v>
      </c>
      <c r="D117" s="33">
        <v>-7.7870072999999998E-2</v>
      </c>
      <c r="E117" s="33">
        <v>-6.9540024000000006E-2</v>
      </c>
      <c r="F117" s="33">
        <v>-6.366861E-2</v>
      </c>
      <c r="G117" s="33">
        <v>-6.4445852999999997E-2</v>
      </c>
      <c r="H117" s="33">
        <v>-3.7429869999999997E-2</v>
      </c>
      <c r="I117" s="33">
        <v>-4.5870360000000006E-2</v>
      </c>
      <c r="J117" s="33">
        <v>-5.5439233999999997E-2</v>
      </c>
      <c r="K117" s="33">
        <v>-6.9195804999999999E-2</v>
      </c>
      <c r="L117" s="33">
        <v>-8.7083449999999993E-2</v>
      </c>
      <c r="M117" s="33">
        <v>-3.0165910000000001E-2</v>
      </c>
      <c r="N117" s="33">
        <v>-7.4434699999999993E-2</v>
      </c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x14ac:dyDescent="0.35">
      <c r="A118" s="2">
        <v>45233</v>
      </c>
      <c r="B118" s="33">
        <v>9.5694064999999988E-3</v>
      </c>
      <c r="C118" s="33">
        <v>4.3540716E-2</v>
      </c>
      <c r="D118" s="33">
        <v>4.9363613000000001E-2</v>
      </c>
      <c r="E118" s="33">
        <v>1.7905712000000001E-2</v>
      </c>
      <c r="F118" s="33">
        <v>6.7309380000000002E-2</v>
      </c>
      <c r="G118" s="33">
        <v>5.1198005999999992E-3</v>
      </c>
      <c r="H118" s="33">
        <v>1.523006E-2</v>
      </c>
      <c r="I118" s="33">
        <v>2.2126435999999999E-2</v>
      </c>
      <c r="J118" s="33">
        <v>2.3618937E-2</v>
      </c>
      <c r="K118" s="33">
        <v>2.324915E-2</v>
      </c>
      <c r="L118" s="33">
        <v>5.2491426000000001E-2</v>
      </c>
      <c r="M118" s="33">
        <v>2.8926968999999997E-2</v>
      </c>
      <c r="N118" s="33">
        <v>6.3454389999999999E-2</v>
      </c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x14ac:dyDescent="0.35">
      <c r="A119" s="2">
        <v>45264</v>
      </c>
      <c r="B119" s="33">
        <v>4.3105364E-2</v>
      </c>
      <c r="C119" s="33">
        <v>3.3929347999999998E-2</v>
      </c>
      <c r="D119" s="33">
        <v>4.4674634999999997E-2</v>
      </c>
      <c r="E119" s="33">
        <v>9.5219850000000009E-2</v>
      </c>
      <c r="F119" s="33">
        <v>4.0322541999999999E-3</v>
      </c>
      <c r="G119" s="33">
        <v>6.0662269999999997E-2</v>
      </c>
      <c r="H119" s="33">
        <v>4.0855410000000002E-2</v>
      </c>
      <c r="I119" s="33">
        <v>5.0610540000000002E-2</v>
      </c>
      <c r="J119" s="33">
        <v>5.0610780000000001E-2</v>
      </c>
      <c r="K119" s="33">
        <v>5.3295849999999999E-2</v>
      </c>
      <c r="L119" s="33">
        <v>7.0886015999999996E-2</v>
      </c>
      <c r="M119" s="33">
        <v>0.10429251</v>
      </c>
      <c r="N119" s="33">
        <v>5.3924680000000003E-2</v>
      </c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x14ac:dyDescent="0.35">
      <c r="A120" s="2">
        <v>45295</v>
      </c>
      <c r="B120" s="33">
        <v>4.8638344E-2</v>
      </c>
      <c r="C120" s="33">
        <v>7.8083158E-2</v>
      </c>
      <c r="D120" s="33">
        <v>4.0322184999999997E-2</v>
      </c>
      <c r="E120" s="33">
        <v>1.3670325000000001E-2</v>
      </c>
      <c r="F120" s="33">
        <v>2.7290462999999997E-2</v>
      </c>
      <c r="G120" s="33">
        <v>4.4968247000000003E-2</v>
      </c>
      <c r="H120" s="33">
        <v>3.023696E-2</v>
      </c>
      <c r="I120" s="33">
        <v>2.8357505999999998E-2</v>
      </c>
      <c r="J120" s="33">
        <v>2.7344107999999999E-2</v>
      </c>
      <c r="K120" s="33">
        <v>2.4472236999999997E-2</v>
      </c>
      <c r="L120" s="33">
        <v>2.2312522000000001E-2</v>
      </c>
      <c r="M120" s="33">
        <v>6.6209434999999997E-2</v>
      </c>
      <c r="N120" s="33">
        <v>2.8558015999999999E-2</v>
      </c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x14ac:dyDescent="0.35">
      <c r="A121" s="2">
        <v>45324</v>
      </c>
      <c r="B121" s="33">
        <v>-2.5063156999999999E-2</v>
      </c>
      <c r="C121" s="33">
        <v>-9.2359185000000007E-3</v>
      </c>
      <c r="D121" s="33">
        <v>4.1390656999999997E-3</v>
      </c>
      <c r="E121" s="33">
        <v>6.889343E-3</v>
      </c>
      <c r="F121" s="33">
        <v>5.4709790000000001E-2</v>
      </c>
      <c r="G121" s="33">
        <v>-1.1280477000000001E-2</v>
      </c>
      <c r="H121" s="33">
        <v>-1.1571287999999999E-2</v>
      </c>
      <c r="I121" s="33">
        <v>8.2593200000000006E-2</v>
      </c>
      <c r="J121" s="33">
        <v>5.7931065999999996E-2</v>
      </c>
      <c r="K121" s="33">
        <v>9.9424123999999996E-3</v>
      </c>
      <c r="L121" s="33">
        <v>6.7567586999999998E-2</v>
      </c>
      <c r="M121" s="33">
        <v>-1.3680517999999999E-2</v>
      </c>
      <c r="N121" s="33">
        <v>2.3845434E-3</v>
      </c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x14ac:dyDescent="0.35">
      <c r="A122" s="2">
        <v>45355</v>
      </c>
      <c r="B122" s="33">
        <v>-2.6139557000000001E-2</v>
      </c>
      <c r="C122" s="33">
        <v>1.7796635999999998E-2</v>
      </c>
      <c r="D122" s="33">
        <v>1.7312527000000001E-2</v>
      </c>
      <c r="E122" s="33">
        <v>5.1317096E-2</v>
      </c>
      <c r="F122" s="33">
        <v>5.1270366000000005E-2</v>
      </c>
      <c r="G122" s="33">
        <v>-9.2964769999999992E-3</v>
      </c>
      <c r="H122" s="33">
        <v>1.1090636000000001E-2</v>
      </c>
      <c r="I122" s="33">
        <v>3.4987450000000003E-2</v>
      </c>
      <c r="J122" s="33">
        <v>3.6310315000000003E-2</v>
      </c>
      <c r="K122" s="33">
        <v>4.5854926000000004E-2</v>
      </c>
      <c r="L122" s="33">
        <v>5.7180284999999997E-2</v>
      </c>
      <c r="M122" s="33">
        <v>5.4147720000000003E-2</v>
      </c>
      <c r="N122" s="59">
        <v>6.8093896000000001E-2</v>
      </c>
    </row>
    <row r="123" spans="1:26" x14ac:dyDescent="0.35">
      <c r="A123" s="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</row>
    <row r="124" spans="1:26" x14ac:dyDescent="0.35">
      <c r="A124" s="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</row>
    <row r="125" spans="1:26" x14ac:dyDescent="0.35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</row>
    <row r="126" spans="1:26" x14ac:dyDescent="0.35">
      <c r="A126" t="s">
        <v>788</v>
      </c>
      <c r="B126" s="33" cm="1">
        <f t="array" ref="B126">MAX(_xlfn._xlws.FILTER(B1:B122, ISNUMBER(B1:B122)))</f>
        <v>0.1286186</v>
      </c>
      <c r="C126" s="33" cm="1">
        <f t="array" ref="C126">MAX(_xlfn._xlws.FILTER(C1:C122, ISNUMBER(C1:C122)))</f>
        <v>0.19444454</v>
      </c>
      <c r="D126" s="33" cm="1">
        <f t="array" ref="D126">MAX(_xlfn._xlws.FILTER(D1:D122, ISNUMBER(D1:D122)))</f>
        <v>0.14040923</v>
      </c>
      <c r="E126" s="33" cm="1">
        <f t="array" ref="E126">MAX(_xlfn._xlws.FILTER(E1:E122, ISNUMBER(E1:E122)))</f>
        <v>0.21771383</v>
      </c>
      <c r="F126" s="33" cm="1">
        <f t="array" ref="F126">MAX(_xlfn._xlws.FILTER(F1:F122, ISNUMBER(F1:F122)))</f>
        <v>0.11166012</v>
      </c>
      <c r="G126" s="33" cm="1">
        <f t="array" ref="G126">MAX(_xlfn._xlws.FILTER(G1:G122, ISNUMBER(G1:G122)))</f>
        <v>0.10208225</v>
      </c>
      <c r="H126" s="33" cm="1">
        <f t="array" ref="H126">MAX(_xlfn._xlws.FILTER(H1:H122, ISNUMBER(H1:H122)))</f>
        <v>0.16875479999999998</v>
      </c>
      <c r="I126" s="33" cm="1">
        <f t="array" ref="I126">MAX(_xlfn._xlws.FILTER(I1:I122, ISNUMBER(I1:I122)))</f>
        <v>0.17369259000000001</v>
      </c>
      <c r="J126" s="33" cm="1">
        <f t="array" ref="J126">MAX(_xlfn._xlws.FILTER(J1:J122, ISNUMBER(J1:J122)))</f>
        <v>0.14255213999999999</v>
      </c>
      <c r="K126" s="33" cm="1">
        <f t="array" ref="K126">MAX(_xlfn._xlws.FILTER(K1:K122, ISNUMBER(K1:K122)))</f>
        <v>0.18389584</v>
      </c>
      <c r="L126" s="33" cm="1">
        <f t="array" ref="L126">MAX(_xlfn._xlws.FILTER(L1:L122, ISNUMBER(L1:L122)))</f>
        <v>0.18267154999999999</v>
      </c>
      <c r="M126" s="33" cm="1">
        <f t="array" ref="M126">MAX(_xlfn._xlws.FILTER(M1:M122, ISNUMBER(M1:M122)))</f>
        <v>0.21044720000000003</v>
      </c>
      <c r="N126" s="33" cm="1">
        <f t="array" ref="N126">MAX(_xlfn._xlws.FILTER(N1:N122, ISNUMBER(N1:N122)))</f>
        <v>0.19795715000000003</v>
      </c>
    </row>
    <row r="127" spans="1:26" x14ac:dyDescent="0.35">
      <c r="A127" t="s">
        <v>89</v>
      </c>
      <c r="B127" s="33" cm="1">
        <f t="array" ref="B127">MIN(_xlfn._xlws.FILTER(B2:B122, ISNUMBER(B2:B122)))</f>
        <v>-0.19453715999999999</v>
      </c>
      <c r="C127" s="33" cm="1">
        <f t="array" ref="C127">MIN(_xlfn._xlws.FILTER(C2:C122, ISNUMBER(C2:C122)))</f>
        <v>-0.2859894</v>
      </c>
      <c r="D127" s="33" cm="1">
        <f t="array" ref="D127">MIN(_xlfn._xlws.FILTER(D2:D122, ISNUMBER(D2:D122)))</f>
        <v>-0.25864500000000001</v>
      </c>
      <c r="E127" s="33" cm="1">
        <f t="array" ref="E127">MIN(_xlfn._xlws.FILTER(E2:E122, ISNUMBER(E2:E122)))</f>
        <v>-0.24668144000000003</v>
      </c>
      <c r="F127" s="33" cm="1">
        <f t="array" ref="F127">MIN(_xlfn._xlws.FILTER(F2:F122, ISNUMBER(F2:F122)))</f>
        <v>-0.13902754000000001</v>
      </c>
      <c r="G127" s="33" cm="1">
        <f t="array" ref="G127">MIN(_xlfn._xlws.FILTER(G2:G122, ISNUMBER(G2:G122)))</f>
        <v>-0.13881999</v>
      </c>
      <c r="H127" s="33" cm="1">
        <f t="array" ref="H127">MIN(_xlfn._xlws.FILTER(H2:H122, ISNUMBER(H2:H122)))</f>
        <v>-0.25651174999999998</v>
      </c>
      <c r="I127" s="33" cm="1">
        <f t="array" ref="I127">MIN(_xlfn._xlws.FILTER(I2:I122, ISNUMBER(I2:I122)))</f>
        <v>-0.15791339000000001</v>
      </c>
      <c r="J127" s="33" cm="1">
        <f t="array" ref="J127">MIN(_xlfn._xlws.FILTER(J2:J122, ISNUMBER(J2:J122)))</f>
        <v>-0.20183247000000001</v>
      </c>
      <c r="K127" s="33" cm="1">
        <f t="array" ref="K127">MIN(_xlfn._xlws.FILTER(K2:K122, ISNUMBER(K2:K122)))</f>
        <v>-0.27744704999999997</v>
      </c>
      <c r="L127" s="33" cm="1">
        <f t="array" ref="L127">MIN(_xlfn._xlws.FILTER(L2:L122, ISNUMBER(L2:L122)))</f>
        <v>-0.22734355999999997</v>
      </c>
      <c r="M127" s="33" cm="1">
        <f t="array" ref="M127">MIN(_xlfn._xlws.FILTER(M2:M122, ISNUMBER(M2:M122)))</f>
        <v>-0.248502</v>
      </c>
      <c r="N127" s="33" cm="1">
        <f t="array" ref="N127">MIN(_xlfn._xlws.FILTER(N2:N122, ISNUMBER(N2:N122)))</f>
        <v>-0.29150086999999997</v>
      </c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9" spans="1:17" x14ac:dyDescent="0.35">
      <c r="A129" t="s">
        <v>91</v>
      </c>
      <c r="B129">
        <f>COUNTIF(B2:B122, "&lt;"&amp;Assumption!$E$49)</f>
        <v>13</v>
      </c>
      <c r="C129">
        <f>COUNTIF(C2:C122, "&lt;"&amp;Assumption!$E$49)</f>
        <v>13</v>
      </c>
      <c r="D129">
        <f>COUNTIF(D2:D122, "&lt;"&amp;Assumption!$E$49)</f>
        <v>13</v>
      </c>
      <c r="E129">
        <f>COUNTIF(E2:E122, "&lt;"&amp;Assumption!$E$49)</f>
        <v>18</v>
      </c>
      <c r="F129">
        <f>COUNTIF(F2:F122, "&lt;"&amp;Assumption!$E$49)</f>
        <v>12</v>
      </c>
      <c r="G129">
        <f>COUNTIF(G2:G122, "&lt;"&amp;Assumption!$E$49)</f>
        <v>14</v>
      </c>
      <c r="H129">
        <f>COUNTIF(H2:H122, "&lt;"&amp;Assumption!$E$49)</f>
        <v>11</v>
      </c>
      <c r="I129">
        <f>COUNTIF(I2:I122, "&lt;"&amp;Assumption!$E$49)</f>
        <v>16</v>
      </c>
      <c r="J129">
        <f>COUNTIF(J2:J122, "&lt;"&amp;Assumption!$E$49)</f>
        <v>11</v>
      </c>
      <c r="K129">
        <f>COUNTIF(K2:K122, "&lt;"&amp;Assumption!$E$49)</f>
        <v>15</v>
      </c>
      <c r="L129">
        <f>COUNTIF(L2:L122, "&lt;"&amp;Assumption!$E$49)</f>
        <v>14</v>
      </c>
      <c r="M129">
        <f>COUNTIF(M2:M122, "&lt;"&amp;Assumption!$E$49)</f>
        <v>15</v>
      </c>
      <c r="N129">
        <f>COUNTIF(N2:N122, "&lt;"&amp;Assumption!$E$49)</f>
        <v>21</v>
      </c>
    </row>
    <row r="130" spans="1:17" x14ac:dyDescent="0.35">
      <c r="A130" t="s">
        <v>90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92</v>
      </c>
      <c r="B132" s="9">
        <f t="shared" ref="B132:J132" si="2">B129/B130</f>
        <v>0.10743801652892562</v>
      </c>
      <c r="C132" s="9">
        <f t="shared" si="2"/>
        <v>0.10743801652892562</v>
      </c>
      <c r="D132" s="9">
        <f t="shared" si="2"/>
        <v>0.10743801652892562</v>
      </c>
      <c r="E132" s="9">
        <f t="shared" si="2"/>
        <v>0.1487603305785124</v>
      </c>
      <c r="F132" s="9">
        <f t="shared" si="2"/>
        <v>9.9173553719008267E-2</v>
      </c>
      <c r="G132" s="9">
        <f t="shared" si="2"/>
        <v>0.11570247933884298</v>
      </c>
      <c r="H132" s="9">
        <f t="shared" si="2"/>
        <v>9.0909090909090912E-2</v>
      </c>
      <c r="I132" s="9">
        <f t="shared" si="2"/>
        <v>0.13223140495867769</v>
      </c>
      <c r="J132" s="9">
        <f t="shared" si="2"/>
        <v>9.0909090909090912E-2</v>
      </c>
      <c r="K132" s="9">
        <f t="shared" ref="K132:N132" si="3">K129/K130</f>
        <v>0.12396694214876033</v>
      </c>
      <c r="L132" s="9">
        <f t="shared" si="3"/>
        <v>0.11570247933884298</v>
      </c>
      <c r="M132" s="9">
        <f t="shared" si="3"/>
        <v>0.12396694214876033</v>
      </c>
      <c r="N132" s="9">
        <f t="shared" si="3"/>
        <v>0.17355371900826447</v>
      </c>
      <c r="O132" s="9"/>
      <c r="P132" s="9"/>
      <c r="Q132" s="9"/>
    </row>
    <row r="134" spans="1:17" x14ac:dyDescent="0.35">
      <c r="A134" t="s">
        <v>99</v>
      </c>
      <c r="B134" s="9" cm="1">
        <f t="array" ref="B134">_xlfn.PERCENTRANK.EXC(_xlfn._xlws.FILTER(B2:B122, ISNUMBER(B2:B122)),B122)</f>
        <v>0.22900000000000001</v>
      </c>
      <c r="C134" s="9" cm="1">
        <f t="array" ref="C134">_xlfn.PERCENTRANK.EXC(_xlfn._xlws.FILTER(C2:C122, ISNUMBER(C2:C122)),C122)</f>
        <v>0.58099999999999996</v>
      </c>
      <c r="D134" s="9" cm="1">
        <f t="array" ref="D134">_xlfn.PERCENTRANK.EXC(_xlfn._xlws.FILTER(D2:D122, ISNUMBER(D2:D122)),D122)</f>
        <v>0.60599999999999998</v>
      </c>
      <c r="E134" s="9" cm="1">
        <f t="array" ref="E134">_xlfn.PERCENTRANK.EXC(_xlfn._xlws.FILTER(E2:E122, ISNUMBER(E2:E122)),E122)</f>
        <v>0.81899999999999995</v>
      </c>
      <c r="F134" s="9" cm="1">
        <f t="array" ref="F134">_xlfn.PERCENTRANK.EXC(_xlfn._xlws.FILTER(F2:F122, ISNUMBER(F2:F122)),F122)</f>
        <v>0.86799999999999999</v>
      </c>
      <c r="G134" s="9" cm="1">
        <f t="array" ref="G134">_xlfn.PERCENTRANK.EXC(_xlfn._xlws.FILTER(G2:G122, ISNUMBER(G2:G122)),G122)</f>
        <v>0.311</v>
      </c>
      <c r="H134" s="9" cm="1">
        <f t="array" ref="H134">_xlfn.PERCENTRANK.EXC(_xlfn._xlws.FILTER(H2:H122, ISNUMBER(H2:H122)),H122)</f>
        <v>0.54900000000000004</v>
      </c>
      <c r="I134" s="9" cm="1">
        <f t="array" ref="I134">_xlfn.PERCENTRANK.EXC(_xlfn._xlws.FILTER(I2:I122, ISNUMBER(I2:I122)),I122)</f>
        <v>0.58099999999999996</v>
      </c>
      <c r="J134" s="9" cm="1">
        <f t="array" ref="J134">_xlfn.PERCENTRANK.EXC(_xlfn._xlws.FILTER(J2:J122, ISNUMBER(J2:J122)),J122)</f>
        <v>0.754</v>
      </c>
      <c r="K134" s="9" cm="1">
        <f t="array" ref="K134">_xlfn.PERCENTRANK.EXC(_xlfn._xlws.FILTER(K2:K122, ISNUMBER(K2:K122)),K122)</f>
        <v>0.83599999999999997</v>
      </c>
      <c r="L134" s="9" cm="1">
        <f t="array" ref="L134">_xlfn.PERCENTRANK.EXC(_xlfn._xlws.FILTER(L2:L122, ISNUMBER(L2:L122)),L122)</f>
        <v>0.82699999999999996</v>
      </c>
      <c r="M134" s="9" cm="1">
        <f t="array" ref="M134">_xlfn.PERCENTRANK.EXC(_xlfn._xlws.FILTER(M2:M122, ISNUMBER(M2:M122)),M122)</f>
        <v>0.81100000000000005</v>
      </c>
      <c r="N134" s="9" cm="1">
        <f t="array" ref="N134">_xlfn.PERCENTRANK.EXC(_xlfn._xlws.FILTER(N2:N122, ISNUMBER(N2:N122)),N122)</f>
        <v>0.86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0.216</v>
      </c>
      <c r="C136" s="9" cm="1">
        <f t="array" ref="C136">_xlfn.PERCENTRANK.EXC(_xlfn._xlws.FILTER(C4:C125, ISNUMBER(C4:C125)),C113)</f>
        <v>0.45</v>
      </c>
      <c r="D136" s="9" cm="1">
        <f t="array" ref="D136">_xlfn.PERCENTRANK.EXC(_xlfn._xlws.FILTER(D4:D125, ISNUMBER(D4:D125)),D113)</f>
        <v>0.375</v>
      </c>
      <c r="E136" s="9" cm="1">
        <f t="array" ref="E136">_xlfn.PERCENTRANK.EXC(_xlfn._xlws.FILTER(E4:E125, ISNUMBER(E4:E125)),E113)</f>
        <v>0.316</v>
      </c>
      <c r="F136" s="9" cm="1">
        <f t="array" ref="F136">_xlfn.PERCENTRANK.EXC(_xlfn._xlws.FILTER(F4:F125, ISNUMBER(F4:F125)),F113)</f>
        <v>0.91600000000000004</v>
      </c>
      <c r="G136" s="9" cm="1">
        <f t="array" ref="G136">_xlfn.PERCENTRANK.EXC(_xlfn._xlws.FILTER(G4:G125, ISNUMBER(G4:G125)),G113)</f>
        <v>0.191</v>
      </c>
      <c r="H136" s="9" cm="1">
        <f t="array" ref="H136">_xlfn.PERCENTRANK.EXC(_xlfn._xlws.FILTER(H4:H125, ISNUMBER(H4:H125)),H113)</f>
        <v>0.25</v>
      </c>
      <c r="I136" s="9" cm="1">
        <f t="array" ref="I136">_xlfn.PERCENTRANK.EXC(_xlfn._xlws.FILTER(I4:I125, ISNUMBER(I4:I125)),I113)</f>
        <v>0.95799999999999996</v>
      </c>
      <c r="J136" s="9" cm="1">
        <f t="array" ref="J136">_xlfn.PERCENTRANK.EXC(_xlfn._xlws.FILTER(J4:J125, ISNUMBER(J4:J125)),J113)</f>
        <v>0.86599999999999999</v>
      </c>
      <c r="K136" s="9" cm="1">
        <f t="array" ref="K136">_xlfn.PERCENTRANK.EXC(_xlfn._xlws.FILTER(K4:K125, ISNUMBER(K4:K125)),K113)</f>
        <v>0.23300000000000001</v>
      </c>
      <c r="L136" s="9" cm="1">
        <f t="array" ref="L136">_xlfn.PERCENTRANK.EXC(_xlfn._xlws.FILTER(L4:L125, ISNUMBER(L4:L125)),L113)</f>
        <v>0.60799999999999998</v>
      </c>
      <c r="M136" s="9" cm="1">
        <f t="array" ref="M136">_xlfn.PERCENTRANK.EXC(_xlfn._xlws.FILTER(M4:M125, ISNUMBER(M4:M125)),M113)</f>
        <v>0.20799999999999999</v>
      </c>
      <c r="N136" s="9" cm="1">
        <f t="array" ref="N136">_xlfn.PERCENTRANK.EXC(_xlfn._xlws.FILTER(N4:N125, ISNUMBER(N4:N125)),N113)</f>
        <v>0.3</v>
      </c>
    </row>
    <row r="138" spans="1:17" x14ac:dyDescent="0.35">
      <c r="A138" t="s">
        <v>836</v>
      </c>
      <c r="B138">
        <f t="shared" ref="B138:J138" si="4">STDEV(B40:B122)</f>
        <v>5.1431167859512565E-2</v>
      </c>
      <c r="C138">
        <f t="shared" si="4"/>
        <v>5.9837165831405421E-2</v>
      </c>
      <c r="D138">
        <f t="shared" si="4"/>
        <v>5.2470954504946855E-2</v>
      </c>
      <c r="E138">
        <f t="shared" si="4"/>
        <v>6.6319376812166361E-2</v>
      </c>
      <c r="F138">
        <f t="shared" si="4"/>
        <v>4.416884280854088E-2</v>
      </c>
      <c r="G138">
        <f t="shared" si="4"/>
        <v>4.3052221701532271E-2</v>
      </c>
      <c r="H138">
        <f t="shared" si="4"/>
        <v>5.1976503574070514E-2</v>
      </c>
      <c r="I138">
        <f t="shared" si="4"/>
        <v>6.4657860254441105E-2</v>
      </c>
      <c r="J138">
        <f t="shared" si="4"/>
        <v>4.9055631077309217E-2</v>
      </c>
      <c r="K138">
        <f t="shared" ref="K138:N138" si="5">STDEV(K40:K122)</f>
        <v>6.3642480103175803E-2</v>
      </c>
      <c r="L138">
        <f t="shared" si="5"/>
        <v>6.7192836972145689E-2</v>
      </c>
      <c r="M138">
        <f t="shared" si="5"/>
        <v>7.2377579514513055E-2</v>
      </c>
      <c r="N138">
        <f t="shared" si="5"/>
        <v>6.8816752170939688E-2</v>
      </c>
    </row>
    <row r="139" spans="1:17" x14ac:dyDescent="0.35">
      <c r="A139" t="s">
        <v>837</v>
      </c>
      <c r="B139" s="83">
        <f t="shared" ref="B139:J139" si="6">B138*SQRT(12)</f>
        <v>0.17816279165055843</v>
      </c>
      <c r="C139" s="83">
        <f t="shared" si="6"/>
        <v>0.20728202280183716</v>
      </c>
      <c r="D139" s="83">
        <f t="shared" si="6"/>
        <v>0.18176471824840604</v>
      </c>
      <c r="E139" s="83">
        <f t="shared" si="6"/>
        <v>0.22973706032995483</v>
      </c>
      <c r="F139" s="83">
        <f t="shared" si="6"/>
        <v>0.15300535971183205</v>
      </c>
      <c r="G139" s="83">
        <f t="shared" si="6"/>
        <v>0.14913727073154662</v>
      </c>
      <c r="H139" s="83">
        <f t="shared" si="6"/>
        <v>0.18005188998015093</v>
      </c>
      <c r="I139" s="83">
        <f t="shared" si="6"/>
        <v>0.22398139813876064</v>
      </c>
      <c r="J139" s="83">
        <f t="shared" si="6"/>
        <v>0.16993369084650867</v>
      </c>
      <c r="K139" s="83">
        <f t="shared" ref="K139:N139" si="7">K138*SQRT(12)</f>
        <v>0.22046401811678371</v>
      </c>
      <c r="L139" s="83">
        <f t="shared" si="7"/>
        <v>0.23276281508089769</v>
      </c>
      <c r="M139" s="83">
        <f t="shared" si="7"/>
        <v>0.25072329009598593</v>
      </c>
      <c r="N139" s="83">
        <f t="shared" si="7"/>
        <v>0.23838822234388674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6328125" customWidth="1"/>
    <col min="11" max="11" width="8.90625" customWidth="1"/>
  </cols>
  <sheetData>
    <row r="1" spans="1:14" x14ac:dyDescent="0.35">
      <c r="A1" s="2" t="s">
        <v>392</v>
      </c>
      <c r="B1" s="3" t="s">
        <v>435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56" t="s">
        <v>872</v>
      </c>
      <c r="L1" s="56" t="s">
        <v>874</v>
      </c>
      <c r="M1" s="56" t="s">
        <v>871</v>
      </c>
      <c r="N1" s="56" t="s">
        <v>873</v>
      </c>
    </row>
    <row r="2" spans="1:14" x14ac:dyDescent="0.35">
      <c r="A2" s="2" cm="1">
        <f t="array" ref="A2:A122">_xll.FDS(B1,"JULIAN(P_PRICE_RETURNS_PR('52W',2,-10AY,0,AM).dates)")</f>
        <v>41702</v>
      </c>
      <c r="B2" s="7" cm="1">
        <f t="array" ref="B2:B122">_xll.FDS(B1,"P_PRICE_RETURNS_PR('52W',2,-10AY,0,AM)")</f>
        <v>19.006979000000001</v>
      </c>
      <c r="C2" s="7" cm="1">
        <f t="array" ref="C2:C122">_xll.FDS(C1,"P_PRICE_RETURNS_PR('52W',2,-10AY,0,AM)")</f>
        <v>-1.5555143</v>
      </c>
      <c r="D2" s="7" cm="1">
        <f t="array" ref="D2:D122">_xll.FDS(D1,"P_PRICE_RETURNS_PR('52W',2,-10AY,0,AM)")</f>
        <v>6.3331010000000001</v>
      </c>
      <c r="E2" s="7" cm="1">
        <f t="array" ref="E2:E122">_xll.FDS(E1,"P_PRICE_RETURNS_PR('52W',2,-10AY,0,AM)")</f>
        <v>29.766749999999998</v>
      </c>
      <c r="F2" s="7" cm="1">
        <f t="array" ref="F2:F122">_xll.FDS(F1,"P_PRICE_RETURNS_PR('52W',2,-10AY,0,AM)")</f>
        <v>13.458895999999999</v>
      </c>
      <c r="G2" s="7" cm="1">
        <f t="array" ref="G2:G122">_xll.FDS(G1,"P_PRICE_RETURNS_PR('52W',2,-10AY,0,AM)")</f>
        <v>20.646023</v>
      </c>
      <c r="H2" s="7" cm="1">
        <f t="array" ref="H2:H122">_xll.FDS(H1,"P_PRICE_RETURNS_PR('52W',2,-10AY,0,AM)")</f>
        <v>21.152317</v>
      </c>
      <c r="I2" s="7" cm="1">
        <f t="array" ref="I2:I122">_xll.FDS(I1,"P_PRICE_RETURNS_PR('52W',2,-10AY,0,AM)")</f>
        <v>36.306762999999997</v>
      </c>
      <c r="J2" s="7" cm="1">
        <f t="array" ref="J2:J122">_xll.FDS(J1,"P_PRICE_RETURNS_PR('52W',2,-10AY,0,AM)")</f>
        <v>25.141452999999998</v>
      </c>
      <c r="K2" s="169" cm="1">
        <f t="array" ref="K2:K122">_xll.FDS(K1,"P_PRICE_RETURNS_PR('52W',2,-10AY,0,AM)")</f>
        <v>26.487434</v>
      </c>
      <c r="L2" s="169" cm="1">
        <f t="array" ref="L2:L122">_xll.FDS(L1,"P_PRICE_RETURNS_PR('52W',2,-10AY,0,AM)")</f>
        <v>28.943825</v>
      </c>
      <c r="M2" s="169" cm="1">
        <f t="array" ref="M2:M122">_xll.FDS(M1,"P_PRICE_RETURNS_PR('52W',2,-10AY,0,AM)")</f>
        <v>14.170921</v>
      </c>
      <c r="N2" s="169" cm="1">
        <f t="array" ref="N2:N122">_xll.FDS(N1,"P_PRICE_RETURNS_PR('52W',2,-10AY,0,AM)")</f>
        <v>39.328809999999997</v>
      </c>
    </row>
    <row r="3" spans="1:14" x14ac:dyDescent="0.35">
      <c r="A3" s="2">
        <v>41733</v>
      </c>
      <c r="B3" s="49">
        <v>17.150486000000001</v>
      </c>
      <c r="C3" s="49">
        <v>1.6517997</v>
      </c>
      <c r="D3" s="49">
        <v>10.432541000000001</v>
      </c>
      <c r="E3" s="49">
        <v>29.102266</v>
      </c>
      <c r="F3" s="49">
        <v>5.343318</v>
      </c>
      <c r="G3" s="49">
        <v>18.5351</v>
      </c>
      <c r="H3" s="49">
        <v>16.230941999999999</v>
      </c>
      <c r="I3" s="49">
        <v>28.220103999999999</v>
      </c>
      <c r="J3" s="49">
        <v>22.005713</v>
      </c>
      <c r="K3" s="56">
        <v>29.355740000000001</v>
      </c>
      <c r="L3" s="56">
        <v>27.92437</v>
      </c>
      <c r="M3" s="56">
        <v>16.902505999999999</v>
      </c>
      <c r="N3" s="56">
        <v>55.817709999999998</v>
      </c>
    </row>
    <row r="4" spans="1:14" x14ac:dyDescent="0.35">
      <c r="A4" s="2">
        <v>41761</v>
      </c>
      <c r="B4" s="49">
        <v>16.83098</v>
      </c>
      <c r="C4" s="49">
        <v>-0.17859936000000001</v>
      </c>
      <c r="D4" s="49">
        <v>12.745869000000001</v>
      </c>
      <c r="E4" s="49">
        <v>26.323450000000001</v>
      </c>
      <c r="F4" s="49">
        <v>-2.4479508000000001</v>
      </c>
      <c r="G4" s="49">
        <v>17.651249</v>
      </c>
      <c r="H4" s="49">
        <v>17.843163000000001</v>
      </c>
      <c r="I4" s="49">
        <v>24.689662999999999</v>
      </c>
      <c r="J4" s="49">
        <v>20.094882999999999</v>
      </c>
      <c r="K4" s="56">
        <v>25.711310000000001</v>
      </c>
      <c r="L4" s="56">
        <v>22.227360000000001</v>
      </c>
      <c r="M4" s="56">
        <v>16.818225999999999</v>
      </c>
      <c r="N4" s="56">
        <v>41.68253</v>
      </c>
    </row>
    <row r="5" spans="1:14" x14ac:dyDescent="0.35">
      <c r="A5" s="2">
        <v>41794</v>
      </c>
      <c r="B5" s="49">
        <v>22.315480000000001</v>
      </c>
      <c r="C5" s="49">
        <v>11.803877</v>
      </c>
      <c r="D5" s="49">
        <v>13.546478</v>
      </c>
      <c r="E5" s="49">
        <v>24.071370999999999</v>
      </c>
      <c r="F5" s="49">
        <v>8.1437229999999996</v>
      </c>
      <c r="G5" s="49">
        <v>20.19266</v>
      </c>
      <c r="H5" s="49">
        <v>17.623889999999999</v>
      </c>
      <c r="I5" s="49">
        <v>27.359950999999999</v>
      </c>
      <c r="J5" s="49">
        <v>20.497071999999999</v>
      </c>
      <c r="K5" s="56">
        <v>23.059332000000001</v>
      </c>
      <c r="L5" s="56">
        <v>20.678985999999998</v>
      </c>
      <c r="M5" s="56">
        <v>16.533899999999999</v>
      </c>
      <c r="N5" s="56">
        <v>34.761749999999999</v>
      </c>
    </row>
    <row r="6" spans="1:14" x14ac:dyDescent="0.35">
      <c r="A6" s="2">
        <v>41823</v>
      </c>
      <c r="B6" s="49">
        <v>30.837477</v>
      </c>
      <c r="C6" s="49">
        <v>24.479711999999999</v>
      </c>
      <c r="D6" s="49">
        <v>27.272224000000001</v>
      </c>
      <c r="E6" s="49">
        <v>32.593226999999999</v>
      </c>
      <c r="F6" s="49">
        <v>7.8951716000000003</v>
      </c>
      <c r="G6" s="49">
        <v>23.149193</v>
      </c>
      <c r="H6" s="49">
        <v>26.970911000000001</v>
      </c>
      <c r="I6" s="49">
        <v>34.902540000000002</v>
      </c>
      <c r="J6" s="49">
        <v>25.307869</v>
      </c>
      <c r="K6" s="56">
        <v>29.733550999999999</v>
      </c>
      <c r="L6" s="56">
        <v>26.249790000000001</v>
      </c>
      <c r="M6" s="56">
        <v>21.768236000000002</v>
      </c>
      <c r="N6" s="56">
        <v>53.476418000000002</v>
      </c>
    </row>
    <row r="7" spans="1:14" x14ac:dyDescent="0.35">
      <c r="A7" s="2">
        <v>41855</v>
      </c>
      <c r="B7" s="49">
        <v>19.778835000000001</v>
      </c>
      <c r="C7" s="49">
        <v>18.001223</v>
      </c>
      <c r="D7" s="49">
        <v>18.551327000000001</v>
      </c>
      <c r="E7" s="49">
        <v>9.600949</v>
      </c>
      <c r="F7" s="49">
        <v>4.0270567000000002</v>
      </c>
      <c r="G7" s="49">
        <v>10.187996</v>
      </c>
      <c r="H7" s="49">
        <v>13.572359000000001</v>
      </c>
      <c r="I7" s="49">
        <v>25.744842999999999</v>
      </c>
      <c r="J7" s="49">
        <v>15.648901</v>
      </c>
      <c r="K7" s="56">
        <v>8.0923800000000004</v>
      </c>
      <c r="L7" s="56">
        <v>4.9941180000000003</v>
      </c>
      <c r="M7" s="56">
        <v>6.3534617000000004</v>
      </c>
      <c r="N7" s="56">
        <v>26.171469999999999</v>
      </c>
    </row>
    <row r="8" spans="1:14" x14ac:dyDescent="0.35">
      <c r="A8" s="2">
        <v>41886</v>
      </c>
      <c r="B8" s="49">
        <v>19.730007000000001</v>
      </c>
      <c r="C8" s="49">
        <v>15.764093000000001</v>
      </c>
      <c r="D8" s="49">
        <v>20.838021999999999</v>
      </c>
      <c r="E8" s="49">
        <v>14.710521999999999</v>
      </c>
      <c r="F8" s="49">
        <v>6.6300034999999999</v>
      </c>
      <c r="G8" s="49">
        <v>15.575576</v>
      </c>
      <c r="H8" s="49">
        <v>13.650095</v>
      </c>
      <c r="I8" s="49">
        <v>31.558311</v>
      </c>
      <c r="J8" s="49">
        <v>23.165108</v>
      </c>
      <c r="K8" s="56">
        <v>12.995148</v>
      </c>
      <c r="L8" s="56">
        <v>10.203528</v>
      </c>
      <c r="M8" s="56">
        <v>5.9175490000000002</v>
      </c>
      <c r="N8" s="56">
        <v>26.818525000000001</v>
      </c>
    </row>
    <row r="9" spans="1:14" x14ac:dyDescent="0.35">
      <c r="A9" s="2">
        <v>41915</v>
      </c>
      <c r="B9" s="49">
        <v>3.2989383000000001</v>
      </c>
      <c r="C9" s="49">
        <v>-1.6106427000000001</v>
      </c>
      <c r="D9" s="49">
        <v>9.7358589999999996</v>
      </c>
      <c r="E9" s="49">
        <v>-1.3759732</v>
      </c>
      <c r="F9" s="49">
        <v>-0.43292641999999998</v>
      </c>
      <c r="G9" s="49">
        <v>3.9068103000000001</v>
      </c>
      <c r="H9" s="49">
        <v>2.7851940000000002</v>
      </c>
      <c r="I9" s="49">
        <v>26.545883</v>
      </c>
      <c r="J9" s="49">
        <v>19.519089999999998</v>
      </c>
      <c r="K9" s="56">
        <v>-2.1363854</v>
      </c>
      <c r="L9" s="56">
        <v>0.26315450000000001</v>
      </c>
      <c r="M9" s="56">
        <v>-3.1404912</v>
      </c>
      <c r="N9" s="56">
        <v>5.4812669999999999</v>
      </c>
    </row>
    <row r="10" spans="1:14" x14ac:dyDescent="0.35">
      <c r="A10" s="2">
        <v>41947</v>
      </c>
      <c r="B10" s="49">
        <v>4.091513</v>
      </c>
      <c r="C10" s="49">
        <v>-2.4518846999999999</v>
      </c>
      <c r="D10" s="49">
        <v>1.0098100000000001</v>
      </c>
      <c r="E10" s="49">
        <v>-6.58406</v>
      </c>
      <c r="F10" s="49">
        <v>1.6866207</v>
      </c>
      <c r="G10" s="49">
        <v>2.1386623</v>
      </c>
      <c r="H10" s="49">
        <v>-2.4166286000000001</v>
      </c>
      <c r="I10" s="49">
        <v>24.025010999999999</v>
      </c>
      <c r="J10" s="49">
        <v>15.917134000000001</v>
      </c>
      <c r="K10" s="56">
        <v>-7.5140532999999996</v>
      </c>
      <c r="L10" s="56">
        <v>-3.7041426</v>
      </c>
      <c r="M10" s="56">
        <v>-0.86781379999999997</v>
      </c>
      <c r="N10" s="56">
        <v>-6.1238647000000004</v>
      </c>
    </row>
    <row r="11" spans="1:14" x14ac:dyDescent="0.35">
      <c r="A11" s="2">
        <v>41977</v>
      </c>
      <c r="B11" s="49">
        <v>12.038898</v>
      </c>
      <c r="C11" s="49">
        <v>-1.9176424000000001</v>
      </c>
      <c r="D11" s="49">
        <v>5.2304744999999997</v>
      </c>
      <c r="E11" s="49">
        <v>-2.2691428999999999</v>
      </c>
      <c r="F11" s="49">
        <v>0.148952</v>
      </c>
      <c r="G11" s="49">
        <v>7.1262955999999997</v>
      </c>
      <c r="H11" s="49">
        <v>0.66155195</v>
      </c>
      <c r="I11" s="49">
        <v>25.070810000000002</v>
      </c>
      <c r="J11" s="49">
        <v>17.784631999999998</v>
      </c>
      <c r="K11" s="56">
        <v>-1.3891876000000001</v>
      </c>
      <c r="L11" s="56">
        <v>2.4764059999999999</v>
      </c>
      <c r="M11" s="56">
        <v>1.4593124</v>
      </c>
      <c r="N11" s="56">
        <v>0.12753010000000001</v>
      </c>
    </row>
    <row r="12" spans="1:14" x14ac:dyDescent="0.35">
      <c r="A12" s="2">
        <v>42006</v>
      </c>
      <c r="B12" s="49">
        <v>12.037039</v>
      </c>
      <c r="C12" s="49">
        <v>-4.2111754000000001</v>
      </c>
      <c r="D12" s="49">
        <v>1.180768</v>
      </c>
      <c r="E12" s="49">
        <v>-9.4949010000000005</v>
      </c>
      <c r="F12" s="49">
        <v>-4.4909420000000004</v>
      </c>
      <c r="G12" s="49">
        <v>0.13849734999999999</v>
      </c>
      <c r="H12" s="49">
        <v>-7.331353</v>
      </c>
      <c r="I12" s="49">
        <v>19.760978999999999</v>
      </c>
      <c r="J12" s="49">
        <v>14.498711</v>
      </c>
      <c r="K12" s="56">
        <v>-9.0540649999999996</v>
      </c>
      <c r="L12" s="56">
        <v>-4.6979666</v>
      </c>
      <c r="M12" s="56">
        <v>-6.5948304999999996</v>
      </c>
      <c r="N12" s="56">
        <v>-9.2173870000000004</v>
      </c>
    </row>
    <row r="13" spans="1:14" x14ac:dyDescent="0.35">
      <c r="A13" s="2">
        <v>42039</v>
      </c>
      <c r="B13" s="49">
        <v>9.2100030000000004</v>
      </c>
      <c r="C13" s="49">
        <v>2.5043250000000001</v>
      </c>
      <c r="D13" s="49">
        <v>1.0248303000000001</v>
      </c>
      <c r="E13" s="49">
        <v>-0.67827700000000002</v>
      </c>
      <c r="F13" s="49">
        <v>6.1994790000000002</v>
      </c>
      <c r="G13" s="49">
        <v>4.3235419999999998</v>
      </c>
      <c r="H13" s="49">
        <v>0.51655770000000001</v>
      </c>
      <c r="I13" s="49">
        <v>23.005915000000002</v>
      </c>
      <c r="J13" s="49">
        <v>18.621492</v>
      </c>
      <c r="K13" s="56">
        <v>-2.0400106999999998</v>
      </c>
      <c r="L13" s="56">
        <v>1.342392</v>
      </c>
      <c r="M13" s="56">
        <v>-0.58133005999999998</v>
      </c>
      <c r="N13" s="56">
        <v>-6.6978929999999997</v>
      </c>
    </row>
    <row r="14" spans="1:14" x14ac:dyDescent="0.35">
      <c r="A14" s="2">
        <v>42067</v>
      </c>
      <c r="B14" s="49">
        <v>5.8626769999999997</v>
      </c>
      <c r="C14" s="49">
        <v>-1.6208589</v>
      </c>
      <c r="D14" s="49">
        <v>-2.5491416</v>
      </c>
      <c r="E14" s="49">
        <v>-4.1408833999999999</v>
      </c>
      <c r="F14" s="49">
        <v>6.7631125000000001</v>
      </c>
      <c r="G14" s="49">
        <v>-0.47153830000000002</v>
      </c>
      <c r="H14" s="49">
        <v>-4.7300816000000001</v>
      </c>
      <c r="I14" s="49">
        <v>20.754660000000001</v>
      </c>
      <c r="J14" s="49">
        <v>14.263177000000001</v>
      </c>
      <c r="K14" s="56">
        <v>-6.861758</v>
      </c>
      <c r="L14" s="56">
        <v>1.7083287</v>
      </c>
      <c r="M14" s="56">
        <v>-1.7913342000000001</v>
      </c>
      <c r="N14" s="56">
        <v>-10.019177000000001</v>
      </c>
    </row>
    <row r="15" spans="1:14" x14ac:dyDescent="0.35">
      <c r="A15" s="2">
        <v>42096</v>
      </c>
      <c r="B15" s="49">
        <v>0.28384924</v>
      </c>
      <c r="C15" s="49">
        <v>-7.1191072000000002</v>
      </c>
      <c r="D15" s="49">
        <v>-5.4311695000000002</v>
      </c>
      <c r="E15" s="49">
        <v>-1.9275844</v>
      </c>
      <c r="F15" s="49">
        <v>12.14695</v>
      </c>
      <c r="G15" s="49">
        <v>0.28125048000000002</v>
      </c>
      <c r="H15" s="49">
        <v>-5.8742704000000003</v>
      </c>
      <c r="I15" s="49">
        <v>18.836200000000002</v>
      </c>
      <c r="J15" s="49">
        <v>11.4277</v>
      </c>
      <c r="K15" s="56">
        <v>-7.0757684999999997</v>
      </c>
      <c r="L15" s="56">
        <v>0.70918800000000004</v>
      </c>
      <c r="M15" s="56">
        <v>-5.0725579999999999</v>
      </c>
      <c r="N15" s="56">
        <v>-12.893075</v>
      </c>
    </row>
    <row r="16" spans="1:14" x14ac:dyDescent="0.35">
      <c r="A16" s="2">
        <v>42128</v>
      </c>
      <c r="B16" s="49">
        <v>-3.0759810999999999</v>
      </c>
      <c r="C16" s="49">
        <v>-6.6057323999999999</v>
      </c>
      <c r="D16" s="49">
        <v>-2.2017598</v>
      </c>
      <c r="E16" s="49">
        <v>-2.7819932000000001</v>
      </c>
      <c r="F16" s="49">
        <v>18.276978</v>
      </c>
      <c r="G16" s="49">
        <v>2.2981524000000002</v>
      </c>
      <c r="H16" s="49">
        <v>-4.5517444999999999</v>
      </c>
      <c r="I16" s="49">
        <v>26.234686</v>
      </c>
      <c r="J16" s="49">
        <v>14.561844000000001</v>
      </c>
      <c r="K16" s="56">
        <v>-5.9756400000000003</v>
      </c>
      <c r="L16" s="56">
        <v>5.0647019999999996</v>
      </c>
      <c r="M16" s="56">
        <v>-3.7364483000000002</v>
      </c>
      <c r="N16" s="56">
        <v>-12.277984999999999</v>
      </c>
    </row>
    <row r="17" spans="1:14" x14ac:dyDescent="0.35">
      <c r="A17" s="2">
        <v>42159</v>
      </c>
      <c r="B17" s="49">
        <v>-2.9363869999999999</v>
      </c>
      <c r="C17" s="49">
        <v>-13.72115</v>
      </c>
      <c r="D17" s="49">
        <v>-8.2230624999999993</v>
      </c>
      <c r="E17" s="49">
        <v>-6.2819776999999997</v>
      </c>
      <c r="F17" s="49">
        <v>12.109602000000001</v>
      </c>
      <c r="G17" s="49">
        <v>2.9393435000000001</v>
      </c>
      <c r="H17" s="49">
        <v>-5.9147360000000004</v>
      </c>
      <c r="I17" s="49">
        <v>21.040641999999998</v>
      </c>
      <c r="J17" s="49">
        <v>10.891318</v>
      </c>
      <c r="K17" s="56">
        <v>-6.7503510000000002</v>
      </c>
      <c r="L17" s="56">
        <v>4.9874543999999998</v>
      </c>
      <c r="M17" s="56">
        <v>-3.4291624999999999</v>
      </c>
      <c r="N17" s="56">
        <v>-9.2845549999999992</v>
      </c>
    </row>
    <row r="18" spans="1:14" x14ac:dyDescent="0.35">
      <c r="A18" s="2">
        <v>42187</v>
      </c>
      <c r="B18" s="49">
        <v>-12.836796</v>
      </c>
      <c r="C18" s="49">
        <v>-14.640504</v>
      </c>
      <c r="D18" s="49">
        <v>-15.785461</v>
      </c>
      <c r="E18" s="49">
        <v>-9.2121960000000005</v>
      </c>
      <c r="F18" s="49">
        <v>6.7215920000000002</v>
      </c>
      <c r="G18" s="49">
        <v>-1.6312002999999999</v>
      </c>
      <c r="H18" s="49">
        <v>-9.8944010000000002</v>
      </c>
      <c r="I18" s="49">
        <v>14.729749999999999</v>
      </c>
      <c r="J18" s="49">
        <v>7.1738359999999997</v>
      </c>
      <c r="K18" s="56">
        <v>-9.4789739999999991</v>
      </c>
      <c r="L18" s="56">
        <v>1.3664007</v>
      </c>
      <c r="M18" s="56">
        <v>-7.0961832999999999</v>
      </c>
      <c r="N18" s="56">
        <v>-13.228624999999999</v>
      </c>
    </row>
    <row r="19" spans="1:14" x14ac:dyDescent="0.35">
      <c r="A19" s="2">
        <v>42220</v>
      </c>
      <c r="B19" s="49">
        <v>-9.5114470000000004</v>
      </c>
      <c r="C19" s="49">
        <v>-15.932869999999999</v>
      </c>
      <c r="D19" s="49">
        <v>-19.010645</v>
      </c>
      <c r="E19" s="49">
        <v>0.88648795999999996</v>
      </c>
      <c r="F19" s="49">
        <v>8.2509630000000005</v>
      </c>
      <c r="G19" s="49">
        <v>6.4300300000000004</v>
      </c>
      <c r="H19" s="49">
        <v>-5.6487502999999997</v>
      </c>
      <c r="I19" s="49">
        <v>18.112563999999999</v>
      </c>
      <c r="J19" s="49">
        <v>10.108625</v>
      </c>
      <c r="K19" s="56">
        <v>0.60340165999999995</v>
      </c>
      <c r="L19" s="56">
        <v>13.177835</v>
      </c>
      <c r="M19" s="56">
        <v>-2.9003440999999999</v>
      </c>
      <c r="N19" s="56">
        <v>-4.3913719999999996</v>
      </c>
    </row>
    <row r="20" spans="1:14" x14ac:dyDescent="0.35">
      <c r="A20" s="2">
        <v>42251</v>
      </c>
      <c r="B20" s="49">
        <v>-18.822787999999999</v>
      </c>
      <c r="C20" s="49">
        <v>-31.930900000000001</v>
      </c>
      <c r="D20" s="49">
        <v>-27.210014000000001</v>
      </c>
      <c r="E20" s="49">
        <v>-10.846418</v>
      </c>
      <c r="F20" s="49">
        <v>-2.3050785</v>
      </c>
      <c r="G20" s="49">
        <v>-5.4431019999999997</v>
      </c>
      <c r="H20" s="49">
        <v>-16.781504000000002</v>
      </c>
      <c r="I20" s="49">
        <v>3.8896202999999998</v>
      </c>
      <c r="J20" s="49">
        <v>-1.9180060000000001</v>
      </c>
      <c r="K20" s="56">
        <v>-10.727442</v>
      </c>
      <c r="L20" s="56">
        <v>-2.4596930000000001</v>
      </c>
      <c r="M20" s="56">
        <v>-8.7947729999999993</v>
      </c>
      <c r="N20" s="56">
        <v>-10.47247</v>
      </c>
    </row>
    <row r="21" spans="1:14" x14ac:dyDescent="0.35">
      <c r="A21" s="2">
        <v>42279</v>
      </c>
      <c r="B21" s="49">
        <v>-12.216578999999999</v>
      </c>
      <c r="C21" s="49">
        <v>-19.851887000000001</v>
      </c>
      <c r="D21" s="49">
        <v>-21.478992000000002</v>
      </c>
      <c r="E21" s="49">
        <v>-6.7425069999999998</v>
      </c>
      <c r="F21" s="49">
        <v>3.6767601999999999</v>
      </c>
      <c r="G21" s="49">
        <v>-0.75019599999999997</v>
      </c>
      <c r="H21" s="49">
        <v>-7.3083159999999996</v>
      </c>
      <c r="I21" s="49">
        <v>8.1525920000000003</v>
      </c>
      <c r="J21" s="49">
        <v>2.3498535</v>
      </c>
      <c r="K21" s="56">
        <v>-2.8776407000000002</v>
      </c>
      <c r="L21" s="56">
        <v>2.3431299999999999</v>
      </c>
      <c r="M21" s="56">
        <v>-4.9015402999999997</v>
      </c>
      <c r="N21" s="56">
        <v>-0.44898389999999999</v>
      </c>
    </row>
    <row r="22" spans="1:14" x14ac:dyDescent="0.35">
      <c r="A22" s="2">
        <v>42312</v>
      </c>
      <c r="B22" s="49">
        <v>-4.7795056999999996</v>
      </c>
      <c r="C22" s="49">
        <v>-19.895379999999999</v>
      </c>
      <c r="D22" s="49">
        <v>-15.639472</v>
      </c>
      <c r="E22" s="49">
        <v>1.6219258000000001</v>
      </c>
      <c r="F22" s="49">
        <v>5.5435059999999998</v>
      </c>
      <c r="G22" s="49">
        <v>1.8128036999999999</v>
      </c>
      <c r="H22" s="49">
        <v>-2.4153829</v>
      </c>
      <c r="I22" s="49">
        <v>14.704250999999999</v>
      </c>
      <c r="J22" s="49">
        <v>6.7382574000000002</v>
      </c>
      <c r="K22" s="56">
        <v>5.702877</v>
      </c>
      <c r="L22" s="56">
        <v>7.9419849999999999</v>
      </c>
      <c r="M22" s="56">
        <v>-2.6562749999999999</v>
      </c>
      <c r="N22" s="56">
        <v>4.1851640000000003</v>
      </c>
    </row>
    <row r="23" spans="1:14" x14ac:dyDescent="0.35">
      <c r="A23" s="2">
        <v>42342</v>
      </c>
      <c r="B23" s="49">
        <v>-3.8832843000000001</v>
      </c>
      <c r="C23" s="49">
        <v>-12.891959999999999</v>
      </c>
      <c r="D23" s="49">
        <v>-19.893826000000001</v>
      </c>
      <c r="E23" s="49">
        <v>-3.8689136999999998</v>
      </c>
      <c r="F23" s="49">
        <v>6.9516179999999999</v>
      </c>
      <c r="G23" s="49">
        <v>-2.2881507999999999</v>
      </c>
      <c r="H23" s="49">
        <v>-7.2867927999999997</v>
      </c>
      <c r="I23" s="49">
        <v>10.454129999999999</v>
      </c>
      <c r="J23" s="49">
        <v>2.9873967000000001</v>
      </c>
      <c r="K23" s="56">
        <v>-1.1477470000000001</v>
      </c>
      <c r="L23" s="56">
        <v>0.46011210000000002</v>
      </c>
      <c r="M23" s="56">
        <v>-4.1704835999999998</v>
      </c>
      <c r="N23" s="56">
        <v>2.4690032</v>
      </c>
    </row>
    <row r="24" spans="1:14" x14ac:dyDescent="0.35">
      <c r="A24" s="2">
        <v>42373</v>
      </c>
      <c r="B24" s="49">
        <v>-1.8617272</v>
      </c>
      <c r="C24" s="49">
        <v>-10.913807</v>
      </c>
      <c r="D24" s="49">
        <v>-24.562103</v>
      </c>
      <c r="E24" s="49">
        <v>-4.6789589999999999</v>
      </c>
      <c r="F24" s="49">
        <v>7.2600245000000001</v>
      </c>
      <c r="G24" s="49">
        <v>-0.33936500000000003</v>
      </c>
      <c r="H24" s="49">
        <v>-7.6579810000000004</v>
      </c>
      <c r="I24" s="49">
        <v>7.4600099999999996</v>
      </c>
      <c r="J24" s="49">
        <v>-0.11036396</v>
      </c>
      <c r="K24" s="56">
        <v>-0.85244180000000003</v>
      </c>
      <c r="L24" s="56">
        <v>0.30311346</v>
      </c>
      <c r="M24" s="56">
        <v>-5.8746869999999998</v>
      </c>
      <c r="N24" s="56">
        <v>1.395297</v>
      </c>
    </row>
    <row r="25" spans="1:14" x14ac:dyDescent="0.35">
      <c r="A25" s="2">
        <v>42404</v>
      </c>
      <c r="B25" s="49">
        <v>-4.4639170000000004</v>
      </c>
      <c r="C25" s="49">
        <v>-18.246496</v>
      </c>
      <c r="D25" s="49">
        <v>-20.604647</v>
      </c>
      <c r="E25" s="49">
        <v>-14.831072000000001</v>
      </c>
      <c r="F25" s="49">
        <v>-3.1956017000000001</v>
      </c>
      <c r="G25" s="49">
        <v>-8.9074609999999996</v>
      </c>
      <c r="H25" s="49">
        <v>-14.74616</v>
      </c>
      <c r="I25" s="49">
        <v>-0.17586350000000001</v>
      </c>
      <c r="J25" s="49">
        <v>-4.1517075999999999</v>
      </c>
      <c r="K25" s="56">
        <v>-7.4794650000000003</v>
      </c>
      <c r="L25" s="56">
        <v>-1.3784349</v>
      </c>
      <c r="M25" s="56">
        <v>-12.683648</v>
      </c>
      <c r="N25" s="56">
        <v>-14.200526</v>
      </c>
    </row>
    <row r="26" spans="1:14" x14ac:dyDescent="0.35">
      <c r="A26" s="2">
        <v>42433</v>
      </c>
      <c r="B26" s="49">
        <v>-2.1920739999999999</v>
      </c>
      <c r="C26" s="49">
        <v>-14.942569000000001</v>
      </c>
      <c r="D26" s="49">
        <v>-17.161304000000001</v>
      </c>
      <c r="E26" s="49">
        <v>-15.070605</v>
      </c>
      <c r="F26" s="49">
        <v>-4.8743067</v>
      </c>
      <c r="G26" s="49">
        <v>-9.4113589999999991</v>
      </c>
      <c r="H26" s="49">
        <v>-14.261234</v>
      </c>
      <c r="I26" s="49">
        <v>-1.5673637</v>
      </c>
      <c r="J26" s="49">
        <v>-2.6772081999999999</v>
      </c>
      <c r="K26" s="56">
        <v>-7.8093886000000001</v>
      </c>
      <c r="L26" s="56">
        <v>-5.7332096000000003</v>
      </c>
      <c r="M26" s="56">
        <v>-13.995302000000001</v>
      </c>
      <c r="N26" s="56">
        <v>-16.571290000000001</v>
      </c>
    </row>
    <row r="27" spans="1:14" x14ac:dyDescent="0.35">
      <c r="A27" s="2">
        <v>42464</v>
      </c>
      <c r="B27" s="49">
        <v>5.0164580000000001</v>
      </c>
      <c r="C27" s="49">
        <v>-13.134086999999999</v>
      </c>
      <c r="D27" s="49">
        <v>-13.794129999999999</v>
      </c>
      <c r="E27" s="49">
        <v>-14.801168000000001</v>
      </c>
      <c r="F27" s="49">
        <v>-11.208916</v>
      </c>
      <c r="G27" s="49">
        <v>-10.270101</v>
      </c>
      <c r="H27" s="49">
        <v>-11.192542</v>
      </c>
      <c r="I27" s="49">
        <v>5.7254075999999996</v>
      </c>
      <c r="J27" s="49">
        <v>2.0622253000000001</v>
      </c>
      <c r="K27" s="56">
        <v>-7.8528643000000002</v>
      </c>
      <c r="L27" s="56">
        <v>-3.7789880999999999</v>
      </c>
      <c r="M27" s="56">
        <v>-9.6211140000000004</v>
      </c>
      <c r="N27" s="56">
        <v>-19.696498999999999</v>
      </c>
    </row>
    <row r="28" spans="1:14" x14ac:dyDescent="0.35">
      <c r="A28" s="2">
        <v>42494</v>
      </c>
      <c r="B28" s="49">
        <v>7.2190165999999998</v>
      </c>
      <c r="C28" s="49">
        <v>-12.211114</v>
      </c>
      <c r="D28" s="49">
        <v>-15.865517000000001</v>
      </c>
      <c r="E28" s="49">
        <v>-12.754554000000001</v>
      </c>
      <c r="F28" s="49">
        <v>-11.611825</v>
      </c>
      <c r="G28" s="49">
        <v>-11.954176</v>
      </c>
      <c r="H28" s="49">
        <v>-14.845878000000001</v>
      </c>
      <c r="I28" s="49">
        <v>-2.7783275000000001</v>
      </c>
      <c r="J28" s="49">
        <v>-0.89654920000000005</v>
      </c>
      <c r="K28" s="56">
        <v>-9.3245450000000005</v>
      </c>
      <c r="L28" s="56">
        <v>-5.7922305999999999</v>
      </c>
      <c r="M28" s="56">
        <v>-11.373162000000001</v>
      </c>
      <c r="N28" s="56">
        <v>-18.966388999999999</v>
      </c>
    </row>
    <row r="29" spans="1:14" x14ac:dyDescent="0.35">
      <c r="A29" s="2">
        <v>42524</v>
      </c>
      <c r="B29" s="49">
        <v>16.923582</v>
      </c>
      <c r="C29" s="49">
        <v>-7.2332200000000002</v>
      </c>
      <c r="D29" s="49">
        <v>-8.6552089999999993</v>
      </c>
      <c r="E29" s="49">
        <v>-10.647945999999999</v>
      </c>
      <c r="F29" s="49">
        <v>-9.5582250000000002</v>
      </c>
      <c r="G29" s="49">
        <v>-10.641277000000001</v>
      </c>
      <c r="H29" s="49">
        <v>-12.084693</v>
      </c>
      <c r="I29" s="49">
        <v>0.77885389999999999</v>
      </c>
      <c r="J29" s="49">
        <v>1.3632177999999999</v>
      </c>
      <c r="K29" s="56">
        <v>-8.1042400000000008</v>
      </c>
      <c r="L29" s="56">
        <v>-4.4510484000000003</v>
      </c>
      <c r="M29" s="56">
        <v>-11.648296999999999</v>
      </c>
      <c r="N29" s="56">
        <v>-22.936416999999999</v>
      </c>
    </row>
    <row r="30" spans="1:14" x14ac:dyDescent="0.35">
      <c r="A30" s="2">
        <v>42552</v>
      </c>
      <c r="B30" s="49">
        <v>28.644062000000002</v>
      </c>
      <c r="C30" s="49">
        <v>-4.1840973000000004</v>
      </c>
      <c r="D30" s="49">
        <v>-4.4914006999999998</v>
      </c>
      <c r="E30" s="49">
        <v>-12.140440999999999</v>
      </c>
      <c r="F30" s="49">
        <v>-9.6485909999999997</v>
      </c>
      <c r="G30" s="49">
        <v>-7.0082664000000001</v>
      </c>
      <c r="H30" s="49">
        <v>-12.171942</v>
      </c>
      <c r="I30" s="49">
        <v>1.2783289</v>
      </c>
      <c r="J30" s="49">
        <v>3.3800840000000001</v>
      </c>
      <c r="K30" s="56">
        <v>-9.0838669999999997</v>
      </c>
      <c r="L30" s="56">
        <v>-9.1708719999999992</v>
      </c>
      <c r="M30" s="56">
        <v>-11.095184</v>
      </c>
      <c r="N30" s="56">
        <v>-26.031101</v>
      </c>
    </row>
    <row r="31" spans="1:14" x14ac:dyDescent="0.35">
      <c r="A31" s="2">
        <v>42586</v>
      </c>
      <c r="B31" s="49">
        <v>37.555813000000001</v>
      </c>
      <c r="C31" s="49">
        <v>2.1245121999999999</v>
      </c>
      <c r="D31" s="49">
        <v>1.0770559</v>
      </c>
      <c r="E31" s="49">
        <v>-9.1347100000000001</v>
      </c>
      <c r="F31" s="49">
        <v>-4.7885536999999996</v>
      </c>
      <c r="G31" s="49">
        <v>-9.4566579999999991</v>
      </c>
      <c r="H31" s="49">
        <v>-12.086546</v>
      </c>
      <c r="I31" s="49">
        <v>5.0141096000000003</v>
      </c>
      <c r="J31" s="49">
        <v>5.6187389999999997</v>
      </c>
      <c r="K31" s="56">
        <v>-9.8939299999999992</v>
      </c>
      <c r="L31" s="56">
        <v>-8.5936730000000008</v>
      </c>
      <c r="M31" s="56">
        <v>-8.7044060000000005</v>
      </c>
      <c r="N31" s="56">
        <v>-27.525585</v>
      </c>
    </row>
    <row r="32" spans="1:14" x14ac:dyDescent="0.35">
      <c r="A32" s="2">
        <v>42615</v>
      </c>
      <c r="B32" s="49">
        <v>54.736170000000001</v>
      </c>
      <c r="C32" s="49">
        <v>16.572071000000001</v>
      </c>
      <c r="D32" s="49">
        <v>12.184143000000001</v>
      </c>
      <c r="E32" s="49">
        <v>4.3566823000000001</v>
      </c>
      <c r="F32" s="49">
        <v>7.3879479999999997</v>
      </c>
      <c r="G32" s="49">
        <v>0.49598217</v>
      </c>
      <c r="H32" s="49">
        <v>1.2027383</v>
      </c>
      <c r="I32" s="49">
        <v>13.995767000000001</v>
      </c>
      <c r="J32" s="49">
        <v>14.194632</v>
      </c>
      <c r="K32" s="56">
        <v>1.7862081999999999</v>
      </c>
      <c r="L32" s="56">
        <v>7.4507833000000003</v>
      </c>
      <c r="M32" s="56">
        <v>0.40832758000000002</v>
      </c>
      <c r="N32" s="56">
        <v>-19.122028</v>
      </c>
    </row>
    <row r="33" spans="1:14" x14ac:dyDescent="0.35">
      <c r="A33" s="2">
        <v>42647</v>
      </c>
      <c r="B33" s="49">
        <v>47.15737</v>
      </c>
      <c r="C33" s="49">
        <v>18.702256999999999</v>
      </c>
      <c r="D33" s="49">
        <v>10.388589</v>
      </c>
      <c r="E33" s="49">
        <v>8.2807659999999998</v>
      </c>
      <c r="F33" s="49">
        <v>8.3248139999999999</v>
      </c>
      <c r="G33" s="49">
        <v>0.77385899999999996</v>
      </c>
      <c r="H33" s="49">
        <v>-1.7360865999999999</v>
      </c>
      <c r="I33" s="49">
        <v>15.094851999999999</v>
      </c>
      <c r="J33" s="49">
        <v>12.476826000000001</v>
      </c>
      <c r="K33" s="56">
        <v>1.4795780000000001</v>
      </c>
      <c r="L33" s="56">
        <v>8.0030560000000008</v>
      </c>
      <c r="M33" s="56">
        <v>3.0256748</v>
      </c>
      <c r="N33" s="56">
        <v>-23.70242</v>
      </c>
    </row>
    <row r="34" spans="1:14" x14ac:dyDescent="0.35">
      <c r="A34" s="2">
        <v>42678</v>
      </c>
      <c r="B34" s="49">
        <v>21.719158</v>
      </c>
      <c r="C34" s="49">
        <v>9.2457180000000001</v>
      </c>
      <c r="D34" s="49">
        <v>6.210375</v>
      </c>
      <c r="E34" s="49">
        <v>-3.9027571999999999</v>
      </c>
      <c r="F34" s="49">
        <v>1.8563746999999999</v>
      </c>
      <c r="G34" s="49">
        <v>-7.6879206</v>
      </c>
      <c r="H34" s="49">
        <v>-12.776971</v>
      </c>
      <c r="I34" s="49">
        <v>-7.2407719999999995E-2</v>
      </c>
      <c r="J34" s="49">
        <v>1.2868762</v>
      </c>
      <c r="K34" s="56">
        <v>-6.2887849999999998</v>
      </c>
      <c r="L34" s="56">
        <v>-2.4919986999999999</v>
      </c>
      <c r="M34" s="56">
        <v>-8.1096229999999991</v>
      </c>
      <c r="N34" s="56">
        <v>-23.391169000000001</v>
      </c>
    </row>
    <row r="35" spans="1:14" x14ac:dyDescent="0.35">
      <c r="A35" s="2">
        <v>42706</v>
      </c>
      <c r="B35" s="49">
        <v>21.443928</v>
      </c>
      <c r="C35" s="49">
        <v>11.010479999999999</v>
      </c>
      <c r="D35" s="49">
        <v>15.108955</v>
      </c>
      <c r="E35" s="49">
        <v>-5.5491029999999997</v>
      </c>
      <c r="F35" s="49">
        <v>0.99806786000000003</v>
      </c>
      <c r="G35" s="49">
        <v>-6.3671170000000004</v>
      </c>
      <c r="H35" s="49">
        <v>-7.2517513999999998</v>
      </c>
      <c r="I35" s="49">
        <v>2.2367119999999998</v>
      </c>
      <c r="J35" s="49">
        <v>7.6292156999999996</v>
      </c>
      <c r="K35" s="56">
        <v>-3.5247684000000001</v>
      </c>
      <c r="L35" s="56">
        <v>-3.5498976999999998</v>
      </c>
      <c r="M35" s="56">
        <v>-5.7389080000000003</v>
      </c>
      <c r="N35" s="56">
        <v>-19.61515</v>
      </c>
    </row>
    <row r="36" spans="1:14" x14ac:dyDescent="0.35">
      <c r="A36" s="2">
        <v>42739</v>
      </c>
      <c r="B36" s="49">
        <v>14.096558</v>
      </c>
      <c r="C36" s="49">
        <v>16.101790000000001</v>
      </c>
      <c r="D36" s="49">
        <v>28.464580000000002</v>
      </c>
      <c r="E36" s="49">
        <v>6.8748592999999998</v>
      </c>
      <c r="F36" s="49">
        <v>7.3821899999999996</v>
      </c>
      <c r="G36" s="49">
        <v>-5.2011013000000002E-2</v>
      </c>
      <c r="H36" s="49">
        <v>1.7604112999999999</v>
      </c>
      <c r="I36" s="49">
        <v>10.988759999999999</v>
      </c>
      <c r="J36" s="49">
        <v>15.13958</v>
      </c>
      <c r="K36" s="56">
        <v>7.3120832</v>
      </c>
      <c r="L36" s="56">
        <v>6.5652369999999998</v>
      </c>
      <c r="M36" s="56">
        <v>5.8322310000000002</v>
      </c>
      <c r="N36" s="56">
        <v>-5.4777265000000002</v>
      </c>
    </row>
    <row r="37" spans="1:14" x14ac:dyDescent="0.35">
      <c r="A37" s="2">
        <v>42769</v>
      </c>
      <c r="B37" s="49">
        <v>27.463282</v>
      </c>
      <c r="C37" s="49">
        <v>29.576896999999999</v>
      </c>
      <c r="D37" s="49">
        <v>32.828667000000003</v>
      </c>
      <c r="E37" s="49">
        <v>17.315186000000001</v>
      </c>
      <c r="F37" s="49">
        <v>16.514289999999999</v>
      </c>
      <c r="G37" s="49">
        <v>8.6526984999999996</v>
      </c>
      <c r="H37" s="49">
        <v>8.1436399999999995</v>
      </c>
      <c r="I37" s="49">
        <v>25.008858</v>
      </c>
      <c r="J37" s="49">
        <v>22.463142000000001</v>
      </c>
      <c r="K37" s="56">
        <v>12.883604</v>
      </c>
      <c r="L37" s="56">
        <v>11.445176999999999</v>
      </c>
      <c r="M37" s="56">
        <v>19.782506999999999</v>
      </c>
      <c r="N37" s="56">
        <v>8.5325240000000004</v>
      </c>
    </row>
    <row r="38" spans="1:14" x14ac:dyDescent="0.35">
      <c r="A38" s="2">
        <v>42797</v>
      </c>
      <c r="B38" s="49">
        <v>17.188692</v>
      </c>
      <c r="C38" s="49">
        <v>22.263348000000001</v>
      </c>
      <c r="D38" s="49">
        <v>22.034157</v>
      </c>
      <c r="E38" s="49">
        <v>17.252659000000001</v>
      </c>
      <c r="F38" s="49">
        <v>14.879189999999999</v>
      </c>
      <c r="G38" s="49">
        <v>10.033810000000001</v>
      </c>
      <c r="H38" s="49">
        <v>7.5464130000000003</v>
      </c>
      <c r="I38" s="49">
        <v>25.422405000000001</v>
      </c>
      <c r="J38" s="49">
        <v>21.910799000000001</v>
      </c>
      <c r="K38" s="56">
        <v>12.234127000000001</v>
      </c>
      <c r="L38" s="56">
        <v>13.771713</v>
      </c>
      <c r="M38" s="56">
        <v>13.188065</v>
      </c>
      <c r="N38" s="56">
        <v>5.9138774999999999</v>
      </c>
    </row>
    <row r="39" spans="1:14" x14ac:dyDescent="0.35">
      <c r="A39" s="2">
        <v>42829</v>
      </c>
      <c r="B39" s="49">
        <v>9.8273390000000003</v>
      </c>
      <c r="C39" s="49">
        <v>23.461746000000002</v>
      </c>
      <c r="D39" s="49">
        <v>17.342054000000001</v>
      </c>
      <c r="E39" s="49">
        <v>15.898585000000001</v>
      </c>
      <c r="F39" s="49">
        <v>18.147040000000001</v>
      </c>
      <c r="G39" s="49">
        <v>11.012231999999999</v>
      </c>
      <c r="H39" s="49">
        <v>8.0206759999999999</v>
      </c>
      <c r="I39" s="49">
        <v>21.769141999999999</v>
      </c>
      <c r="J39" s="49">
        <v>16.537261999999998</v>
      </c>
      <c r="K39" s="56">
        <v>13.636647999999999</v>
      </c>
      <c r="L39" s="56">
        <v>12.445175000000001</v>
      </c>
      <c r="M39" s="56">
        <v>9.8042964999999995</v>
      </c>
      <c r="N39" s="56">
        <v>11.443256999999999</v>
      </c>
    </row>
    <row r="40" spans="1:14" x14ac:dyDescent="0.35">
      <c r="A40" s="2">
        <v>42859</v>
      </c>
      <c r="B40" s="49">
        <v>7.5098039999999999</v>
      </c>
      <c r="C40" s="49">
        <v>17.359234000000001</v>
      </c>
      <c r="D40" s="49">
        <v>8.7536930000000002</v>
      </c>
      <c r="E40" s="49">
        <v>21.236504</v>
      </c>
      <c r="F40" s="49">
        <v>17.155956</v>
      </c>
      <c r="G40" s="49">
        <v>16.625643</v>
      </c>
      <c r="H40" s="49">
        <v>9.4096299999999999</v>
      </c>
      <c r="I40" s="49">
        <v>31.794011999999999</v>
      </c>
      <c r="J40" s="49">
        <v>18.875205999999999</v>
      </c>
      <c r="K40" s="56">
        <v>22.73959</v>
      </c>
      <c r="L40" s="56">
        <v>22.146045999999998</v>
      </c>
      <c r="M40" s="56">
        <v>19.954073000000001</v>
      </c>
      <c r="N40" s="56">
        <v>16.126871000000001</v>
      </c>
    </row>
    <row r="41" spans="1:14" x14ac:dyDescent="0.35">
      <c r="A41" s="2">
        <v>42888</v>
      </c>
      <c r="B41" s="49">
        <v>12.160254</v>
      </c>
      <c r="C41" s="49">
        <v>17.368756999999999</v>
      </c>
      <c r="D41" s="49">
        <v>8.9574929999999995</v>
      </c>
      <c r="E41" s="49">
        <v>24.889278000000001</v>
      </c>
      <c r="F41" s="49">
        <v>19.830168</v>
      </c>
      <c r="G41" s="49">
        <v>18.078375000000001</v>
      </c>
      <c r="H41" s="49">
        <v>12.274896999999999</v>
      </c>
      <c r="I41" s="49">
        <v>31.068587999999998</v>
      </c>
      <c r="J41" s="49">
        <v>18.167995000000001</v>
      </c>
      <c r="K41" s="56">
        <v>24.418545000000002</v>
      </c>
      <c r="L41" s="56">
        <v>22.377776999999998</v>
      </c>
      <c r="M41" s="56">
        <v>21.915959999999998</v>
      </c>
      <c r="N41" s="56">
        <v>22.102844000000001</v>
      </c>
    </row>
    <row r="42" spans="1:14" x14ac:dyDescent="0.35">
      <c r="A42" s="2">
        <v>42919</v>
      </c>
      <c r="B42" s="49">
        <v>11.530256</v>
      </c>
      <c r="C42" s="49">
        <v>15.886378000000001</v>
      </c>
      <c r="D42" s="49">
        <v>10.485638</v>
      </c>
      <c r="E42" s="49">
        <v>28.070091000000001</v>
      </c>
      <c r="F42" s="49">
        <v>18.388866</v>
      </c>
      <c r="G42" s="49">
        <v>17.698383</v>
      </c>
      <c r="H42" s="49">
        <v>12.39264</v>
      </c>
      <c r="I42" s="49">
        <v>27.310658</v>
      </c>
      <c r="J42" s="49">
        <v>17.731262000000001</v>
      </c>
      <c r="K42" s="56">
        <v>28.231466000000001</v>
      </c>
      <c r="L42" s="56">
        <v>28.129650000000002</v>
      </c>
      <c r="M42" s="56">
        <v>26.529561999999999</v>
      </c>
      <c r="N42" s="56">
        <v>33.198081999999999</v>
      </c>
    </row>
    <row r="43" spans="1:14" x14ac:dyDescent="0.35">
      <c r="A43" s="2">
        <v>42951</v>
      </c>
      <c r="B43" s="49">
        <v>8.6586239999999997</v>
      </c>
      <c r="C43" s="49">
        <v>14.530647</v>
      </c>
      <c r="D43" s="49">
        <v>12.5300045</v>
      </c>
      <c r="E43" s="49">
        <v>25.200676000000001</v>
      </c>
      <c r="F43" s="49">
        <v>16.389084</v>
      </c>
      <c r="G43" s="49">
        <v>18.712389000000002</v>
      </c>
      <c r="H43" s="49">
        <v>14.444172</v>
      </c>
      <c r="I43" s="49">
        <v>25.472867999999998</v>
      </c>
      <c r="J43" s="49">
        <v>16.652965999999999</v>
      </c>
      <c r="K43" s="56">
        <v>30.461407000000001</v>
      </c>
      <c r="L43" s="56">
        <v>33.207703000000002</v>
      </c>
      <c r="M43" s="56">
        <v>26.857018</v>
      </c>
      <c r="N43" s="56">
        <v>44.502685999999997</v>
      </c>
    </row>
    <row r="44" spans="1:14" x14ac:dyDescent="0.35">
      <c r="A44" s="2">
        <v>42979</v>
      </c>
      <c r="B44" s="49">
        <v>3.5515903999999998</v>
      </c>
      <c r="C44" s="49">
        <v>17.78332</v>
      </c>
      <c r="D44" s="49">
        <v>12.299013</v>
      </c>
      <c r="E44" s="49">
        <v>19.625902</v>
      </c>
      <c r="F44" s="49">
        <v>12.134684</v>
      </c>
      <c r="G44" s="49">
        <v>15.711641</v>
      </c>
      <c r="H44" s="49">
        <v>11.007082</v>
      </c>
      <c r="I44" s="49">
        <v>26.356638</v>
      </c>
      <c r="J44" s="49">
        <v>16.328764</v>
      </c>
      <c r="K44" s="56">
        <v>26.241385999999999</v>
      </c>
      <c r="L44" s="56">
        <v>25.774944000000001</v>
      </c>
      <c r="M44" s="56">
        <v>23.978650999999999</v>
      </c>
      <c r="N44" s="56">
        <v>37.509872000000001</v>
      </c>
    </row>
    <row r="45" spans="1:14" x14ac:dyDescent="0.35">
      <c r="A45" s="2">
        <v>43012</v>
      </c>
      <c r="B45" s="49">
        <v>7.0817350000000001</v>
      </c>
      <c r="C45" s="49">
        <v>12.707853</v>
      </c>
      <c r="D45" s="49">
        <v>17.492436999999999</v>
      </c>
      <c r="E45" s="49">
        <v>26.04233</v>
      </c>
      <c r="F45" s="49">
        <v>14.788198</v>
      </c>
      <c r="G45" s="49">
        <v>18.261147000000001</v>
      </c>
      <c r="H45" s="49">
        <v>13.841963</v>
      </c>
      <c r="I45" s="49">
        <v>24.603558</v>
      </c>
      <c r="J45" s="49">
        <v>20.311785</v>
      </c>
      <c r="K45" s="56">
        <v>30.726696</v>
      </c>
      <c r="L45" s="56">
        <v>28.285385000000002</v>
      </c>
      <c r="M45" s="56">
        <v>27.184809000000001</v>
      </c>
      <c r="N45" s="56">
        <v>45.804977000000001</v>
      </c>
    </row>
    <row r="46" spans="1:14" x14ac:dyDescent="0.35">
      <c r="A46" s="2">
        <v>43042</v>
      </c>
      <c r="B46" s="49">
        <v>11.770832</v>
      </c>
      <c r="C46" s="49">
        <v>19.525563999999999</v>
      </c>
      <c r="D46" s="49">
        <v>18.242287000000001</v>
      </c>
      <c r="E46" s="49">
        <v>34.221397000000003</v>
      </c>
      <c r="F46" s="49">
        <v>20.251380000000001</v>
      </c>
      <c r="G46" s="49">
        <v>23.275839999999999</v>
      </c>
      <c r="H46" s="49">
        <v>21.388126</v>
      </c>
      <c r="I46" s="49">
        <v>35.734999999999999</v>
      </c>
      <c r="J46" s="49">
        <v>26.296794999999999</v>
      </c>
      <c r="K46" s="56">
        <v>34.481679999999997</v>
      </c>
      <c r="L46" s="56">
        <v>34.789479999999998</v>
      </c>
      <c r="M46" s="56">
        <v>33.935917000000003</v>
      </c>
      <c r="N46" s="56">
        <v>46.491073999999998</v>
      </c>
    </row>
    <row r="47" spans="1:14" x14ac:dyDescent="0.35">
      <c r="A47" s="2">
        <v>43073</v>
      </c>
      <c r="B47" s="49">
        <v>12.457013</v>
      </c>
      <c r="C47" s="49">
        <v>15.125334000000001</v>
      </c>
      <c r="D47" s="49">
        <v>13.401354</v>
      </c>
      <c r="E47" s="49">
        <v>36.279000000000003</v>
      </c>
      <c r="F47" s="49">
        <v>21.093738999999999</v>
      </c>
      <c r="G47" s="49">
        <v>26.064550000000001</v>
      </c>
      <c r="H47" s="49">
        <v>18.925894</v>
      </c>
      <c r="I47" s="49">
        <v>33.310448000000001</v>
      </c>
      <c r="J47" s="49">
        <v>22.672832</v>
      </c>
      <c r="K47" s="56">
        <v>36.40249</v>
      </c>
      <c r="L47" s="56">
        <v>38.683689999999999</v>
      </c>
      <c r="M47" s="56">
        <v>27.189754000000001</v>
      </c>
      <c r="N47" s="56">
        <v>43.204070000000002</v>
      </c>
    </row>
    <row r="48" spans="1:14" x14ac:dyDescent="0.35">
      <c r="A48" s="2">
        <v>43104</v>
      </c>
      <c r="B48" s="49">
        <v>23.917733999999999</v>
      </c>
      <c r="C48" s="49">
        <v>18.325603000000001</v>
      </c>
      <c r="D48" s="49">
        <v>15.443826</v>
      </c>
      <c r="E48" s="49">
        <v>30.267060000000001</v>
      </c>
      <c r="F48" s="49">
        <v>24.747837000000001</v>
      </c>
      <c r="G48" s="49">
        <v>23.550833000000001</v>
      </c>
      <c r="H48" s="49">
        <v>21.319769999999998</v>
      </c>
      <c r="I48" s="49">
        <v>34.597250000000003</v>
      </c>
      <c r="J48" s="49">
        <v>22.199176999999999</v>
      </c>
      <c r="K48" s="56">
        <v>31.297577</v>
      </c>
      <c r="L48" s="56">
        <v>35.285330000000002</v>
      </c>
      <c r="M48" s="56">
        <v>23.641383999999999</v>
      </c>
      <c r="N48" s="56">
        <v>30.90427</v>
      </c>
    </row>
    <row r="49" spans="1:14" x14ac:dyDescent="0.35">
      <c r="A49" s="2">
        <v>43133</v>
      </c>
      <c r="B49" s="49">
        <v>17.842328999999999</v>
      </c>
      <c r="C49" s="49">
        <v>14.181746</v>
      </c>
      <c r="D49" s="49">
        <v>8.8436009999999996</v>
      </c>
      <c r="E49" s="49">
        <v>25.431501000000001</v>
      </c>
      <c r="F49" s="49">
        <v>24.245811</v>
      </c>
      <c r="G49" s="49">
        <v>21.918571</v>
      </c>
      <c r="H49" s="49">
        <v>20.064354000000002</v>
      </c>
      <c r="I49" s="49">
        <v>32.550002999999997</v>
      </c>
      <c r="J49" s="49">
        <v>23.279357999999998</v>
      </c>
      <c r="K49" s="56">
        <v>32.405650000000001</v>
      </c>
      <c r="L49" s="56">
        <v>34.76502</v>
      </c>
      <c r="M49" s="56">
        <v>18.54335</v>
      </c>
      <c r="N49" s="56">
        <v>41.687249999999999</v>
      </c>
    </row>
    <row r="50" spans="1:14" x14ac:dyDescent="0.35">
      <c r="A50" s="2">
        <v>43161</v>
      </c>
      <c r="B50" s="49">
        <v>19.512165</v>
      </c>
      <c r="C50" s="49">
        <v>8.4839339999999996</v>
      </c>
      <c r="D50" s="49">
        <v>5.1779985000000002</v>
      </c>
      <c r="E50" s="49">
        <v>17.115819999999999</v>
      </c>
      <c r="F50" s="49">
        <v>18.349706999999999</v>
      </c>
      <c r="G50" s="49">
        <v>12.266958000000001</v>
      </c>
      <c r="H50" s="49">
        <v>11.925364</v>
      </c>
      <c r="I50" s="49">
        <v>28.080952</v>
      </c>
      <c r="J50" s="49">
        <v>15.121423999999999</v>
      </c>
      <c r="K50" s="56">
        <v>27.122174999999999</v>
      </c>
      <c r="L50" s="56">
        <v>25.550604</v>
      </c>
      <c r="M50" s="56">
        <v>13.205481000000001</v>
      </c>
      <c r="N50" s="56">
        <v>34.418823000000003</v>
      </c>
    </row>
    <row r="51" spans="1:14" x14ac:dyDescent="0.35">
      <c r="A51" s="2">
        <v>43194</v>
      </c>
      <c r="B51" s="49">
        <v>21.34074</v>
      </c>
      <c r="C51" s="49">
        <v>2.6655793000000001</v>
      </c>
      <c r="D51" s="49">
        <v>4.2054770000000001</v>
      </c>
      <c r="E51" s="49">
        <v>13.197267999999999</v>
      </c>
      <c r="F51" s="49">
        <v>18.388307999999999</v>
      </c>
      <c r="G51" s="49">
        <v>8.0073594999999997</v>
      </c>
      <c r="H51" s="49">
        <v>12.631106000000001</v>
      </c>
      <c r="I51" s="49">
        <v>21.597313</v>
      </c>
      <c r="J51" s="49">
        <v>14.055037499999999</v>
      </c>
      <c r="K51" s="56">
        <v>21.081150000000001</v>
      </c>
      <c r="L51" s="56">
        <v>21.019100000000002</v>
      </c>
      <c r="M51" s="56">
        <v>8.345008</v>
      </c>
      <c r="N51" s="56">
        <v>29.672955999999999</v>
      </c>
    </row>
    <row r="52" spans="1:14" x14ac:dyDescent="0.35">
      <c r="A52" s="2">
        <v>43224</v>
      </c>
      <c r="B52" s="49">
        <v>18.918526</v>
      </c>
      <c r="C52" s="49">
        <v>8.1897850000000005</v>
      </c>
      <c r="D52" s="49">
        <v>12.007177</v>
      </c>
      <c r="E52" s="49">
        <v>10.335504999999999</v>
      </c>
      <c r="F52" s="49">
        <v>17.246115</v>
      </c>
      <c r="G52" s="49">
        <v>1.8988132</v>
      </c>
      <c r="H52" s="49">
        <v>12.908363</v>
      </c>
      <c r="I52" s="49">
        <v>21.353745</v>
      </c>
      <c r="J52" s="49">
        <v>13.538122</v>
      </c>
      <c r="K52" s="56">
        <v>15.145254</v>
      </c>
      <c r="L52" s="56">
        <v>12.538612000000001</v>
      </c>
      <c r="M52" s="56">
        <v>0.78222749999999996</v>
      </c>
      <c r="N52" s="56">
        <v>26.959454999999998</v>
      </c>
    </row>
    <row r="53" spans="1:14" x14ac:dyDescent="0.35">
      <c r="A53" s="2">
        <v>43255</v>
      </c>
      <c r="B53" s="49">
        <v>12.546301</v>
      </c>
      <c r="C53" s="49">
        <v>10.211266</v>
      </c>
      <c r="D53" s="49">
        <v>9.2494370000000004</v>
      </c>
      <c r="E53" s="49">
        <v>3.1723618999999998</v>
      </c>
      <c r="F53" s="49">
        <v>11.671865</v>
      </c>
      <c r="G53" s="49">
        <v>-2.6541470999999999</v>
      </c>
      <c r="H53" s="49">
        <v>8.5155600000000007</v>
      </c>
      <c r="I53" s="49">
        <v>22.553432000000001</v>
      </c>
      <c r="J53" s="49">
        <v>14.728535000000001</v>
      </c>
      <c r="K53" s="56">
        <v>9.7848419999999994</v>
      </c>
      <c r="L53" s="56">
        <v>8.4786529999999996</v>
      </c>
      <c r="M53" s="56">
        <v>-2.0099222999999999</v>
      </c>
      <c r="N53" s="56">
        <v>9.4600790000000003</v>
      </c>
    </row>
    <row r="54" spans="1:14" x14ac:dyDescent="0.35">
      <c r="A54" s="2">
        <v>43284</v>
      </c>
      <c r="B54" s="49">
        <v>9.6837160000000004</v>
      </c>
      <c r="C54" s="49">
        <v>8.5811379999999993</v>
      </c>
      <c r="D54" s="49">
        <v>7.7688813000000003</v>
      </c>
      <c r="E54" s="49">
        <v>1.4526725</v>
      </c>
      <c r="F54" s="49">
        <v>8.1665880000000008</v>
      </c>
      <c r="G54" s="49">
        <v>-2.4191916</v>
      </c>
      <c r="H54" s="49">
        <v>7.9122066000000002</v>
      </c>
      <c r="I54" s="49">
        <v>26.428090999999998</v>
      </c>
      <c r="J54" s="49">
        <v>13.93075</v>
      </c>
      <c r="K54" s="56">
        <v>8.5611104999999998</v>
      </c>
      <c r="L54" s="56">
        <v>7.4743269999999997</v>
      </c>
      <c r="M54" s="56">
        <v>-4.6207370000000001</v>
      </c>
      <c r="N54" s="56">
        <v>6.7597149999999999</v>
      </c>
    </row>
    <row r="55" spans="1:14" x14ac:dyDescent="0.35">
      <c r="A55" s="2">
        <v>43315</v>
      </c>
      <c r="B55" s="49">
        <v>3.1799197000000001</v>
      </c>
      <c r="C55" s="49">
        <v>5.347359</v>
      </c>
      <c r="D55" s="49">
        <v>7.4887037000000003</v>
      </c>
      <c r="E55" s="49">
        <v>1.9751787000000001</v>
      </c>
      <c r="F55" s="49">
        <v>7.6720715000000004</v>
      </c>
      <c r="G55" s="49">
        <v>2.1828650999999999</v>
      </c>
      <c r="H55" s="49">
        <v>4.6163917000000003</v>
      </c>
      <c r="I55" s="49">
        <v>26.604043999999998</v>
      </c>
      <c r="J55" s="49">
        <v>16.97786</v>
      </c>
      <c r="K55" s="56">
        <v>7.9353569999999998</v>
      </c>
      <c r="L55" s="56">
        <v>4.6820760000000003</v>
      </c>
      <c r="M55" s="56">
        <v>-1.6008794</v>
      </c>
      <c r="N55" s="56">
        <v>-1.3479053999999999</v>
      </c>
    </row>
    <row r="56" spans="1:14" x14ac:dyDescent="0.35">
      <c r="A56" s="2">
        <v>43347</v>
      </c>
      <c r="B56" s="49">
        <v>8.6761590000000002</v>
      </c>
      <c r="C56" s="49">
        <v>1.8112302</v>
      </c>
      <c r="D56" s="49">
        <v>2.8838157999999998</v>
      </c>
      <c r="E56" s="49">
        <v>-0.52205323999999997</v>
      </c>
      <c r="F56" s="49">
        <v>7.0629597000000004</v>
      </c>
      <c r="G56" s="49">
        <v>3.2556414999999999</v>
      </c>
      <c r="H56" s="49">
        <v>2.3182391999999998</v>
      </c>
      <c r="I56" s="49">
        <v>28.324831</v>
      </c>
      <c r="J56" s="49">
        <v>19.114887</v>
      </c>
      <c r="K56" s="56">
        <v>5.3201320000000001</v>
      </c>
      <c r="L56" s="56">
        <v>2.5012612000000001</v>
      </c>
      <c r="M56" s="56">
        <v>-3.3723652</v>
      </c>
      <c r="N56" s="56">
        <v>-6.5837326000000003</v>
      </c>
    </row>
    <row r="57" spans="1:14" x14ac:dyDescent="0.35">
      <c r="A57" s="2">
        <v>43377</v>
      </c>
      <c r="B57" s="49">
        <v>4.2794466</v>
      </c>
      <c r="C57" s="49">
        <v>1.0028839000000001</v>
      </c>
      <c r="D57" s="49">
        <v>0.64704419999999996</v>
      </c>
      <c r="E57" s="49">
        <v>-6.8420053000000003</v>
      </c>
      <c r="F57" s="49">
        <v>7.0879817000000003</v>
      </c>
      <c r="G57" s="49">
        <v>-0.43365359999999997</v>
      </c>
      <c r="H57" s="49">
        <v>0.93364716000000003</v>
      </c>
      <c r="I57" s="49">
        <v>25.852608</v>
      </c>
      <c r="J57" s="49">
        <v>16.413651999999999</v>
      </c>
      <c r="K57" s="56">
        <v>1.8030286</v>
      </c>
      <c r="L57" s="56">
        <v>-3.7817001000000001</v>
      </c>
      <c r="M57" s="56">
        <v>-6.4627112999999996</v>
      </c>
      <c r="N57" s="56">
        <v>-8.246696</v>
      </c>
    </row>
    <row r="58" spans="1:14" x14ac:dyDescent="0.35">
      <c r="A58" s="2">
        <v>43406</v>
      </c>
      <c r="B58" s="49">
        <v>4.3384910000000003</v>
      </c>
      <c r="C58" s="49">
        <v>-5.0801572999999998</v>
      </c>
      <c r="D58" s="49">
        <v>-5.7732343999999998</v>
      </c>
      <c r="E58" s="49">
        <v>-14.858067</v>
      </c>
      <c r="F58" s="49">
        <v>-5.4658175</v>
      </c>
      <c r="G58" s="49">
        <v>-1.4680624</v>
      </c>
      <c r="H58" s="49">
        <v>-3.4116209</v>
      </c>
      <c r="I58" s="49">
        <v>12.431717000000001</v>
      </c>
      <c r="J58" s="49">
        <v>7.4743389999999996</v>
      </c>
      <c r="K58" s="56">
        <v>-6.3210306000000003</v>
      </c>
      <c r="L58" s="56">
        <v>-7.9382124000000003</v>
      </c>
      <c r="M58" s="56">
        <v>-11.0989275</v>
      </c>
      <c r="N58" s="56">
        <v>-15.278572</v>
      </c>
    </row>
    <row r="59" spans="1:14" x14ac:dyDescent="0.35">
      <c r="A59" s="2">
        <v>43438</v>
      </c>
      <c r="B59" s="49">
        <v>9.5371609999999993</v>
      </c>
      <c r="C59" s="49">
        <v>-5.2439330000000002</v>
      </c>
      <c r="D59" s="49">
        <v>-7.5958909999999999</v>
      </c>
      <c r="E59" s="49">
        <v>-17.762262</v>
      </c>
      <c r="F59" s="49">
        <v>-7.1210680000000002</v>
      </c>
      <c r="G59" s="49">
        <v>-3.0698120000000002</v>
      </c>
      <c r="H59" s="49">
        <v>-6.9810333</v>
      </c>
      <c r="I59" s="49">
        <v>9.3539480000000008</v>
      </c>
      <c r="J59" s="49">
        <v>4.1770459999999998</v>
      </c>
      <c r="K59" s="56">
        <v>-9.3970660000000006</v>
      </c>
      <c r="L59" s="56">
        <v>-8.3643549999999998</v>
      </c>
      <c r="M59" s="56">
        <v>-10.247892</v>
      </c>
      <c r="N59" s="56">
        <v>-15.735882999999999</v>
      </c>
    </row>
    <row r="60" spans="1:14" x14ac:dyDescent="0.35">
      <c r="A60" s="2">
        <v>43469</v>
      </c>
      <c r="B60" s="49">
        <v>-0.55550337000000005</v>
      </c>
      <c r="C60" s="49">
        <v>-11.772644</v>
      </c>
      <c r="D60" s="49">
        <v>-16.434937999999999</v>
      </c>
      <c r="E60" s="49">
        <v>-22.360320000000002</v>
      </c>
      <c r="F60" s="49">
        <v>-13.866073</v>
      </c>
      <c r="G60" s="49">
        <v>-9.0713019999999993</v>
      </c>
      <c r="H60" s="49">
        <v>-13.488388</v>
      </c>
      <c r="I60" s="49">
        <v>-1.7118514</v>
      </c>
      <c r="J60" s="49">
        <v>-5.2994250000000003</v>
      </c>
      <c r="K60" s="56">
        <v>-14.582729</v>
      </c>
      <c r="L60" s="56">
        <v>-16.335875000000001</v>
      </c>
      <c r="M60" s="56">
        <v>-14.315426</v>
      </c>
      <c r="N60" s="56">
        <v>-17.777221999999998</v>
      </c>
    </row>
    <row r="61" spans="1:14" x14ac:dyDescent="0.35">
      <c r="A61" s="2">
        <v>43500</v>
      </c>
      <c r="B61" s="49">
        <v>2.2238492999999999</v>
      </c>
      <c r="C61" s="49">
        <v>-6.6702127000000004</v>
      </c>
      <c r="D61" s="49">
        <v>-3.7465394000000001</v>
      </c>
      <c r="E61" s="49">
        <v>-18.879044</v>
      </c>
      <c r="F61" s="49">
        <v>-11.701191</v>
      </c>
      <c r="G61" s="49">
        <v>-6.5231323000000003</v>
      </c>
      <c r="H61" s="49">
        <v>-8.5938090000000003</v>
      </c>
      <c r="I61" s="49">
        <v>3.8694142999999999</v>
      </c>
      <c r="J61" s="49">
        <v>0.62094927</v>
      </c>
      <c r="K61" s="56">
        <v>-11.076069</v>
      </c>
      <c r="L61" s="56">
        <v>-11.503821</v>
      </c>
      <c r="M61" s="56">
        <v>-11.259347</v>
      </c>
      <c r="N61" s="56">
        <v>-18.024467000000001</v>
      </c>
    </row>
    <row r="62" spans="1:14" x14ac:dyDescent="0.35">
      <c r="A62" s="2">
        <v>43528</v>
      </c>
      <c r="B62" s="49">
        <v>6.2977552000000001</v>
      </c>
      <c r="C62" s="49">
        <v>-0.72155000000000002</v>
      </c>
      <c r="D62" s="49">
        <v>3.1156063000000001</v>
      </c>
      <c r="E62" s="49">
        <v>-11.880426999999999</v>
      </c>
      <c r="F62" s="49">
        <v>-7.9531850000000004</v>
      </c>
      <c r="G62" s="49">
        <v>3.6711334999999998</v>
      </c>
      <c r="H62" s="49">
        <v>-0.92310904999999999</v>
      </c>
      <c r="I62" s="49">
        <v>5.9770107000000001</v>
      </c>
      <c r="J62" s="49">
        <v>5.8208466000000003</v>
      </c>
      <c r="K62" s="56">
        <v>-3.5224259999999998</v>
      </c>
      <c r="L62" s="56">
        <v>-4.0544986999999999</v>
      </c>
      <c r="M62" s="56">
        <v>-4.9812675000000004</v>
      </c>
      <c r="N62" s="56">
        <v>-10.422718</v>
      </c>
    </row>
    <row r="63" spans="1:14" x14ac:dyDescent="0.35">
      <c r="A63" s="2">
        <v>43559</v>
      </c>
      <c r="B63" s="49">
        <v>8.5697290000000006</v>
      </c>
      <c r="C63" s="49">
        <v>3.9209603999999998</v>
      </c>
      <c r="D63" s="49">
        <v>4.7980070000000001</v>
      </c>
      <c r="E63" s="49">
        <v>-10.170095999999999</v>
      </c>
      <c r="F63" s="49">
        <v>-6.7599</v>
      </c>
      <c r="G63" s="49">
        <v>7.8661203000000004</v>
      </c>
      <c r="H63" s="49">
        <v>0.70438385000000003</v>
      </c>
      <c r="I63" s="49">
        <v>16.007636999999999</v>
      </c>
      <c r="J63" s="49">
        <v>11.087906</v>
      </c>
      <c r="K63" s="56">
        <v>-1.4576316</v>
      </c>
      <c r="L63" s="56">
        <v>-1.8586396999999999</v>
      </c>
      <c r="M63" s="56">
        <v>1.1255264</v>
      </c>
      <c r="N63" s="56">
        <v>-9.1926989999999993</v>
      </c>
    </row>
    <row r="64" spans="1:14" x14ac:dyDescent="0.35">
      <c r="A64" s="2">
        <v>43588</v>
      </c>
      <c r="B64" s="49">
        <v>11.211442999999999</v>
      </c>
      <c r="C64" s="49">
        <v>1.8324374999999999</v>
      </c>
      <c r="D64" s="49">
        <v>3.4659624</v>
      </c>
      <c r="E64" s="49">
        <v>-9.2470649999999992</v>
      </c>
      <c r="F64" s="49">
        <v>-5.7295265000000004</v>
      </c>
      <c r="G64" s="49">
        <v>9.3153714999999995</v>
      </c>
      <c r="H64" s="49">
        <v>-1.5184401999999999</v>
      </c>
      <c r="I64" s="49">
        <v>19.144058000000001</v>
      </c>
      <c r="J64" s="49">
        <v>14.144754000000001</v>
      </c>
      <c r="K64" s="56">
        <v>-3.7103533999999998</v>
      </c>
      <c r="L64" s="56">
        <v>1.6332983999999999</v>
      </c>
      <c r="M64" s="56">
        <v>2.4505496</v>
      </c>
      <c r="N64" s="56">
        <v>-13.267631</v>
      </c>
    </row>
    <row r="65" spans="1:14" x14ac:dyDescent="0.35">
      <c r="A65" s="2">
        <v>43620</v>
      </c>
      <c r="B65" s="49">
        <v>7.5918080000000003</v>
      </c>
      <c r="C65" s="49">
        <v>2.0924450000000001</v>
      </c>
      <c r="D65" s="49">
        <v>1.0996699000000001</v>
      </c>
      <c r="E65" s="49">
        <v>-11.415820999999999</v>
      </c>
      <c r="F65" s="49">
        <v>-9.9663500000000003</v>
      </c>
      <c r="G65" s="49">
        <v>11.262714000000001</v>
      </c>
      <c r="H65" s="49">
        <v>-7.2735430000000001</v>
      </c>
      <c r="I65" s="49">
        <v>1.2242913</v>
      </c>
      <c r="J65" s="49">
        <v>4.0391206999999998</v>
      </c>
      <c r="K65" s="56">
        <v>-5.6665660000000004</v>
      </c>
      <c r="L65" s="56">
        <v>-3.2098114</v>
      </c>
      <c r="M65" s="56">
        <v>-5.2148940000000001</v>
      </c>
      <c r="N65" s="56">
        <v>-7.7693820000000002</v>
      </c>
    </row>
    <row r="66" spans="1:14" x14ac:dyDescent="0.35">
      <c r="A66" s="2">
        <v>43649</v>
      </c>
      <c r="B66" s="49">
        <v>14.625942</v>
      </c>
      <c r="C66" s="49">
        <v>7.5875399999999997</v>
      </c>
      <c r="D66" s="49">
        <v>4.6184063000000002</v>
      </c>
      <c r="E66" s="49">
        <v>-2.6142835999999998</v>
      </c>
      <c r="F66" s="49">
        <v>-0.50688979999999995</v>
      </c>
      <c r="G66" s="49">
        <v>18.200147999999999</v>
      </c>
      <c r="H66" s="49">
        <v>-0.35901665999999999</v>
      </c>
      <c r="I66" s="49">
        <v>13.068199</v>
      </c>
      <c r="J66" s="49">
        <v>12.493086</v>
      </c>
      <c r="K66" s="56">
        <v>4.6059011999999999</v>
      </c>
      <c r="L66" s="56">
        <v>6.2765836999999998</v>
      </c>
      <c r="M66" s="56">
        <v>5.6881665999999997</v>
      </c>
      <c r="N66" s="56">
        <v>2.3060679999999998</v>
      </c>
    </row>
    <row r="67" spans="1:14" x14ac:dyDescent="0.35">
      <c r="A67" s="2">
        <v>43679</v>
      </c>
      <c r="B67" s="49">
        <v>17.511044999999999</v>
      </c>
      <c r="C67" s="49">
        <v>3.8296342000000001</v>
      </c>
      <c r="D67" s="49">
        <v>-1.407367</v>
      </c>
      <c r="E67" s="49">
        <v>-10.987126999999999</v>
      </c>
      <c r="F67" s="49">
        <v>-6.1558247000000001</v>
      </c>
      <c r="G67" s="49">
        <v>9.8078610000000008</v>
      </c>
      <c r="H67" s="49">
        <v>-6.1339319999999997</v>
      </c>
      <c r="I67" s="49">
        <v>5.2718759999999998</v>
      </c>
      <c r="J67" s="49">
        <v>5.6839230000000001</v>
      </c>
      <c r="K67" s="56">
        <v>-4.1752520000000004</v>
      </c>
      <c r="L67" s="56">
        <v>-0.85270999999999997</v>
      </c>
      <c r="M67" s="56">
        <v>-6.9919466999999997</v>
      </c>
      <c r="N67" s="56">
        <v>-2.3326337000000001</v>
      </c>
    </row>
    <row r="68" spans="1:14" x14ac:dyDescent="0.35">
      <c r="A68" s="2">
        <v>43712</v>
      </c>
      <c r="B68" s="49">
        <v>14.007937999999999</v>
      </c>
      <c r="C68" s="49">
        <v>3.9319514999999998</v>
      </c>
      <c r="D68" s="49">
        <v>2.5257467999999998</v>
      </c>
      <c r="E68" s="49">
        <v>-8.7742090000000008</v>
      </c>
      <c r="F68" s="49">
        <v>-4.0571631999999997</v>
      </c>
      <c r="G68" s="49">
        <v>11.547779999999999</v>
      </c>
      <c r="H68" s="49">
        <v>-3.0820430000000001</v>
      </c>
      <c r="I68" s="49">
        <v>2.2239327000000002</v>
      </c>
      <c r="J68" s="49">
        <v>3.4778237000000001</v>
      </c>
      <c r="K68" s="56">
        <v>0.16294718</v>
      </c>
      <c r="L68" s="56">
        <v>3.6235689999999998</v>
      </c>
      <c r="M68" s="56">
        <v>-7.2513459999999998</v>
      </c>
      <c r="N68" s="56">
        <v>4.7641039999999997</v>
      </c>
    </row>
    <row r="69" spans="1:14" x14ac:dyDescent="0.35">
      <c r="A69" s="2">
        <v>43742</v>
      </c>
      <c r="B69" s="49">
        <v>15.398109</v>
      </c>
      <c r="C69" s="49">
        <v>7.1597220000000004</v>
      </c>
      <c r="D69" s="49">
        <v>1.1324882999999999</v>
      </c>
      <c r="E69" s="49">
        <v>-7.8227099999999998</v>
      </c>
      <c r="F69" s="49">
        <v>-2.5035620000000001</v>
      </c>
      <c r="G69" s="49">
        <v>10.5322</v>
      </c>
      <c r="H69" s="49">
        <v>-5.0047215999999999</v>
      </c>
      <c r="I69" s="49">
        <v>4.4576406000000004</v>
      </c>
      <c r="J69" s="49">
        <v>3.7305950000000001</v>
      </c>
      <c r="K69" s="56">
        <v>-1.1698603999999999</v>
      </c>
      <c r="L69" s="56">
        <v>7.9298853999999999</v>
      </c>
      <c r="M69" s="56">
        <v>-7.7558335999999999</v>
      </c>
      <c r="N69" s="56">
        <v>3.3450484</v>
      </c>
    </row>
    <row r="70" spans="1:14" x14ac:dyDescent="0.35">
      <c r="A70" s="2">
        <v>43773</v>
      </c>
      <c r="B70" s="49">
        <v>18.587149</v>
      </c>
      <c r="C70" s="49">
        <v>15.1681185</v>
      </c>
      <c r="D70" s="49">
        <v>12.190378000000001</v>
      </c>
      <c r="E70" s="49">
        <v>7.5116158000000004</v>
      </c>
      <c r="F70" s="49">
        <v>10.266436000000001</v>
      </c>
      <c r="G70" s="49">
        <v>19.325362999999999</v>
      </c>
      <c r="H70" s="49">
        <v>6.627834</v>
      </c>
      <c r="I70" s="49">
        <v>19.200313999999999</v>
      </c>
      <c r="J70" s="49">
        <v>15.31068</v>
      </c>
      <c r="K70" s="56">
        <v>13.034964</v>
      </c>
      <c r="L70" s="56">
        <v>16.453648000000001</v>
      </c>
      <c r="M70" s="56">
        <v>11.299383000000001</v>
      </c>
      <c r="N70" s="56">
        <v>20.05875</v>
      </c>
    </row>
    <row r="71" spans="1:14" x14ac:dyDescent="0.35">
      <c r="A71" s="2">
        <v>43803</v>
      </c>
      <c r="B71" s="49">
        <v>21.198225000000001</v>
      </c>
      <c r="C71" s="49">
        <v>15.81223</v>
      </c>
      <c r="D71" s="49">
        <v>14.200628</v>
      </c>
      <c r="E71" s="49">
        <v>12.518155999999999</v>
      </c>
      <c r="F71" s="49">
        <v>13.343</v>
      </c>
      <c r="G71" s="49">
        <v>20.104683000000001</v>
      </c>
      <c r="H71" s="49">
        <v>10.175466999999999</v>
      </c>
      <c r="I71" s="49">
        <v>23.251545</v>
      </c>
      <c r="J71" s="49">
        <v>17.554129</v>
      </c>
      <c r="K71" s="56">
        <v>16.913450000000001</v>
      </c>
      <c r="L71" s="56">
        <v>19.368469999999999</v>
      </c>
      <c r="M71" s="56">
        <v>14.027953</v>
      </c>
      <c r="N71" s="56">
        <v>20.518387000000001</v>
      </c>
    </row>
    <row r="72" spans="1:14" x14ac:dyDescent="0.35">
      <c r="A72" s="2">
        <v>43833</v>
      </c>
      <c r="B72" s="49">
        <v>30.635750000000002</v>
      </c>
      <c r="C72" s="49">
        <v>23.516106000000001</v>
      </c>
      <c r="D72" s="49">
        <v>26.936482999999999</v>
      </c>
      <c r="E72" s="49">
        <v>21.277916000000001</v>
      </c>
      <c r="F72" s="49">
        <v>19.107258000000002</v>
      </c>
      <c r="G72" s="49">
        <v>32.841230000000003</v>
      </c>
      <c r="H72" s="49">
        <v>21.152996000000002</v>
      </c>
      <c r="I72" s="49">
        <v>44.134450000000001</v>
      </c>
      <c r="J72" s="49">
        <v>34.519398000000002</v>
      </c>
      <c r="K72" s="56">
        <v>29.214524999999998</v>
      </c>
      <c r="L72" s="56">
        <v>34.875416000000001</v>
      </c>
      <c r="M72" s="56">
        <v>25.684393</v>
      </c>
      <c r="N72" s="56">
        <v>27.929592</v>
      </c>
    </row>
    <row r="73" spans="1:14" x14ac:dyDescent="0.35">
      <c r="A73" s="2">
        <v>43865</v>
      </c>
      <c r="B73" s="49">
        <v>20.254648</v>
      </c>
      <c r="C73" s="49">
        <v>13.974047000000001</v>
      </c>
      <c r="D73" s="49">
        <v>12.819481</v>
      </c>
      <c r="E73" s="49">
        <v>11.474824</v>
      </c>
      <c r="F73" s="49">
        <v>11.321866999999999</v>
      </c>
      <c r="G73" s="49">
        <v>26.366900999999999</v>
      </c>
      <c r="H73" s="49">
        <v>8.3467850000000006</v>
      </c>
      <c r="I73" s="49">
        <v>35.280822999999998</v>
      </c>
      <c r="J73" s="49">
        <v>23.284911999999998</v>
      </c>
      <c r="K73" s="56">
        <v>16.298722999999999</v>
      </c>
      <c r="L73" s="56">
        <v>21.054459000000001</v>
      </c>
      <c r="M73" s="56">
        <v>14.617753</v>
      </c>
      <c r="N73" s="56">
        <v>17.27525</v>
      </c>
    </row>
    <row r="74" spans="1:14" x14ac:dyDescent="0.35">
      <c r="A74" s="2">
        <v>43894</v>
      </c>
      <c r="B74" s="49">
        <v>14.272904</v>
      </c>
      <c r="C74" s="49">
        <v>1.3978362</v>
      </c>
      <c r="D74" s="49">
        <v>4.8073410000000001</v>
      </c>
      <c r="E74" s="49">
        <v>1.8022776</v>
      </c>
      <c r="F74" s="49">
        <v>1.6178489</v>
      </c>
      <c r="G74" s="49">
        <v>18.471872000000001</v>
      </c>
      <c r="H74" s="49">
        <v>-2.7557909999999999</v>
      </c>
      <c r="I74" s="49">
        <v>26.141203000000001</v>
      </c>
      <c r="J74" s="49">
        <v>14.094173</v>
      </c>
      <c r="K74" s="56">
        <v>5.2382827000000001</v>
      </c>
      <c r="L74" s="56">
        <v>11.230230000000001</v>
      </c>
      <c r="M74" s="56">
        <v>9.865475</v>
      </c>
      <c r="N74" s="56">
        <v>6.2759159999999996</v>
      </c>
    </row>
    <row r="75" spans="1:14" x14ac:dyDescent="0.35">
      <c r="A75" s="2">
        <v>43924</v>
      </c>
      <c r="B75" s="49">
        <v>-12.056404000000001</v>
      </c>
      <c r="C75" s="49">
        <v>-29.292292</v>
      </c>
      <c r="D75" s="49">
        <v>-23.353922000000001</v>
      </c>
      <c r="E75" s="49">
        <v>-24.767272999999999</v>
      </c>
      <c r="F75" s="49">
        <v>-14.106024</v>
      </c>
      <c r="G75" s="49">
        <v>-0.8005023</v>
      </c>
      <c r="H75" s="49">
        <v>-30.456178999999999</v>
      </c>
      <c r="I75" s="49">
        <v>0.62907933999999999</v>
      </c>
      <c r="J75" s="49">
        <v>-11.553431</v>
      </c>
      <c r="K75" s="56">
        <v>-25.598568</v>
      </c>
      <c r="L75" s="56">
        <v>-16.571337</v>
      </c>
      <c r="M75" s="56">
        <v>-21.123826999999999</v>
      </c>
      <c r="N75" s="56">
        <v>-27.818770000000001</v>
      </c>
    </row>
    <row r="76" spans="1:14" x14ac:dyDescent="0.35">
      <c r="A76" s="2">
        <v>43955</v>
      </c>
      <c r="B76" s="49">
        <v>-3.0038893</v>
      </c>
      <c r="C76" s="49">
        <v>-21.043856000000002</v>
      </c>
      <c r="D76" s="49">
        <v>-13.670069</v>
      </c>
      <c r="E76" s="49">
        <v>-18.659157</v>
      </c>
      <c r="F76" s="49">
        <v>-7.6737165000000003</v>
      </c>
      <c r="G76" s="49">
        <v>2.5049329</v>
      </c>
      <c r="H76" s="49">
        <v>-23.862278</v>
      </c>
      <c r="I76" s="49">
        <v>13.577593</v>
      </c>
      <c r="J76" s="49">
        <v>-1.5606523000000001</v>
      </c>
      <c r="K76" s="56">
        <v>-20.536225999999999</v>
      </c>
      <c r="L76" s="56">
        <v>-9.4248659999999997</v>
      </c>
      <c r="M76" s="56">
        <v>-13.159985000000001</v>
      </c>
      <c r="N76" s="56">
        <v>-23.867815</v>
      </c>
    </row>
    <row r="77" spans="1:14" x14ac:dyDescent="0.35">
      <c r="A77" s="2">
        <v>43986</v>
      </c>
      <c r="B77" s="49">
        <v>11.837410999999999</v>
      </c>
      <c r="C77" s="49">
        <v>-6.5898475999999997</v>
      </c>
      <c r="D77" s="49">
        <v>-3.2618105000000002</v>
      </c>
      <c r="E77" s="49">
        <v>3.6318540000000001</v>
      </c>
      <c r="F77" s="49">
        <v>7.0745586999999999</v>
      </c>
      <c r="G77" s="49">
        <v>9.77881</v>
      </c>
      <c r="H77" s="49">
        <v>-11.423862</v>
      </c>
      <c r="I77" s="49">
        <v>35.519590000000001</v>
      </c>
      <c r="J77" s="49">
        <v>13.287914000000001</v>
      </c>
      <c r="K77" s="56">
        <v>-2.4041057000000001</v>
      </c>
      <c r="L77" s="56">
        <v>11.338877999999999</v>
      </c>
      <c r="M77" s="56">
        <v>13.097799</v>
      </c>
      <c r="N77" s="56">
        <v>-4.4150830000000001</v>
      </c>
    </row>
    <row r="78" spans="1:14" x14ac:dyDescent="0.35">
      <c r="A78" s="2">
        <v>44014</v>
      </c>
      <c r="B78" s="49">
        <v>10.6545925</v>
      </c>
      <c r="C78" s="49">
        <v>-8.7314310000000006</v>
      </c>
      <c r="D78" s="49">
        <v>-7.2576102999999996</v>
      </c>
      <c r="E78" s="49">
        <v>-1.0038435000000001</v>
      </c>
      <c r="F78" s="49">
        <v>1.337564</v>
      </c>
      <c r="G78" s="49">
        <v>6.6479445000000004</v>
      </c>
      <c r="H78" s="49">
        <v>-17.175370999999998</v>
      </c>
      <c r="I78" s="49">
        <v>33.792842999999998</v>
      </c>
      <c r="J78" s="49">
        <v>7.4635267000000001</v>
      </c>
      <c r="K78" s="56">
        <v>-8.4992830000000001</v>
      </c>
      <c r="L78" s="56">
        <v>7.836938</v>
      </c>
      <c r="M78" s="56">
        <v>2.7112959999999999</v>
      </c>
      <c r="N78" s="56">
        <v>-9.3180599999999991</v>
      </c>
    </row>
    <row r="79" spans="1:14" x14ac:dyDescent="0.35">
      <c r="A79" s="2">
        <v>44047</v>
      </c>
      <c r="B79" s="49">
        <v>12.263048</v>
      </c>
      <c r="C79" s="49">
        <v>-5.2544775000000001</v>
      </c>
      <c r="D79" s="49">
        <v>1.2970208999999999</v>
      </c>
      <c r="E79" s="49">
        <v>10.491811999999999</v>
      </c>
      <c r="F79" s="49">
        <v>5.7723639999999996</v>
      </c>
      <c r="G79" s="49">
        <v>12.457060999999999</v>
      </c>
      <c r="H79" s="49">
        <v>-10.833561</v>
      </c>
      <c r="I79" s="49">
        <v>45.479655999999999</v>
      </c>
      <c r="J79" s="49">
        <v>15.079378999999999</v>
      </c>
      <c r="K79" s="56">
        <v>-0.99893209999999999</v>
      </c>
      <c r="L79" s="56">
        <v>15.501261</v>
      </c>
      <c r="M79" s="56">
        <v>22.840140999999999</v>
      </c>
      <c r="N79" s="56">
        <v>-3.1424582000000001</v>
      </c>
    </row>
    <row r="80" spans="1:14" x14ac:dyDescent="0.35">
      <c r="A80" s="2">
        <v>44078</v>
      </c>
      <c r="B80" s="49">
        <v>14.080178999999999</v>
      </c>
      <c r="C80" s="49">
        <v>-3.7026525000000001</v>
      </c>
      <c r="D80" s="49">
        <v>1.9932866</v>
      </c>
      <c r="E80" s="49">
        <v>13.644671000000001</v>
      </c>
      <c r="F80" s="49">
        <v>9.1434479999999994</v>
      </c>
      <c r="G80" s="49">
        <v>11.971855</v>
      </c>
      <c r="H80" s="49">
        <v>-12.353259</v>
      </c>
      <c r="I80" s="49">
        <v>51.788020000000003</v>
      </c>
      <c r="J80" s="49">
        <v>18.864322999999999</v>
      </c>
      <c r="K80" s="56">
        <v>-0.85739493</v>
      </c>
      <c r="L80" s="56">
        <v>13.734387999999999</v>
      </c>
      <c r="M80" s="56">
        <v>26.378451999999999</v>
      </c>
      <c r="N80" s="56">
        <v>-5.4678917</v>
      </c>
    </row>
    <row r="81" spans="1:14" x14ac:dyDescent="0.35">
      <c r="A81" s="2">
        <v>44106</v>
      </c>
      <c r="B81" s="49">
        <v>16.166342</v>
      </c>
      <c r="C81" s="49">
        <v>-4.2097806999999996</v>
      </c>
      <c r="D81" s="49">
        <v>0.38648843999999999</v>
      </c>
      <c r="E81" s="49">
        <v>13.144731500000001</v>
      </c>
      <c r="F81" s="49">
        <v>7.4836134999999997</v>
      </c>
      <c r="G81" s="49">
        <v>15.904558</v>
      </c>
      <c r="H81" s="49">
        <v>-11.932240999999999</v>
      </c>
      <c r="I81" s="49">
        <v>50.155839999999998</v>
      </c>
      <c r="J81" s="49">
        <v>18.170642999999998</v>
      </c>
      <c r="K81" s="56">
        <v>-2.1952093000000001</v>
      </c>
      <c r="L81" s="56">
        <v>17.484247</v>
      </c>
      <c r="M81" s="56">
        <v>27.00975</v>
      </c>
      <c r="N81" s="56">
        <v>-6.5384570000000002</v>
      </c>
    </row>
    <row r="82" spans="1:14" x14ac:dyDescent="0.35">
      <c r="A82" s="2">
        <v>44139</v>
      </c>
      <c r="B82" s="49">
        <v>18.331087</v>
      </c>
      <c r="C82" s="49">
        <v>-6.342536</v>
      </c>
      <c r="D82" s="49">
        <v>-3.5610140000000001</v>
      </c>
      <c r="E82" s="49">
        <v>-3.0934035999999998</v>
      </c>
      <c r="F82" s="49">
        <v>2.5630236000000002</v>
      </c>
      <c r="G82" s="49">
        <v>9.0065589999999993</v>
      </c>
      <c r="H82" s="49">
        <v>-19.61891</v>
      </c>
      <c r="I82" s="49">
        <v>44.45579</v>
      </c>
      <c r="J82" s="49">
        <v>13.964617000000001</v>
      </c>
      <c r="K82" s="56">
        <v>-9.2477800000000006</v>
      </c>
      <c r="L82" s="56">
        <v>12.067627999999999</v>
      </c>
      <c r="M82" s="56">
        <v>12.305069</v>
      </c>
      <c r="N82" s="56">
        <v>-15.317755999999999</v>
      </c>
    </row>
    <row r="83" spans="1:14" x14ac:dyDescent="0.35">
      <c r="A83" s="2">
        <v>44169</v>
      </c>
      <c r="B83" s="49">
        <v>20.438362000000001</v>
      </c>
      <c r="C83" s="49">
        <v>8.4338899999999999</v>
      </c>
      <c r="D83" s="49">
        <v>8.997655</v>
      </c>
      <c r="E83" s="49">
        <v>8.4991219999999998</v>
      </c>
      <c r="F83" s="49">
        <v>11.909019000000001</v>
      </c>
      <c r="G83" s="49">
        <v>13.106704000000001</v>
      </c>
      <c r="H83" s="49">
        <v>-5.5361390000000004</v>
      </c>
      <c r="I83" s="49">
        <v>52.055157000000001</v>
      </c>
      <c r="J83" s="49">
        <v>21.081424999999999</v>
      </c>
      <c r="K83" s="56">
        <v>8.1597439999999999</v>
      </c>
      <c r="L83" s="56">
        <v>25.414694000000001</v>
      </c>
      <c r="M83" s="56">
        <v>26.560020000000002</v>
      </c>
      <c r="N83" s="56">
        <v>2.9463530000000002</v>
      </c>
    </row>
    <row r="84" spans="1:14" x14ac:dyDescent="0.35">
      <c r="A84" s="2">
        <v>44200</v>
      </c>
      <c r="B84" s="49">
        <v>20.568966</v>
      </c>
      <c r="C84" s="49">
        <v>9.3030449999999991</v>
      </c>
      <c r="D84" s="49">
        <v>6.0762763</v>
      </c>
      <c r="E84" s="49">
        <v>12.264716999999999</v>
      </c>
      <c r="F84" s="49">
        <v>14.119804</v>
      </c>
      <c r="G84" s="49">
        <v>12.874090000000001</v>
      </c>
      <c r="H84" s="49">
        <v>-9.9435330000000004</v>
      </c>
      <c r="I84" s="49">
        <v>45.446240000000003</v>
      </c>
      <c r="J84" s="49">
        <v>16.562484999999999</v>
      </c>
      <c r="K84" s="56">
        <v>4.3475029999999997</v>
      </c>
      <c r="L84" s="56">
        <v>25.318527</v>
      </c>
      <c r="M84" s="56">
        <v>23.721958000000001</v>
      </c>
      <c r="N84" s="56">
        <v>2.5026321</v>
      </c>
    </row>
    <row r="85" spans="1:14" x14ac:dyDescent="0.35">
      <c r="A85" s="2">
        <v>44231</v>
      </c>
      <c r="B85" s="49">
        <v>22.484946999999998</v>
      </c>
      <c r="C85" s="49">
        <v>10.684454000000001</v>
      </c>
      <c r="D85" s="49">
        <v>8.0981729999999992</v>
      </c>
      <c r="E85" s="49">
        <v>14.164828999999999</v>
      </c>
      <c r="F85" s="49">
        <v>17.711639999999999</v>
      </c>
      <c r="G85" s="49">
        <v>10.031271</v>
      </c>
      <c r="H85" s="49">
        <v>-7.4329140000000002</v>
      </c>
      <c r="I85" s="49">
        <v>46.215355000000002</v>
      </c>
      <c r="J85" s="49">
        <v>19.595300000000002</v>
      </c>
      <c r="K85" s="56">
        <v>5.0736666000000001</v>
      </c>
      <c r="L85" s="56">
        <v>30.932283000000002</v>
      </c>
      <c r="M85" s="56">
        <v>28.45552</v>
      </c>
      <c r="N85" s="56">
        <v>3.6468983000000001</v>
      </c>
    </row>
    <row r="86" spans="1:14" x14ac:dyDescent="0.35">
      <c r="A86" s="2">
        <v>44259</v>
      </c>
      <c r="B86" s="49">
        <v>15.000868000000001</v>
      </c>
      <c r="C86" s="49">
        <v>23.186886000000001</v>
      </c>
      <c r="D86" s="49">
        <v>17.752039</v>
      </c>
      <c r="E86" s="49">
        <v>21.217144000000001</v>
      </c>
      <c r="F86" s="49">
        <v>26.491223999999999</v>
      </c>
      <c r="G86" s="49">
        <v>8.4594360000000002</v>
      </c>
      <c r="H86" s="49">
        <v>4.5408964000000003</v>
      </c>
      <c r="I86" s="49">
        <v>40.348995000000002</v>
      </c>
      <c r="J86" s="49">
        <v>22.696960000000001</v>
      </c>
      <c r="K86" s="56">
        <v>13.9962435</v>
      </c>
      <c r="L86" s="56">
        <v>35.002209999999998</v>
      </c>
      <c r="M86" s="56">
        <v>36.028446000000002</v>
      </c>
      <c r="N86" s="56">
        <v>10.134411</v>
      </c>
    </row>
    <row r="87" spans="1:14" x14ac:dyDescent="0.35">
      <c r="A87" s="2">
        <v>44287</v>
      </c>
      <c r="B87" s="49">
        <v>42.820213000000003</v>
      </c>
      <c r="C87" s="49">
        <v>71.345519999999993</v>
      </c>
      <c r="D87" s="49">
        <v>70.401955000000001</v>
      </c>
      <c r="E87" s="49">
        <v>70.442819999999998</v>
      </c>
      <c r="F87" s="49">
        <v>48.740229999999997</v>
      </c>
      <c r="G87" s="49">
        <v>32.477615</v>
      </c>
      <c r="H87" s="49">
        <v>43.063879999999997</v>
      </c>
      <c r="I87" s="49">
        <v>79.143035999999995</v>
      </c>
      <c r="J87" s="49">
        <v>65.376130000000003</v>
      </c>
      <c r="K87" s="56">
        <v>61.322879999999998</v>
      </c>
      <c r="L87" s="56">
        <v>92.318129999999996</v>
      </c>
      <c r="M87" s="56">
        <v>89.209710000000001</v>
      </c>
      <c r="N87" s="56">
        <v>63.152813000000002</v>
      </c>
    </row>
    <row r="88" spans="1:14" x14ac:dyDescent="0.35">
      <c r="A88" s="2">
        <v>44320</v>
      </c>
      <c r="B88" s="49">
        <v>36.067115999999999</v>
      </c>
      <c r="C88" s="49">
        <v>61.055329999999998</v>
      </c>
      <c r="D88" s="49">
        <v>52.595042999999997</v>
      </c>
      <c r="E88" s="49">
        <v>52.045333999999997</v>
      </c>
      <c r="F88" s="49">
        <v>34.715629999999997</v>
      </c>
      <c r="G88" s="49">
        <v>28.486740000000001</v>
      </c>
      <c r="H88" s="49">
        <v>35.714053999999997</v>
      </c>
      <c r="I88" s="49">
        <v>54.353879999999997</v>
      </c>
      <c r="J88" s="49">
        <v>48.931649999999998</v>
      </c>
      <c r="K88" s="56">
        <v>57.365833000000002</v>
      </c>
      <c r="L88" s="56">
        <v>71.638149999999996</v>
      </c>
      <c r="M88" s="56">
        <v>74.822620000000001</v>
      </c>
      <c r="N88" s="56">
        <v>56.042119999999997</v>
      </c>
    </row>
    <row r="89" spans="1:14" x14ac:dyDescent="0.35">
      <c r="A89" s="2">
        <v>44351</v>
      </c>
      <c r="B89" s="49">
        <v>16.183471999999998</v>
      </c>
      <c r="C89" s="49">
        <v>41.666804999999997</v>
      </c>
      <c r="D89" s="49">
        <v>48.584152000000003</v>
      </c>
      <c r="E89" s="49">
        <v>32.853009999999998</v>
      </c>
      <c r="F89" s="49">
        <v>25.124131999999999</v>
      </c>
      <c r="G89" s="49">
        <v>27.789795000000002</v>
      </c>
      <c r="H89" s="49">
        <v>28.433395000000001</v>
      </c>
      <c r="I89" s="49">
        <v>43.681441999999997</v>
      </c>
      <c r="J89" s="49">
        <v>37.916924000000002</v>
      </c>
      <c r="K89" s="56">
        <v>41.043877000000002</v>
      </c>
      <c r="L89" s="56">
        <v>54.43909</v>
      </c>
      <c r="M89" s="56">
        <v>54.751133000000003</v>
      </c>
      <c r="N89" s="56">
        <v>41.094337000000003</v>
      </c>
    </row>
    <row r="90" spans="1:14" x14ac:dyDescent="0.35">
      <c r="A90" s="2">
        <v>44379</v>
      </c>
      <c r="B90" s="49">
        <v>9.9355810000000009</v>
      </c>
      <c r="C90" s="49">
        <v>34.843563000000003</v>
      </c>
      <c r="D90" s="49">
        <v>47.161136999999997</v>
      </c>
      <c r="E90" s="49">
        <v>29.986142999999998</v>
      </c>
      <c r="F90" s="49">
        <v>24.481677999999999</v>
      </c>
      <c r="G90" s="49">
        <v>26.301552000000001</v>
      </c>
      <c r="H90" s="49">
        <v>30.004691999999999</v>
      </c>
      <c r="I90" s="49">
        <v>43.016753999999999</v>
      </c>
      <c r="J90" s="49">
        <v>40.995480000000001</v>
      </c>
      <c r="K90" s="56">
        <v>38.957630000000002</v>
      </c>
      <c r="L90" s="56">
        <v>47.333559999999999</v>
      </c>
      <c r="M90" s="56">
        <v>53.677844999999998</v>
      </c>
      <c r="N90" s="56">
        <v>35.063395999999997</v>
      </c>
    </row>
    <row r="91" spans="1:14" x14ac:dyDescent="0.35">
      <c r="A91" s="2">
        <v>44412</v>
      </c>
      <c r="B91" s="49">
        <v>7.1643233000000004</v>
      </c>
      <c r="C91" s="49">
        <v>31.591927999999999</v>
      </c>
      <c r="D91" s="49">
        <v>36.432194000000003</v>
      </c>
      <c r="E91" s="49">
        <v>23.50545</v>
      </c>
      <c r="F91" s="49">
        <v>21.874023000000001</v>
      </c>
      <c r="G91" s="49">
        <v>24.714672</v>
      </c>
      <c r="H91" s="49">
        <v>28.810977999999999</v>
      </c>
      <c r="I91" s="49">
        <v>36.631140000000002</v>
      </c>
      <c r="J91" s="49">
        <v>34.996426</v>
      </c>
      <c r="K91" s="56">
        <v>37.843643</v>
      </c>
      <c r="L91" s="56">
        <v>46.559215999999999</v>
      </c>
      <c r="M91" s="56">
        <v>44.960929999999998</v>
      </c>
      <c r="N91" s="56">
        <v>30.026589999999999</v>
      </c>
    </row>
    <row r="92" spans="1:14" x14ac:dyDescent="0.35">
      <c r="A92" s="2">
        <v>44442</v>
      </c>
      <c r="B92" s="49">
        <v>11.862826</v>
      </c>
      <c r="C92" s="49">
        <v>32.059714999999997</v>
      </c>
      <c r="D92" s="49">
        <v>36.525787000000001</v>
      </c>
      <c r="E92" s="49">
        <v>20.918475999999998</v>
      </c>
      <c r="F92" s="49">
        <v>25.793434000000001</v>
      </c>
      <c r="G92" s="49">
        <v>24.705482</v>
      </c>
      <c r="H92" s="49">
        <v>32.050249999999998</v>
      </c>
      <c r="I92" s="49">
        <v>33.514499999999998</v>
      </c>
      <c r="J92" s="49">
        <v>33.148266</v>
      </c>
      <c r="K92" s="56">
        <v>35.594296</v>
      </c>
      <c r="L92" s="56">
        <v>54.730392000000002</v>
      </c>
      <c r="M92" s="56">
        <v>43.636012999999998</v>
      </c>
      <c r="N92" s="56">
        <v>33.085884</v>
      </c>
    </row>
    <row r="93" spans="1:14" x14ac:dyDescent="0.35">
      <c r="A93" s="2">
        <v>44473</v>
      </c>
      <c r="B93" s="49">
        <v>9.7594019999999997</v>
      </c>
      <c r="C93" s="49">
        <v>29.041218000000001</v>
      </c>
      <c r="D93" s="49">
        <v>35.574078</v>
      </c>
      <c r="E93" s="49">
        <v>15.371942499999999</v>
      </c>
      <c r="F93" s="49">
        <v>16.954304</v>
      </c>
      <c r="G93" s="49">
        <v>15.384161000000001</v>
      </c>
      <c r="H93" s="49">
        <v>29.667376999999998</v>
      </c>
      <c r="I93" s="49">
        <v>29.235792</v>
      </c>
      <c r="J93" s="49">
        <v>30.218350999999998</v>
      </c>
      <c r="K93" s="56">
        <v>35.212837</v>
      </c>
      <c r="L93" s="56">
        <v>39.012970000000003</v>
      </c>
      <c r="M93" s="56">
        <v>30.800283</v>
      </c>
      <c r="N93" s="56">
        <v>32.250639999999997</v>
      </c>
    </row>
    <row r="94" spans="1:14" x14ac:dyDescent="0.35">
      <c r="A94" s="2">
        <v>44504</v>
      </c>
      <c r="B94" s="49">
        <v>5.4667830000000004</v>
      </c>
      <c r="C94" s="49">
        <v>30.69415</v>
      </c>
      <c r="D94" s="49">
        <v>45.878746</v>
      </c>
      <c r="E94" s="49">
        <v>27.506589999999999</v>
      </c>
      <c r="F94" s="49">
        <v>18.458344</v>
      </c>
      <c r="G94" s="49">
        <v>25.359857999999999</v>
      </c>
      <c r="H94" s="49">
        <v>34.468330000000002</v>
      </c>
      <c r="I94" s="49">
        <v>39.538787999999997</v>
      </c>
      <c r="J94" s="49">
        <v>37.839508000000002</v>
      </c>
      <c r="K94" s="56">
        <v>43.279311999999997</v>
      </c>
      <c r="L94" s="56">
        <v>49.615775999999997</v>
      </c>
      <c r="M94" s="56">
        <v>40.859256999999999</v>
      </c>
      <c r="N94" s="56">
        <v>41.572629999999997</v>
      </c>
    </row>
    <row r="95" spans="1:14" x14ac:dyDescent="0.35">
      <c r="A95" s="2">
        <v>44533</v>
      </c>
      <c r="B95" s="49">
        <v>-10.549808000000001</v>
      </c>
      <c r="C95" s="49">
        <v>6.3671350000000002</v>
      </c>
      <c r="D95" s="49">
        <v>22.632525999999999</v>
      </c>
      <c r="E95" s="49">
        <v>5.6021929999999998</v>
      </c>
      <c r="F95" s="49">
        <v>3.5892963</v>
      </c>
      <c r="G95" s="49">
        <v>17.557870000000001</v>
      </c>
      <c r="H95" s="49">
        <v>12.290692</v>
      </c>
      <c r="I95" s="49">
        <v>26.587343000000001</v>
      </c>
      <c r="J95" s="49">
        <v>25.406324000000001</v>
      </c>
      <c r="K95" s="56">
        <v>15.138161</v>
      </c>
      <c r="L95" s="56">
        <v>21.602844000000001</v>
      </c>
      <c r="M95" s="56">
        <v>15.613709999999999</v>
      </c>
      <c r="N95" s="56">
        <v>11.24661</v>
      </c>
    </row>
    <row r="96" spans="1:14" x14ac:dyDescent="0.35">
      <c r="A96" s="2">
        <v>44565</v>
      </c>
      <c r="B96" s="49">
        <v>-10.612231</v>
      </c>
      <c r="C96" s="49">
        <v>10.424398999999999</v>
      </c>
      <c r="D96" s="49">
        <v>25.799751000000001</v>
      </c>
      <c r="E96" s="49">
        <v>6.0876010000000003</v>
      </c>
      <c r="F96" s="49">
        <v>3.8297892</v>
      </c>
      <c r="G96" s="49">
        <v>19.002687000000002</v>
      </c>
      <c r="H96" s="49">
        <v>18.817627000000002</v>
      </c>
      <c r="I96" s="49">
        <v>28.796982</v>
      </c>
      <c r="J96" s="49">
        <v>31.233727999999999</v>
      </c>
      <c r="K96" s="56">
        <v>22.021294000000001</v>
      </c>
      <c r="L96" s="56">
        <v>20.868946000000001</v>
      </c>
      <c r="M96" s="56">
        <v>23.067225000000001</v>
      </c>
      <c r="N96" s="56">
        <v>15.947234999999999</v>
      </c>
    </row>
    <row r="97" spans="1:14" x14ac:dyDescent="0.35">
      <c r="A97" s="2">
        <v>44596</v>
      </c>
      <c r="B97" s="49">
        <v>-18.412852999999998</v>
      </c>
      <c r="C97" s="49">
        <v>-1.0750234000000001</v>
      </c>
      <c r="D97" s="49">
        <v>23.348939999999999</v>
      </c>
      <c r="E97" s="49">
        <v>1.0309815</v>
      </c>
      <c r="F97" s="49">
        <v>-4.5985699999999996</v>
      </c>
      <c r="G97" s="49">
        <v>11.445117</v>
      </c>
      <c r="H97" s="49">
        <v>20.306895999999998</v>
      </c>
      <c r="I97" s="49">
        <v>8.9318390000000001</v>
      </c>
      <c r="J97" s="49">
        <v>17.749988999999999</v>
      </c>
      <c r="K97" s="56">
        <v>19.554625999999999</v>
      </c>
      <c r="L97" s="56">
        <v>6.8714022999999997</v>
      </c>
      <c r="M97" s="56">
        <v>6.6045284000000004</v>
      </c>
      <c r="N97" s="56">
        <v>12.1616955</v>
      </c>
    </row>
    <row r="98" spans="1:14" x14ac:dyDescent="0.35">
      <c r="A98" s="2">
        <v>44624</v>
      </c>
      <c r="B98" s="49">
        <v>-7.8571140000000002</v>
      </c>
      <c r="C98" s="49">
        <v>4.1222333999999998</v>
      </c>
      <c r="D98" s="49">
        <v>20.377445000000002</v>
      </c>
      <c r="E98" s="49">
        <v>-17.342980000000001</v>
      </c>
      <c r="F98" s="49">
        <v>-7.6359269999999997</v>
      </c>
      <c r="G98" s="49">
        <v>8.7082750000000004</v>
      </c>
      <c r="H98" s="49">
        <v>6.2824606999999997</v>
      </c>
      <c r="I98" s="49">
        <v>11.452341000000001</v>
      </c>
      <c r="J98" s="49">
        <v>16.26923</v>
      </c>
      <c r="K98" s="56">
        <v>-2.6413262</v>
      </c>
      <c r="L98" s="56">
        <v>-9.0784660000000006</v>
      </c>
      <c r="M98" s="56">
        <v>-14.979535</v>
      </c>
      <c r="N98" s="56">
        <v>-8.7080300000000008</v>
      </c>
    </row>
    <row r="99" spans="1:14" x14ac:dyDescent="0.35">
      <c r="A99" s="2">
        <v>44655</v>
      </c>
      <c r="B99" s="49">
        <v>-8.8708104999999993</v>
      </c>
      <c r="C99" s="49">
        <v>12.407219</v>
      </c>
      <c r="D99" s="49">
        <v>19.512271999999999</v>
      </c>
      <c r="E99" s="49">
        <v>-13.585889999999999</v>
      </c>
      <c r="F99" s="49">
        <v>-7.8344703000000004</v>
      </c>
      <c r="G99" s="49">
        <v>12.810600000000001</v>
      </c>
      <c r="H99" s="49">
        <v>11.846565999999999</v>
      </c>
      <c r="I99" s="49">
        <v>14.330005999999999</v>
      </c>
      <c r="J99" s="49">
        <v>15.536749</v>
      </c>
      <c r="K99" s="56">
        <v>4.7364473</v>
      </c>
      <c r="L99" s="56">
        <v>-7.9639730000000002</v>
      </c>
      <c r="M99" s="56">
        <v>-6.9562016</v>
      </c>
      <c r="N99" s="56">
        <v>-3.8243114999999999</v>
      </c>
    </row>
    <row r="100" spans="1:14" x14ac:dyDescent="0.35">
      <c r="A100" s="2">
        <v>44685</v>
      </c>
      <c r="B100" s="49">
        <v>-20.595497000000002</v>
      </c>
      <c r="C100" s="49">
        <v>2.3065685999999999</v>
      </c>
      <c r="D100" s="49">
        <v>9.1590640000000008</v>
      </c>
      <c r="E100" s="49">
        <v>-19.527000000000001</v>
      </c>
      <c r="F100" s="49">
        <v>-12.020898000000001</v>
      </c>
      <c r="G100" s="49">
        <v>2.8615952</v>
      </c>
      <c r="H100" s="49">
        <v>5.7048319999999997</v>
      </c>
      <c r="I100" s="49">
        <v>0.31789539999999999</v>
      </c>
      <c r="J100" s="49">
        <v>4.6013830000000002</v>
      </c>
      <c r="K100" s="56">
        <v>-5.0496340000000002</v>
      </c>
      <c r="L100" s="56">
        <v>-15.642333000000001</v>
      </c>
      <c r="M100" s="56">
        <v>-16.397804000000001</v>
      </c>
      <c r="N100" s="56">
        <v>-7.9673885999999996</v>
      </c>
    </row>
    <row r="101" spans="1:14" x14ac:dyDescent="0.35">
      <c r="A101" s="2">
        <v>44715</v>
      </c>
      <c r="B101" s="49">
        <v>-18.559014999999999</v>
      </c>
      <c r="C101" s="49">
        <v>-2.5566279999999999</v>
      </c>
      <c r="D101" s="49">
        <v>2.0789979999999999</v>
      </c>
      <c r="E101" s="49">
        <v>-21.924717000000001</v>
      </c>
      <c r="F101" s="49">
        <v>-15.420109</v>
      </c>
      <c r="G101" s="49">
        <v>-6.4396259999999996</v>
      </c>
      <c r="H101" s="49">
        <v>1.3152957000000001</v>
      </c>
      <c r="I101" s="49">
        <v>-6.7646559999999996</v>
      </c>
      <c r="J101" s="49">
        <v>-0.66649320000000001</v>
      </c>
      <c r="K101" s="56">
        <v>-8.3344570000000004</v>
      </c>
      <c r="L101" s="56">
        <v>-20.368444</v>
      </c>
      <c r="M101" s="56">
        <v>-20.305489999999999</v>
      </c>
      <c r="N101" s="56">
        <v>-13.688433</v>
      </c>
    </row>
    <row r="102" spans="1:14" x14ac:dyDescent="0.35">
      <c r="A102" s="2">
        <v>44743</v>
      </c>
      <c r="B102" s="49">
        <v>-25.094341</v>
      </c>
      <c r="C102" s="49">
        <v>-12.843555</v>
      </c>
      <c r="D102" s="49">
        <v>-7.6863109999999999</v>
      </c>
      <c r="E102" s="49">
        <v>-30.947208</v>
      </c>
      <c r="F102" s="49">
        <v>-19.572883999999998</v>
      </c>
      <c r="G102" s="49">
        <v>-13.02101</v>
      </c>
      <c r="H102" s="49">
        <v>-4.9628734999999997</v>
      </c>
      <c r="I102" s="49">
        <v>-19.988828999999999</v>
      </c>
      <c r="J102" s="49">
        <v>-10.165781000000001</v>
      </c>
      <c r="K102" s="56">
        <v>-16.323460000000001</v>
      </c>
      <c r="L102" s="56">
        <v>-26.87679</v>
      </c>
      <c r="M102" s="56">
        <v>-30.431414</v>
      </c>
      <c r="N102" s="56">
        <v>-22.247553</v>
      </c>
    </row>
    <row r="103" spans="1:14" x14ac:dyDescent="0.35">
      <c r="A103" s="2">
        <v>44777</v>
      </c>
      <c r="B103" s="49">
        <v>-18.496973000000001</v>
      </c>
      <c r="C103" s="49">
        <v>-7.7774343000000004</v>
      </c>
      <c r="D103" s="49">
        <v>-4.1245339999999997</v>
      </c>
      <c r="E103" s="49">
        <v>-28.574562</v>
      </c>
      <c r="F103" s="49">
        <v>-15.718532</v>
      </c>
      <c r="G103" s="49">
        <v>-12.25952</v>
      </c>
      <c r="H103" s="49">
        <v>-2.8933703999999998</v>
      </c>
      <c r="I103" s="49">
        <v>-11.199396999999999</v>
      </c>
      <c r="J103" s="49">
        <v>-4.3070849999999998</v>
      </c>
      <c r="K103" s="56">
        <v>-12.638676</v>
      </c>
      <c r="L103" s="56">
        <v>-23.071580000000001</v>
      </c>
      <c r="M103" s="56">
        <v>-26.801126</v>
      </c>
      <c r="N103" s="56">
        <v>-20.681625</v>
      </c>
    </row>
    <row r="104" spans="1:14" x14ac:dyDescent="0.35">
      <c r="A104" s="2">
        <v>44806</v>
      </c>
      <c r="B104" s="49">
        <v>-25.261963000000002</v>
      </c>
      <c r="C104" s="49">
        <v>-11.771387000000001</v>
      </c>
      <c r="D104" s="49">
        <v>-9.6532049999999998</v>
      </c>
      <c r="E104" s="49">
        <v>-36.912260000000003</v>
      </c>
      <c r="F104" s="49">
        <v>-23.264378000000001</v>
      </c>
      <c r="G104" s="49">
        <v>-19.854109999999999</v>
      </c>
      <c r="H104" s="49">
        <v>-11.10031</v>
      </c>
      <c r="I104" s="49">
        <v>-21.974765999999999</v>
      </c>
      <c r="J104" s="49">
        <v>-12.215585000000001</v>
      </c>
      <c r="K104" s="56">
        <v>-22.381119999999999</v>
      </c>
      <c r="L104" s="56">
        <v>-37.342323</v>
      </c>
      <c r="M104" s="56">
        <v>-36.708280000000002</v>
      </c>
      <c r="N104" s="56">
        <v>-28.350645</v>
      </c>
    </row>
    <row r="105" spans="1:14" x14ac:dyDescent="0.35">
      <c r="A105" s="2">
        <v>44838</v>
      </c>
      <c r="B105" s="49">
        <v>-30.241371000000001</v>
      </c>
      <c r="C105" s="49">
        <v>-10.988735999999999</v>
      </c>
      <c r="D105" s="49">
        <v>-8.0023289999999996</v>
      </c>
      <c r="E105" s="49">
        <v>-32.289515999999999</v>
      </c>
      <c r="F105" s="49">
        <v>-22.767847</v>
      </c>
      <c r="G105" s="49">
        <v>-14.709365999999999</v>
      </c>
      <c r="H105" s="49">
        <v>-10.06493</v>
      </c>
      <c r="I105" s="49">
        <v>-19.494140000000002</v>
      </c>
      <c r="J105" s="49">
        <v>-10.483700000000001</v>
      </c>
      <c r="K105" s="56">
        <v>-18.197144000000002</v>
      </c>
      <c r="L105" s="56">
        <v>-30.761444000000001</v>
      </c>
      <c r="M105" s="56">
        <v>-30.501031999999999</v>
      </c>
      <c r="N105" s="56">
        <v>-23.583435000000001</v>
      </c>
    </row>
    <row r="106" spans="1:14" x14ac:dyDescent="0.35">
      <c r="A106" s="2">
        <v>44869</v>
      </c>
      <c r="B106" s="49">
        <v>-27.123563999999998</v>
      </c>
      <c r="C106" s="49">
        <v>-13.027495</v>
      </c>
      <c r="D106" s="49">
        <v>-13.730043</v>
      </c>
      <c r="E106" s="49">
        <v>-32.795994</v>
      </c>
      <c r="F106" s="49">
        <v>-25.928979999999999</v>
      </c>
      <c r="G106" s="49">
        <v>-21.577942</v>
      </c>
      <c r="H106" s="49">
        <v>-9.7136440000000004</v>
      </c>
      <c r="I106" s="49">
        <v>-33.122017</v>
      </c>
      <c r="J106" s="49">
        <v>-18.173079999999999</v>
      </c>
      <c r="K106" s="56">
        <v>-18.950064000000001</v>
      </c>
      <c r="L106" s="56">
        <v>-36.285890000000002</v>
      </c>
      <c r="M106" s="56">
        <v>-33.687995999999998</v>
      </c>
      <c r="N106" s="56">
        <v>-23.292439999999999</v>
      </c>
    </row>
    <row r="107" spans="1:14" x14ac:dyDescent="0.35">
      <c r="A107" s="2">
        <v>44897</v>
      </c>
      <c r="B107" s="49">
        <v>-13.168865</v>
      </c>
      <c r="C107" s="49">
        <v>2.5674104999999998</v>
      </c>
      <c r="D107" s="49">
        <v>-4.2606235000000003</v>
      </c>
      <c r="E107" s="49">
        <v>-16.462332</v>
      </c>
      <c r="F107" s="49">
        <v>-14.54823</v>
      </c>
      <c r="G107" s="49">
        <v>-10.534376</v>
      </c>
      <c r="H107" s="49">
        <v>2.7708411000000002</v>
      </c>
      <c r="I107" s="49">
        <v>-24.504536000000002</v>
      </c>
      <c r="J107" s="49">
        <v>-9.6891990000000003</v>
      </c>
      <c r="K107" s="56">
        <v>-5.1412106</v>
      </c>
      <c r="L107" s="56">
        <v>-18.317812</v>
      </c>
      <c r="M107" s="56">
        <v>-19.806374000000002</v>
      </c>
      <c r="N107" s="56">
        <v>-7.9415380000000004</v>
      </c>
    </row>
    <row r="108" spans="1:14" x14ac:dyDescent="0.35">
      <c r="A108" s="2">
        <v>44930</v>
      </c>
      <c r="B108" s="49">
        <v>-15.83479</v>
      </c>
      <c r="C108" s="49">
        <v>-6.0910820000000001</v>
      </c>
      <c r="D108" s="49">
        <v>-11.088495999999999</v>
      </c>
      <c r="E108" s="49">
        <v>-19.786912999999998</v>
      </c>
      <c r="F108" s="49">
        <v>-19.288176</v>
      </c>
      <c r="G108" s="49">
        <v>-15.86219</v>
      </c>
      <c r="H108" s="49">
        <v>-4.6946820000000002</v>
      </c>
      <c r="I108" s="49">
        <v>-32.481090000000002</v>
      </c>
      <c r="J108" s="49">
        <v>-18.332439999999998</v>
      </c>
      <c r="K108" s="56">
        <v>-10.12724</v>
      </c>
      <c r="L108" s="56">
        <v>-20.856767999999999</v>
      </c>
      <c r="M108" s="56">
        <v>-26.665741000000001</v>
      </c>
      <c r="N108" s="56">
        <v>-12.614316000000001</v>
      </c>
    </row>
    <row r="109" spans="1:14" x14ac:dyDescent="0.35">
      <c r="A109" s="2">
        <v>44960</v>
      </c>
      <c r="B109" s="49">
        <v>-2.5783718000000002</v>
      </c>
      <c r="C109" s="49">
        <v>12.050533</v>
      </c>
      <c r="D109" s="49">
        <v>-4.907775</v>
      </c>
      <c r="E109" s="49">
        <v>-8.6105350000000005</v>
      </c>
      <c r="F109" s="49">
        <v>-7.7867030000000002</v>
      </c>
      <c r="G109" s="49">
        <v>-6.1262664999999998</v>
      </c>
      <c r="H109" s="49">
        <v>-2.7380228</v>
      </c>
      <c r="I109" s="49">
        <v>-12.762183</v>
      </c>
      <c r="J109" s="49">
        <v>-6.1669169999999998</v>
      </c>
      <c r="K109" s="56">
        <v>0.69186689999999995</v>
      </c>
      <c r="L109" s="56">
        <v>-4.7567725000000003</v>
      </c>
      <c r="M109" s="56">
        <v>-12.105489</v>
      </c>
      <c r="N109" s="56">
        <v>-4.6174169999999997</v>
      </c>
    </row>
    <row r="110" spans="1:14" x14ac:dyDescent="0.35">
      <c r="A110" s="2">
        <v>44988</v>
      </c>
      <c r="B110" s="49">
        <v>-7.9734683000000004</v>
      </c>
      <c r="C110" s="49">
        <v>1.2712239999999999</v>
      </c>
      <c r="D110" s="49">
        <v>-7.3590993999999998</v>
      </c>
      <c r="E110" s="49">
        <v>5.3128359999999999</v>
      </c>
      <c r="F110" s="49">
        <v>-6.3082750000000001</v>
      </c>
      <c r="G110" s="49">
        <v>-4.2694806999999999</v>
      </c>
      <c r="H110" s="49">
        <v>3.1390547999999998</v>
      </c>
      <c r="I110" s="49">
        <v>-11.797606999999999</v>
      </c>
      <c r="J110" s="49">
        <v>-5.7249489999999996</v>
      </c>
      <c r="K110" s="56">
        <v>14.388883999999999</v>
      </c>
      <c r="L110" s="56">
        <v>4.335642</v>
      </c>
      <c r="M110" s="56">
        <v>4.7614336000000002</v>
      </c>
      <c r="N110" s="56">
        <v>13.257933</v>
      </c>
    </row>
    <row r="111" spans="1:14" x14ac:dyDescent="0.35">
      <c r="A111" s="2">
        <v>45020</v>
      </c>
      <c r="B111" s="49">
        <v>-7.849926</v>
      </c>
      <c r="C111" s="49">
        <v>-9.4385390000000005</v>
      </c>
      <c r="D111" s="49">
        <v>-12.632930999999999</v>
      </c>
      <c r="E111" s="49">
        <v>3.34301</v>
      </c>
      <c r="F111" s="49">
        <v>-4.4547615</v>
      </c>
      <c r="G111" s="49">
        <v>-6.7312183000000001</v>
      </c>
      <c r="H111" s="49">
        <v>-0.32954215999999997</v>
      </c>
      <c r="I111" s="49">
        <v>-12.94021</v>
      </c>
      <c r="J111" s="49">
        <v>-9.0093189999999996</v>
      </c>
      <c r="K111" s="56">
        <v>10.794162999999999</v>
      </c>
      <c r="L111" s="56">
        <v>0.23733377</v>
      </c>
      <c r="M111" s="56">
        <v>-7.1274996000000002</v>
      </c>
      <c r="N111" s="56">
        <v>7.5322149999999999</v>
      </c>
    </row>
    <row r="112" spans="1:14" x14ac:dyDescent="0.35">
      <c r="A112" s="2">
        <v>45050</v>
      </c>
      <c r="B112" s="49">
        <v>1.4854908</v>
      </c>
      <c r="C112" s="49">
        <v>-6.0793520000000001</v>
      </c>
      <c r="D112" s="49">
        <v>-7.9038085999999996</v>
      </c>
      <c r="E112" s="49">
        <v>12.235175999999999</v>
      </c>
      <c r="F112" s="49">
        <v>2.3880243000000001</v>
      </c>
      <c r="G112" s="49">
        <v>6.2956095000000003</v>
      </c>
      <c r="H112" s="49">
        <v>4.2043566999999999</v>
      </c>
      <c r="I112" s="49">
        <v>-3.3405364</v>
      </c>
      <c r="J112" s="49">
        <v>-3.965646</v>
      </c>
      <c r="K112" s="56">
        <v>18.854272999999999</v>
      </c>
      <c r="L112" s="56">
        <v>7.2545529999999996</v>
      </c>
      <c r="M112" s="56">
        <v>3.8233994999999998</v>
      </c>
      <c r="N112" s="56">
        <v>15.663062999999999</v>
      </c>
    </row>
    <row r="113" spans="1:14" x14ac:dyDescent="0.35">
      <c r="A113" s="2">
        <v>45079</v>
      </c>
      <c r="B113" s="49">
        <v>0.87914466999999996</v>
      </c>
      <c r="C113" s="49">
        <v>-5.7606754000000002</v>
      </c>
      <c r="D113" s="49">
        <v>-8.7550460000000001</v>
      </c>
      <c r="E113" s="49">
        <v>6.5530540000000004</v>
      </c>
      <c r="F113" s="49">
        <v>7.7734350000000001</v>
      </c>
      <c r="G113" s="49">
        <v>5.5982589999999997</v>
      </c>
      <c r="H113" s="49">
        <v>1.1889457999999999</v>
      </c>
      <c r="I113" s="49">
        <v>13.672637999999999</v>
      </c>
      <c r="J113" s="49">
        <v>4.2727349999999999</v>
      </c>
      <c r="K113" s="56">
        <v>12.324774</v>
      </c>
      <c r="L113" s="56">
        <v>9.6729520000000004</v>
      </c>
      <c r="M113" s="56">
        <v>-2.9057205000000002</v>
      </c>
      <c r="N113" s="56">
        <v>11.502159000000001</v>
      </c>
    </row>
    <row r="114" spans="1:14" x14ac:dyDescent="0.35">
      <c r="A114" s="2">
        <v>45110</v>
      </c>
      <c r="B114" s="49">
        <v>12.314892</v>
      </c>
      <c r="C114" s="49">
        <v>11.562956</v>
      </c>
      <c r="D114" s="49">
        <v>5.9775352000000002</v>
      </c>
      <c r="E114" s="49">
        <v>26.880013999999999</v>
      </c>
      <c r="F114" s="49">
        <v>18.128776999999999</v>
      </c>
      <c r="G114" s="49">
        <v>12.916969999999999</v>
      </c>
      <c r="H114" s="49">
        <v>11.498856999999999</v>
      </c>
      <c r="I114" s="49">
        <v>32.186042999999998</v>
      </c>
      <c r="J114" s="49">
        <v>18.325292999999999</v>
      </c>
      <c r="K114" s="56">
        <v>30.887889999999999</v>
      </c>
      <c r="L114" s="56">
        <v>27.024291999999999</v>
      </c>
      <c r="M114" s="56">
        <v>15.950537000000001</v>
      </c>
      <c r="N114" s="56">
        <v>37.198627000000002</v>
      </c>
    </row>
    <row r="115" spans="1:14" x14ac:dyDescent="0.35">
      <c r="A115" s="2">
        <v>45142</v>
      </c>
      <c r="B115" s="49">
        <v>-0.4055202</v>
      </c>
      <c r="C115" s="49">
        <v>3.4651755999999998</v>
      </c>
      <c r="D115" s="49">
        <v>2.1331072</v>
      </c>
      <c r="E115" s="49">
        <v>21.452105</v>
      </c>
      <c r="F115" s="49">
        <v>12.047482</v>
      </c>
      <c r="G115" s="49">
        <v>9.6457960000000007</v>
      </c>
      <c r="H115" s="49">
        <v>8.6396219999999992</v>
      </c>
      <c r="I115" s="49">
        <v>15.505242000000001</v>
      </c>
      <c r="J115" s="49">
        <v>9.6586110000000005</v>
      </c>
      <c r="K115" s="56">
        <v>21.762753</v>
      </c>
      <c r="L115" s="56">
        <v>15.261555</v>
      </c>
      <c r="M115" s="56">
        <v>3.5244346000000002</v>
      </c>
      <c r="N115" s="56">
        <v>35.331620000000001</v>
      </c>
    </row>
    <row r="116" spans="1:14" x14ac:dyDescent="0.35">
      <c r="A116" s="2">
        <v>45170</v>
      </c>
      <c r="B116" s="49">
        <v>-0.37047267</v>
      </c>
      <c r="C116" s="49">
        <v>6.2711595999999998</v>
      </c>
      <c r="D116" s="49">
        <v>7.3082805000000004</v>
      </c>
      <c r="E116" s="49">
        <v>31.744062</v>
      </c>
      <c r="F116" s="49">
        <v>18.256546</v>
      </c>
      <c r="G116" s="49">
        <v>17.080784000000001</v>
      </c>
      <c r="H116" s="49">
        <v>16.719936000000001</v>
      </c>
      <c r="I116" s="49">
        <v>27.016926000000002</v>
      </c>
      <c r="J116" s="49">
        <v>15.691757000000001</v>
      </c>
      <c r="K116" s="56">
        <v>31.388390000000001</v>
      </c>
      <c r="L116" s="56">
        <v>25.123346000000002</v>
      </c>
      <c r="M116" s="56">
        <v>13.631629999999999</v>
      </c>
      <c r="N116" s="56">
        <v>44.340862000000001</v>
      </c>
    </row>
    <row r="117" spans="1:14" x14ac:dyDescent="0.35">
      <c r="A117" s="2">
        <v>45203</v>
      </c>
      <c r="B117" s="49">
        <v>4.5149803000000004</v>
      </c>
      <c r="C117" s="49">
        <v>4.0863275999999997</v>
      </c>
      <c r="D117" s="49">
        <v>-8.9454649999999997E-2</v>
      </c>
      <c r="E117" s="49">
        <v>24.080300000000001</v>
      </c>
      <c r="F117" s="49">
        <v>14.244175</v>
      </c>
      <c r="G117" s="49">
        <v>11.90691</v>
      </c>
      <c r="H117" s="49">
        <v>14.486181</v>
      </c>
      <c r="I117" s="49">
        <v>28.380286999999999</v>
      </c>
      <c r="J117" s="49">
        <v>14.139533</v>
      </c>
      <c r="K117" s="56">
        <v>23.650539999999999</v>
      </c>
      <c r="L117" s="56">
        <v>15.157234000000001</v>
      </c>
      <c r="M117" s="56">
        <v>10.091257000000001</v>
      </c>
      <c r="N117" s="56">
        <v>32.213653999999998</v>
      </c>
    </row>
    <row r="118" spans="1:14" x14ac:dyDescent="0.35">
      <c r="A118" s="2">
        <v>45233</v>
      </c>
      <c r="B118" s="49">
        <v>5.0468206000000002</v>
      </c>
      <c r="C118" s="49">
        <v>11.39791</v>
      </c>
      <c r="D118" s="49">
        <v>7.1118116000000002</v>
      </c>
      <c r="E118" s="49">
        <v>27.078379000000002</v>
      </c>
      <c r="F118" s="49">
        <v>25.403749999999999</v>
      </c>
      <c r="G118" s="49">
        <v>16.117775000000002</v>
      </c>
      <c r="H118" s="49">
        <v>17.281092000000001</v>
      </c>
      <c r="I118" s="49">
        <v>42.121969999999997</v>
      </c>
      <c r="J118" s="49">
        <v>19.027149999999999</v>
      </c>
      <c r="K118" s="56">
        <v>25.699210999999998</v>
      </c>
      <c r="L118" s="56">
        <v>27.185403999999998</v>
      </c>
      <c r="M118" s="56">
        <v>15.557898</v>
      </c>
      <c r="N118" s="56">
        <v>37.170969999999997</v>
      </c>
    </row>
    <row r="119" spans="1:14" x14ac:dyDescent="0.35">
      <c r="A119" s="2">
        <v>45264</v>
      </c>
      <c r="B119" s="49">
        <v>-6.0692310000000003</v>
      </c>
      <c r="C119" s="49">
        <v>-0.99794864999999999</v>
      </c>
      <c r="D119" s="49">
        <v>2.8053522000000002</v>
      </c>
      <c r="E119" s="49">
        <v>14.360177999999999</v>
      </c>
      <c r="F119" s="49">
        <v>12.334704</v>
      </c>
      <c r="G119" s="49">
        <v>7.9225899999999996</v>
      </c>
      <c r="H119" s="49">
        <v>5.7707905999999998</v>
      </c>
      <c r="I119" s="49">
        <v>32.951714000000003</v>
      </c>
      <c r="J119" s="49">
        <v>14.018464</v>
      </c>
      <c r="K119" s="56">
        <v>13.051486000000001</v>
      </c>
      <c r="L119" s="56">
        <v>9.2354660000000006</v>
      </c>
      <c r="M119" s="56">
        <v>7.1415663</v>
      </c>
      <c r="N119" s="56">
        <v>22.851658</v>
      </c>
    </row>
    <row r="120" spans="1:14" x14ac:dyDescent="0.35">
      <c r="A120" s="2">
        <v>45295</v>
      </c>
      <c r="B120" s="49">
        <v>-0.21761059999999999</v>
      </c>
      <c r="C120" s="49">
        <v>9.8460789999999996</v>
      </c>
      <c r="D120" s="49">
        <v>11.697661999999999</v>
      </c>
      <c r="E120" s="49">
        <v>15.302239999999999</v>
      </c>
      <c r="F120" s="49">
        <v>18.907475000000002</v>
      </c>
      <c r="G120" s="49">
        <v>12.464738000000001</v>
      </c>
      <c r="H120" s="49">
        <v>10.053492</v>
      </c>
      <c r="I120" s="49">
        <v>50.150680000000001</v>
      </c>
      <c r="J120" s="49">
        <v>23.627721999999999</v>
      </c>
      <c r="K120" s="56">
        <v>14.494776999999999</v>
      </c>
      <c r="L120" s="56">
        <v>12.152613000000001</v>
      </c>
      <c r="M120" s="56">
        <v>16.962862000000001</v>
      </c>
      <c r="N120" s="56">
        <v>24.354696000000001</v>
      </c>
    </row>
    <row r="121" spans="1:14" x14ac:dyDescent="0.35">
      <c r="A121" s="2">
        <v>45324</v>
      </c>
      <c r="B121" s="49">
        <v>-10.102999000000001</v>
      </c>
      <c r="C121" s="49">
        <v>-1.5977859999999999</v>
      </c>
      <c r="D121" s="49">
        <v>4.2808413999999999</v>
      </c>
      <c r="E121" s="49">
        <v>4.0325284000000003</v>
      </c>
      <c r="F121" s="49">
        <v>15.654051000000001</v>
      </c>
      <c r="G121" s="49">
        <v>6.921208</v>
      </c>
      <c r="H121" s="49">
        <v>4.5794009999999998</v>
      </c>
      <c r="I121" s="49">
        <v>38.57497</v>
      </c>
      <c r="J121" s="49">
        <v>20.427607999999999</v>
      </c>
      <c r="K121" s="56">
        <v>6.2031390000000002</v>
      </c>
      <c r="L121" s="56">
        <v>7.2924020000000001</v>
      </c>
      <c r="M121" s="56">
        <v>4.6181559999999999</v>
      </c>
      <c r="N121" s="56">
        <v>13.907539</v>
      </c>
    </row>
    <row r="122" spans="1:14" x14ac:dyDescent="0.35">
      <c r="A122" s="2">
        <v>45355</v>
      </c>
      <c r="B122">
        <v>-6.5753279999999998</v>
      </c>
      <c r="C122">
        <v>6.3810469999999997</v>
      </c>
      <c r="D122">
        <v>8.7962150000000001</v>
      </c>
      <c r="E122">
        <v>13.011682499999999</v>
      </c>
      <c r="F122">
        <v>24.444220999999999</v>
      </c>
      <c r="G122">
        <v>8.5903759999999991</v>
      </c>
      <c r="H122">
        <v>4.6081542999999998</v>
      </c>
      <c r="I122">
        <v>49.185561999999997</v>
      </c>
      <c r="J122">
        <v>28.687740000000002</v>
      </c>
      <c r="K122" s="56">
        <v>11.341023</v>
      </c>
      <c r="L122" s="56">
        <v>18.124140000000001</v>
      </c>
      <c r="M122" s="56">
        <v>12.332654</v>
      </c>
      <c r="N122" s="56">
        <v>20.953156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89</v>
      </c>
      <c r="B126" s="49" cm="1">
        <f t="array" ref="B126">MIN(_xlfn._xlws.FILTER(B2:B122, ISNUMBER(B2:B122)))</f>
        <v>-30.241371000000001</v>
      </c>
      <c r="C126" s="49" cm="1">
        <f t="array" ref="C126">MIN(_xlfn._xlws.FILTER(C2:C122, ISNUMBER(C2:C122)))</f>
        <v>-31.930900000000001</v>
      </c>
      <c r="D126" s="49" cm="1">
        <f t="array" ref="D126">MIN(_xlfn._xlws.FILTER(D2:D122, ISNUMBER(D2:D122)))</f>
        <v>-27.210014000000001</v>
      </c>
      <c r="E126" s="49" cm="1">
        <f t="array" ref="E126">MIN(_xlfn._xlws.FILTER(E2:E122, ISNUMBER(E2:E122)))</f>
        <v>-36.912260000000003</v>
      </c>
      <c r="F126" s="49" cm="1">
        <f t="array" ref="F126">MIN(_xlfn._xlws.FILTER(F2:F122, ISNUMBER(F2:F122)))</f>
        <v>-25.928979999999999</v>
      </c>
      <c r="G126" s="49" cm="1">
        <f t="array" ref="G126">MIN(_xlfn._xlws.FILTER(G2:G122, ISNUMBER(G2:G122)))</f>
        <v>-21.577942</v>
      </c>
      <c r="H126" s="49" cm="1">
        <f t="array" ref="H126">MIN(_xlfn._xlws.FILTER(H2:H122, ISNUMBER(H2:H122)))</f>
        <v>-30.456178999999999</v>
      </c>
      <c r="I126" s="49" cm="1">
        <f t="array" ref="I126">MIN(_xlfn._xlws.FILTER(I2:I122, ISNUMBER(I2:I122)))</f>
        <v>-33.122017</v>
      </c>
      <c r="J126" s="49" cm="1">
        <f t="array" ref="J126">MIN(_xlfn._xlws.FILTER(J2:J122, ISNUMBER(J2:J122)))</f>
        <v>-18.332439999999998</v>
      </c>
      <c r="K126" s="49" cm="1">
        <f t="array" ref="K126">MIN(_xlfn._xlws.FILTER(K2:K122, ISNUMBER(K2:K122)))</f>
        <v>-25.598568</v>
      </c>
      <c r="L126" s="49" cm="1">
        <f t="array" ref="L126">MIN(_xlfn._xlws.FILTER(L2:L122, ISNUMBER(L2:L122)))</f>
        <v>-37.342323</v>
      </c>
      <c r="M126" s="49" cm="1">
        <f t="array" ref="M126">MIN(_xlfn._xlws.FILTER(M2:M122, ISNUMBER(M2:M122)))</f>
        <v>-36.708280000000002</v>
      </c>
      <c r="N126" s="49" cm="1">
        <f t="array" ref="N126">MIN(_xlfn._xlws.FILTER(N2:N122, ISNUMBER(N2:N122)))</f>
        <v>-28.350645</v>
      </c>
    </row>
    <row r="127" spans="1:14" x14ac:dyDescent="0.35">
      <c r="A127" s="2" t="s">
        <v>397</v>
      </c>
      <c r="B127" s="51" cm="1">
        <f t="array" ref="B127">MAX(_xlfn._xlws.FILTER(B1:B122, ISNUMBER(B1:B122)))</f>
        <v>54.736170000000001</v>
      </c>
      <c r="C127" s="51" cm="1">
        <f t="array" ref="C127">MAX(_xlfn._xlws.FILTER(C1:C122, ISNUMBER(C1:C122)))</f>
        <v>71.345519999999993</v>
      </c>
      <c r="D127" s="51" cm="1">
        <f t="array" ref="D127">MAX(_xlfn._xlws.FILTER(D1:D122, ISNUMBER(D1:D122)))</f>
        <v>70.401955000000001</v>
      </c>
      <c r="E127" s="51" cm="1">
        <f t="array" ref="E127">MAX(_xlfn._xlws.FILTER(E1:E122, ISNUMBER(E1:E122)))</f>
        <v>70.442819999999998</v>
      </c>
      <c r="F127" s="51" cm="1">
        <f t="array" ref="F127">MAX(_xlfn._xlws.FILTER(F1:F122, ISNUMBER(F1:F122)))</f>
        <v>48.740229999999997</v>
      </c>
      <c r="G127" s="51" cm="1">
        <f t="array" ref="G127">MAX(_xlfn._xlws.FILTER(G1:G122, ISNUMBER(G1:G122)))</f>
        <v>32.841230000000003</v>
      </c>
      <c r="H127" s="51" cm="1">
        <f t="array" ref="H127">MAX(_xlfn._xlws.FILTER(H1:H122, ISNUMBER(H1:H122)))</f>
        <v>43.063879999999997</v>
      </c>
      <c r="I127" s="51" cm="1">
        <f t="array" ref="I127">MAX(_xlfn._xlws.FILTER(I1:I122, ISNUMBER(I1:I122)))</f>
        <v>79.143035999999995</v>
      </c>
      <c r="J127" s="51" cm="1">
        <f t="array" ref="J127">MAX(_xlfn._xlws.FILTER(J1:J122, ISNUMBER(J1:J122)))</f>
        <v>65.376130000000003</v>
      </c>
      <c r="K127" s="51" cm="1">
        <f t="array" ref="K127">MAX(_xlfn._xlws.FILTER(K1:K122, ISNUMBER(K1:K122)))</f>
        <v>61.322879999999998</v>
      </c>
      <c r="L127" s="51" cm="1">
        <f t="array" ref="L127">MAX(_xlfn._xlws.FILTER(L1:L122, ISNUMBER(L1:L122)))</f>
        <v>92.318129999999996</v>
      </c>
      <c r="M127" s="51" cm="1">
        <f t="array" ref="M127">MAX(_xlfn._xlws.FILTER(M1:M122, ISNUMBER(M1:M122)))</f>
        <v>89.209710000000001</v>
      </c>
      <c r="N127" s="51" cm="1">
        <f t="array" ref="N127">MAX(_xlfn._xlws.FILTER(N1:N122, ISNUMBER(N1:N122)))</f>
        <v>63.152813000000002</v>
      </c>
    </row>
    <row r="128" spans="1:14" x14ac:dyDescent="0.35">
      <c r="A128" s="2" t="s">
        <v>398</v>
      </c>
      <c r="B128" s="49" cm="1">
        <f t="array" ref="B128">MEDIAN(_xlfn._xlws.FILTER(B1:B122, ISNUMBER(B1:B122)))</f>
        <v>8.6761590000000002</v>
      </c>
      <c r="C128" s="49" cm="1">
        <f t="array" ref="C128">MEDIAN(_xlfn._xlws.FILTER(C1:C122, ISNUMBER(C1:C122)))</f>
        <v>2.6655793000000001</v>
      </c>
      <c r="D128" s="49" cm="1">
        <f t="array" ref="D128">MEDIAN(_xlfn._xlws.FILTER(D1:D122, ISNUMBER(D1:D122)))</f>
        <v>4.7980070000000001</v>
      </c>
      <c r="E128" s="49" cm="1">
        <f t="array" ref="E128">MEDIAN(_xlfn._xlws.FILTER(E1:E122, ISNUMBER(E1:E122)))</f>
        <v>3.34301</v>
      </c>
      <c r="F128" s="49" cm="1">
        <f t="array" ref="F128">MEDIAN(_xlfn._xlws.FILTER(F1:F122, ISNUMBER(F1:F122)))</f>
        <v>7.0629597000000004</v>
      </c>
      <c r="G128" s="49" cm="1">
        <f t="array" ref="G128">MEDIAN(_xlfn._xlws.FILTER(G1:G122, ISNUMBER(G1:G122)))</f>
        <v>8.4594360000000002</v>
      </c>
      <c r="H128" s="49" cm="1">
        <f t="array" ref="H128">MEDIAN(_xlfn._xlws.FILTER(H1:H122, ISNUMBER(H1:H122)))</f>
        <v>1.3152957000000001</v>
      </c>
      <c r="I128" s="49" cm="1">
        <f t="array" ref="I128">MEDIAN(_xlfn._xlws.FILTER(I1:I122, ISNUMBER(I1:I122)))</f>
        <v>23.005915000000002</v>
      </c>
      <c r="J128" s="49" cm="1">
        <f t="array" ref="J128">MEDIAN(_xlfn._xlws.FILTER(J1:J122, ISNUMBER(J1:J122)))</f>
        <v>14.561844000000001</v>
      </c>
      <c r="K128" s="49" cm="1">
        <f t="array" ref="K128">MEDIAN(_xlfn._xlws.FILTER(K1:K122, ISNUMBER(K1:K122)))</f>
        <v>5.0736666000000001</v>
      </c>
      <c r="L128" s="49" cm="1">
        <f t="array" ref="L128">MEDIAN(_xlfn._xlws.FILTER(L1:L122, ISNUMBER(L1:L122)))</f>
        <v>7.836938</v>
      </c>
      <c r="M128" s="49" cm="1">
        <f t="array" ref="M128">MEDIAN(_xlfn._xlws.FILTER(M1:M122, ISNUMBER(M1:M122)))</f>
        <v>3.0256748</v>
      </c>
      <c r="N128" s="49" cm="1">
        <f t="array" ref="N128">MEDIAN(_xlfn._xlws.FILTER(N1:N122, ISNUMBER(N1:N122)))</f>
        <v>2.9463530000000002</v>
      </c>
    </row>
    <row r="129" spans="1:14" x14ac:dyDescent="0.35">
      <c r="A129" s="2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4" x14ac:dyDescent="0.35">
      <c r="A130" s="2" t="s">
        <v>91</v>
      </c>
      <c r="B130">
        <f>COUNTIF(B2:B122, "&lt;"&amp;Assumption!$F$49)</f>
        <v>17</v>
      </c>
      <c r="C130">
        <f>COUNTIF(C2:C122, "&lt;"&amp;Assumption!$F$49)</f>
        <v>19</v>
      </c>
      <c r="D130">
        <f>COUNTIF(D2:D122, "&lt;"&amp;Assumption!$F$49)</f>
        <v>17</v>
      </c>
      <c r="E130">
        <f>COUNTIF(E2:E122, "&lt;"&amp;Assumption!$F$49)</f>
        <v>28</v>
      </c>
      <c r="F130">
        <f>COUNTIF(F2:F122, "&lt;"&amp;Assumption!$F$49)</f>
        <v>14</v>
      </c>
      <c r="G130">
        <f>COUNTIF(G2:G122, "&lt;"&amp;Assumption!$F$49)</f>
        <v>10</v>
      </c>
      <c r="H130">
        <f>COUNTIF(H2:H122, "&lt;"&amp;Assumption!$F$49)</f>
        <v>20</v>
      </c>
      <c r="I130">
        <f>COUNTIF(I2:I122, "&lt;"&amp;Assumption!$F$49)</f>
        <v>10</v>
      </c>
      <c r="J130">
        <f>COUNTIF(J2:J122, "&lt;"&amp;Assumption!$F$49)</f>
        <v>6</v>
      </c>
      <c r="K130">
        <f>COUNTIF(K2:K122, "&lt;"&amp;Assumption!$F$49)</f>
        <v>11</v>
      </c>
      <c r="L130">
        <f>COUNTIF(L2:L122, "&lt;"&amp;Assumption!$F$49)</f>
        <v>12</v>
      </c>
      <c r="M130">
        <f>COUNTIF(M2:M122, "&lt;"&amp;Assumption!$F$49)</f>
        <v>22</v>
      </c>
      <c r="N130">
        <f>COUNTIF(N2:N122, "&lt;"&amp;Assumption!$F$49)</f>
        <v>32</v>
      </c>
    </row>
    <row r="131" spans="1:14" x14ac:dyDescent="0.35">
      <c r="A131" s="2" t="s">
        <v>90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401</v>
      </c>
      <c r="B133" s="9">
        <f t="shared" ref="B133:J133" si="2">B130/B131</f>
        <v>0.14049586776859505</v>
      </c>
      <c r="C133" s="9">
        <f t="shared" si="2"/>
        <v>0.15702479338842976</v>
      </c>
      <c r="D133" s="9">
        <f t="shared" si="2"/>
        <v>0.14049586776859505</v>
      </c>
      <c r="E133" s="9">
        <f t="shared" si="2"/>
        <v>0.23140495867768596</v>
      </c>
      <c r="F133" s="9">
        <f t="shared" si="2"/>
        <v>0.11570247933884298</v>
      </c>
      <c r="G133" s="9">
        <f t="shared" si="2"/>
        <v>8.2644628099173556E-2</v>
      </c>
      <c r="H133" s="9">
        <f t="shared" si="2"/>
        <v>0.16528925619834711</v>
      </c>
      <c r="I133" s="9">
        <f t="shared" si="2"/>
        <v>8.2644628099173556E-2</v>
      </c>
      <c r="J133" s="9">
        <f t="shared" si="2"/>
        <v>4.9586776859504134E-2</v>
      </c>
      <c r="K133" s="9">
        <f t="shared" ref="K133:N133" si="3">K130/K131</f>
        <v>9.0909090909090912E-2</v>
      </c>
      <c r="L133" s="9">
        <f t="shared" si="3"/>
        <v>9.9173553719008267E-2</v>
      </c>
      <c r="M133" s="9">
        <f t="shared" si="3"/>
        <v>0.18181818181818182</v>
      </c>
      <c r="N133" s="9">
        <f t="shared" si="3"/>
        <v>0.26446280991735538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404</v>
      </c>
      <c r="B136" s="49" cm="1">
        <f t="array" ref="B136">_xlfn.PERCENTRANK.EXC(_xlfn._xlws.FILTER(B2:B122, ISNUMBER(B2:B122)),B120)</f>
        <v>0.30299999999999999</v>
      </c>
      <c r="C136" s="49" cm="1">
        <f t="array" ref="C136">_xlfn.PERCENTRANK.EXC(_xlfn._xlws.FILTER(C2:C122, ISNUMBER(C2:C122)),C120)</f>
        <v>0.65500000000000003</v>
      </c>
      <c r="D136" s="49" cm="1">
        <f t="array" ref="D136">_xlfn.PERCENTRANK.EXC(_xlfn._xlws.FILTER(D2:D122, ISNUMBER(D2:D122)),D120)</f>
        <v>0.69599999999999995</v>
      </c>
      <c r="E136" s="49" cm="1">
        <f t="array" ref="E136">_xlfn.PERCENTRANK.EXC(_xlfn._xlws.FILTER(E2:E122, ISNUMBER(E2:E122)),E120)</f>
        <v>0.71299999999999997</v>
      </c>
      <c r="F136" s="49" cm="1">
        <f t="array" ref="F136">_xlfn.PERCENTRANK.EXC(_xlfn._xlws.FILTER(F2:F122, ISNUMBER(F2:F122)),F120)</f>
        <v>0.86799999999999999</v>
      </c>
      <c r="G136" s="49" cm="1">
        <f t="array" ref="G136">_xlfn.PERCENTRANK.EXC(_xlfn._xlws.FILTER(G2:G122, ISNUMBER(G2:G122)),G120)</f>
        <v>0.67200000000000004</v>
      </c>
      <c r="H136" s="49" cm="1">
        <f t="array" ref="H136">_xlfn.PERCENTRANK.EXC(_xlfn._xlws.FILTER(H2:H122, ISNUMBER(H2:H122)),H120)</f>
        <v>0.68799999999999994</v>
      </c>
      <c r="I136" s="49" cm="1">
        <f t="array" ref="I136">_xlfn.PERCENTRANK.EXC(_xlfn._xlws.FILTER(I2:I122, ISNUMBER(I2:I122)),I120)</f>
        <v>0.95</v>
      </c>
      <c r="J136" s="49" cm="1">
        <f t="array" ref="J136">_xlfn.PERCENTRANK.EXC(_xlfn._xlws.FILTER(J2:J122, ISNUMBER(J2:J122)),J120)</f>
        <v>0.86799999999999999</v>
      </c>
      <c r="K136" s="49" cm="1">
        <f t="array" ref="K136">_xlfn.PERCENTRANK.EXC(_xlfn._xlws.FILTER(K2:K122, ISNUMBER(K2:K122)),K120)</f>
        <v>0.68</v>
      </c>
      <c r="L136" s="49" cm="1">
        <f t="array" ref="L136">_xlfn.PERCENTRANK.EXC(_xlfn._xlws.FILTER(L2:L122, ISNUMBER(L2:L122)),L120)</f>
        <v>0.59799999999999998</v>
      </c>
      <c r="M136" s="49" cm="1">
        <f t="array" ref="M136">_xlfn.PERCENTRANK.EXC(_xlfn._xlws.FILTER(M2:M122, ISNUMBER(M2:M122)),M120)</f>
        <v>0.754</v>
      </c>
      <c r="N136" s="49" cm="1">
        <f t="array" ref="N136">_xlfn.PERCENTRANK.EXC(_xlfn._xlws.FILTER(N2:N122, ISNUMBER(N2:N122)),N120)</f>
        <v>0.72899999999999998</v>
      </c>
    </row>
    <row r="137" spans="1:14" x14ac:dyDescent="0.35">
      <c r="A137" s="2" t="s">
        <v>403</v>
      </c>
      <c r="B137" s="49" cm="1">
        <f t="array" ref="B137">_xlfn.PERCENTRANK.EXC(_xlfn._xlws.FILTER(B2:B122, ISNUMBER(B2:B122)),B121)</f>
        <v>0.13900000000000001</v>
      </c>
      <c r="C137" s="49" cm="1">
        <f t="array" ref="C137">_xlfn.PERCENTRANK.EXC(_xlfn._xlws.FILTER(C2:C122, ISNUMBER(C2:C122)),C121)</f>
        <v>0.36</v>
      </c>
      <c r="D137" s="49" cm="1">
        <f t="array" ref="D137">_xlfn.PERCENTRANK.EXC(_xlfn._xlws.FILTER(D2:D122, ISNUMBER(D2:D122)),D121)</f>
        <v>0.48299999999999998</v>
      </c>
      <c r="E137" s="49" cm="1">
        <f t="array" ref="E137">_xlfn.PERCENTRANK.EXC(_xlfn._xlws.FILTER(E2:E122, ISNUMBER(E2:E122)),E121)</f>
        <v>0.51600000000000001</v>
      </c>
      <c r="F137" s="49" cm="1">
        <f t="array" ref="F137">_xlfn.PERCENTRANK.EXC(_xlfn._xlws.FILTER(F2:F122, ISNUMBER(F2:F122)),F121)</f>
        <v>0.745</v>
      </c>
      <c r="G137" s="49" cm="1">
        <f t="array" ref="G137">_xlfn.PERCENTRANK.EXC(_xlfn._xlws.FILTER(G2:G122, ISNUMBER(G2:G122)),G121)</f>
        <v>0.45900000000000002</v>
      </c>
      <c r="H137" s="49" cm="1">
        <f t="array" ref="H137">_xlfn.PERCENTRANK.EXC(_xlfn._xlws.FILTER(H2:H122, ISNUMBER(H2:H122)),H121)</f>
        <v>0.56499999999999995</v>
      </c>
      <c r="I137" s="49" cm="1">
        <f t="array" ref="I137">_xlfn.PERCENTRANK.EXC(_xlfn._xlws.FILTER(I2:I122, ISNUMBER(I2:I122)),I121)</f>
        <v>0.85199999999999998</v>
      </c>
      <c r="J137" s="49" cm="1">
        <f t="array" ref="J137">_xlfn.PERCENTRANK.EXC(_xlfn._xlws.FILTER(J2:J122, ISNUMBER(J2:J122)),J121)</f>
        <v>0.77</v>
      </c>
      <c r="K137" s="49" cm="1">
        <f t="array" ref="K137">_xlfn.PERCENTRANK.EXC(_xlfn._xlws.FILTER(K2:K122, ISNUMBER(K2:K122)),K121)</f>
        <v>0.53200000000000003</v>
      </c>
      <c r="L137" s="49" cm="1">
        <f t="array" ref="L137">_xlfn.PERCENTRANK.EXC(_xlfn._xlws.FILTER(L2:L122, ISNUMBER(L2:L122)),L121)</f>
        <v>0.47499999999999998</v>
      </c>
      <c r="M137" s="49" cm="1">
        <f t="array" ref="M137">_xlfn.PERCENTRANK.EXC(_xlfn._xlws.FILTER(M2:M122, ISNUMBER(M2:M122)),M121)</f>
        <v>0.52400000000000002</v>
      </c>
      <c r="N137" s="49" cm="1">
        <f t="array" ref="N137">_xlfn.PERCENTRANK.EXC(_xlfn._xlws.FILTER(N2:N122, ISNUMBER(N2:N122)),N121)</f>
        <v>0.64700000000000002</v>
      </c>
    </row>
    <row r="138" spans="1:14" x14ac:dyDescent="0.35">
      <c r="A138" s="2" t="s">
        <v>405</v>
      </c>
      <c r="B138" s="49" cm="1">
        <f t="array" ref="B138">_xlfn.PERCENTRANK.EXC(_xlfn._xlws.FILTER(B2:B122, ISNUMBER(B2:B122)),B122)</f>
        <v>0.188</v>
      </c>
      <c r="C138" s="49" cm="1">
        <f t="array" ref="C138">_xlfn.PERCENTRANK.EXC(_xlfn._xlws.FILTER(C2:C122, ISNUMBER(C2:C122)),C122)</f>
        <v>0.58099999999999996</v>
      </c>
      <c r="D138" s="49" cm="1">
        <f t="array" ref="D138">_xlfn.PERCENTRANK.EXC(_xlfn._xlws.FILTER(D2:D122, ISNUMBER(D2:D122)),D122)</f>
        <v>0.61399999999999999</v>
      </c>
      <c r="E138" s="49" cm="1">
        <f t="array" ref="E138">_xlfn.PERCENTRANK.EXC(_xlfn._xlws.FILTER(E2:E122, ISNUMBER(E2:E122)),E122)</f>
        <v>0.65500000000000003</v>
      </c>
      <c r="F138" s="49" cm="1">
        <f t="array" ref="F138">_xlfn.PERCENTRANK.EXC(_xlfn._xlws.FILTER(F2:F122, ISNUMBER(F2:F122)),F122)</f>
        <v>0.92600000000000005</v>
      </c>
      <c r="G138" s="49" cm="1">
        <f t="array" ref="G138">_xlfn.PERCENTRANK.EXC(_xlfn._xlws.FILTER(G2:G122, ISNUMBER(G2:G122)),G122)</f>
        <v>0.50800000000000001</v>
      </c>
      <c r="H138" s="49" cm="1">
        <f t="array" ref="H138">_xlfn.PERCENTRANK.EXC(_xlfn._xlws.FILTER(H2:H122, ISNUMBER(H2:H122)),H122)</f>
        <v>0.57299999999999995</v>
      </c>
      <c r="I138" s="49" cm="1">
        <f t="array" ref="I138">_xlfn.PERCENTRANK.EXC(_xlfn._xlws.FILTER(I2:I122, ISNUMBER(I2:I122)),I122)</f>
        <v>0.94199999999999995</v>
      </c>
      <c r="J138" s="49" cm="1">
        <f t="array" ref="J138">_xlfn.PERCENTRANK.EXC(_xlfn._xlws.FILTER(J2:J122, ISNUMBER(J2:J122)),J122)</f>
        <v>0.90900000000000003</v>
      </c>
      <c r="K138" s="49" cm="1">
        <f t="array" ref="K138">_xlfn.PERCENTRANK.EXC(_xlfn._xlws.FILTER(K2:K122, ISNUMBER(K2:K122)),K122)</f>
        <v>0.59799999999999998</v>
      </c>
      <c r="L138" s="49" cm="1">
        <f t="array" ref="L138">_xlfn.PERCENTRANK.EXC(_xlfn._xlws.FILTER(L2:L122, ISNUMBER(L2:L122)),L122)</f>
        <v>0.68799999999999994</v>
      </c>
      <c r="M138" s="49" cm="1">
        <f t="array" ref="M138">_xlfn.PERCENTRANK.EXC(_xlfn._xlws.FILTER(M2:M122, ISNUMBER(M2:M122)),M122)</f>
        <v>0.63900000000000001</v>
      </c>
      <c r="N138" s="49" cm="1">
        <f t="array" ref="N138">_xlfn.PERCENTRANK.EXC(_xlfn._xlws.FILTER(N2:N122, ISNUMBER(N2:N122)),N122)</f>
        <v>0.70399999999999996</v>
      </c>
    </row>
    <row r="139" spans="1:14" x14ac:dyDescent="0.35">
      <c r="A139" s="2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</row>
    <row r="140" spans="1:14" x14ac:dyDescent="0.35">
      <c r="A140" s="2" t="s">
        <v>467</v>
      </c>
      <c r="B140" s="49">
        <f t="shared" ref="B140:J140" si="4">AVERAGE(B136:B138)</f>
        <v>0.21</v>
      </c>
      <c r="C140" s="49">
        <f t="shared" si="4"/>
        <v>0.53200000000000003</v>
      </c>
      <c r="D140" s="49">
        <f t="shared" si="4"/>
        <v>0.59766666666666657</v>
      </c>
      <c r="E140" s="49">
        <f t="shared" si="4"/>
        <v>0.628</v>
      </c>
      <c r="F140" s="49">
        <f t="shared" si="4"/>
        <v>0.84633333333333338</v>
      </c>
      <c r="G140" s="49">
        <f t="shared" si="4"/>
        <v>0.54633333333333334</v>
      </c>
      <c r="H140" s="49">
        <f t="shared" si="4"/>
        <v>0.60866666666666658</v>
      </c>
      <c r="I140" s="49">
        <f t="shared" si="4"/>
        <v>0.91466666666666663</v>
      </c>
      <c r="J140" s="49">
        <f t="shared" si="4"/>
        <v>0.84899999999999987</v>
      </c>
      <c r="K140" s="49">
        <f t="shared" ref="K140:N140" si="5">AVERAGE(K136:K138)</f>
        <v>0.60333333333333339</v>
      </c>
      <c r="L140" s="49">
        <f t="shared" si="5"/>
        <v>0.58699999999999997</v>
      </c>
      <c r="M140" s="49">
        <f t="shared" si="5"/>
        <v>0.63900000000000001</v>
      </c>
      <c r="N140" s="49">
        <f t="shared" si="5"/>
        <v>0.69333333333333336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6328125" customWidth="1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4.0763821987412499</v>
      </c>
      <c r="G17">
        <v>2.2808425238276202</v>
      </c>
      <c r="H17">
        <v>2.5348579496144801</v>
      </c>
      <c r="I17">
        <v>9.3523184569568798</v>
      </c>
      <c r="J17">
        <v>17.729435429113501</v>
      </c>
      <c r="K17">
        <v>2.1970597171427402</v>
      </c>
      <c r="L17">
        <v>1.99085797419876</v>
      </c>
      <c r="M17">
        <v>2.0450009047096098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1.9799060817604801</v>
      </c>
      <c r="F18">
        <v>3.67789534776584</v>
      </c>
      <c r="G18">
        <v>2.36864078670768</v>
      </c>
      <c r="H18">
        <v>2.0346384136804501</v>
      </c>
      <c r="I18">
        <v>10.4260783076313</v>
      </c>
      <c r="J18">
        <v>16.661770335547502</v>
      </c>
      <c r="K18">
        <v>1.85113612011142</v>
      </c>
      <c r="L18">
        <v>2.00892945351409</v>
      </c>
      <c r="M18">
        <v>2.2138152783679201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2.4494951252375601</v>
      </c>
      <c r="F19">
        <v>4.61613845138492</v>
      </c>
      <c r="G19">
        <v>2.66234515884581</v>
      </c>
      <c r="H19">
        <v>2.7142722466617202</v>
      </c>
      <c r="I19">
        <v>13.6402697494705</v>
      </c>
      <c r="J19">
        <v>22.276807399129499</v>
      </c>
      <c r="K19">
        <v>2.4608179865184701</v>
      </c>
      <c r="L19">
        <v>2.4360180766850199</v>
      </c>
      <c r="M19">
        <v>2.4898156587914002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2.3638879515072899</v>
      </c>
      <c r="F20">
        <v>4.46089531352278</v>
      </c>
      <c r="G20">
        <v>2.5838872063229701</v>
      </c>
      <c r="H20">
        <v>3.1276012084365901</v>
      </c>
      <c r="I20">
        <v>12.7503134568906</v>
      </c>
      <c r="J20">
        <v>22.969002360333501</v>
      </c>
      <c r="K20">
        <v>2.8026547594435298</v>
      </c>
      <c r="L20">
        <v>2.4294142549840898</v>
      </c>
      <c r="M20">
        <v>2.5641957501655699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2.6545569857881799</v>
      </c>
      <c r="F21">
        <v>4.5593386462546599</v>
      </c>
      <c r="G21">
        <v>2.8621332244249902</v>
      </c>
      <c r="H21">
        <v>3.0052327857456702</v>
      </c>
      <c r="I21">
        <v>16.322703214683902</v>
      </c>
      <c r="J21">
        <v>24.347983760390601</v>
      </c>
      <c r="K21">
        <v>2.9207261342803501</v>
      </c>
      <c r="L21">
        <v>2.9546331717854901</v>
      </c>
      <c r="M21">
        <v>2.5100925842498998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94</v>
      </c>
      <c r="B25" s="57" cm="1">
        <f t="array" ref="B25">(B21/INDEX(B2:B21,MATCH(TRUE,INDEX(ISNUMBER(B2:B21),0),0)))^(1/B23)-1</f>
        <v>-9.3828148339384354E-3</v>
      </c>
      <c r="C25" s="57" cm="1">
        <f t="array" ref="C25">(C21/INDEX(C2:C21,MATCH(TRUE,INDEX(ISNUMBER(C2:C21),0),0)))^(1/C23)-1</f>
        <v>1.1173841089814562E-2</v>
      </c>
      <c r="D25" s="57" cm="1">
        <f t="array" ref="D25">(D21/INDEX(D2:D21,MATCH(TRUE,INDEX(ISNUMBER(D2:D21),0),0)))^(1/D23)-1</f>
        <v>4.0909866878857226E-2</v>
      </c>
      <c r="E25" s="57" cm="1">
        <f t="array" ref="E25">(E21/INDEX(E2:E21,MATCH(TRUE,INDEX(ISNUMBER(E2:E21),0),0)))^(1/E23)-1</f>
        <v>2.824815242461387E-2</v>
      </c>
      <c r="F25" s="57" cm="1">
        <f t="array" ref="F25">(F21/INDEX(F2:F21,MATCH(TRUE,INDEX(ISNUMBER(F2:F21),0),0)))^(1/F23)-1</f>
        <v>2.4028219432087994E-2</v>
      </c>
      <c r="G25" s="57" cm="1">
        <f t="array" ref="G25">(G21/INDEX(G2:G21,MATCH(TRUE,INDEX(ISNUMBER(G2:G21),0),0)))^(1/G23)-1</f>
        <v>4.6569092795069267E-2</v>
      </c>
      <c r="H25" s="57" cm="1">
        <f t="array" ref="H25">(H21/INDEX(H2:H21,MATCH(TRUE,INDEX(ISNUMBER(H2:H21),0),0)))^(1/H23)-1</f>
        <v>3.7532801015660588E-3</v>
      </c>
      <c r="I25" s="57" cm="1">
        <f t="array" ref="I25">(I21/INDEX(I2:I21,MATCH(TRUE,INDEX(ISNUMBER(I2:I21),0),0)))^(1/I23)-1</f>
        <v>0.1298840725785837</v>
      </c>
      <c r="J25" s="57" cm="1">
        <f t="array" ref="J25">(J21/INDEX(J2:J21,MATCH(TRUE,INDEX(ISNUMBER(J2:J21),0),0)))^(1/J23)-1</f>
        <v>5.9891155096343907E-2</v>
      </c>
      <c r="K25" s="57" cm="1">
        <f t="array" ref="K25">(K21/INDEX(K2:K21,MATCH(TRUE,INDEX(ISNUMBER(K2:K21),0),0)))^(1/K23)-1</f>
        <v>1.8533725345370788E-2</v>
      </c>
      <c r="L25" s="57" cm="1">
        <f t="array" ref="L25">(L21/INDEX(L2:L21,MATCH(TRUE,INDEX(ISNUMBER(L2:L21),0),0)))^(1/L23)-1</f>
        <v>3.4784346207782146E-2</v>
      </c>
      <c r="M25" s="57" cm="1">
        <f t="array" ref="M25">(M21/INDEX(M2:M21,MATCH(TRUE,INDEX(ISNUMBER(M2:M21),0),0)))^(1/M23)-1</f>
        <v>2.4305006324402134E-2</v>
      </c>
      <c r="N25" s="57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6328125" customWidth="1"/>
    <col min="3" max="3" width="16.08984375" customWidth="1"/>
    <col min="4" max="4" width="14" customWidth="1"/>
    <col min="5" max="5" width="14.6328125" customWidth="1"/>
    <col min="6" max="6" width="15.453125" style="119" customWidth="1"/>
    <col min="23" max="23" width="9.36328125" customWidth="1"/>
  </cols>
  <sheetData>
    <row r="1" spans="1:24" ht="18.5" x14ac:dyDescent="0.45">
      <c r="A1" s="91" t="s">
        <v>562</v>
      </c>
      <c r="B1" s="92"/>
      <c r="C1" s="89"/>
      <c r="D1" s="89"/>
      <c r="E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4" x14ac:dyDescent="0.35">
      <c r="A2" s="89"/>
      <c r="B2" s="92"/>
      <c r="C2" s="89"/>
      <c r="D2" s="89"/>
      <c r="E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4" ht="21" x14ac:dyDescent="0.5">
      <c r="A3" s="93" t="s">
        <v>733</v>
      </c>
      <c r="B3" s="94"/>
      <c r="C3" s="89"/>
      <c r="D3" s="89"/>
      <c r="E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4" x14ac:dyDescent="0.35">
      <c r="A4" s="111" t="s">
        <v>563</v>
      </c>
      <c r="B4" s="94"/>
      <c r="C4" s="89"/>
      <c r="D4" s="89"/>
      <c r="E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4" x14ac:dyDescent="0.35">
      <c r="A5" s="89"/>
      <c r="B5" s="92"/>
      <c r="C5" s="89"/>
      <c r="D5" s="89"/>
      <c r="E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4" x14ac:dyDescent="0.35">
      <c r="A6" s="101"/>
      <c r="B6" s="104"/>
      <c r="C6" s="89"/>
      <c r="D6" s="89"/>
      <c r="E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4" x14ac:dyDescent="0.35">
      <c r="A7" s="210"/>
      <c r="B7" s="210"/>
      <c r="C7" s="89"/>
      <c r="D7" s="89"/>
      <c r="E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4" x14ac:dyDescent="0.35">
      <c r="A8" s="109"/>
      <c r="B8" s="109"/>
      <c r="C8" s="211" t="s">
        <v>564</v>
      </c>
      <c r="D8" s="212"/>
      <c r="E8" s="213"/>
      <c r="G8" s="89"/>
      <c r="H8" s="89"/>
      <c r="I8" s="89"/>
      <c r="J8" s="89"/>
      <c r="K8" s="89"/>
      <c r="L8" s="211" t="s">
        <v>565</v>
      </c>
      <c r="M8" s="212"/>
      <c r="N8" s="212"/>
      <c r="O8" s="212"/>
      <c r="P8" s="212"/>
      <c r="Q8" s="212"/>
      <c r="R8" s="212"/>
      <c r="S8" s="212"/>
      <c r="T8" s="212"/>
      <c r="U8" s="212"/>
      <c r="V8" s="213"/>
    </row>
    <row r="9" spans="1:24" ht="43.5" x14ac:dyDescent="0.35">
      <c r="A9" s="95" t="s">
        <v>566</v>
      </c>
      <c r="B9" s="95" t="s">
        <v>567</v>
      </c>
      <c r="C9" s="113" t="s">
        <v>568</v>
      </c>
      <c r="D9" s="114" t="s">
        <v>569</v>
      </c>
      <c r="E9" s="115" t="s">
        <v>570</v>
      </c>
      <c r="F9" s="119" t="s">
        <v>738</v>
      </c>
      <c r="G9" s="105" t="s">
        <v>734</v>
      </c>
      <c r="H9" s="107" t="s">
        <v>735</v>
      </c>
      <c r="I9" s="107" t="s">
        <v>736</v>
      </c>
      <c r="J9" s="106" t="s">
        <v>737</v>
      </c>
      <c r="K9" s="108"/>
      <c r="L9" s="118">
        <v>2012</v>
      </c>
      <c r="M9" s="96">
        <v>2013</v>
      </c>
      <c r="N9" s="96">
        <v>2014</v>
      </c>
      <c r="O9" s="96">
        <v>2015</v>
      </c>
      <c r="P9" s="96">
        <v>2016</v>
      </c>
      <c r="Q9" s="96">
        <v>2017</v>
      </c>
      <c r="R9" s="96">
        <v>2018</v>
      </c>
      <c r="S9" s="96">
        <v>2019</v>
      </c>
      <c r="T9" s="96">
        <v>2020</v>
      </c>
      <c r="U9" s="96">
        <v>2021</v>
      </c>
      <c r="V9" s="97">
        <v>2022</v>
      </c>
      <c r="W9" s="106" t="s">
        <v>744</v>
      </c>
      <c r="X9" s="106" t="s">
        <v>745</v>
      </c>
    </row>
    <row r="10" spans="1:24" x14ac:dyDescent="0.35">
      <c r="A10" s="90" t="s">
        <v>571</v>
      </c>
      <c r="B10" s="90" t="s">
        <v>572</v>
      </c>
      <c r="C10" s="98">
        <v>-6.330015897488761</v>
      </c>
      <c r="D10" s="99">
        <v>-1.9803203632740796</v>
      </c>
      <c r="E10" s="100">
        <v>1.4438839505667156</v>
      </c>
      <c r="G10" s="112" t="s">
        <v>573</v>
      </c>
      <c r="H10" s="110">
        <v>34.781666666666666</v>
      </c>
      <c r="I10" s="102">
        <v>154</v>
      </c>
      <c r="J10" s="103">
        <v>32</v>
      </c>
      <c r="K10" s="90"/>
      <c r="L10" s="98">
        <v>19.865459911417584</v>
      </c>
      <c r="M10" s="99">
        <v>9.8957883924851959</v>
      </c>
      <c r="N10" s="99">
        <v>6.5854081038949879</v>
      </c>
      <c r="O10" s="99">
        <v>0.98799999999999999</v>
      </c>
      <c r="P10" s="99">
        <v>2.1640000000000001</v>
      </c>
      <c r="Q10" s="99">
        <v>2.6469999999999998</v>
      </c>
      <c r="R10" s="99">
        <v>1.1890000000000001</v>
      </c>
      <c r="S10" s="99">
        <v>3.9119999999999999</v>
      </c>
      <c r="T10" s="99">
        <v>-2.351</v>
      </c>
      <c r="U10" s="99">
        <v>-2.4</v>
      </c>
      <c r="V10" s="100">
        <v>-5</v>
      </c>
      <c r="W10" s="100">
        <f>AVERAGE(D10,E10)</f>
        <v>-0.26821820635368199</v>
      </c>
    </row>
    <row r="11" spans="1:24" x14ac:dyDescent="0.35">
      <c r="A11" s="90" t="s">
        <v>231</v>
      </c>
      <c r="B11" s="90" t="s">
        <v>574</v>
      </c>
      <c r="C11" s="98">
        <v>2.8369230771995602</v>
      </c>
      <c r="D11" s="99">
        <v>2.527708680261509</v>
      </c>
      <c r="E11" s="100">
        <v>2.499335307066497</v>
      </c>
      <c r="G11" s="112" t="s">
        <v>402</v>
      </c>
      <c r="H11" s="110">
        <v>71.94876523650197</v>
      </c>
      <c r="I11" s="102">
        <v>80</v>
      </c>
      <c r="J11" s="103">
        <v>40</v>
      </c>
      <c r="K11" s="90"/>
      <c r="L11" s="98">
        <v>1.4329514555018943</v>
      </c>
      <c r="M11" s="99">
        <v>1.0096624423848639</v>
      </c>
      <c r="N11" s="99">
        <v>1.7987489151280414</v>
      </c>
      <c r="O11" s="99">
        <v>2.2189999999999999</v>
      </c>
      <c r="P11" s="99">
        <v>3.3149999999999999</v>
      </c>
      <c r="Q11" s="99">
        <v>3.802</v>
      </c>
      <c r="R11" s="99">
        <v>4.0190000000000001</v>
      </c>
      <c r="S11" s="99">
        <v>2.0880000000000001</v>
      </c>
      <c r="T11" s="99">
        <v>-3.4820000000000002</v>
      </c>
      <c r="U11" s="99">
        <v>8.516</v>
      </c>
      <c r="V11" s="100">
        <v>3.74</v>
      </c>
      <c r="W11" s="100">
        <f t="shared" ref="W11:W74" si="0">AVERAGE(D11,E11)</f>
        <v>2.513521993664003</v>
      </c>
    </row>
    <row r="12" spans="1:24" x14ac:dyDescent="0.35">
      <c r="A12" s="90" t="s">
        <v>575</v>
      </c>
      <c r="B12" s="90" t="s">
        <v>576</v>
      </c>
      <c r="C12" s="98">
        <v>0.36545353196819619</v>
      </c>
      <c r="D12" s="99">
        <v>0.98216884294510809</v>
      </c>
      <c r="E12" s="100">
        <v>1.9643097765769557</v>
      </c>
      <c r="G12" s="112" t="s">
        <v>577</v>
      </c>
      <c r="H12" s="110">
        <v>77.429986450518911</v>
      </c>
      <c r="I12" s="102">
        <v>59</v>
      </c>
      <c r="J12" s="103">
        <v>2</v>
      </c>
      <c r="K12" s="90"/>
      <c r="L12" s="98">
        <v>3.3999999982054412</v>
      </c>
      <c r="M12" s="99">
        <v>2.8000000002529002</v>
      </c>
      <c r="N12" s="99">
        <v>3.8000000007790273</v>
      </c>
      <c r="O12" s="99">
        <v>3.7</v>
      </c>
      <c r="P12" s="99">
        <v>3.2</v>
      </c>
      <c r="Q12" s="99">
        <v>1.4</v>
      </c>
      <c r="R12" s="99">
        <v>1.2</v>
      </c>
      <c r="S12" s="99">
        <v>1</v>
      </c>
      <c r="T12" s="99">
        <v>-5.0999999999999996</v>
      </c>
      <c r="U12" s="99">
        <v>3.4</v>
      </c>
      <c r="V12" s="100">
        <v>2.931</v>
      </c>
      <c r="W12" s="100">
        <f t="shared" si="0"/>
        <v>1.4732393097610319</v>
      </c>
    </row>
    <row r="13" spans="1:24" x14ac:dyDescent="0.35">
      <c r="A13" s="90" t="s">
        <v>575</v>
      </c>
      <c r="B13" s="90" t="s">
        <v>578</v>
      </c>
      <c r="C13" s="98">
        <v>-0.62057485054567429</v>
      </c>
      <c r="D13" s="99">
        <v>-0.7759815069387388</v>
      </c>
      <c r="E13" s="100">
        <v>0.38358743648301274</v>
      </c>
      <c r="G13" s="112" t="s">
        <v>573</v>
      </c>
      <c r="H13" s="110">
        <v>43.142397643089645</v>
      </c>
      <c r="I13" s="102">
        <v>147</v>
      </c>
      <c r="J13" s="103">
        <v>42</v>
      </c>
      <c r="K13" s="90"/>
      <c r="L13" s="98">
        <v>8.5421473366219605</v>
      </c>
      <c r="M13" s="99">
        <v>4.9545904703972692</v>
      </c>
      <c r="N13" s="99">
        <v>4.8226255512268246</v>
      </c>
      <c r="O13" s="99">
        <v>0.94399999999999995</v>
      </c>
      <c r="P13" s="99">
        <v>-2.58</v>
      </c>
      <c r="Q13" s="99">
        <v>-0.15</v>
      </c>
      <c r="R13" s="99">
        <v>-1.3160000000000001</v>
      </c>
      <c r="S13" s="99">
        <v>-0.70199999999999996</v>
      </c>
      <c r="T13" s="99">
        <v>-5.6379999999999999</v>
      </c>
      <c r="U13" s="99">
        <v>1.0920000000000001</v>
      </c>
      <c r="V13" s="100">
        <v>2.8410000000000002</v>
      </c>
      <c r="W13" s="100">
        <f t="shared" si="0"/>
        <v>-0.19619703522786303</v>
      </c>
    </row>
    <row r="14" spans="1:24" x14ac:dyDescent="0.35">
      <c r="A14" s="90" t="s">
        <v>579</v>
      </c>
      <c r="B14" s="90" t="s">
        <v>580</v>
      </c>
      <c r="C14" s="98">
        <v>1.5213184649000233</v>
      </c>
      <c r="D14" s="99">
        <v>2.4231703477095579E-4</v>
      </c>
      <c r="E14" s="100">
        <v>0.30638889849419204</v>
      </c>
      <c r="G14" s="112" t="s">
        <v>426</v>
      </c>
      <c r="H14" s="110">
        <v>63.902477118742887</v>
      </c>
      <c r="I14" s="102">
        <v>116</v>
      </c>
      <c r="J14" s="103">
        <v>16</v>
      </c>
      <c r="K14" s="90"/>
      <c r="L14" s="98">
        <v>-1.0264204544320839</v>
      </c>
      <c r="M14" s="99">
        <v>2.4053237807943506</v>
      </c>
      <c r="N14" s="99">
        <v>-2.5126153208139428</v>
      </c>
      <c r="O14" s="99">
        <v>2.7309999999999999</v>
      </c>
      <c r="P14" s="99">
        <v>-2.08</v>
      </c>
      <c r="Q14" s="99">
        <v>2.819</v>
      </c>
      <c r="R14" s="99">
        <v>-2.617</v>
      </c>
      <c r="S14" s="99">
        <v>-2.0009999999999999</v>
      </c>
      <c r="T14" s="99">
        <v>-9.9429999999999996</v>
      </c>
      <c r="U14" s="99">
        <v>10.398</v>
      </c>
      <c r="V14" s="100">
        <v>5.2430000000000003</v>
      </c>
      <c r="W14" s="100">
        <f t="shared" si="0"/>
        <v>0.1533156077644815</v>
      </c>
    </row>
    <row r="15" spans="1:24" x14ac:dyDescent="0.35">
      <c r="A15" s="90" t="s">
        <v>231</v>
      </c>
      <c r="B15" s="90" t="s">
        <v>581</v>
      </c>
      <c r="C15" s="98">
        <v>3.3694630969417716</v>
      </c>
      <c r="D15" s="99">
        <v>4.5685193344935815</v>
      </c>
      <c r="E15" s="100">
        <v>4.0499977792169295</v>
      </c>
      <c r="G15" s="112" t="s">
        <v>577</v>
      </c>
      <c r="H15" s="110">
        <v>81.866330149150926</v>
      </c>
      <c r="I15" s="102">
        <v>42</v>
      </c>
      <c r="J15" s="103">
        <v>28</v>
      </c>
      <c r="K15" s="90"/>
      <c r="L15" s="98">
        <v>7.200000000964871</v>
      </c>
      <c r="M15" s="99">
        <v>3.2999999999999674</v>
      </c>
      <c r="N15" s="99">
        <v>3.6000000005899464</v>
      </c>
      <c r="O15" s="99">
        <v>3.254</v>
      </c>
      <c r="P15" s="99">
        <v>0.19500000000000001</v>
      </c>
      <c r="Q15" s="99">
        <v>7.5179999999999998</v>
      </c>
      <c r="R15" s="99">
        <v>5.2249999999999996</v>
      </c>
      <c r="S15" s="99">
        <v>7.6310000000000002</v>
      </c>
      <c r="T15" s="99">
        <v>-7.1509999999999998</v>
      </c>
      <c r="U15" s="99">
        <v>5.6840000000000002</v>
      </c>
      <c r="V15" s="100">
        <v>12.603999999999999</v>
      </c>
      <c r="W15" s="100">
        <f t="shared" si="0"/>
        <v>4.3092585568552551</v>
      </c>
    </row>
    <row r="16" spans="1:24" x14ac:dyDescent="0.35">
      <c r="A16" s="90" t="s">
        <v>571</v>
      </c>
      <c r="B16" s="90" t="s">
        <v>582</v>
      </c>
      <c r="C16" s="98">
        <v>1.9372779726990919</v>
      </c>
      <c r="D16" s="99">
        <v>1.9542949107595797</v>
      </c>
      <c r="E16" s="100">
        <v>2.221593328352145</v>
      </c>
      <c r="G16" s="112" t="s">
        <v>419</v>
      </c>
      <c r="H16" s="110">
        <v>96.36744549025839</v>
      </c>
      <c r="I16" s="102">
        <v>11</v>
      </c>
      <c r="J16" s="103">
        <v>3</v>
      </c>
      <c r="K16" s="90"/>
      <c r="L16" s="98">
        <v>3.9181617722068416</v>
      </c>
      <c r="M16" s="99">
        <v>2.5848751108311681</v>
      </c>
      <c r="N16" s="99">
        <v>2.5331154467594699</v>
      </c>
      <c r="O16" s="99">
        <v>2.2829999999999999</v>
      </c>
      <c r="P16" s="99">
        <v>2.6909999999999998</v>
      </c>
      <c r="Q16" s="99">
        <v>2.383</v>
      </c>
      <c r="R16" s="99">
        <v>2.8149999999999999</v>
      </c>
      <c r="S16" s="99">
        <v>1.9430000000000001</v>
      </c>
      <c r="T16" s="99">
        <v>-1.8140000000000001</v>
      </c>
      <c r="U16" s="99">
        <v>5.1959999999999997</v>
      </c>
      <c r="V16" s="100">
        <v>3.661</v>
      </c>
      <c r="W16" s="100">
        <f t="shared" si="0"/>
        <v>2.0879441195558623</v>
      </c>
    </row>
    <row r="17" spans="1:23" x14ac:dyDescent="0.35">
      <c r="A17" s="90" t="s">
        <v>231</v>
      </c>
      <c r="B17" s="90" t="s">
        <v>583</v>
      </c>
      <c r="C17" s="98">
        <v>0.89080434606740866</v>
      </c>
      <c r="D17" s="99">
        <v>1.1485693717847134</v>
      </c>
      <c r="E17" s="100">
        <v>1.1982825816158282</v>
      </c>
      <c r="G17" s="112" t="s">
        <v>419</v>
      </c>
      <c r="H17" s="110">
        <v>95.913594407477049</v>
      </c>
      <c r="I17" s="102">
        <v>15</v>
      </c>
      <c r="J17" s="103">
        <v>10</v>
      </c>
      <c r="K17" s="90"/>
      <c r="L17" s="98">
        <v>0.68044557681670037</v>
      </c>
      <c r="M17" s="99">
        <v>2.5504712197222973E-2</v>
      </c>
      <c r="N17" s="99">
        <v>0.66127284885259119</v>
      </c>
      <c r="O17" s="99">
        <v>1.0149999999999999</v>
      </c>
      <c r="P17" s="99">
        <v>1.9890000000000001</v>
      </c>
      <c r="Q17" s="99">
        <v>2.2589999999999999</v>
      </c>
      <c r="R17" s="99">
        <v>2.4249999999999998</v>
      </c>
      <c r="S17" s="99">
        <v>1.5169999999999999</v>
      </c>
      <c r="T17" s="99">
        <v>-6.4539999999999997</v>
      </c>
      <c r="U17" s="99">
        <v>4.5570000000000004</v>
      </c>
      <c r="V17" s="100">
        <v>4.9969999999999999</v>
      </c>
      <c r="W17" s="100">
        <f t="shared" si="0"/>
        <v>1.1734259767002708</v>
      </c>
    </row>
    <row r="18" spans="1:23" x14ac:dyDescent="0.35">
      <c r="A18" s="90" t="s">
        <v>571</v>
      </c>
      <c r="B18" s="90" t="s">
        <v>584</v>
      </c>
      <c r="C18" s="98">
        <v>1.8824891899037688</v>
      </c>
      <c r="D18" s="99">
        <v>1.9289874111129146</v>
      </c>
      <c r="E18" s="100">
        <v>1.6182050869221642</v>
      </c>
      <c r="G18" s="112" t="s">
        <v>426</v>
      </c>
      <c r="H18" s="110">
        <v>66.732349416312132</v>
      </c>
      <c r="I18" s="102">
        <v>106</v>
      </c>
      <c r="J18" s="103">
        <v>20</v>
      </c>
      <c r="K18" s="90"/>
      <c r="L18" s="98">
        <v>2.1652394301296014</v>
      </c>
      <c r="M18" s="99">
        <v>5.8098009451315624</v>
      </c>
      <c r="N18" s="99">
        <v>2.7505070296654104</v>
      </c>
      <c r="O18" s="99">
        <v>1.05</v>
      </c>
      <c r="P18" s="99">
        <v>-3.0640000000000001</v>
      </c>
      <c r="Q18" s="99">
        <v>0.154</v>
      </c>
      <c r="R18" s="99">
        <v>1.5</v>
      </c>
      <c r="S18" s="99">
        <v>2.48</v>
      </c>
      <c r="T18" s="99">
        <v>-4.1989999999999998</v>
      </c>
      <c r="U18" s="99">
        <v>5.6</v>
      </c>
      <c r="V18" s="100">
        <v>4.6459999999999999</v>
      </c>
      <c r="W18" s="100">
        <f t="shared" si="0"/>
        <v>1.7735962490175394</v>
      </c>
    </row>
    <row r="19" spans="1:23" x14ac:dyDescent="0.35">
      <c r="A19" s="90" t="s">
        <v>579</v>
      </c>
      <c r="B19" s="90" t="s">
        <v>585</v>
      </c>
      <c r="C19" s="98">
        <v>-1.3025041762945944</v>
      </c>
      <c r="D19" s="99">
        <v>-5.1450420089638182E-2</v>
      </c>
      <c r="E19" s="100">
        <v>0.16369977541730307</v>
      </c>
      <c r="G19" s="112" t="s">
        <v>577</v>
      </c>
      <c r="H19" s="110">
        <v>79.378460082017611</v>
      </c>
      <c r="I19" s="102">
        <v>54</v>
      </c>
      <c r="J19" s="103">
        <v>8</v>
      </c>
      <c r="K19" s="90"/>
      <c r="L19" s="98">
        <v>3.0868791768834938</v>
      </c>
      <c r="M19" s="99">
        <v>-3.5838746627962172</v>
      </c>
      <c r="N19" s="99">
        <v>2.2881473175630553</v>
      </c>
      <c r="O19" s="99">
        <v>0.997</v>
      </c>
      <c r="P19" s="99">
        <v>-0.85799999999999998</v>
      </c>
      <c r="Q19" s="99">
        <v>3.05</v>
      </c>
      <c r="R19" s="99">
        <v>1.831</v>
      </c>
      <c r="S19" s="99">
        <v>1.8959999999999999</v>
      </c>
      <c r="T19" s="99">
        <v>-23.823</v>
      </c>
      <c r="U19" s="99">
        <v>13.72</v>
      </c>
      <c r="V19" s="100">
        <v>10.983000000000001</v>
      </c>
      <c r="W19" s="100">
        <f t="shared" si="0"/>
        <v>5.6124677663832445E-2</v>
      </c>
    </row>
    <row r="20" spans="1:23" x14ac:dyDescent="0.35">
      <c r="A20" s="90" t="s">
        <v>586</v>
      </c>
      <c r="B20" s="90" t="s">
        <v>587</v>
      </c>
      <c r="C20" s="98">
        <v>0.41671802598486352</v>
      </c>
      <c r="D20" s="99">
        <v>1.1307360567982316</v>
      </c>
      <c r="E20" s="100">
        <v>2.5452347834856504</v>
      </c>
      <c r="G20" s="112" t="s">
        <v>577</v>
      </c>
      <c r="H20" s="110">
        <v>77.128033983685327</v>
      </c>
      <c r="I20" s="102">
        <v>60</v>
      </c>
      <c r="J20" s="103">
        <v>7</v>
      </c>
      <c r="K20" s="90"/>
      <c r="L20" s="98">
        <v>3.7281084304601642</v>
      </c>
      <c r="M20" s="99">
        <v>5.41683981012069</v>
      </c>
      <c r="N20" s="99">
        <v>4.3503908525296939</v>
      </c>
      <c r="O20" s="99">
        <v>2.4849999999999999</v>
      </c>
      <c r="P20" s="99">
        <v>3.5579999999999998</v>
      </c>
      <c r="Q20" s="99">
        <v>4.2919999999999998</v>
      </c>
      <c r="R20" s="99">
        <v>2.11</v>
      </c>
      <c r="S20" s="99">
        <v>2.1669999999999998</v>
      </c>
      <c r="T20" s="99">
        <v>-4.6449999999999996</v>
      </c>
      <c r="U20" s="99">
        <v>2.67</v>
      </c>
      <c r="V20" s="100">
        <v>4.194</v>
      </c>
      <c r="W20" s="100">
        <f t="shared" si="0"/>
        <v>1.837985420141941</v>
      </c>
    </row>
    <row r="21" spans="1:23" x14ac:dyDescent="0.35">
      <c r="A21" s="90" t="s">
        <v>571</v>
      </c>
      <c r="B21" s="90" t="s">
        <v>588</v>
      </c>
      <c r="C21" s="98">
        <v>8.4780836054535911</v>
      </c>
      <c r="D21" s="99">
        <v>9.4495577005361255</v>
      </c>
      <c r="E21" s="100">
        <v>9.0902336923363691</v>
      </c>
      <c r="G21" s="112" t="s">
        <v>426</v>
      </c>
      <c r="H21" s="110">
        <v>59.78425810407569</v>
      </c>
      <c r="I21" s="102">
        <v>125</v>
      </c>
      <c r="J21" s="103">
        <v>25</v>
      </c>
      <c r="K21" s="90"/>
      <c r="L21" s="98">
        <v>15.458182784890836</v>
      </c>
      <c r="M21" s="99">
        <v>8.997951209804727</v>
      </c>
      <c r="N21" s="99">
        <v>9.1371359215878698</v>
      </c>
      <c r="O21" s="99">
        <v>6.5529999999999999</v>
      </c>
      <c r="P21" s="99">
        <v>7.1139999999999999</v>
      </c>
      <c r="Q21" s="99">
        <v>6.59</v>
      </c>
      <c r="R21" s="99">
        <v>7.319</v>
      </c>
      <c r="S21" s="99">
        <v>7.8819999999999997</v>
      </c>
      <c r="T21" s="99">
        <v>3.448</v>
      </c>
      <c r="U21" s="99">
        <v>6.9390000000000001</v>
      </c>
      <c r="V21" s="100">
        <v>7.1</v>
      </c>
      <c r="W21" s="100">
        <f t="shared" si="0"/>
        <v>9.2698956964362473</v>
      </c>
    </row>
    <row r="22" spans="1:23" x14ac:dyDescent="0.35">
      <c r="A22" s="90" t="s">
        <v>231</v>
      </c>
      <c r="B22" s="90" t="s">
        <v>589</v>
      </c>
      <c r="C22" s="98">
        <v>-1.0891270418666776</v>
      </c>
      <c r="D22" s="99">
        <v>0.24141365794498881</v>
      </c>
      <c r="E22" s="100">
        <v>-4.7343951578571186E-3</v>
      </c>
      <c r="G22" s="112" t="s">
        <v>577</v>
      </c>
      <c r="H22" s="110">
        <v>78.939379492547943</v>
      </c>
      <c r="I22" s="102">
        <v>55</v>
      </c>
      <c r="J22" s="103">
        <v>34</v>
      </c>
      <c r="K22" s="90"/>
      <c r="L22" s="98">
        <v>1.6871355364283958</v>
      </c>
      <c r="M22" s="99">
        <v>1.0034708408564619</v>
      </c>
      <c r="N22" s="99">
        <v>1.7263848541700804</v>
      </c>
      <c r="O22" s="99">
        <v>-3.83</v>
      </c>
      <c r="P22" s="99">
        <v>-2.536</v>
      </c>
      <c r="Q22" s="99">
        <v>2.5409999999999999</v>
      </c>
      <c r="R22" s="99">
        <v>3.1379999999999999</v>
      </c>
      <c r="S22" s="99">
        <v>1.446</v>
      </c>
      <c r="T22" s="99">
        <v>-0.67300000000000004</v>
      </c>
      <c r="U22" s="99">
        <v>2.2730000000000001</v>
      </c>
      <c r="V22" s="100">
        <v>-4.7409999999999997</v>
      </c>
      <c r="W22" s="100">
        <f t="shared" si="0"/>
        <v>0.11833963139356585</v>
      </c>
    </row>
    <row r="23" spans="1:23" x14ac:dyDescent="0.35">
      <c r="A23" s="90" t="s">
        <v>231</v>
      </c>
      <c r="B23" s="90" t="s">
        <v>590</v>
      </c>
      <c r="C23" s="98">
        <v>1.1690569098094628</v>
      </c>
      <c r="D23" s="99">
        <v>1.3937649310878042</v>
      </c>
      <c r="E23" s="100">
        <v>1.4413818728578276</v>
      </c>
      <c r="G23" s="112" t="s">
        <v>419</v>
      </c>
      <c r="H23" s="110">
        <v>93.483251457156101</v>
      </c>
      <c r="I23" s="102">
        <v>21</v>
      </c>
      <c r="J23" s="103">
        <v>14</v>
      </c>
      <c r="K23" s="90"/>
      <c r="L23" s="98">
        <v>0.73922990508162567</v>
      </c>
      <c r="M23" s="99">
        <v>0.45922805011605522</v>
      </c>
      <c r="N23" s="99">
        <v>1.578523229524472</v>
      </c>
      <c r="O23" s="99">
        <v>2.0409999999999999</v>
      </c>
      <c r="P23" s="99">
        <v>1.2669999999999999</v>
      </c>
      <c r="Q23" s="99">
        <v>1.62</v>
      </c>
      <c r="R23" s="99">
        <v>1.7929999999999999</v>
      </c>
      <c r="S23" s="99">
        <v>2.2410000000000001</v>
      </c>
      <c r="T23" s="99">
        <v>-5.3620000000000001</v>
      </c>
      <c r="U23" s="99">
        <v>6.1340000000000003</v>
      </c>
      <c r="V23" s="100">
        <v>3.0910000000000002</v>
      </c>
      <c r="W23" s="100">
        <f t="shared" si="0"/>
        <v>1.4175734019728159</v>
      </c>
    </row>
    <row r="24" spans="1:23" x14ac:dyDescent="0.35">
      <c r="A24" s="90" t="s">
        <v>575</v>
      </c>
      <c r="B24" s="90" t="s">
        <v>591</v>
      </c>
      <c r="C24" s="98">
        <v>5.666147255627263</v>
      </c>
      <c r="D24" s="99">
        <v>6.110859714036887</v>
      </c>
      <c r="E24" s="100">
        <v>5.477732246862832</v>
      </c>
      <c r="G24" s="112" t="s">
        <v>402</v>
      </c>
      <c r="H24" s="110">
        <v>73.01184037118577</v>
      </c>
      <c r="I24" s="102">
        <v>75</v>
      </c>
      <c r="J24" s="103">
        <v>7</v>
      </c>
      <c r="K24" s="90"/>
      <c r="L24" s="98">
        <v>4.811223315687994</v>
      </c>
      <c r="M24" s="99">
        <v>7.1914337214494379</v>
      </c>
      <c r="N24" s="99">
        <v>6.3576790979193039</v>
      </c>
      <c r="O24" s="99">
        <v>1.778</v>
      </c>
      <c r="P24" s="99">
        <v>3.34</v>
      </c>
      <c r="Q24" s="99">
        <v>5.6719999999999997</v>
      </c>
      <c r="R24" s="99">
        <v>6.6970000000000001</v>
      </c>
      <c r="S24" s="99">
        <v>6.8659999999999997</v>
      </c>
      <c r="T24" s="99">
        <v>3.8490000000000002</v>
      </c>
      <c r="U24" s="99">
        <v>7.1550000000000002</v>
      </c>
      <c r="V24" s="100">
        <v>6.0209999999999999</v>
      </c>
      <c r="W24" s="100">
        <f t="shared" si="0"/>
        <v>5.7942959804498599</v>
      </c>
    </row>
    <row r="25" spans="1:23" x14ac:dyDescent="0.35">
      <c r="A25" s="90" t="s">
        <v>571</v>
      </c>
      <c r="B25" s="90" t="s">
        <v>592</v>
      </c>
      <c r="C25" s="98">
        <v>-0.76587225840651918</v>
      </c>
      <c r="D25" s="99">
        <v>1.2676841708430198</v>
      </c>
      <c r="E25" s="100">
        <v>3.3347663550896245</v>
      </c>
      <c r="G25" s="112" t="s">
        <v>573</v>
      </c>
      <c r="H25" s="110">
        <v>55.154482190816807</v>
      </c>
      <c r="I25" s="102">
        <v>132</v>
      </c>
      <c r="J25" s="103">
        <v>28</v>
      </c>
      <c r="K25" s="90"/>
      <c r="L25" s="98">
        <v>5.1184008580053391</v>
      </c>
      <c r="M25" s="99">
        <v>2.1199726329821678</v>
      </c>
      <c r="N25" s="99">
        <v>5.7764956801372422</v>
      </c>
      <c r="O25" s="99">
        <v>6.2210000000000001</v>
      </c>
      <c r="P25" s="99">
        <v>7.4080000000000004</v>
      </c>
      <c r="Q25" s="99">
        <v>6.3220000000000001</v>
      </c>
      <c r="R25" s="99">
        <v>3.835</v>
      </c>
      <c r="S25" s="99">
        <v>4.4249999999999998</v>
      </c>
      <c r="T25" s="99">
        <v>-2.3479999999999999</v>
      </c>
      <c r="U25" s="99">
        <v>-3.3319999999999999</v>
      </c>
      <c r="V25" s="100">
        <v>4.3250000000000002</v>
      </c>
      <c r="W25" s="100">
        <f t="shared" si="0"/>
        <v>2.3012252629663221</v>
      </c>
    </row>
    <row r="26" spans="1:23" x14ac:dyDescent="0.35">
      <c r="A26" s="90" t="s">
        <v>579</v>
      </c>
      <c r="B26" s="90" t="s">
        <v>593</v>
      </c>
      <c r="C26" s="98">
        <v>-2.2304131763273283E-2</v>
      </c>
      <c r="D26" s="99">
        <v>1.2603639469641159</v>
      </c>
      <c r="E26" s="100">
        <v>3.1673454908146104</v>
      </c>
      <c r="G26" s="112" t="s">
        <v>573</v>
      </c>
      <c r="H26" s="110">
        <v>31.085526545532133</v>
      </c>
      <c r="I26" s="102">
        <v>155</v>
      </c>
      <c r="J26" s="103">
        <v>25</v>
      </c>
      <c r="K26" s="90"/>
      <c r="L26" s="98">
        <v>5.122274660983769</v>
      </c>
      <c r="M26" s="99">
        <v>6.7960117055974338</v>
      </c>
      <c r="N26" s="99">
        <v>5.4605671536850453</v>
      </c>
      <c r="O26" s="99">
        <v>4.8570000000000002</v>
      </c>
      <c r="P26" s="99">
        <v>4.2640000000000002</v>
      </c>
      <c r="Q26" s="99">
        <v>4.1950000000000003</v>
      </c>
      <c r="R26" s="99">
        <v>4.2240000000000002</v>
      </c>
      <c r="S26" s="99">
        <v>2.2170000000000001</v>
      </c>
      <c r="T26" s="99">
        <v>-8.7379999999999995</v>
      </c>
      <c r="U26" s="99">
        <v>6.1059999999999999</v>
      </c>
      <c r="V26" s="100">
        <v>3.2</v>
      </c>
      <c r="W26" s="100">
        <f t="shared" si="0"/>
        <v>2.2138547188893631</v>
      </c>
    </row>
    <row r="27" spans="1:23" x14ac:dyDescent="0.35">
      <c r="A27" s="90" t="s">
        <v>231</v>
      </c>
      <c r="B27" s="90" t="s">
        <v>594</v>
      </c>
      <c r="C27" s="98">
        <v>2.6460933550704002</v>
      </c>
      <c r="D27" s="99">
        <v>2.9046927076515017</v>
      </c>
      <c r="E27" s="100">
        <v>2.7421493700034771</v>
      </c>
      <c r="G27" s="112" t="s">
        <v>426</v>
      </c>
      <c r="H27" s="110">
        <v>66.414016463166035</v>
      </c>
      <c r="I27" s="102">
        <v>108</v>
      </c>
      <c r="J27" s="103">
        <v>41</v>
      </c>
      <c r="K27" s="90"/>
      <c r="L27" s="98">
        <v>-0.82183647421687545</v>
      </c>
      <c r="M27" s="99">
        <v>2.3498566632458062</v>
      </c>
      <c r="N27" s="99">
        <v>1.1538510920040257</v>
      </c>
      <c r="O27" s="99">
        <v>4.3140000000000001</v>
      </c>
      <c r="P27" s="99">
        <v>3.242</v>
      </c>
      <c r="Q27" s="99">
        <v>3.2440000000000002</v>
      </c>
      <c r="R27" s="99">
        <v>3.8290000000000002</v>
      </c>
      <c r="S27" s="99">
        <v>2.8860000000000001</v>
      </c>
      <c r="T27" s="99">
        <v>-3.0150000000000001</v>
      </c>
      <c r="U27" s="99">
        <v>7.3920000000000003</v>
      </c>
      <c r="V27" s="100">
        <v>3.8</v>
      </c>
      <c r="W27" s="100">
        <f t="shared" si="0"/>
        <v>2.8234210388274894</v>
      </c>
    </row>
    <row r="28" spans="1:23" x14ac:dyDescent="0.35">
      <c r="A28" s="90" t="s">
        <v>575</v>
      </c>
      <c r="B28" s="90" t="s">
        <v>595</v>
      </c>
      <c r="C28" s="98">
        <v>2.6588943634134665</v>
      </c>
      <c r="D28" s="99">
        <v>1.4503583241093798</v>
      </c>
      <c r="E28" s="100">
        <v>2.7752039527026096</v>
      </c>
      <c r="G28" s="112" t="s">
        <v>402</v>
      </c>
      <c r="H28" s="110">
        <v>74.531513757725932</v>
      </c>
      <c r="I28" s="102">
        <v>70</v>
      </c>
      <c r="J28" s="103">
        <v>6</v>
      </c>
      <c r="K28" s="90"/>
      <c r="L28" s="98">
        <v>4.4561672130978769</v>
      </c>
      <c r="M28" s="99">
        <v>11.343424252775241</v>
      </c>
      <c r="N28" s="99">
        <v>4.149289893135184</v>
      </c>
      <c r="O28" s="99">
        <v>-4.851</v>
      </c>
      <c r="P28" s="99">
        <v>7.202</v>
      </c>
      <c r="Q28" s="99">
        <v>4.1130000000000004</v>
      </c>
      <c r="R28" s="99">
        <v>4.1900000000000004</v>
      </c>
      <c r="S28" s="99">
        <v>3.0329999999999999</v>
      </c>
      <c r="T28" s="99">
        <v>-8.7260000000000009</v>
      </c>
      <c r="U28" s="99">
        <v>11.84</v>
      </c>
      <c r="V28" s="100">
        <v>6.4329999999999998</v>
      </c>
      <c r="W28" s="100">
        <f t="shared" si="0"/>
        <v>2.1127811384059947</v>
      </c>
    </row>
    <row r="29" spans="1:23" x14ac:dyDescent="0.35">
      <c r="A29" s="90" t="s">
        <v>579</v>
      </c>
      <c r="B29" s="90" t="s">
        <v>596</v>
      </c>
      <c r="C29" s="98">
        <v>1.146428167182445</v>
      </c>
      <c r="D29" s="99">
        <v>1.295085878975577</v>
      </c>
      <c r="E29" s="100">
        <v>0.42795301380476047</v>
      </c>
      <c r="G29" s="112" t="s">
        <v>577</v>
      </c>
      <c r="H29" s="110">
        <v>79.569249143394813</v>
      </c>
      <c r="I29" s="102">
        <v>51</v>
      </c>
      <c r="J29" s="103">
        <v>7</v>
      </c>
      <c r="K29" s="90"/>
      <c r="L29" s="98">
        <v>1.9211503183629988</v>
      </c>
      <c r="M29" s="99">
        <v>3.0048463050570873</v>
      </c>
      <c r="N29" s="99">
        <v>0.50395574024224987</v>
      </c>
      <c r="O29" s="99">
        <v>-3.5459999999999998</v>
      </c>
      <c r="P29" s="99">
        <v>-3.2759999999999998</v>
      </c>
      <c r="Q29" s="99">
        <v>1.323</v>
      </c>
      <c r="R29" s="99">
        <v>1.784</v>
      </c>
      <c r="S29" s="99">
        <v>1.2210000000000001</v>
      </c>
      <c r="T29" s="99">
        <v>-3.2770000000000001</v>
      </c>
      <c r="U29" s="99">
        <v>4.9889999999999999</v>
      </c>
      <c r="V29" s="100">
        <v>2.9009999999999998</v>
      </c>
      <c r="W29" s="100">
        <f t="shared" si="0"/>
        <v>0.86151944639016875</v>
      </c>
    </row>
    <row r="30" spans="1:23" x14ac:dyDescent="0.35">
      <c r="A30" s="90" t="s">
        <v>571</v>
      </c>
      <c r="B30" s="90" t="s">
        <v>597</v>
      </c>
      <c r="C30" s="98">
        <v>-0.66374440025495085</v>
      </c>
      <c r="D30" s="99">
        <v>0.37078358077795581</v>
      </c>
      <c r="E30" s="100">
        <v>-0.44114896551331606</v>
      </c>
      <c r="G30" s="112" t="s">
        <v>573</v>
      </c>
      <c r="H30" s="110">
        <v>47.581995606084838</v>
      </c>
      <c r="I30" s="102">
        <v>142</v>
      </c>
      <c r="J30" s="103">
        <v>30</v>
      </c>
      <c r="K30" s="90"/>
      <c r="L30" s="98">
        <v>0.91284167096442625</v>
      </c>
      <c r="M30" s="99">
        <v>-2.1260285174017546</v>
      </c>
      <c r="N30" s="99">
        <v>-2.5083525664456063</v>
      </c>
      <c r="O30" s="99">
        <v>-0.40500000000000003</v>
      </c>
      <c r="P30" s="99">
        <v>-2.4649999999999999</v>
      </c>
      <c r="Q30" s="99">
        <v>1.329</v>
      </c>
      <c r="R30" s="99">
        <v>5.1999999999999998E-2</v>
      </c>
      <c r="S30" s="99">
        <v>3.8690000000000002</v>
      </c>
      <c r="T30" s="99">
        <v>1.1339999999999999</v>
      </c>
      <c r="U30" s="99">
        <v>-1.591</v>
      </c>
      <c r="V30" s="100">
        <v>-1.51</v>
      </c>
      <c r="W30" s="100">
        <f t="shared" si="0"/>
        <v>-3.5182692367680124E-2</v>
      </c>
    </row>
    <row r="31" spans="1:23" x14ac:dyDescent="0.35">
      <c r="A31" s="90" t="s">
        <v>231</v>
      </c>
      <c r="B31" s="90" t="s">
        <v>598</v>
      </c>
      <c r="C31" s="98">
        <v>2.2325090532704595</v>
      </c>
      <c r="D31" s="99">
        <v>2.7879873369299979</v>
      </c>
      <c r="E31" s="100">
        <v>2.7412414949005814</v>
      </c>
      <c r="G31" s="112" t="s">
        <v>577</v>
      </c>
      <c r="H31" s="110">
        <v>82.826908120877093</v>
      </c>
      <c r="I31" s="102">
        <v>40</v>
      </c>
      <c r="J31" s="103">
        <v>26</v>
      </c>
      <c r="K31" s="90"/>
      <c r="L31" s="98">
        <v>0.36058318828756941</v>
      </c>
      <c r="M31" s="99">
        <v>0.31873576132258219</v>
      </c>
      <c r="N31" s="99">
        <v>1.8945471424192788</v>
      </c>
      <c r="O31" s="99">
        <v>3.4279999999999999</v>
      </c>
      <c r="P31" s="99">
        <v>3.04</v>
      </c>
      <c r="Q31" s="99">
        <v>2.762</v>
      </c>
      <c r="R31" s="99">
        <v>2.6850000000000001</v>
      </c>
      <c r="S31" s="99">
        <v>4.0380000000000003</v>
      </c>
      <c r="T31" s="99">
        <v>-3.9590000000000001</v>
      </c>
      <c r="U31" s="99">
        <v>7.6349999999999998</v>
      </c>
      <c r="V31" s="100">
        <v>3.3610000000000002</v>
      </c>
      <c r="W31" s="100">
        <f t="shared" si="0"/>
        <v>2.7646144159152897</v>
      </c>
    </row>
    <row r="32" spans="1:23" x14ac:dyDescent="0.35">
      <c r="A32" s="90" t="s">
        <v>575</v>
      </c>
      <c r="B32" s="90" t="s">
        <v>599</v>
      </c>
      <c r="C32" s="98">
        <v>3.7461786866062718</v>
      </c>
      <c r="D32" s="99">
        <v>4.6060819779328632</v>
      </c>
      <c r="E32" s="100">
        <v>4.9153359042722222</v>
      </c>
      <c r="G32" s="112" t="s">
        <v>402</v>
      </c>
      <c r="H32" s="110">
        <v>71.439342263551737</v>
      </c>
      <c r="I32" s="102">
        <v>81</v>
      </c>
      <c r="J32" s="103">
        <v>11</v>
      </c>
      <c r="K32" s="90"/>
      <c r="L32" s="98">
        <v>6.4526723809054332</v>
      </c>
      <c r="M32" s="99">
        <v>5.7926055919056534</v>
      </c>
      <c r="N32" s="99">
        <v>4.3268456132150384</v>
      </c>
      <c r="O32" s="99">
        <v>3.9209999999999998</v>
      </c>
      <c r="P32" s="99">
        <v>5.9580000000000002</v>
      </c>
      <c r="Q32" s="99">
        <v>6.2030000000000003</v>
      </c>
      <c r="R32" s="99">
        <v>6.6029999999999998</v>
      </c>
      <c r="S32" s="99">
        <v>5.6890000000000001</v>
      </c>
      <c r="T32" s="99">
        <v>1.931</v>
      </c>
      <c r="U32" s="99">
        <v>6.9050000000000002</v>
      </c>
      <c r="V32" s="100">
        <v>2.4729999999999999</v>
      </c>
      <c r="W32" s="100">
        <f t="shared" si="0"/>
        <v>4.7607089411025427</v>
      </c>
    </row>
    <row r="33" spans="1:23" x14ac:dyDescent="0.35">
      <c r="A33" s="90" t="s">
        <v>575</v>
      </c>
      <c r="B33" s="90" t="s">
        <v>600</v>
      </c>
      <c r="C33" s="98">
        <v>1.3140617594302739</v>
      </c>
      <c r="D33" s="99">
        <v>1.4727306023839093</v>
      </c>
      <c r="E33" s="100">
        <v>1.2263384025287261</v>
      </c>
      <c r="G33" s="112" t="s">
        <v>573</v>
      </c>
      <c r="H33" s="110">
        <v>45.872398734881529</v>
      </c>
      <c r="I33" s="102">
        <v>144</v>
      </c>
      <c r="J33" s="103">
        <v>40</v>
      </c>
      <c r="K33" s="90"/>
      <c r="L33" s="98">
        <v>4.4467082221454284</v>
      </c>
      <c r="M33" s="99">
        <v>4.9241952612883146</v>
      </c>
      <c r="N33" s="99">
        <v>4.2406516436807848</v>
      </c>
      <c r="O33" s="99">
        <v>-3.9</v>
      </c>
      <c r="P33" s="99">
        <v>-0.6</v>
      </c>
      <c r="Q33" s="99">
        <v>0.5</v>
      </c>
      <c r="R33" s="99">
        <v>1.61</v>
      </c>
      <c r="S33" s="99">
        <v>1.8420000000000001</v>
      </c>
      <c r="T33" s="99">
        <v>0.33500000000000002</v>
      </c>
      <c r="U33" s="99">
        <v>3.1190000000000002</v>
      </c>
      <c r="V33" s="100">
        <v>1.827</v>
      </c>
      <c r="W33" s="100">
        <f t="shared" si="0"/>
        <v>1.3495345024563177</v>
      </c>
    </row>
    <row r="34" spans="1:23" x14ac:dyDescent="0.35">
      <c r="A34" s="90" t="s">
        <v>575</v>
      </c>
      <c r="B34" s="90" t="s">
        <v>601</v>
      </c>
      <c r="C34" s="98">
        <v>0.23646198785876038</v>
      </c>
      <c r="D34" s="99">
        <v>2.1534613712418604</v>
      </c>
      <c r="E34" s="100">
        <v>2.1525774639498785</v>
      </c>
      <c r="G34" s="112" t="s">
        <v>402</v>
      </c>
      <c r="H34" s="110">
        <v>72.784877013329833</v>
      </c>
      <c r="I34" s="102">
        <v>78</v>
      </c>
      <c r="J34" s="103">
        <v>9</v>
      </c>
      <c r="K34" s="90"/>
      <c r="L34" s="98">
        <v>1.0819182787712764</v>
      </c>
      <c r="M34" s="99">
        <v>0.80279760057422567</v>
      </c>
      <c r="N34" s="99">
        <v>0.61121266620786829</v>
      </c>
      <c r="O34" s="99">
        <v>1.0069999999999999</v>
      </c>
      <c r="P34" s="99">
        <v>4.7060000000000004</v>
      </c>
      <c r="Q34" s="99">
        <v>3.702</v>
      </c>
      <c r="R34" s="99">
        <v>14.566000000000001</v>
      </c>
      <c r="S34" s="99">
        <v>5.6680000000000001</v>
      </c>
      <c r="T34" s="99">
        <v>-14.782999999999999</v>
      </c>
      <c r="U34" s="99">
        <v>7</v>
      </c>
      <c r="V34" s="100">
        <v>10.5</v>
      </c>
      <c r="W34" s="100">
        <f t="shared" si="0"/>
        <v>2.1530194175958695</v>
      </c>
    </row>
    <row r="35" spans="1:23" x14ac:dyDescent="0.35">
      <c r="A35" s="90" t="s">
        <v>571</v>
      </c>
      <c r="B35" s="90" t="s">
        <v>602</v>
      </c>
      <c r="C35" s="98">
        <v>1.5881444792890331</v>
      </c>
      <c r="D35" s="99">
        <v>3.8205347927408928</v>
      </c>
      <c r="E35" s="100">
        <v>5.437149341759695</v>
      </c>
      <c r="G35" s="112" t="s">
        <v>573</v>
      </c>
      <c r="H35" s="110">
        <v>41.696651110677628</v>
      </c>
      <c r="I35" s="102">
        <v>149</v>
      </c>
      <c r="J35" s="103">
        <v>31</v>
      </c>
      <c r="K35" s="90"/>
      <c r="L35" s="98">
        <v>7.3133455053000533</v>
      </c>
      <c r="M35" s="99">
        <v>7.3566651488797472</v>
      </c>
      <c r="N35" s="99">
        <v>7.1425711007429467</v>
      </c>
      <c r="O35" s="99">
        <v>7.0359999999999996</v>
      </c>
      <c r="P35" s="99">
        <v>6.8630000000000004</v>
      </c>
      <c r="Q35" s="99">
        <v>6.9969999999999999</v>
      </c>
      <c r="R35" s="99">
        <v>7.4690000000000003</v>
      </c>
      <c r="S35" s="99">
        <v>7.0540000000000003</v>
      </c>
      <c r="T35" s="99">
        <v>-3.0960000000000001</v>
      </c>
      <c r="U35" s="99">
        <v>3.0259999999999998</v>
      </c>
      <c r="V35" s="100">
        <v>5.0119999999999996</v>
      </c>
      <c r="W35" s="100">
        <f t="shared" si="0"/>
        <v>4.6288420672502939</v>
      </c>
    </row>
    <row r="36" spans="1:23" x14ac:dyDescent="0.35">
      <c r="A36" s="90" t="s">
        <v>575</v>
      </c>
      <c r="B36" s="90" t="s">
        <v>603</v>
      </c>
      <c r="C36" s="98">
        <v>2.4193069652844734</v>
      </c>
      <c r="D36" s="99">
        <v>3.5683606479580687</v>
      </c>
      <c r="E36" s="100">
        <v>4.2936580650607903</v>
      </c>
      <c r="G36" s="112" t="s">
        <v>426</v>
      </c>
      <c r="H36" s="110">
        <v>66.487838229569903</v>
      </c>
      <c r="I36" s="102">
        <v>107</v>
      </c>
      <c r="J36" s="103">
        <v>24</v>
      </c>
      <c r="K36" s="90"/>
      <c r="L36" s="98">
        <v>4.5432650156673571</v>
      </c>
      <c r="M36" s="99">
        <v>5.4042657097173343</v>
      </c>
      <c r="N36" s="99">
        <v>5.8840593266804415</v>
      </c>
      <c r="O36" s="99">
        <v>5.6</v>
      </c>
      <c r="P36" s="99">
        <v>4.4790000000000001</v>
      </c>
      <c r="Q36" s="99">
        <v>3.5409999999999999</v>
      </c>
      <c r="R36" s="99">
        <v>4.0220000000000002</v>
      </c>
      <c r="S36" s="99">
        <v>3.4220000000000002</v>
      </c>
      <c r="T36" s="99">
        <v>0.53900000000000003</v>
      </c>
      <c r="U36" s="99">
        <v>3.649</v>
      </c>
      <c r="V36" s="100">
        <v>3.383</v>
      </c>
      <c r="W36" s="100">
        <f t="shared" si="0"/>
        <v>3.9310093565094295</v>
      </c>
    </row>
    <row r="37" spans="1:23" x14ac:dyDescent="0.35">
      <c r="A37" s="90" t="s">
        <v>579</v>
      </c>
      <c r="B37" s="90" t="s">
        <v>604</v>
      </c>
      <c r="C37" s="98">
        <v>0.80505563787092171</v>
      </c>
      <c r="D37" s="99">
        <v>1.279888102037452</v>
      </c>
      <c r="E37" s="100">
        <v>1.6398804050051563</v>
      </c>
      <c r="G37" s="112" t="s">
        <v>419</v>
      </c>
      <c r="H37" s="110">
        <v>95.837528170961207</v>
      </c>
      <c r="I37" s="102">
        <v>17</v>
      </c>
      <c r="J37" s="103">
        <v>2</v>
      </c>
      <c r="K37" s="90"/>
      <c r="L37" s="98">
        <v>1.762222549554276</v>
      </c>
      <c r="M37" s="99">
        <v>2.3291225223044822</v>
      </c>
      <c r="N37" s="99">
        <v>2.8700360387422155</v>
      </c>
      <c r="O37" s="99">
        <v>0.65900000000000003</v>
      </c>
      <c r="P37" s="99">
        <v>1.0009999999999999</v>
      </c>
      <c r="Q37" s="99">
        <v>3.04</v>
      </c>
      <c r="R37" s="99">
        <v>2.7770000000000001</v>
      </c>
      <c r="S37" s="99">
        <v>1.8879999999999999</v>
      </c>
      <c r="T37" s="99">
        <v>-5.0739999999999998</v>
      </c>
      <c r="U37" s="99">
        <v>5.0119999999999996</v>
      </c>
      <c r="V37" s="100">
        <v>3.3959999999999999</v>
      </c>
      <c r="W37" s="100">
        <f t="shared" si="0"/>
        <v>1.4598842535213041</v>
      </c>
    </row>
    <row r="38" spans="1:23" x14ac:dyDescent="0.35">
      <c r="A38" s="90" t="s">
        <v>575</v>
      </c>
      <c r="B38" s="90" t="s">
        <v>605</v>
      </c>
      <c r="C38" s="98">
        <v>0.72569907638180275</v>
      </c>
      <c r="D38" s="99">
        <v>1.8043988935163791</v>
      </c>
      <c r="E38" s="100">
        <v>-2.2645674209426092</v>
      </c>
      <c r="G38" s="112" t="s">
        <v>573</v>
      </c>
      <c r="H38" s="110">
        <v>41.466247411534134</v>
      </c>
      <c r="I38" s="102">
        <v>150</v>
      </c>
      <c r="J38" s="103">
        <v>44</v>
      </c>
      <c r="K38" s="90"/>
      <c r="L38" s="98">
        <v>5.053761253569192</v>
      </c>
      <c r="M38" s="99">
        <v>-36.391977098388679</v>
      </c>
      <c r="N38" s="99">
        <v>8.1070515326508011E-2</v>
      </c>
      <c r="O38" s="99">
        <v>4.3380000000000001</v>
      </c>
      <c r="P38" s="99">
        <v>4.75</v>
      </c>
      <c r="Q38" s="99">
        <v>4.5279999999999996</v>
      </c>
      <c r="R38" s="99">
        <v>3.82</v>
      </c>
      <c r="S38" s="99">
        <v>2.97</v>
      </c>
      <c r="T38" s="99">
        <v>0.95899999999999996</v>
      </c>
      <c r="U38" s="99">
        <v>0.98299999999999998</v>
      </c>
      <c r="V38" s="100">
        <v>0.378</v>
      </c>
      <c r="W38" s="100">
        <f t="shared" si="0"/>
        <v>-0.23008426371311508</v>
      </c>
    </row>
    <row r="39" spans="1:23" x14ac:dyDescent="0.35">
      <c r="A39" s="90" t="s">
        <v>575</v>
      </c>
      <c r="B39" s="90" t="s">
        <v>606</v>
      </c>
      <c r="C39" s="98">
        <v>-0.11885802228936981</v>
      </c>
      <c r="D39" s="99">
        <v>1.0424126086531427</v>
      </c>
      <c r="E39" s="100">
        <v>1.0693731739606749</v>
      </c>
      <c r="G39" s="112" t="s">
        <v>573</v>
      </c>
      <c r="H39" s="110">
        <v>46.134841898100355</v>
      </c>
      <c r="I39" s="102">
        <v>143</v>
      </c>
      <c r="J39" s="103">
        <v>39</v>
      </c>
      <c r="K39" s="90"/>
      <c r="L39" s="98">
        <v>8.8825760717031557</v>
      </c>
      <c r="M39" s="99">
        <v>5.7000013628586537</v>
      </c>
      <c r="N39" s="99">
        <v>6.8999850453216673</v>
      </c>
      <c r="O39" s="99">
        <v>1.77</v>
      </c>
      <c r="P39" s="99">
        <v>-5.5579999999999998</v>
      </c>
      <c r="Q39" s="99">
        <v>-2.38</v>
      </c>
      <c r="R39" s="99">
        <v>2.355</v>
      </c>
      <c r="S39" s="99">
        <v>3.419</v>
      </c>
      <c r="T39" s="99">
        <v>-2.1419999999999999</v>
      </c>
      <c r="U39" s="99">
        <v>-1.1020000000000001</v>
      </c>
      <c r="V39" s="100">
        <v>2.4940000000000002</v>
      </c>
      <c r="W39" s="100">
        <f t="shared" si="0"/>
        <v>1.0558928913069088</v>
      </c>
    </row>
    <row r="40" spans="1:23" x14ac:dyDescent="0.35">
      <c r="A40" s="90" t="s">
        <v>579</v>
      </c>
      <c r="B40" s="90" t="s">
        <v>607</v>
      </c>
      <c r="C40" s="98">
        <v>2.4572143474803632</v>
      </c>
      <c r="D40" s="99">
        <v>3.0605383736418856</v>
      </c>
      <c r="E40" s="100">
        <v>2.6285168981251106</v>
      </c>
      <c r="G40" s="112" t="s">
        <v>419</v>
      </c>
      <c r="H40" s="110">
        <v>89.938976035792962</v>
      </c>
      <c r="I40" s="102">
        <v>28</v>
      </c>
      <c r="J40" s="103">
        <v>3</v>
      </c>
      <c r="K40" s="90"/>
      <c r="L40" s="98">
        <v>5.3186280004141473</v>
      </c>
      <c r="M40" s="99">
        <v>4.0450042981489593</v>
      </c>
      <c r="N40" s="99">
        <v>1.7667397836386938</v>
      </c>
      <c r="O40" s="99">
        <v>2.1520000000000001</v>
      </c>
      <c r="P40" s="99">
        <v>1.7529999999999999</v>
      </c>
      <c r="Q40" s="99">
        <v>1.3580000000000001</v>
      </c>
      <c r="R40" s="99">
        <v>3.99</v>
      </c>
      <c r="S40" s="99">
        <v>0.74299999999999999</v>
      </c>
      <c r="T40" s="99">
        <v>-6.1449999999999996</v>
      </c>
      <c r="U40" s="99">
        <v>11.737</v>
      </c>
      <c r="V40" s="100">
        <v>2.44</v>
      </c>
      <c r="W40" s="100">
        <f t="shared" si="0"/>
        <v>2.8445276358834981</v>
      </c>
    </row>
    <row r="41" spans="1:23" x14ac:dyDescent="0.35">
      <c r="A41" s="90" t="s">
        <v>571</v>
      </c>
      <c r="B41" s="90" t="s">
        <v>608</v>
      </c>
      <c r="C41" s="98">
        <v>4.4136018906123953</v>
      </c>
      <c r="D41" s="99">
        <v>5.1836523723133077</v>
      </c>
      <c r="E41" s="100">
        <v>6.1897338385474399</v>
      </c>
      <c r="G41" s="112" t="s">
        <v>577</v>
      </c>
      <c r="H41" s="110">
        <v>79.714044846147502</v>
      </c>
      <c r="I41" s="102">
        <v>50</v>
      </c>
      <c r="J41" s="103">
        <v>7</v>
      </c>
      <c r="K41" s="90"/>
      <c r="L41" s="98">
        <v>7.8596274932851555</v>
      </c>
      <c r="M41" s="99">
        <v>7.7686152841281606</v>
      </c>
      <c r="N41" s="99">
        <v>7.4245236561990726</v>
      </c>
      <c r="O41" s="99">
        <v>7.0179999999999998</v>
      </c>
      <c r="P41" s="99">
        <v>6.851</v>
      </c>
      <c r="Q41" s="99">
        <v>6.9470000000000001</v>
      </c>
      <c r="R41" s="99">
        <v>6.7510000000000003</v>
      </c>
      <c r="S41" s="99">
        <v>5.9509999999999996</v>
      </c>
      <c r="T41" s="99">
        <v>2.242</v>
      </c>
      <c r="U41" s="99">
        <v>8.4499999999999993</v>
      </c>
      <c r="V41" s="100">
        <v>2.988</v>
      </c>
      <c r="W41" s="100">
        <f t="shared" si="0"/>
        <v>5.6866931054303738</v>
      </c>
    </row>
    <row r="42" spans="1:23" x14ac:dyDescent="0.35">
      <c r="A42" s="90" t="s">
        <v>579</v>
      </c>
      <c r="B42" s="90" t="s">
        <v>609</v>
      </c>
      <c r="C42" s="98">
        <v>3.4115994769119862</v>
      </c>
      <c r="D42" s="99">
        <v>2.9902381196408978</v>
      </c>
      <c r="E42" s="100">
        <v>3.0937390088282557</v>
      </c>
      <c r="G42" s="112" t="s">
        <v>577</v>
      </c>
      <c r="H42" s="110">
        <v>79.943455242802315</v>
      </c>
      <c r="I42" s="102">
        <v>48</v>
      </c>
      <c r="J42" s="103">
        <v>6</v>
      </c>
      <c r="K42" s="90"/>
      <c r="L42" s="98">
        <v>3.9126357671611296</v>
      </c>
      <c r="M42" s="99">
        <v>5.1339935199566966</v>
      </c>
      <c r="N42" s="99">
        <v>4.4990300011097339</v>
      </c>
      <c r="O42" s="99">
        <v>2.956</v>
      </c>
      <c r="P42" s="99">
        <v>2.0880000000000001</v>
      </c>
      <c r="Q42" s="99">
        <v>1.359</v>
      </c>
      <c r="R42" s="99">
        <v>2.5640000000000001</v>
      </c>
      <c r="S42" s="99">
        <v>3.1869999999999998</v>
      </c>
      <c r="T42" s="99">
        <v>-7.2519999999999998</v>
      </c>
      <c r="U42" s="99">
        <v>11.016</v>
      </c>
      <c r="V42" s="100">
        <v>7.4960000000000004</v>
      </c>
      <c r="W42" s="100">
        <f t="shared" si="0"/>
        <v>3.0419885642345768</v>
      </c>
    </row>
    <row r="43" spans="1:23" x14ac:dyDescent="0.35">
      <c r="A43" s="90" t="s">
        <v>575</v>
      </c>
      <c r="B43" s="90" t="s">
        <v>610</v>
      </c>
      <c r="C43" s="98">
        <v>1.4424277454801349</v>
      </c>
      <c r="D43" s="99">
        <v>1.9425285111170032</v>
      </c>
      <c r="E43" s="100">
        <v>2.451644301489786</v>
      </c>
      <c r="G43" s="112" t="s">
        <v>426</v>
      </c>
      <c r="H43" s="110">
        <v>68.943026951610364</v>
      </c>
      <c r="I43" s="102">
        <v>96</v>
      </c>
      <c r="J43" s="103">
        <v>17</v>
      </c>
      <c r="K43" s="90"/>
      <c r="L43" s="98">
        <v>3.2002729031888046</v>
      </c>
      <c r="M43" s="99">
        <v>4.4998742153082745</v>
      </c>
      <c r="N43" s="99">
        <v>2.1000064383028905</v>
      </c>
      <c r="O43" s="99">
        <v>1.147</v>
      </c>
      <c r="P43" s="99">
        <v>3.32</v>
      </c>
      <c r="Q43" s="99">
        <v>3.8159999999999998</v>
      </c>
      <c r="R43" s="99">
        <v>3.6419999999999999</v>
      </c>
      <c r="S43" s="99">
        <v>1.7609999999999999</v>
      </c>
      <c r="T43" s="99">
        <v>-0.19600000000000001</v>
      </c>
      <c r="U43" s="99">
        <v>2.1120000000000001</v>
      </c>
      <c r="V43" s="100">
        <v>2.431</v>
      </c>
      <c r="W43" s="100">
        <f t="shared" si="0"/>
        <v>2.1970864063033946</v>
      </c>
    </row>
    <row r="44" spans="1:23" x14ac:dyDescent="0.35">
      <c r="A44" s="90" t="s">
        <v>575</v>
      </c>
      <c r="B44" s="90" t="s">
        <v>611</v>
      </c>
      <c r="C44" s="98">
        <v>4.8306254668632809</v>
      </c>
      <c r="D44" s="99">
        <v>4.9384402884992351</v>
      </c>
      <c r="E44" s="100">
        <v>5.5494362942043685</v>
      </c>
      <c r="G44" s="112" t="s">
        <v>573</v>
      </c>
      <c r="H44" s="110">
        <v>40.102703133666751</v>
      </c>
      <c r="I44" s="102">
        <v>151</v>
      </c>
      <c r="J44" s="103">
        <v>45</v>
      </c>
      <c r="K44" s="90"/>
      <c r="L44" s="98">
        <v>7.0868989467193844</v>
      </c>
      <c r="M44" s="99">
        <v>8.4819566360875722</v>
      </c>
      <c r="N44" s="99">
        <v>9.4702880971408341</v>
      </c>
      <c r="O44" s="99">
        <v>6.36</v>
      </c>
      <c r="P44" s="99">
        <v>0.39400000000000002</v>
      </c>
      <c r="Q44" s="99">
        <v>3.6579999999999999</v>
      </c>
      <c r="R44" s="99">
        <v>4.8250000000000002</v>
      </c>
      <c r="S44" s="99">
        <v>4.4850000000000003</v>
      </c>
      <c r="T44" s="99">
        <v>1.671</v>
      </c>
      <c r="U44" s="99">
        <v>6.2290000000000001</v>
      </c>
      <c r="V44" s="100">
        <v>6.6269999999999998</v>
      </c>
      <c r="W44" s="100">
        <f t="shared" si="0"/>
        <v>5.2439382913518013</v>
      </c>
    </row>
    <row r="45" spans="1:23" x14ac:dyDescent="0.35">
      <c r="A45" s="90" t="s">
        <v>575</v>
      </c>
      <c r="B45" s="90" t="s">
        <v>612</v>
      </c>
      <c r="C45" s="98">
        <v>-1.9540231466170455</v>
      </c>
      <c r="D45" s="99">
        <v>-2.1626068363397866</v>
      </c>
      <c r="E45" s="100">
        <v>-2.4351268953680449</v>
      </c>
      <c r="G45" s="112" t="s">
        <v>573</v>
      </c>
      <c r="H45" s="110">
        <v>42.318471362744162</v>
      </c>
      <c r="I45" s="102">
        <v>148</v>
      </c>
      <c r="J45" s="103">
        <v>43</v>
      </c>
      <c r="K45" s="90"/>
      <c r="L45" s="98">
        <v>9.9471531425756439</v>
      </c>
      <c r="M45" s="99">
        <v>-0.71243445187648202</v>
      </c>
      <c r="N45" s="99">
        <v>6.7166793337864945</v>
      </c>
      <c r="O45" s="99">
        <v>-3.5510000000000002</v>
      </c>
      <c r="P45" s="99">
        <v>-10.782999999999999</v>
      </c>
      <c r="Q45" s="99">
        <v>-4.383</v>
      </c>
      <c r="R45" s="99">
        <v>-4.8049999999999997</v>
      </c>
      <c r="S45" s="99">
        <v>1.026</v>
      </c>
      <c r="T45" s="99">
        <v>-6.1980000000000004</v>
      </c>
      <c r="U45" s="99">
        <v>1.5</v>
      </c>
      <c r="V45" s="100">
        <v>2.7850000000000001</v>
      </c>
      <c r="W45" s="100">
        <f t="shared" si="0"/>
        <v>-2.298866865853916</v>
      </c>
    </row>
    <row r="46" spans="1:23" x14ac:dyDescent="0.35">
      <c r="A46" s="90" t="s">
        <v>579</v>
      </c>
      <c r="B46" s="90" t="s">
        <v>613</v>
      </c>
      <c r="C46" s="98">
        <v>2.4986852323448439</v>
      </c>
      <c r="D46" s="99">
        <v>3.7972658363557565</v>
      </c>
      <c r="E46" s="100">
        <v>3.649680120396992</v>
      </c>
      <c r="G46" s="112" t="s">
        <v>577</v>
      </c>
      <c r="H46" s="110">
        <v>86.218051096846139</v>
      </c>
      <c r="I46" s="102">
        <v>34</v>
      </c>
      <c r="J46" s="103">
        <v>4</v>
      </c>
      <c r="K46" s="90"/>
      <c r="L46" s="98">
        <v>4.7969199185815947</v>
      </c>
      <c r="M46" s="99">
        <v>2.2690274004615811</v>
      </c>
      <c r="N46" s="99">
        <v>3.5153385639114227</v>
      </c>
      <c r="O46" s="99">
        <v>3.6520000000000001</v>
      </c>
      <c r="P46" s="99">
        <v>4.2039999999999997</v>
      </c>
      <c r="Q46" s="99">
        <v>4.1580000000000004</v>
      </c>
      <c r="R46" s="99">
        <v>2.6160000000000001</v>
      </c>
      <c r="S46" s="99">
        <v>2.4180000000000001</v>
      </c>
      <c r="T46" s="99">
        <v>-4.2729999999999997</v>
      </c>
      <c r="U46" s="99">
        <v>7.7809999999999997</v>
      </c>
      <c r="V46" s="100">
        <v>4.3239999999999998</v>
      </c>
      <c r="W46" s="100">
        <f t="shared" si="0"/>
        <v>3.7234729783763743</v>
      </c>
    </row>
    <row r="47" spans="1:23" x14ac:dyDescent="0.35">
      <c r="A47" s="90" t="s">
        <v>575</v>
      </c>
      <c r="B47" s="90" t="s">
        <v>614</v>
      </c>
      <c r="C47" s="98">
        <v>5.2133244785906863</v>
      </c>
      <c r="D47" s="99">
        <v>5.7501340546816326</v>
      </c>
      <c r="E47" s="100">
        <v>6.9731316213943906</v>
      </c>
      <c r="G47" s="112" t="s">
        <v>426</v>
      </c>
      <c r="H47" s="110">
        <v>69.121915522328067</v>
      </c>
      <c r="I47" s="102">
        <v>95</v>
      </c>
      <c r="J47" s="103">
        <v>16</v>
      </c>
      <c r="K47" s="90"/>
      <c r="L47" s="98">
        <v>10.706504103485498</v>
      </c>
      <c r="M47" s="99">
        <v>8.8894213015542505</v>
      </c>
      <c r="N47" s="99">
        <v>8.7940773902773532</v>
      </c>
      <c r="O47" s="99">
        <v>8.843</v>
      </c>
      <c r="P47" s="99">
        <v>7.173</v>
      </c>
      <c r="Q47" s="99">
        <v>6.1429999999999998</v>
      </c>
      <c r="R47" s="99">
        <v>3.7509999999999999</v>
      </c>
      <c r="S47" s="99">
        <v>8.31</v>
      </c>
      <c r="T47" s="99">
        <v>1.7</v>
      </c>
      <c r="U47" s="99">
        <v>7</v>
      </c>
      <c r="V47" s="100">
        <v>6.7</v>
      </c>
      <c r="W47" s="100">
        <f t="shared" si="0"/>
        <v>6.3616328380380116</v>
      </c>
    </row>
    <row r="48" spans="1:23" x14ac:dyDescent="0.35">
      <c r="A48" s="90" t="s">
        <v>231</v>
      </c>
      <c r="B48" s="90" t="s">
        <v>615</v>
      </c>
      <c r="C48" s="98">
        <v>3.2016110581527757</v>
      </c>
      <c r="D48" s="99">
        <v>3.6386983370098269</v>
      </c>
      <c r="E48" s="100">
        <v>2.6484109069949024</v>
      </c>
      <c r="G48" s="112" t="s">
        <v>577</v>
      </c>
      <c r="H48" s="110">
        <v>83.891853807505186</v>
      </c>
      <c r="I48" s="102">
        <v>39</v>
      </c>
      <c r="J48" s="103">
        <v>25</v>
      </c>
      <c r="K48" s="90"/>
      <c r="L48" s="98">
        <v>-2.2376475412236791</v>
      </c>
      <c r="M48" s="99">
        <v>-0.54854848857064353</v>
      </c>
      <c r="N48" s="99">
        <v>-0.10392849719394197</v>
      </c>
      <c r="O48" s="99">
        <v>2.524</v>
      </c>
      <c r="P48" s="99">
        <v>3.56</v>
      </c>
      <c r="Q48" s="99">
        <v>3.4140000000000001</v>
      </c>
      <c r="R48" s="99">
        <v>2.7989999999999999</v>
      </c>
      <c r="S48" s="99">
        <v>3.42</v>
      </c>
      <c r="T48" s="99">
        <v>-8.58</v>
      </c>
      <c r="U48" s="99">
        <v>13.07</v>
      </c>
      <c r="V48" s="100">
        <v>6.3319999999999999</v>
      </c>
      <c r="W48" s="100">
        <f t="shared" si="0"/>
        <v>3.1435546220023647</v>
      </c>
    </row>
    <row r="49" spans="1:23" x14ac:dyDescent="0.35">
      <c r="A49" s="90" t="s">
        <v>231</v>
      </c>
      <c r="B49" s="90" t="s">
        <v>616</v>
      </c>
      <c r="C49" s="98">
        <v>2.5096449899315587</v>
      </c>
      <c r="D49" s="99">
        <v>3.8028194592395037</v>
      </c>
      <c r="E49" s="100">
        <v>2.5630103304818297</v>
      </c>
      <c r="G49" s="112" t="s">
        <v>577</v>
      </c>
      <c r="H49" s="110">
        <v>87.255396390154942</v>
      </c>
      <c r="I49" s="102">
        <v>32</v>
      </c>
      <c r="J49" s="103">
        <v>21</v>
      </c>
      <c r="K49" s="90"/>
      <c r="L49" s="98">
        <v>-3.4468220858971224</v>
      </c>
      <c r="M49" s="99">
        <v>-6.5530782549911972</v>
      </c>
      <c r="N49" s="99">
        <v>-1.8293091092200273</v>
      </c>
      <c r="O49" s="99">
        <v>3.4180000000000001</v>
      </c>
      <c r="P49" s="99">
        <v>6.5739999999999998</v>
      </c>
      <c r="Q49" s="99">
        <v>5.7329999999999997</v>
      </c>
      <c r="R49" s="99">
        <v>5.649</v>
      </c>
      <c r="S49" s="99">
        <v>5.5289999999999999</v>
      </c>
      <c r="T49" s="99">
        <v>-4.3710000000000004</v>
      </c>
      <c r="U49" s="99">
        <v>6.6369999999999996</v>
      </c>
      <c r="V49" s="100">
        <v>5.6319999999999997</v>
      </c>
      <c r="W49" s="100">
        <f t="shared" si="0"/>
        <v>3.1829148948606667</v>
      </c>
    </row>
    <row r="50" spans="1:23" x14ac:dyDescent="0.35">
      <c r="A50" s="90" t="s">
        <v>231</v>
      </c>
      <c r="B50" s="90" t="s">
        <v>617</v>
      </c>
      <c r="C50" s="98">
        <v>7.8479275411136307E-2</v>
      </c>
      <c r="D50" s="99">
        <v>1.4620184569118511</v>
      </c>
      <c r="E50" s="100">
        <v>2.1534461321011111</v>
      </c>
      <c r="G50" s="112" t="s">
        <v>419</v>
      </c>
      <c r="H50" s="110">
        <v>91.450544124021832</v>
      </c>
      <c r="I50" s="102">
        <v>23</v>
      </c>
      <c r="J50" s="103">
        <v>15</v>
      </c>
      <c r="K50" s="90"/>
      <c r="L50" s="98">
        <v>-0.79984428098029747</v>
      </c>
      <c r="M50" s="99">
        <v>-0.48367104180935355</v>
      </c>
      <c r="N50" s="99">
        <v>2.7151161333034923</v>
      </c>
      <c r="O50" s="99">
        <v>5.3879999999999999</v>
      </c>
      <c r="P50" s="99">
        <v>2.5369999999999999</v>
      </c>
      <c r="Q50" s="99">
        <v>5.1689999999999996</v>
      </c>
      <c r="R50" s="99">
        <v>3.22</v>
      </c>
      <c r="S50" s="99">
        <v>3.03</v>
      </c>
      <c r="T50" s="99">
        <v>-5.5030000000000001</v>
      </c>
      <c r="U50" s="99">
        <v>3.5529999999999999</v>
      </c>
      <c r="V50" s="100">
        <v>2.4420000000000002</v>
      </c>
      <c r="W50" s="100">
        <f t="shared" si="0"/>
        <v>1.8077322945064811</v>
      </c>
    </row>
    <row r="51" spans="1:23" x14ac:dyDescent="0.35">
      <c r="A51" s="90" t="s">
        <v>231</v>
      </c>
      <c r="B51" s="90" t="s">
        <v>618</v>
      </c>
      <c r="C51" s="98">
        <v>2.1173186821453305</v>
      </c>
      <c r="D51" s="99">
        <v>2.0745382872927598</v>
      </c>
      <c r="E51" s="100">
        <v>2.0535686786969709</v>
      </c>
      <c r="G51" s="112" t="s">
        <v>419</v>
      </c>
      <c r="H51" s="110">
        <v>97.848591628257381</v>
      </c>
      <c r="I51" s="102">
        <v>3</v>
      </c>
      <c r="J51" s="103">
        <v>2</v>
      </c>
      <c r="K51" s="90"/>
      <c r="L51" s="98">
        <v>0.22649979701625131</v>
      </c>
      <c r="M51" s="99">
        <v>0.93334095705108477</v>
      </c>
      <c r="N51" s="99">
        <v>1.6193938166337245</v>
      </c>
      <c r="O51" s="99">
        <v>2.343</v>
      </c>
      <c r="P51" s="99">
        <v>3.2480000000000002</v>
      </c>
      <c r="Q51" s="99">
        <v>2.819</v>
      </c>
      <c r="R51" s="99">
        <v>1.9910000000000001</v>
      </c>
      <c r="S51" s="99">
        <v>1.4930000000000001</v>
      </c>
      <c r="T51" s="99">
        <v>-1.994</v>
      </c>
      <c r="U51" s="99">
        <v>4.8570000000000002</v>
      </c>
      <c r="V51" s="100">
        <v>3.6230000000000002</v>
      </c>
      <c r="W51" s="100">
        <f t="shared" si="0"/>
        <v>2.0640534829948654</v>
      </c>
    </row>
    <row r="52" spans="1:23" x14ac:dyDescent="0.35">
      <c r="A52" s="90" t="s">
        <v>579</v>
      </c>
      <c r="B52" s="90" t="s">
        <v>619</v>
      </c>
      <c r="C52" s="98">
        <v>3.1998461156594438</v>
      </c>
      <c r="D52" s="99">
        <v>4.316018962980106</v>
      </c>
      <c r="E52" s="100">
        <v>5.1698060844696858</v>
      </c>
      <c r="G52" s="112" t="s">
        <v>577</v>
      </c>
      <c r="H52" s="110">
        <v>76.661181476266762</v>
      </c>
      <c r="I52" s="102">
        <v>62</v>
      </c>
      <c r="J52" s="103">
        <v>9</v>
      </c>
      <c r="K52" s="90"/>
      <c r="L52" s="98">
        <v>2.7173678967056243</v>
      </c>
      <c r="M52" s="99">
        <v>4.8752050933227107</v>
      </c>
      <c r="N52" s="99">
        <v>7.0504636896591117</v>
      </c>
      <c r="O52" s="99">
        <v>6.9269999999999996</v>
      </c>
      <c r="P52" s="99">
        <v>6.6589999999999998</v>
      </c>
      <c r="Q52" s="99">
        <v>4.6669999999999998</v>
      </c>
      <c r="R52" s="99">
        <v>6.9829999999999997</v>
      </c>
      <c r="S52" s="99">
        <v>5.0519999999999996</v>
      </c>
      <c r="T52" s="99">
        <v>-6.72</v>
      </c>
      <c r="U52" s="99">
        <v>12.272</v>
      </c>
      <c r="V52" s="100">
        <v>4.9489999999999998</v>
      </c>
      <c r="W52" s="100">
        <f t="shared" si="0"/>
        <v>4.7429125237248959</v>
      </c>
    </row>
    <row r="53" spans="1:23" x14ac:dyDescent="0.35">
      <c r="A53" s="90" t="s">
        <v>579</v>
      </c>
      <c r="B53" s="90" t="s">
        <v>620</v>
      </c>
      <c r="C53" s="98">
        <v>-0.32141867374969602</v>
      </c>
      <c r="D53" s="99">
        <v>6.5490773887200149E-2</v>
      </c>
      <c r="E53" s="100">
        <v>1.0130868701887064</v>
      </c>
      <c r="G53" s="116" t="s">
        <v>426</v>
      </c>
      <c r="H53" s="110">
        <v>61.323621492965962</v>
      </c>
      <c r="I53" s="102">
        <v>123</v>
      </c>
      <c r="J53" s="103">
        <v>20</v>
      </c>
      <c r="K53" s="90"/>
      <c r="L53" s="98">
        <v>5.641962066711991</v>
      </c>
      <c r="M53" s="99">
        <v>4.9465112669062528</v>
      </c>
      <c r="N53" s="99">
        <v>3.7888685492083329</v>
      </c>
      <c r="O53" s="99">
        <v>9.9000000000000005E-2</v>
      </c>
      <c r="P53" s="99">
        <v>-1.226</v>
      </c>
      <c r="Q53" s="99">
        <v>2.3679999999999999</v>
      </c>
      <c r="R53" s="99">
        <v>1.2889999999999999</v>
      </c>
      <c r="S53" s="99">
        <v>1.2E-2</v>
      </c>
      <c r="T53" s="99">
        <v>-7.7880000000000003</v>
      </c>
      <c r="U53" s="99">
        <v>4.2350000000000003</v>
      </c>
      <c r="V53" s="100">
        <v>3.0390000000000001</v>
      </c>
      <c r="W53" s="100">
        <f t="shared" si="0"/>
        <v>0.53928882203795325</v>
      </c>
    </row>
    <row r="54" spans="1:23" x14ac:dyDescent="0.35">
      <c r="A54" s="90" t="s">
        <v>575</v>
      </c>
      <c r="B54" s="90" t="s">
        <v>621</v>
      </c>
      <c r="C54" s="98">
        <v>4.4912036839904523</v>
      </c>
      <c r="D54" s="99">
        <v>4.8680352120142656</v>
      </c>
      <c r="E54" s="100">
        <v>4.2302867143853229</v>
      </c>
      <c r="G54" s="112" t="s">
        <v>426</v>
      </c>
      <c r="H54" s="110">
        <v>63.405428674671668</v>
      </c>
      <c r="I54" s="102">
        <v>119</v>
      </c>
      <c r="J54" s="103">
        <v>28</v>
      </c>
      <c r="K54" s="90"/>
      <c r="L54" s="98">
        <v>2.2261997966213811</v>
      </c>
      <c r="M54" s="99">
        <v>2.1854660547123101</v>
      </c>
      <c r="N54" s="99">
        <v>2.9159118788358169</v>
      </c>
      <c r="O54" s="99">
        <v>4.4340000000000002</v>
      </c>
      <c r="P54" s="99">
        <v>4.5060000000000002</v>
      </c>
      <c r="Q54" s="99">
        <v>2.3690000000000002</v>
      </c>
      <c r="R54" s="99">
        <v>5.3310000000000004</v>
      </c>
      <c r="S54" s="99">
        <v>5.5339999999999998</v>
      </c>
      <c r="T54" s="99">
        <v>3.5139999999999998</v>
      </c>
      <c r="U54" s="99">
        <v>3.3069999999999999</v>
      </c>
      <c r="V54" s="100">
        <v>6.609</v>
      </c>
      <c r="W54" s="100">
        <f t="shared" si="0"/>
        <v>4.5491609631997942</v>
      </c>
    </row>
    <row r="55" spans="1:23" x14ac:dyDescent="0.35">
      <c r="A55" s="90" t="s">
        <v>579</v>
      </c>
      <c r="B55" s="90" t="s">
        <v>622</v>
      </c>
      <c r="C55" s="98">
        <v>1.3471265984384528</v>
      </c>
      <c r="D55" s="99">
        <v>1.776882859029727</v>
      </c>
      <c r="E55" s="100">
        <v>2.0016468394263187</v>
      </c>
      <c r="G55" s="112" t="s">
        <v>402</v>
      </c>
      <c r="H55" s="110">
        <v>69.210174273537845</v>
      </c>
      <c r="I55" s="102">
        <v>94</v>
      </c>
      <c r="J55" s="103">
        <v>13</v>
      </c>
      <c r="K55" s="90"/>
      <c r="L55" s="98">
        <v>2.8155018217952783</v>
      </c>
      <c r="M55" s="99">
        <v>2.2337536818851604</v>
      </c>
      <c r="N55" s="99">
        <v>1.7112232058649222</v>
      </c>
      <c r="O55" s="99">
        <v>2.395</v>
      </c>
      <c r="P55" s="99">
        <v>2.5419999999999998</v>
      </c>
      <c r="Q55" s="99">
        <v>2.2530000000000001</v>
      </c>
      <c r="R55" s="99">
        <v>2.4119999999999999</v>
      </c>
      <c r="S55" s="99">
        <v>2.4350000000000001</v>
      </c>
      <c r="T55" s="99">
        <v>-8.1750000000000007</v>
      </c>
      <c r="U55" s="99">
        <v>10.269</v>
      </c>
      <c r="V55" s="100">
        <v>2.8</v>
      </c>
      <c r="W55" s="100">
        <f t="shared" si="0"/>
        <v>1.8892648492280228</v>
      </c>
    </row>
    <row r="56" spans="1:23" x14ac:dyDescent="0.35">
      <c r="A56" s="90" t="s">
        <v>231</v>
      </c>
      <c r="B56" s="90" t="s">
        <v>623</v>
      </c>
      <c r="C56" s="98">
        <v>1.972770435214799</v>
      </c>
      <c r="D56" s="99">
        <v>2.6853264084946815</v>
      </c>
      <c r="E56" s="100">
        <v>2.7928430899179402</v>
      </c>
      <c r="G56" s="112" t="s">
        <v>577</v>
      </c>
      <c r="H56" s="110">
        <v>82.267245472231053</v>
      </c>
      <c r="I56" s="102">
        <v>41</v>
      </c>
      <c r="J56" s="103">
        <v>27</v>
      </c>
      <c r="K56" s="90"/>
      <c r="L56" s="98">
        <v>3.1248431915696226</v>
      </c>
      <c r="M56" s="99">
        <v>1.346187835760732</v>
      </c>
      <c r="N56" s="99">
        <v>2.9873258188549392</v>
      </c>
      <c r="O56" s="99">
        <v>1.853</v>
      </c>
      <c r="P56" s="99">
        <v>3.1549999999999998</v>
      </c>
      <c r="Q56" s="99">
        <v>5.7919999999999998</v>
      </c>
      <c r="R56" s="99">
        <v>3.7839999999999998</v>
      </c>
      <c r="S56" s="99">
        <v>3.74</v>
      </c>
      <c r="T56" s="99">
        <v>-0.55100000000000005</v>
      </c>
      <c r="U56" s="99">
        <v>8.0129999999999999</v>
      </c>
      <c r="V56" s="100">
        <v>-1.2869999999999999</v>
      </c>
      <c r="W56" s="100">
        <f t="shared" si="0"/>
        <v>2.7390847492063108</v>
      </c>
    </row>
    <row r="57" spans="1:23" x14ac:dyDescent="0.35">
      <c r="A57" s="90" t="s">
        <v>575</v>
      </c>
      <c r="B57" s="90" t="s">
        <v>624</v>
      </c>
      <c r="C57" s="98">
        <v>2.1841699351578647</v>
      </c>
      <c r="D57" s="99">
        <v>2.1180367535848621</v>
      </c>
      <c r="E57" s="100">
        <v>2.094572895591984</v>
      </c>
      <c r="G57" s="112" t="s">
        <v>426</v>
      </c>
      <c r="H57" s="110">
        <v>63.876381030610304</v>
      </c>
      <c r="I57" s="102">
        <v>117</v>
      </c>
      <c r="J57" s="103">
        <v>27</v>
      </c>
      <c r="K57" s="90"/>
      <c r="L57" s="98">
        <v>5.3913093065302364</v>
      </c>
      <c r="M57" s="99">
        <v>3.8622718821819677</v>
      </c>
      <c r="N57" s="99">
        <v>0.91319649477376841</v>
      </c>
      <c r="O57" s="99">
        <v>2.2269999999999999</v>
      </c>
      <c r="P57" s="99">
        <v>1.0629999999999999</v>
      </c>
      <c r="Q57" s="99">
        <v>2.0270000000000001</v>
      </c>
      <c r="R57" s="99">
        <v>2.3690000000000002</v>
      </c>
      <c r="S57" s="99">
        <v>2.7040000000000002</v>
      </c>
      <c r="T57" s="99">
        <v>-1.56</v>
      </c>
      <c r="U57" s="99">
        <v>7.883</v>
      </c>
      <c r="V57" s="100">
        <v>0.46700000000000003</v>
      </c>
      <c r="W57" s="100">
        <f t="shared" si="0"/>
        <v>2.1063048245884231</v>
      </c>
    </row>
    <row r="58" spans="1:23" x14ac:dyDescent="0.35">
      <c r="A58" s="90" t="s">
        <v>575</v>
      </c>
      <c r="B58" s="90" t="s">
        <v>625</v>
      </c>
      <c r="C58" s="98">
        <v>6.0178655257344227</v>
      </c>
      <c r="D58" s="99">
        <v>6.6428861766961944</v>
      </c>
      <c r="E58" s="100">
        <v>8.3305963840047514</v>
      </c>
      <c r="G58" s="112" t="s">
        <v>573</v>
      </c>
      <c r="H58" s="110">
        <v>58.357971531116526</v>
      </c>
      <c r="I58" s="102">
        <v>128</v>
      </c>
      <c r="J58" s="103">
        <v>31</v>
      </c>
      <c r="K58" s="90"/>
      <c r="L58" s="98">
        <v>8.6478116333741841</v>
      </c>
      <c r="M58" s="99">
        <v>10.582270048267214</v>
      </c>
      <c r="N58" s="99">
        <v>10.257492961005118</v>
      </c>
      <c r="O58" s="99">
        <v>10.4</v>
      </c>
      <c r="P58" s="99">
        <v>8</v>
      </c>
      <c r="Q58" s="99">
        <v>10.210000000000001</v>
      </c>
      <c r="R58" s="99">
        <v>7.7030000000000003</v>
      </c>
      <c r="S58" s="99">
        <v>9.0370000000000008</v>
      </c>
      <c r="T58" s="99">
        <v>6.0570000000000004</v>
      </c>
      <c r="U58" s="99">
        <v>6.2649999999999997</v>
      </c>
      <c r="V58" s="100">
        <v>6.3579999999999997</v>
      </c>
      <c r="W58" s="100">
        <f t="shared" si="0"/>
        <v>7.4867412803504729</v>
      </c>
    </row>
    <row r="59" spans="1:23" x14ac:dyDescent="0.35">
      <c r="A59" s="90" t="s">
        <v>231</v>
      </c>
      <c r="B59" s="90" t="s">
        <v>626</v>
      </c>
      <c r="C59" s="98">
        <v>0.92513707934396283</v>
      </c>
      <c r="D59" s="99">
        <v>1.065704979127502</v>
      </c>
      <c r="E59" s="100">
        <v>1.0351636365421246</v>
      </c>
      <c r="G59" s="112" t="s">
        <v>419</v>
      </c>
      <c r="H59" s="110">
        <v>97.443307672167862</v>
      </c>
      <c r="I59" s="102">
        <v>5</v>
      </c>
      <c r="J59" s="103">
        <v>3</v>
      </c>
      <c r="K59" s="90"/>
      <c r="L59" s="98">
        <v>-1.3973545576374944</v>
      </c>
      <c r="M59" s="99">
        <v>-0.90201849743960727</v>
      </c>
      <c r="N59" s="99">
        <v>-0.36494028121428063</v>
      </c>
      <c r="O59" s="99">
        <v>0.54400000000000004</v>
      </c>
      <c r="P59" s="99">
        <v>2.8109999999999999</v>
      </c>
      <c r="Q59" s="99">
        <v>3.1920000000000002</v>
      </c>
      <c r="R59" s="99">
        <v>1.1399999999999999</v>
      </c>
      <c r="S59" s="99">
        <v>1.224</v>
      </c>
      <c r="T59" s="99">
        <v>-2.355</v>
      </c>
      <c r="U59" s="99">
        <v>3.0459999999999998</v>
      </c>
      <c r="V59" s="100">
        <v>2.0840000000000001</v>
      </c>
      <c r="W59" s="100">
        <f t="shared" si="0"/>
        <v>1.0504343078348133</v>
      </c>
    </row>
    <row r="60" spans="1:23" x14ac:dyDescent="0.35">
      <c r="A60" s="90" t="s">
        <v>231</v>
      </c>
      <c r="B60" s="90" t="s">
        <v>627</v>
      </c>
      <c r="C60" s="98">
        <v>0.35484098705607092</v>
      </c>
      <c r="D60" s="99">
        <v>0.85541697677951056</v>
      </c>
      <c r="E60" s="100">
        <v>1.0299722548507528</v>
      </c>
      <c r="G60" s="112" t="s">
        <v>419</v>
      </c>
      <c r="H60" s="110">
        <v>94.937245038342397</v>
      </c>
      <c r="I60" s="102">
        <v>20</v>
      </c>
      <c r="J60" s="103">
        <v>13</v>
      </c>
      <c r="K60" s="90"/>
      <c r="L60" s="98">
        <v>0.31313474167845923</v>
      </c>
      <c r="M60" s="99">
        <v>0.5763266794418439</v>
      </c>
      <c r="N60" s="99">
        <v>0.95618304768384532</v>
      </c>
      <c r="O60" s="99">
        <v>1.0549999999999999</v>
      </c>
      <c r="P60" s="99">
        <v>0.98199999999999998</v>
      </c>
      <c r="Q60" s="99">
        <v>2.4489999999999998</v>
      </c>
      <c r="R60" s="99">
        <v>1.8240000000000001</v>
      </c>
      <c r="S60" s="99">
        <v>1.8839999999999999</v>
      </c>
      <c r="T60" s="99">
        <v>-7.907</v>
      </c>
      <c r="U60" s="99">
        <v>6.77</v>
      </c>
      <c r="V60" s="100">
        <v>2.6059999999999999</v>
      </c>
      <c r="W60" s="100">
        <f t="shared" si="0"/>
        <v>0.9426946158151317</v>
      </c>
    </row>
    <row r="61" spans="1:23" x14ac:dyDescent="0.35">
      <c r="A61" s="90" t="s">
        <v>575</v>
      </c>
      <c r="B61" s="90" t="s">
        <v>628</v>
      </c>
      <c r="C61" s="98">
        <v>0.80490169914342324</v>
      </c>
      <c r="D61" s="99">
        <v>1.4271603442411074</v>
      </c>
      <c r="E61" s="100">
        <v>2.3419356903168431</v>
      </c>
      <c r="G61" s="112" t="s">
        <v>573</v>
      </c>
      <c r="H61" s="110">
        <v>37.219050826761183</v>
      </c>
      <c r="I61" s="102">
        <v>153</v>
      </c>
      <c r="J61" s="103">
        <v>46</v>
      </c>
      <c r="K61" s="90"/>
      <c r="L61" s="98">
        <v>5.251076917504065</v>
      </c>
      <c r="M61" s="99">
        <v>5.6386990033869457</v>
      </c>
      <c r="N61" s="99">
        <v>4.3149644410747063</v>
      </c>
      <c r="O61" s="99">
        <v>3.879</v>
      </c>
      <c r="P61" s="99">
        <v>2.0910000000000002</v>
      </c>
      <c r="Q61" s="99">
        <v>0.47299999999999998</v>
      </c>
      <c r="R61" s="99">
        <v>0.84299999999999997</v>
      </c>
      <c r="S61" s="99">
        <v>3.915</v>
      </c>
      <c r="T61" s="99">
        <v>-1.8640000000000001</v>
      </c>
      <c r="U61" s="99">
        <v>1.484</v>
      </c>
      <c r="V61" s="100">
        <v>2.8479999999999999</v>
      </c>
      <c r="W61" s="100">
        <f t="shared" si="0"/>
        <v>1.8845480172789753</v>
      </c>
    </row>
    <row r="62" spans="1:23" x14ac:dyDescent="0.35">
      <c r="A62" s="90" t="s">
        <v>575</v>
      </c>
      <c r="B62" s="90" t="s">
        <v>629</v>
      </c>
      <c r="C62" s="98">
        <v>3.0839257560593802</v>
      </c>
      <c r="D62" s="99">
        <v>4.5260960958580343</v>
      </c>
      <c r="E62" s="100">
        <v>3.4750911540431417</v>
      </c>
      <c r="G62" s="112" t="s">
        <v>426</v>
      </c>
      <c r="H62" s="110">
        <v>65.416670727464805</v>
      </c>
      <c r="I62" s="102">
        <v>114</v>
      </c>
      <c r="J62" s="103">
        <v>26</v>
      </c>
      <c r="K62" s="90"/>
      <c r="L62" s="98">
        <v>5.2415692463074244</v>
      </c>
      <c r="M62" s="99">
        <v>2.8727687903269969</v>
      </c>
      <c r="N62" s="99">
        <v>-1.4073824951095362</v>
      </c>
      <c r="O62" s="99">
        <v>4.0579999999999998</v>
      </c>
      <c r="P62" s="99">
        <v>1.9430000000000001</v>
      </c>
      <c r="Q62" s="99">
        <v>4.8230000000000004</v>
      </c>
      <c r="R62" s="99">
        <v>7.2350000000000003</v>
      </c>
      <c r="S62" s="99">
        <v>6.2220000000000004</v>
      </c>
      <c r="T62" s="99">
        <v>0.59099999999999997</v>
      </c>
      <c r="U62" s="99">
        <v>4.2649999999999997</v>
      </c>
      <c r="V62" s="100">
        <v>4.4409999999999998</v>
      </c>
      <c r="W62" s="100">
        <f t="shared" si="0"/>
        <v>4.0005936249505876</v>
      </c>
    </row>
    <row r="63" spans="1:23" x14ac:dyDescent="0.35">
      <c r="A63" s="90" t="s">
        <v>231</v>
      </c>
      <c r="B63" s="90" t="s">
        <v>630</v>
      </c>
      <c r="C63" s="98">
        <v>4.283743954922925</v>
      </c>
      <c r="D63" s="99">
        <v>4.5348375618438741</v>
      </c>
      <c r="E63" s="100">
        <v>4.1477466898679483</v>
      </c>
      <c r="G63" s="112" t="s">
        <v>577</v>
      </c>
      <c r="H63" s="110">
        <v>80.727500391697276</v>
      </c>
      <c r="I63" s="102">
        <v>46</v>
      </c>
      <c r="J63" s="103">
        <v>31</v>
      </c>
      <c r="K63" s="90"/>
      <c r="L63" s="98">
        <v>6.3690083063386043</v>
      </c>
      <c r="M63" s="99">
        <v>3.6213053519627643</v>
      </c>
      <c r="N63" s="99">
        <v>4.4319248230907649</v>
      </c>
      <c r="O63" s="99">
        <v>3.0270000000000001</v>
      </c>
      <c r="P63" s="99">
        <v>2.9060000000000001</v>
      </c>
      <c r="Q63" s="99">
        <v>4.843</v>
      </c>
      <c r="R63" s="99">
        <v>4.843</v>
      </c>
      <c r="S63" s="99">
        <v>4.9820000000000002</v>
      </c>
      <c r="T63" s="99">
        <v>-6.76</v>
      </c>
      <c r="U63" s="99">
        <v>10.465999999999999</v>
      </c>
      <c r="V63" s="100">
        <v>10.109</v>
      </c>
      <c r="W63" s="100">
        <f t="shared" si="0"/>
        <v>4.3412921258559116</v>
      </c>
    </row>
    <row r="64" spans="1:23" x14ac:dyDescent="0.35">
      <c r="A64" s="90" t="s">
        <v>231</v>
      </c>
      <c r="B64" s="90" t="s">
        <v>631</v>
      </c>
      <c r="C64" s="98">
        <v>0.19639292345923209</v>
      </c>
      <c r="D64" s="99">
        <v>0.54722001304448042</v>
      </c>
      <c r="E64" s="100">
        <v>1.1791658469401556</v>
      </c>
      <c r="G64" s="112" t="s">
        <v>419</v>
      </c>
      <c r="H64" s="110">
        <v>96.79194200114037</v>
      </c>
      <c r="I64" s="102">
        <v>8</v>
      </c>
      <c r="J64" s="103">
        <v>6</v>
      </c>
      <c r="K64" s="90"/>
      <c r="L64" s="98">
        <v>0.41955108005357267</v>
      </c>
      <c r="M64" s="99">
        <v>0.42824326167218907</v>
      </c>
      <c r="N64" s="99">
        <v>2.2256887491492803</v>
      </c>
      <c r="O64" s="99">
        <v>1.4870000000000001</v>
      </c>
      <c r="P64" s="99">
        <v>2.23</v>
      </c>
      <c r="Q64" s="99">
        <v>2.68</v>
      </c>
      <c r="R64" s="99">
        <v>0.98399999999999999</v>
      </c>
      <c r="S64" s="99">
        <v>1.054</v>
      </c>
      <c r="T64" s="99">
        <v>-3.6920000000000002</v>
      </c>
      <c r="U64" s="99">
        <v>2.625</v>
      </c>
      <c r="V64" s="100">
        <v>1.778</v>
      </c>
      <c r="W64" s="100">
        <f t="shared" si="0"/>
        <v>0.863192929992318</v>
      </c>
    </row>
    <row r="65" spans="1:23" x14ac:dyDescent="0.35">
      <c r="A65" s="90" t="s">
        <v>575</v>
      </c>
      <c r="B65" s="90" t="s">
        <v>632</v>
      </c>
      <c r="C65" s="98">
        <v>3.0107142168638523</v>
      </c>
      <c r="D65" s="99">
        <v>4.8285507296226937</v>
      </c>
      <c r="E65" s="100">
        <v>4.7980640567336197</v>
      </c>
      <c r="G65" s="112" t="s">
        <v>402</v>
      </c>
      <c r="H65" s="110">
        <v>69.704517199471169</v>
      </c>
      <c r="I65" s="102">
        <v>89</v>
      </c>
      <c r="J65" s="103">
        <v>13</v>
      </c>
      <c r="K65" s="90"/>
      <c r="L65" s="98">
        <v>9.2927894045967889</v>
      </c>
      <c r="M65" s="99">
        <v>7.3125250073312458</v>
      </c>
      <c r="N65" s="99">
        <v>2.8974388369154251</v>
      </c>
      <c r="O65" s="99">
        <v>2.121</v>
      </c>
      <c r="P65" s="99">
        <v>3.3730000000000002</v>
      </c>
      <c r="Q65" s="99">
        <v>8.1289999999999996</v>
      </c>
      <c r="R65" s="99">
        <v>6.2</v>
      </c>
      <c r="S65" s="99">
        <v>6.508</v>
      </c>
      <c r="T65" s="99">
        <v>0.51400000000000001</v>
      </c>
      <c r="U65" s="99">
        <v>5.3559999999999999</v>
      </c>
      <c r="V65" s="100">
        <v>3.2189999999999999</v>
      </c>
      <c r="W65" s="100">
        <f t="shared" si="0"/>
        <v>4.8133073931781567</v>
      </c>
    </row>
    <row r="66" spans="1:23" x14ac:dyDescent="0.35">
      <c r="A66" s="90" t="s">
        <v>231</v>
      </c>
      <c r="B66" s="90" t="s">
        <v>633</v>
      </c>
      <c r="C66" s="98">
        <v>1.4800990034344652</v>
      </c>
      <c r="D66" s="99">
        <v>1.2580147511245698</v>
      </c>
      <c r="E66" s="100">
        <v>0.45671215262543807</v>
      </c>
      <c r="G66" s="112" t="s">
        <v>419</v>
      </c>
      <c r="H66" s="110">
        <v>87.308557455608167</v>
      </c>
      <c r="I66" s="102">
        <v>31</v>
      </c>
      <c r="J66" s="103">
        <v>20</v>
      </c>
      <c r="K66" s="90"/>
      <c r="L66" s="98">
        <v>-7.3004939606978656</v>
      </c>
      <c r="M66" s="99">
        <v>-3.2414250560129267</v>
      </c>
      <c r="N66" s="99">
        <v>0.73977713855774985</v>
      </c>
      <c r="O66" s="99">
        <v>-0.19600000000000001</v>
      </c>
      <c r="P66" s="99">
        <v>-0.48699999999999999</v>
      </c>
      <c r="Q66" s="99">
        <v>1.0920000000000001</v>
      </c>
      <c r="R66" s="99">
        <v>1.6679999999999999</v>
      </c>
      <c r="S66" s="99">
        <v>1.8839999999999999</v>
      </c>
      <c r="T66" s="99">
        <v>-9.0039999999999996</v>
      </c>
      <c r="U66" s="99">
        <v>8.4339999999999993</v>
      </c>
      <c r="V66" s="100">
        <v>5.9139999999999997</v>
      </c>
      <c r="W66" s="100">
        <f t="shared" si="0"/>
        <v>0.85736345187500396</v>
      </c>
    </row>
    <row r="67" spans="1:23" x14ac:dyDescent="0.35">
      <c r="A67" s="90" t="s">
        <v>579</v>
      </c>
      <c r="B67" s="90" t="s">
        <v>634</v>
      </c>
      <c r="C67" s="98">
        <v>3.3306625930319189</v>
      </c>
      <c r="D67" s="99">
        <v>3.4919746764532578</v>
      </c>
      <c r="E67" s="100">
        <v>3.5384372691175781</v>
      </c>
      <c r="G67" s="112" t="s">
        <v>402</v>
      </c>
      <c r="H67" s="110">
        <v>71.336652243067974</v>
      </c>
      <c r="I67" s="102">
        <v>82</v>
      </c>
      <c r="J67" s="103">
        <v>10</v>
      </c>
      <c r="K67" s="90"/>
      <c r="L67" s="98">
        <v>2.9698574079878068</v>
      </c>
      <c r="M67" s="99">
        <v>3.6975861001947585</v>
      </c>
      <c r="N67" s="99">
        <v>4.4439780738522474</v>
      </c>
      <c r="O67" s="99">
        <v>4.0919999999999996</v>
      </c>
      <c r="P67" s="99">
        <v>2.6779999999999999</v>
      </c>
      <c r="Q67" s="99">
        <v>3.08</v>
      </c>
      <c r="R67" s="99">
        <v>3.407</v>
      </c>
      <c r="S67" s="99">
        <v>4.0019999999999998</v>
      </c>
      <c r="T67" s="99">
        <v>-1.764</v>
      </c>
      <c r="U67" s="99">
        <v>7.9809999999999999</v>
      </c>
      <c r="V67" s="100">
        <v>4.0090000000000003</v>
      </c>
      <c r="W67" s="100">
        <f t="shared" si="0"/>
        <v>3.5152059727854179</v>
      </c>
    </row>
    <row r="68" spans="1:23" x14ac:dyDescent="0.35">
      <c r="A68" s="90" t="s">
        <v>575</v>
      </c>
      <c r="B68" s="90" t="s">
        <v>635</v>
      </c>
      <c r="C68" s="98">
        <v>4.3705772513408236</v>
      </c>
      <c r="D68" s="99">
        <v>4.9898667622307658</v>
      </c>
      <c r="E68" s="100">
        <v>5.729233966321412</v>
      </c>
      <c r="G68" s="112" t="s">
        <v>573</v>
      </c>
      <c r="H68" s="110">
        <v>50.297438492745087</v>
      </c>
      <c r="I68" s="102">
        <v>138</v>
      </c>
      <c r="J68" s="103">
        <v>36</v>
      </c>
      <c r="K68" s="90"/>
      <c r="L68" s="98">
        <v>5.9152881384417997</v>
      </c>
      <c r="M68" s="99">
        <v>3.9456854305126305</v>
      </c>
      <c r="N68" s="99">
        <v>3.6965411823164165</v>
      </c>
      <c r="O68" s="99">
        <v>3.8260000000000001</v>
      </c>
      <c r="P68" s="99">
        <v>10.821</v>
      </c>
      <c r="Q68" s="99">
        <v>10.3</v>
      </c>
      <c r="R68" s="99">
        <v>6.3579999999999997</v>
      </c>
      <c r="S68" s="99">
        <v>5.617</v>
      </c>
      <c r="T68" s="99">
        <v>4.92</v>
      </c>
      <c r="U68" s="99">
        <v>4.2919999999999998</v>
      </c>
      <c r="V68" s="100">
        <v>4.2939999999999996</v>
      </c>
      <c r="W68" s="100">
        <f t="shared" si="0"/>
        <v>5.3595503642760889</v>
      </c>
    </row>
    <row r="69" spans="1:23" x14ac:dyDescent="0.35">
      <c r="A69" s="90" t="s">
        <v>575</v>
      </c>
      <c r="B69" s="90" t="s">
        <v>636</v>
      </c>
      <c r="C69" s="98">
        <v>1.5927018196488341</v>
      </c>
      <c r="D69" s="99">
        <v>2.1053991541019057</v>
      </c>
      <c r="E69" s="100">
        <v>3.2889383993762955</v>
      </c>
      <c r="G69" s="112" t="s">
        <v>573</v>
      </c>
      <c r="H69" s="110">
        <v>54.70982708603303</v>
      </c>
      <c r="I69" s="102">
        <v>134</v>
      </c>
      <c r="J69" s="103">
        <v>34</v>
      </c>
      <c r="K69" s="90"/>
      <c r="L69" s="98">
        <v>-1.7126830118107121</v>
      </c>
      <c r="M69" s="99">
        <v>3.255904265176933</v>
      </c>
      <c r="N69" s="99">
        <v>0.96456075098132787</v>
      </c>
      <c r="O69" s="99">
        <v>6.1340000000000003</v>
      </c>
      <c r="P69" s="99">
        <v>5.3070000000000004</v>
      </c>
      <c r="Q69" s="99">
        <v>4.7889999999999997</v>
      </c>
      <c r="R69" s="99">
        <v>3.7610000000000001</v>
      </c>
      <c r="S69" s="99">
        <v>4.5</v>
      </c>
      <c r="T69" s="99">
        <v>1.5</v>
      </c>
      <c r="U69" s="99">
        <v>6.4</v>
      </c>
      <c r="V69" s="100">
        <v>3.5</v>
      </c>
      <c r="W69" s="100">
        <f t="shared" si="0"/>
        <v>2.6971687767391006</v>
      </c>
    </row>
    <row r="70" spans="1:23" x14ac:dyDescent="0.35">
      <c r="A70" s="90" t="s">
        <v>579</v>
      </c>
      <c r="B70" s="90" t="s">
        <v>637</v>
      </c>
      <c r="C70" s="98">
        <v>40.872083180158647</v>
      </c>
      <c r="D70" s="99">
        <v>25.198248131969379</v>
      </c>
      <c r="E70" s="100">
        <v>13.395686805616647</v>
      </c>
      <c r="G70" s="112" t="s">
        <v>573</v>
      </c>
      <c r="H70" s="110">
        <v>56.740934863022261</v>
      </c>
      <c r="I70" s="102">
        <v>129</v>
      </c>
      <c r="J70" s="103">
        <v>21</v>
      </c>
      <c r="K70" s="90"/>
      <c r="L70" s="98">
        <v>5.3836234687298372</v>
      </c>
      <c r="M70" s="99">
        <v>3.6535047680067998</v>
      </c>
      <c r="N70" s="99">
        <v>1.6860277321410588</v>
      </c>
      <c r="O70" s="99">
        <v>0.68700000000000006</v>
      </c>
      <c r="P70" s="99">
        <v>3.8069999999999999</v>
      </c>
      <c r="Q70" s="99">
        <v>3.734</v>
      </c>
      <c r="R70" s="99">
        <v>4.4409999999999998</v>
      </c>
      <c r="S70" s="99">
        <v>5.3529999999999998</v>
      </c>
      <c r="T70" s="99">
        <v>43.48</v>
      </c>
      <c r="U70" s="99">
        <v>20.059999999999999</v>
      </c>
      <c r="V70" s="100">
        <v>62.287999999999997</v>
      </c>
      <c r="W70" s="100">
        <f t="shared" si="0"/>
        <v>19.296967468793014</v>
      </c>
    </row>
    <row r="71" spans="1:23" x14ac:dyDescent="0.35">
      <c r="A71" s="90" t="s">
        <v>579</v>
      </c>
      <c r="B71" s="90" t="s">
        <v>638</v>
      </c>
      <c r="C71" s="98">
        <v>-0.34574931867293879</v>
      </c>
      <c r="D71" s="99">
        <v>0.64565822904871784</v>
      </c>
      <c r="E71" s="100">
        <v>2.5156599586003026</v>
      </c>
      <c r="G71" s="112" t="s">
        <v>573</v>
      </c>
      <c r="H71" s="110">
        <v>54.401198784391461</v>
      </c>
      <c r="I71" s="102">
        <v>135</v>
      </c>
      <c r="J71" s="103">
        <v>22</v>
      </c>
      <c r="K71" s="90"/>
      <c r="L71" s="98">
        <v>-7.4695954800602468E-2</v>
      </c>
      <c r="M71" s="99">
        <v>9.2111856449685803</v>
      </c>
      <c r="N71" s="99">
        <v>1.9148137793287729</v>
      </c>
      <c r="O71" s="99">
        <v>2.5630000000000002</v>
      </c>
      <c r="P71" s="99">
        <v>1.8120000000000001</v>
      </c>
      <c r="Q71" s="99">
        <v>2.5099999999999998</v>
      </c>
      <c r="R71" s="99">
        <v>1.6679999999999999</v>
      </c>
      <c r="S71" s="99">
        <v>-1.6850000000000001</v>
      </c>
      <c r="T71" s="99">
        <v>-3.343</v>
      </c>
      <c r="U71" s="99">
        <v>-1.798</v>
      </c>
      <c r="V71" s="100">
        <v>-1.6819999999999999</v>
      </c>
      <c r="W71" s="100">
        <f t="shared" si="0"/>
        <v>1.5806590938245102</v>
      </c>
    </row>
    <row r="72" spans="1:23" x14ac:dyDescent="0.35">
      <c r="A72" s="90" t="s">
        <v>579</v>
      </c>
      <c r="B72" s="90" t="s">
        <v>639</v>
      </c>
      <c r="C72" s="98">
        <v>2.1352529558121391</v>
      </c>
      <c r="D72" s="99">
        <v>2.5786313755856494</v>
      </c>
      <c r="E72" s="100">
        <v>3.1291474397337593</v>
      </c>
      <c r="G72" s="112" t="s">
        <v>573</v>
      </c>
      <c r="H72" s="110">
        <v>39.565152370912173</v>
      </c>
      <c r="I72" s="102">
        <v>152</v>
      </c>
      <c r="J72" s="103">
        <v>24</v>
      </c>
      <c r="K72" s="90"/>
      <c r="L72" s="98">
        <v>4.1286877486693667</v>
      </c>
      <c r="M72" s="99">
        <v>2.7915597574680358</v>
      </c>
      <c r="N72" s="99">
        <v>3.0580805621437066</v>
      </c>
      <c r="O72" s="99">
        <v>3.84</v>
      </c>
      <c r="P72" s="99">
        <v>3.8929999999999998</v>
      </c>
      <c r="Q72" s="99">
        <v>4.843</v>
      </c>
      <c r="R72" s="99">
        <v>3.8450000000000002</v>
      </c>
      <c r="S72" s="99">
        <v>2.653</v>
      </c>
      <c r="T72" s="99">
        <v>-8.9649999999999999</v>
      </c>
      <c r="U72" s="99">
        <v>12.534000000000001</v>
      </c>
      <c r="V72" s="100">
        <v>4</v>
      </c>
      <c r="W72" s="100">
        <f t="shared" si="0"/>
        <v>2.8538894076597043</v>
      </c>
    </row>
    <row r="73" spans="1:23" x14ac:dyDescent="0.35">
      <c r="A73" s="90" t="s">
        <v>571</v>
      </c>
      <c r="B73" s="90" t="s">
        <v>640</v>
      </c>
      <c r="C73" s="98">
        <v>-1.3866109004180949</v>
      </c>
      <c r="D73" s="99">
        <v>-0.61127068207094126</v>
      </c>
      <c r="E73" s="100">
        <v>1.1000622223137801</v>
      </c>
      <c r="G73" s="112" t="s">
        <v>419</v>
      </c>
      <c r="H73" s="110">
        <v>95.561927385722356</v>
      </c>
      <c r="I73" s="102">
        <v>18</v>
      </c>
      <c r="J73" s="103">
        <v>5</v>
      </c>
      <c r="K73" s="90"/>
      <c r="L73" s="98">
        <v>1.7002747714417163</v>
      </c>
      <c r="M73" s="99">
        <v>3.1015497799994041</v>
      </c>
      <c r="N73" s="99">
        <v>2.7623919976975242</v>
      </c>
      <c r="O73" s="99">
        <v>2.3879999999999999</v>
      </c>
      <c r="P73" s="99">
        <v>2.1749999999999998</v>
      </c>
      <c r="Q73" s="99">
        <v>3.7959999999999998</v>
      </c>
      <c r="R73" s="99">
        <v>2.847</v>
      </c>
      <c r="S73" s="99">
        <v>-1.6719999999999999</v>
      </c>
      <c r="T73" s="99">
        <v>-6.5449999999999999</v>
      </c>
      <c r="U73" s="99">
        <v>6.4480000000000004</v>
      </c>
      <c r="V73" s="100">
        <v>-3.5070000000000001</v>
      </c>
      <c r="W73" s="100">
        <f t="shared" si="0"/>
        <v>0.24439577012141944</v>
      </c>
    </row>
    <row r="74" spans="1:23" x14ac:dyDescent="0.35">
      <c r="A74" s="90" t="s">
        <v>231</v>
      </c>
      <c r="B74" s="90" t="s">
        <v>641</v>
      </c>
      <c r="C74" s="98">
        <v>2.362570497371097</v>
      </c>
      <c r="D74" s="99">
        <v>3.4329643388785636</v>
      </c>
      <c r="E74" s="100">
        <v>3.366609258538622</v>
      </c>
      <c r="G74" s="112" t="s">
        <v>402</v>
      </c>
      <c r="H74" s="110">
        <v>75.842312832768172</v>
      </c>
      <c r="I74" s="102">
        <v>67</v>
      </c>
      <c r="J74" s="103">
        <v>37</v>
      </c>
      <c r="K74" s="90"/>
      <c r="L74" s="98">
        <v>-1.4717888510830746</v>
      </c>
      <c r="M74" s="99">
        <v>1.9629840486290608</v>
      </c>
      <c r="N74" s="99">
        <v>4.1950824094780925</v>
      </c>
      <c r="O74" s="99">
        <v>3.7069999999999999</v>
      </c>
      <c r="P74" s="99">
        <v>2.2010000000000001</v>
      </c>
      <c r="Q74" s="99">
        <v>4.2720000000000002</v>
      </c>
      <c r="R74" s="99">
        <v>5.3620000000000001</v>
      </c>
      <c r="S74" s="99">
        <v>4.8579999999999997</v>
      </c>
      <c r="T74" s="99">
        <v>-4.5469999999999997</v>
      </c>
      <c r="U74" s="99">
        <v>7.117</v>
      </c>
      <c r="V74" s="100">
        <v>4.9000000000000004</v>
      </c>
      <c r="W74" s="100">
        <f t="shared" si="0"/>
        <v>3.3997867987085928</v>
      </c>
    </row>
    <row r="75" spans="1:23" x14ac:dyDescent="0.35">
      <c r="A75" s="90" t="s">
        <v>231</v>
      </c>
      <c r="B75" s="90" t="s">
        <v>642</v>
      </c>
      <c r="C75" s="98">
        <v>1.1623871589995449</v>
      </c>
      <c r="D75" s="99">
        <v>2.1481166990517275</v>
      </c>
      <c r="E75" s="100">
        <v>3.1810733517810608</v>
      </c>
      <c r="G75" s="112" t="s">
        <v>419</v>
      </c>
      <c r="H75" s="110">
        <v>95.11269526919466</v>
      </c>
      <c r="I75" s="102">
        <v>19</v>
      </c>
      <c r="J75" s="103">
        <v>12</v>
      </c>
      <c r="K75" s="90"/>
      <c r="L75" s="98">
        <v>1.0636366074376145</v>
      </c>
      <c r="M75" s="99">
        <v>4.5524603201510816</v>
      </c>
      <c r="N75" s="99">
        <v>1.687215017506406</v>
      </c>
      <c r="O75" s="99">
        <v>4.4370000000000003</v>
      </c>
      <c r="P75" s="99">
        <v>6.3040000000000003</v>
      </c>
      <c r="Q75" s="99">
        <v>4.1950000000000003</v>
      </c>
      <c r="R75" s="99">
        <v>4.8890000000000002</v>
      </c>
      <c r="S75" s="99">
        <v>1.8049999999999999</v>
      </c>
      <c r="T75" s="99">
        <v>-7.242</v>
      </c>
      <c r="U75" s="99">
        <v>4.3330000000000002</v>
      </c>
      <c r="V75" s="100">
        <v>6.4450000000000003</v>
      </c>
      <c r="W75" s="100">
        <f t="shared" ref="W75:W138" si="1">AVERAGE(D75,E75)</f>
        <v>2.6645950254163941</v>
      </c>
    </row>
    <row r="76" spans="1:23" x14ac:dyDescent="0.35">
      <c r="A76" s="90" t="s">
        <v>571</v>
      </c>
      <c r="B76" s="90" t="s">
        <v>643</v>
      </c>
      <c r="C76" s="98">
        <v>2.7398620097403459</v>
      </c>
      <c r="D76" s="99">
        <v>3.6623835250989556</v>
      </c>
      <c r="E76" s="100">
        <v>5.5227254922200597</v>
      </c>
      <c r="G76" s="112" t="s">
        <v>426</v>
      </c>
      <c r="H76" s="110">
        <v>66.198052259063019</v>
      </c>
      <c r="I76" s="102">
        <v>109</v>
      </c>
      <c r="J76" s="103">
        <v>21</v>
      </c>
      <c r="K76" s="90"/>
      <c r="L76" s="98">
        <v>5.4563589507228496</v>
      </c>
      <c r="M76" s="99">
        <v>6.3861064009482602</v>
      </c>
      <c r="N76" s="99">
        <v>7.410227605088517</v>
      </c>
      <c r="O76" s="99">
        <v>7.9960000000000004</v>
      </c>
      <c r="P76" s="99">
        <v>8.2560000000000002</v>
      </c>
      <c r="Q76" s="99">
        <v>6.7949999999999999</v>
      </c>
      <c r="R76" s="99">
        <v>6.4539999999999997</v>
      </c>
      <c r="S76" s="99">
        <v>3.871</v>
      </c>
      <c r="T76" s="99">
        <v>-5.8310000000000004</v>
      </c>
      <c r="U76" s="99">
        <v>9.0500000000000007</v>
      </c>
      <c r="V76" s="100">
        <v>6.8310000000000004</v>
      </c>
      <c r="W76" s="100">
        <f t="shared" si="1"/>
        <v>4.5925545086595072</v>
      </c>
    </row>
    <row r="77" spans="1:23" x14ac:dyDescent="0.35">
      <c r="A77" s="90" t="s">
        <v>571</v>
      </c>
      <c r="B77" s="90" t="s">
        <v>644</v>
      </c>
      <c r="C77" s="98">
        <v>2.2622053552423305</v>
      </c>
      <c r="D77" s="99">
        <v>3.3867361875690394</v>
      </c>
      <c r="E77" s="100">
        <v>4.2439953782461792</v>
      </c>
      <c r="G77" s="112" t="s">
        <v>402</v>
      </c>
      <c r="H77" s="110">
        <v>71.158529876167961</v>
      </c>
      <c r="I77" s="102">
        <v>83</v>
      </c>
      <c r="J77" s="103">
        <v>14</v>
      </c>
      <c r="K77" s="90"/>
      <c r="L77" s="98">
        <v>6.0300506530561035</v>
      </c>
      <c r="M77" s="99">
        <v>5.5572636889101181</v>
      </c>
      <c r="N77" s="99">
        <v>5.0066684257549943</v>
      </c>
      <c r="O77" s="99">
        <v>4.8760000000000003</v>
      </c>
      <c r="P77" s="99">
        <v>5.0330000000000004</v>
      </c>
      <c r="Q77" s="99">
        <v>5.07</v>
      </c>
      <c r="R77" s="99">
        <v>5.1740000000000004</v>
      </c>
      <c r="S77" s="99">
        <v>5.0190000000000001</v>
      </c>
      <c r="T77" s="99">
        <v>-2.0659999999999998</v>
      </c>
      <c r="U77" s="99">
        <v>3.7029999999999998</v>
      </c>
      <c r="V77" s="100">
        <v>5.3090000000000002</v>
      </c>
      <c r="W77" s="100">
        <f t="shared" si="1"/>
        <v>3.8153657829076093</v>
      </c>
    </row>
    <row r="78" spans="1:23" x14ac:dyDescent="0.35">
      <c r="A78" s="90" t="s">
        <v>231</v>
      </c>
      <c r="B78" s="90" t="s">
        <v>645</v>
      </c>
      <c r="C78" s="98">
        <v>10.534737934438866</v>
      </c>
      <c r="D78" s="99">
        <v>8.9900271540683807</v>
      </c>
      <c r="E78" s="100">
        <v>9.0332345891797274</v>
      </c>
      <c r="G78" s="112" t="s">
        <v>419</v>
      </c>
      <c r="H78" s="110">
        <v>96.106887509545572</v>
      </c>
      <c r="I78" s="102">
        <v>12</v>
      </c>
      <c r="J78" s="103">
        <v>9</v>
      </c>
      <c r="K78" s="90"/>
      <c r="L78" s="98">
        <v>0.22571484300232808</v>
      </c>
      <c r="M78" s="99">
        <v>1.3516340039407124</v>
      </c>
      <c r="N78" s="99">
        <v>8.5566879851340367</v>
      </c>
      <c r="O78" s="99">
        <v>24.370999999999999</v>
      </c>
      <c r="P78" s="99">
        <v>2.0070000000000001</v>
      </c>
      <c r="Q78" s="99">
        <v>9.0050000000000008</v>
      </c>
      <c r="R78" s="99">
        <v>8.5280000000000005</v>
      </c>
      <c r="S78" s="99">
        <v>5.4409999999999998</v>
      </c>
      <c r="T78" s="99">
        <v>6.1840000000000002</v>
      </c>
      <c r="U78" s="99">
        <v>13.587999999999999</v>
      </c>
      <c r="V78" s="100">
        <v>11.97</v>
      </c>
      <c r="W78" s="100">
        <f t="shared" si="1"/>
        <v>9.0116308716240532</v>
      </c>
    </row>
    <row r="79" spans="1:23" x14ac:dyDescent="0.35">
      <c r="A79" s="90" t="s">
        <v>586</v>
      </c>
      <c r="B79" s="90" t="s">
        <v>646</v>
      </c>
      <c r="C79" s="98">
        <v>4.2964072248328211</v>
      </c>
      <c r="D79" s="99">
        <v>4.3056817639917977</v>
      </c>
      <c r="E79" s="100">
        <v>3.9225915638386066</v>
      </c>
      <c r="G79" s="112" t="s">
        <v>419</v>
      </c>
      <c r="H79" s="110">
        <v>91.08708937267636</v>
      </c>
      <c r="I79" s="102">
        <v>24</v>
      </c>
      <c r="J79" s="103">
        <v>2</v>
      </c>
      <c r="K79" s="90"/>
      <c r="L79" s="98">
        <v>2.2572375479441442</v>
      </c>
      <c r="M79" s="99">
        <v>4.1480545517150818</v>
      </c>
      <c r="N79" s="99">
        <v>3.7582001903069706</v>
      </c>
      <c r="O79" s="99">
        <v>2.4860000000000002</v>
      </c>
      <c r="P79" s="99">
        <v>4.5220000000000002</v>
      </c>
      <c r="Q79" s="99">
        <v>4.2759999999999998</v>
      </c>
      <c r="R79" s="99">
        <v>4.07</v>
      </c>
      <c r="S79" s="99">
        <v>4.1559999999999997</v>
      </c>
      <c r="T79" s="99">
        <v>-1.857</v>
      </c>
      <c r="U79" s="99">
        <v>8.6120000000000001</v>
      </c>
      <c r="V79" s="100">
        <v>6.4320000000000004</v>
      </c>
      <c r="W79" s="100">
        <f t="shared" si="1"/>
        <v>4.1141366639152022</v>
      </c>
    </row>
    <row r="80" spans="1:23" x14ac:dyDescent="0.35">
      <c r="A80" s="90" t="s">
        <v>231</v>
      </c>
      <c r="B80" s="90" t="s">
        <v>647</v>
      </c>
      <c r="C80" s="98">
        <v>0.2182802501019987</v>
      </c>
      <c r="D80" s="99">
        <v>0.31439174572445161</v>
      </c>
      <c r="E80" s="100">
        <v>0.34271436280863821</v>
      </c>
      <c r="G80" s="112" t="s">
        <v>419</v>
      </c>
      <c r="H80" s="110">
        <v>88.947746010825512</v>
      </c>
      <c r="I80" s="102">
        <v>29</v>
      </c>
      <c r="J80" s="103">
        <v>18</v>
      </c>
      <c r="K80" s="90"/>
      <c r="L80" s="98">
        <v>-2.9809057682377182</v>
      </c>
      <c r="M80" s="99">
        <v>-1.8410654508824811</v>
      </c>
      <c r="N80" s="99">
        <v>-4.5475423638333965E-3</v>
      </c>
      <c r="O80" s="99">
        <v>0.77800000000000002</v>
      </c>
      <c r="P80" s="99">
        <v>1.2929999999999999</v>
      </c>
      <c r="Q80" s="99">
        <v>1.6679999999999999</v>
      </c>
      <c r="R80" s="99">
        <v>0.92600000000000005</v>
      </c>
      <c r="S80" s="99">
        <v>0.48299999999999998</v>
      </c>
      <c r="T80" s="99">
        <v>-8.9789999999999992</v>
      </c>
      <c r="U80" s="99">
        <v>6.9870000000000001</v>
      </c>
      <c r="V80" s="100">
        <v>3.6749999999999998</v>
      </c>
      <c r="W80" s="100">
        <f t="shared" si="1"/>
        <v>0.32855305426654491</v>
      </c>
    </row>
    <row r="81" spans="1:23" x14ac:dyDescent="0.35">
      <c r="A81" s="90" t="s">
        <v>579</v>
      </c>
      <c r="B81" s="90" t="s">
        <v>648</v>
      </c>
      <c r="C81" s="98">
        <v>-0.70306474958997667</v>
      </c>
      <c r="D81" s="99">
        <v>0.12887839009743107</v>
      </c>
      <c r="E81" s="100">
        <v>0.51362317164571625</v>
      </c>
      <c r="G81" s="112" t="s">
        <v>573</v>
      </c>
      <c r="H81" s="110">
        <v>53.312824662633638</v>
      </c>
      <c r="I81" s="102">
        <v>137</v>
      </c>
      <c r="J81" s="103">
        <v>23</v>
      </c>
      <c r="K81" s="90"/>
      <c r="L81" s="98">
        <v>-0.61363603986913318</v>
      </c>
      <c r="M81" s="99">
        <v>0.51768601280242099</v>
      </c>
      <c r="N81" s="99">
        <v>0.68982235737431619</v>
      </c>
      <c r="O81" s="99">
        <v>0.86899999999999999</v>
      </c>
      <c r="P81" s="99">
        <v>1.498</v>
      </c>
      <c r="Q81" s="99">
        <v>0.67900000000000005</v>
      </c>
      <c r="R81" s="99">
        <v>1.827</v>
      </c>
      <c r="S81" s="99">
        <v>0.97</v>
      </c>
      <c r="T81" s="99">
        <v>-9.92</v>
      </c>
      <c r="U81" s="99">
        <v>4.601</v>
      </c>
      <c r="V81" s="100">
        <v>4</v>
      </c>
      <c r="W81" s="100">
        <f t="shared" si="1"/>
        <v>0.32125078087157366</v>
      </c>
    </row>
    <row r="82" spans="1:23" x14ac:dyDescent="0.35">
      <c r="A82" s="90" t="s">
        <v>571</v>
      </c>
      <c r="B82" s="90" t="s">
        <v>649</v>
      </c>
      <c r="C82" s="98">
        <v>-0.63095756344230258</v>
      </c>
      <c r="D82" s="99">
        <v>2.4039609383130767E-3</v>
      </c>
      <c r="E82" s="100">
        <v>0.62673306790392846</v>
      </c>
      <c r="G82" s="112" t="s">
        <v>419</v>
      </c>
      <c r="H82" s="110">
        <v>96.063700314273362</v>
      </c>
      <c r="I82" s="102">
        <v>13</v>
      </c>
      <c r="J82" s="103">
        <v>4</v>
      </c>
      <c r="K82" s="90"/>
      <c r="L82" s="98">
        <v>1.495089585949261</v>
      </c>
      <c r="M82" s="99">
        <v>2.0002678411015018</v>
      </c>
      <c r="N82" s="99">
        <v>0.3747194763313248</v>
      </c>
      <c r="O82" s="99">
        <v>1.5609999999999999</v>
      </c>
      <c r="P82" s="99">
        <v>0.754</v>
      </c>
      <c r="Q82" s="99">
        <v>1.675</v>
      </c>
      <c r="R82" s="99">
        <v>0.64300000000000002</v>
      </c>
      <c r="S82" s="99">
        <v>-0.40200000000000002</v>
      </c>
      <c r="T82" s="99">
        <v>-4.2789999999999999</v>
      </c>
      <c r="U82" s="99">
        <v>2.145</v>
      </c>
      <c r="V82" s="100">
        <v>1.075</v>
      </c>
      <c r="W82" s="100">
        <f t="shared" si="1"/>
        <v>0.31456851442112077</v>
      </c>
    </row>
    <row r="83" spans="1:23" x14ac:dyDescent="0.35">
      <c r="A83" s="90" t="s">
        <v>586</v>
      </c>
      <c r="B83" s="90" t="s">
        <v>650</v>
      </c>
      <c r="C83" s="98">
        <v>1.1049470799269878</v>
      </c>
      <c r="D83" s="99">
        <v>1.8757952650954479</v>
      </c>
      <c r="E83" s="100">
        <v>2.1806440475090172</v>
      </c>
      <c r="G83" s="112" t="s">
        <v>577</v>
      </c>
      <c r="H83" s="110">
        <v>79.514216326138751</v>
      </c>
      <c r="I83" s="102">
        <v>53</v>
      </c>
      <c r="J83" s="103">
        <v>5</v>
      </c>
      <c r="K83" s="90"/>
      <c r="L83" s="98">
        <v>2.6511707480297244</v>
      </c>
      <c r="M83" s="99">
        <v>2.8287666404585154</v>
      </c>
      <c r="N83" s="99">
        <v>3.0963303471105994</v>
      </c>
      <c r="O83" s="99">
        <v>2.496</v>
      </c>
      <c r="P83" s="99">
        <v>1.994</v>
      </c>
      <c r="Q83" s="99">
        <v>2.4740000000000002</v>
      </c>
      <c r="R83" s="99">
        <v>1.919</v>
      </c>
      <c r="S83" s="99">
        <v>1.927</v>
      </c>
      <c r="T83" s="99">
        <v>-1.57</v>
      </c>
      <c r="U83" s="99">
        <v>2.2280000000000002</v>
      </c>
      <c r="V83" s="100">
        <v>2.7109999999999999</v>
      </c>
      <c r="W83" s="100">
        <f t="shared" si="1"/>
        <v>2.0282196563022326</v>
      </c>
    </row>
    <row r="84" spans="1:23" x14ac:dyDescent="0.35">
      <c r="A84" s="90" t="s">
        <v>571</v>
      </c>
      <c r="B84" s="90" t="s">
        <v>651</v>
      </c>
      <c r="C84" s="98">
        <v>1.6270169093285825</v>
      </c>
      <c r="D84" s="99">
        <v>2.6878144462378906</v>
      </c>
      <c r="E84" s="100">
        <v>2.9947418753666133</v>
      </c>
      <c r="G84" s="112" t="s">
        <v>402</v>
      </c>
      <c r="H84" s="110">
        <v>70.400737065727981</v>
      </c>
      <c r="I84" s="102">
        <v>88</v>
      </c>
      <c r="J84" s="103">
        <v>16</v>
      </c>
      <c r="K84" s="90"/>
      <c r="L84" s="98">
        <v>4.7999999999927256</v>
      </c>
      <c r="M84" s="99">
        <v>5.9999999992556203</v>
      </c>
      <c r="N84" s="99">
        <v>4.2000000006304088</v>
      </c>
      <c r="O84" s="99">
        <v>1</v>
      </c>
      <c r="P84" s="99">
        <v>0.9</v>
      </c>
      <c r="Q84" s="99">
        <v>3.9009999999999998</v>
      </c>
      <c r="R84" s="99">
        <v>4.0999999999999996</v>
      </c>
      <c r="S84" s="99">
        <v>4.5</v>
      </c>
      <c r="T84" s="99">
        <v>-2.6</v>
      </c>
      <c r="U84" s="99">
        <v>4.0999999999999996</v>
      </c>
      <c r="V84" s="100">
        <v>3.214</v>
      </c>
      <c r="W84" s="100">
        <f t="shared" si="1"/>
        <v>2.8412781608022519</v>
      </c>
    </row>
    <row r="85" spans="1:23" x14ac:dyDescent="0.35">
      <c r="A85" s="90" t="s">
        <v>575</v>
      </c>
      <c r="B85" s="90" t="s">
        <v>652</v>
      </c>
      <c r="C85" s="98">
        <v>4.1600595320631983</v>
      </c>
      <c r="D85" s="99">
        <v>5.4481436952905637</v>
      </c>
      <c r="E85" s="100">
        <v>5.4875646773576481</v>
      </c>
      <c r="G85" s="112" t="s">
        <v>426</v>
      </c>
      <c r="H85" s="110">
        <v>68.853006787769303</v>
      </c>
      <c r="I85" s="102">
        <v>97</v>
      </c>
      <c r="J85" s="103">
        <v>18</v>
      </c>
      <c r="K85" s="90"/>
      <c r="L85" s="98">
        <v>4.5632091307112006</v>
      </c>
      <c r="M85" s="99">
        <v>5.8786805667541637</v>
      </c>
      <c r="N85" s="99">
        <v>5.3571256444996713</v>
      </c>
      <c r="O85" s="99">
        <v>4.968</v>
      </c>
      <c r="P85" s="99">
        <v>4.2140000000000004</v>
      </c>
      <c r="Q85" s="99">
        <v>3.8159999999999998</v>
      </c>
      <c r="R85" s="99">
        <v>5.6710000000000003</v>
      </c>
      <c r="S85" s="99">
        <v>5.1139999999999999</v>
      </c>
      <c r="T85" s="99">
        <v>-0.25</v>
      </c>
      <c r="U85" s="99">
        <v>7.5170000000000003</v>
      </c>
      <c r="V85" s="100">
        <v>5.3689999999999998</v>
      </c>
      <c r="W85" s="100">
        <f t="shared" si="1"/>
        <v>5.4678541863241055</v>
      </c>
    </row>
    <row r="86" spans="1:23" x14ac:dyDescent="0.35">
      <c r="A86" s="90" t="s">
        <v>571</v>
      </c>
      <c r="B86" s="90" t="s">
        <v>653</v>
      </c>
      <c r="C86" s="98">
        <v>1.9788311578699647</v>
      </c>
      <c r="D86" s="99">
        <v>2.1951704861675969</v>
      </c>
      <c r="E86" s="100">
        <v>2.6249033043728831</v>
      </c>
      <c r="G86" s="112" t="s">
        <v>419</v>
      </c>
      <c r="H86" s="110">
        <v>90.58627012288828</v>
      </c>
      <c r="I86" s="102">
        <v>26</v>
      </c>
      <c r="J86" s="103">
        <v>6</v>
      </c>
      <c r="K86" s="90"/>
      <c r="L86" s="98">
        <v>2.4025309924618736</v>
      </c>
      <c r="M86" s="99">
        <v>3.1647086364718322</v>
      </c>
      <c r="N86" s="99">
        <v>3.2024537945736018</v>
      </c>
      <c r="O86" s="99">
        <v>2.8090000000000002</v>
      </c>
      <c r="P86" s="99">
        <v>2.9470000000000001</v>
      </c>
      <c r="Q86" s="99">
        <v>3.16</v>
      </c>
      <c r="R86" s="99">
        <v>2.907</v>
      </c>
      <c r="S86" s="99">
        <v>2.2440000000000002</v>
      </c>
      <c r="T86" s="99">
        <v>-0.70899999999999996</v>
      </c>
      <c r="U86" s="99">
        <v>4.1449999999999996</v>
      </c>
      <c r="V86" s="100">
        <v>2.5609999999999999</v>
      </c>
      <c r="W86" s="100">
        <f t="shared" si="1"/>
        <v>2.41003689527024</v>
      </c>
    </row>
    <row r="87" spans="1:23" x14ac:dyDescent="0.35">
      <c r="A87" s="90" t="s">
        <v>586</v>
      </c>
      <c r="B87" s="90" t="s">
        <v>654</v>
      </c>
      <c r="C87" s="98">
        <v>2.9560258753336122E-2</v>
      </c>
      <c r="D87" s="99">
        <v>0.3483533742255629</v>
      </c>
      <c r="E87" s="100">
        <v>0.20315822263521355</v>
      </c>
      <c r="G87" s="112" t="s">
        <v>426</v>
      </c>
      <c r="H87" s="110">
        <v>67.205820265011681</v>
      </c>
      <c r="I87" s="102">
        <v>105</v>
      </c>
      <c r="J87" s="103">
        <v>10</v>
      </c>
      <c r="K87" s="90"/>
      <c r="L87" s="98">
        <v>6.6258183001417628</v>
      </c>
      <c r="M87" s="99">
        <v>1.1493004370652051</v>
      </c>
      <c r="N87" s="99">
        <v>0.5008769821586383</v>
      </c>
      <c r="O87" s="99">
        <v>0.59299999999999997</v>
      </c>
      <c r="P87" s="99">
        <v>2.9260000000000002</v>
      </c>
      <c r="Q87" s="99">
        <v>-4.7140000000000004</v>
      </c>
      <c r="R87" s="99">
        <v>2.4369999999999998</v>
      </c>
      <c r="S87" s="99">
        <v>-0.55200000000000005</v>
      </c>
      <c r="T87" s="99">
        <v>-8.8550000000000004</v>
      </c>
      <c r="U87" s="99">
        <v>1.3080000000000001</v>
      </c>
      <c r="V87" s="100">
        <v>8.1769999999999996</v>
      </c>
      <c r="W87" s="100">
        <f t="shared" si="1"/>
        <v>0.27575579843038822</v>
      </c>
    </row>
    <row r="88" spans="1:23" x14ac:dyDescent="0.35">
      <c r="A88" s="90" t="s">
        <v>571</v>
      </c>
      <c r="B88" s="90" t="s">
        <v>655</v>
      </c>
      <c r="C88" s="98">
        <v>0.51489333561212103</v>
      </c>
      <c r="D88" s="99">
        <v>1.9645834232370651</v>
      </c>
      <c r="E88" s="100">
        <v>3.7392958747352045</v>
      </c>
      <c r="G88" s="112" t="s">
        <v>402</v>
      </c>
      <c r="H88" s="110">
        <v>70.898067394091115</v>
      </c>
      <c r="I88" s="102">
        <v>86</v>
      </c>
      <c r="J88" s="103">
        <v>15</v>
      </c>
      <c r="K88" s="90"/>
      <c r="L88" s="98">
        <v>-8.8150201010635656E-2</v>
      </c>
      <c r="M88" s="99">
        <v>10.915469454314421</v>
      </c>
      <c r="N88" s="99">
        <v>4.024038625768628</v>
      </c>
      <c r="O88" s="99">
        <v>3.8759999999999999</v>
      </c>
      <c r="P88" s="99">
        <v>4.3360000000000003</v>
      </c>
      <c r="Q88" s="99">
        <v>4.74</v>
      </c>
      <c r="R88" s="99">
        <v>3.4590000000000001</v>
      </c>
      <c r="S88" s="99">
        <v>4.601</v>
      </c>
      <c r="T88" s="99">
        <v>-8.6170000000000009</v>
      </c>
      <c r="U88" s="99">
        <v>3.742</v>
      </c>
      <c r="V88" s="100">
        <v>7</v>
      </c>
      <c r="W88" s="100">
        <f t="shared" si="1"/>
        <v>2.8519396489861348</v>
      </c>
    </row>
    <row r="89" spans="1:23" x14ac:dyDescent="0.35">
      <c r="A89" s="90" t="s">
        <v>571</v>
      </c>
      <c r="B89" s="90" t="s">
        <v>656</v>
      </c>
      <c r="C89" s="98">
        <v>1.7571611332634074</v>
      </c>
      <c r="D89" s="99">
        <v>3.3757795121775569</v>
      </c>
      <c r="E89" s="100">
        <v>5.3509947789500245</v>
      </c>
      <c r="G89" s="112" t="s">
        <v>573</v>
      </c>
      <c r="H89" s="110">
        <v>58.394766440551741</v>
      </c>
      <c r="I89" s="102">
        <v>127</v>
      </c>
      <c r="J89" s="103">
        <v>26</v>
      </c>
      <c r="K89" s="90"/>
      <c r="L89" s="98">
        <v>8.0260984340408665</v>
      </c>
      <c r="M89" s="99">
        <v>8.0263002263775007</v>
      </c>
      <c r="N89" s="99">
        <v>7.6119634407438159</v>
      </c>
      <c r="O89" s="99">
        <v>7.27</v>
      </c>
      <c r="P89" s="99">
        <v>7.0229999999999997</v>
      </c>
      <c r="Q89" s="99">
        <v>6.851</v>
      </c>
      <c r="R89" s="99">
        <v>6.2889999999999997</v>
      </c>
      <c r="S89" s="99">
        <v>4.6520000000000001</v>
      </c>
      <c r="T89" s="99">
        <v>-0.435</v>
      </c>
      <c r="U89" s="99">
        <v>2.0609999999999999</v>
      </c>
      <c r="V89" s="100">
        <v>2.2519999999999998</v>
      </c>
      <c r="W89" s="100">
        <f t="shared" si="1"/>
        <v>4.3633871455637907</v>
      </c>
    </row>
    <row r="90" spans="1:23" x14ac:dyDescent="0.35">
      <c r="A90" s="90" t="s">
        <v>231</v>
      </c>
      <c r="B90" s="90" t="s">
        <v>657</v>
      </c>
      <c r="C90" s="98">
        <v>1.2465800540070626</v>
      </c>
      <c r="D90" s="99">
        <v>2.186383184955365</v>
      </c>
      <c r="E90" s="100">
        <v>2.3979634558628948</v>
      </c>
      <c r="G90" s="112" t="s">
        <v>577</v>
      </c>
      <c r="H90" s="110">
        <v>81.044610107182237</v>
      </c>
      <c r="I90" s="102">
        <v>44</v>
      </c>
      <c r="J90" s="103">
        <v>29</v>
      </c>
      <c r="K90" s="90"/>
      <c r="L90" s="98">
        <v>4.1342316499835752</v>
      </c>
      <c r="M90" s="99">
        <v>2.3280042634440163</v>
      </c>
      <c r="N90" s="99">
        <v>1.9151903779433241</v>
      </c>
      <c r="O90" s="99">
        <v>3.8849999999999998</v>
      </c>
      <c r="P90" s="99">
        <v>2.3690000000000002</v>
      </c>
      <c r="Q90" s="99">
        <v>3.3119999999999998</v>
      </c>
      <c r="R90" s="99">
        <v>3.992</v>
      </c>
      <c r="S90" s="99">
        <v>2.57</v>
      </c>
      <c r="T90" s="99">
        <v>-2.2029999999999998</v>
      </c>
      <c r="U90" s="99">
        <v>4.0640000000000001</v>
      </c>
      <c r="V90" s="100">
        <v>1.976</v>
      </c>
      <c r="W90" s="100">
        <f t="shared" si="1"/>
        <v>2.2921733204091299</v>
      </c>
    </row>
    <row r="91" spans="1:23" x14ac:dyDescent="0.35">
      <c r="A91" s="90" t="s">
        <v>586</v>
      </c>
      <c r="B91" s="90" t="s">
        <v>658</v>
      </c>
      <c r="C91" s="98">
        <v>-11.570507599610414</v>
      </c>
      <c r="D91" s="99">
        <v>-8.8972805759156888</v>
      </c>
      <c r="E91" s="100">
        <v>-3.6804003540223951</v>
      </c>
      <c r="G91" s="112" t="s">
        <v>402</v>
      </c>
      <c r="H91" s="110">
        <v>70.925074776605015</v>
      </c>
      <c r="I91" s="102">
        <v>85</v>
      </c>
      <c r="J91" s="103">
        <v>9</v>
      </c>
      <c r="K91" s="90"/>
      <c r="L91" s="98">
        <v>2.5405417890992656</v>
      </c>
      <c r="M91" s="99">
        <v>3.8110224147865268</v>
      </c>
      <c r="N91" s="99">
        <v>2.4536595719223264</v>
      </c>
      <c r="O91" s="99">
        <v>0.46100000000000002</v>
      </c>
      <c r="P91" s="99">
        <v>1.556</v>
      </c>
      <c r="Q91" s="99">
        <v>0.90300000000000002</v>
      </c>
      <c r="R91" s="99">
        <v>-1.885</v>
      </c>
      <c r="S91" s="99">
        <v>-6.915</v>
      </c>
      <c r="T91" s="99">
        <v>-25.907</v>
      </c>
      <c r="U91" s="99">
        <v>-5.4</v>
      </c>
      <c r="V91" s="100">
        <v>-5.4</v>
      </c>
      <c r="W91" s="100">
        <f t="shared" si="1"/>
        <v>-6.2888404649690415</v>
      </c>
    </row>
    <row r="92" spans="1:23" x14ac:dyDescent="0.35">
      <c r="A92" s="90" t="s">
        <v>575</v>
      </c>
      <c r="B92" s="90" t="s">
        <v>659</v>
      </c>
      <c r="C92" s="98">
        <v>-1.7564836758548363</v>
      </c>
      <c r="D92" s="99">
        <v>-1.6866052500791207</v>
      </c>
      <c r="E92" s="100">
        <v>0.46596555472186996</v>
      </c>
      <c r="G92" s="112" t="s">
        <v>426</v>
      </c>
      <c r="H92" s="110">
        <v>68.290636352612694</v>
      </c>
      <c r="I92" s="102">
        <v>100</v>
      </c>
      <c r="J92" s="103">
        <v>20</v>
      </c>
      <c r="K92" s="90"/>
      <c r="L92" s="98">
        <v>6.7436269408569842</v>
      </c>
      <c r="M92" s="99">
        <v>4.1869122037746749</v>
      </c>
      <c r="N92" s="99">
        <v>2.8839688442816156</v>
      </c>
      <c r="O92" s="99">
        <v>3.2480000000000002</v>
      </c>
      <c r="P92" s="99">
        <v>1.877</v>
      </c>
      <c r="Q92" s="99">
        <v>-2.734</v>
      </c>
      <c r="R92" s="99">
        <v>-1.304</v>
      </c>
      <c r="S92" s="99">
        <v>-1.9710000000000001</v>
      </c>
      <c r="T92" s="99">
        <v>-3.9020000000000001</v>
      </c>
      <c r="U92" s="99">
        <v>2.1019999999999999</v>
      </c>
      <c r="V92" s="100">
        <v>2.093</v>
      </c>
      <c r="W92" s="100">
        <f t="shared" si="1"/>
        <v>-0.61031984767862535</v>
      </c>
    </row>
    <row r="93" spans="1:23" x14ac:dyDescent="0.35">
      <c r="A93" s="90" t="s">
        <v>575</v>
      </c>
      <c r="B93" s="90" t="s">
        <v>660</v>
      </c>
      <c r="C93" s="98">
        <v>2.2030305181955034</v>
      </c>
      <c r="D93" s="99">
        <v>1.043410797540445</v>
      </c>
      <c r="E93" s="100">
        <v>1.5173155129903693</v>
      </c>
      <c r="G93" s="112" t="s">
        <v>573</v>
      </c>
      <c r="H93" s="110">
        <v>56.232966845120316</v>
      </c>
      <c r="I93" s="102">
        <v>130</v>
      </c>
      <c r="J93" s="103">
        <v>32</v>
      </c>
      <c r="K93" s="90"/>
      <c r="L93" s="98">
        <v>7.9938156931364137</v>
      </c>
      <c r="M93" s="99">
        <v>8.6872878163968235</v>
      </c>
      <c r="N93" s="99">
        <v>0.70139310028752089</v>
      </c>
      <c r="O93" s="99">
        <v>7.0000000000000001E-3</v>
      </c>
      <c r="P93" s="99">
        <v>-1.63</v>
      </c>
      <c r="Q93" s="99">
        <v>2.4689999999999999</v>
      </c>
      <c r="R93" s="99">
        <v>1.242</v>
      </c>
      <c r="S93" s="99">
        <v>-2.516</v>
      </c>
      <c r="T93" s="99">
        <v>-2.9670000000000001</v>
      </c>
      <c r="U93" s="99">
        <v>5.0110000000000001</v>
      </c>
      <c r="V93" s="100">
        <v>4.8109999999999999</v>
      </c>
      <c r="W93" s="100">
        <f t="shared" si="1"/>
        <v>1.2803631552654071</v>
      </c>
    </row>
    <row r="94" spans="1:23" x14ac:dyDescent="0.35">
      <c r="A94" s="90" t="s">
        <v>575</v>
      </c>
      <c r="B94" s="90" t="s">
        <v>661</v>
      </c>
      <c r="C94" s="98">
        <v>5.1304452243001952</v>
      </c>
      <c r="D94" s="99">
        <v>3.4484900722276279</v>
      </c>
      <c r="E94" s="100">
        <v>1.2335060569262035</v>
      </c>
      <c r="G94" s="112" t="s">
        <v>573</v>
      </c>
      <c r="H94" s="110">
        <v>48.008478383672035</v>
      </c>
      <c r="I94" s="102">
        <v>140</v>
      </c>
      <c r="J94" s="103">
        <v>38</v>
      </c>
      <c r="K94" s="90"/>
      <c r="L94" s="98">
        <v>274.10446739057375</v>
      </c>
      <c r="M94" s="99">
        <v>-13.994834968637873</v>
      </c>
      <c r="N94" s="99">
        <v>-10.842440326997824</v>
      </c>
      <c r="O94" s="99">
        <v>-0.84299999999999997</v>
      </c>
      <c r="P94" s="99">
        <v>-1.4910000000000001</v>
      </c>
      <c r="Q94" s="99">
        <v>32.491999999999997</v>
      </c>
      <c r="R94" s="99">
        <v>7.9409999999999998</v>
      </c>
      <c r="S94" s="99">
        <v>-11.196</v>
      </c>
      <c r="T94" s="99">
        <v>-29.456</v>
      </c>
      <c r="U94" s="99">
        <v>28.335000000000001</v>
      </c>
      <c r="V94" s="100">
        <v>-12.813000000000001</v>
      </c>
      <c r="W94" s="100">
        <f t="shared" si="1"/>
        <v>2.3409980645769157</v>
      </c>
    </row>
    <row r="95" spans="1:23" x14ac:dyDescent="0.35">
      <c r="A95" s="90" t="s">
        <v>231</v>
      </c>
      <c r="B95" s="90" t="s">
        <v>662</v>
      </c>
      <c r="C95" s="98">
        <v>2.5853990379055336</v>
      </c>
      <c r="D95" s="99">
        <v>3.2350334175799356</v>
      </c>
      <c r="E95" s="100">
        <v>3.2063173772679532</v>
      </c>
      <c r="G95" s="112" t="s">
        <v>577</v>
      </c>
      <c r="H95" s="110">
        <v>80.769738018881156</v>
      </c>
      <c r="I95" s="102">
        <v>45</v>
      </c>
      <c r="J95" s="103">
        <v>30</v>
      </c>
      <c r="K95" s="90"/>
      <c r="L95" s="98">
        <v>3.8333027642866848</v>
      </c>
      <c r="M95" s="99">
        <v>3.5584246313476826</v>
      </c>
      <c r="N95" s="99">
        <v>3.5079712171273361</v>
      </c>
      <c r="O95" s="99">
        <v>2.024</v>
      </c>
      <c r="P95" s="99">
        <v>2.5190000000000001</v>
      </c>
      <c r="Q95" s="99">
        <v>4.282</v>
      </c>
      <c r="R95" s="99">
        <v>3.9929999999999999</v>
      </c>
      <c r="S95" s="99">
        <v>4.625</v>
      </c>
      <c r="T95" s="99">
        <v>-2.1999999999999999E-2</v>
      </c>
      <c r="U95" s="99">
        <v>5.9809999999999999</v>
      </c>
      <c r="V95" s="100">
        <v>1.8879999999999999</v>
      </c>
      <c r="W95" s="100">
        <f t="shared" si="1"/>
        <v>3.2206753974239444</v>
      </c>
    </row>
    <row r="96" spans="1:23" x14ac:dyDescent="0.35">
      <c r="A96" s="90" t="s">
        <v>231</v>
      </c>
      <c r="B96" s="90" t="s">
        <v>663</v>
      </c>
      <c r="C96" s="98">
        <v>1.9225945961039326</v>
      </c>
      <c r="D96" s="99">
        <v>1.8607829332780268</v>
      </c>
      <c r="E96" s="100">
        <v>2.36159954003623</v>
      </c>
      <c r="G96" s="112" t="s">
        <v>419</v>
      </c>
      <c r="H96" s="110">
        <v>96.778306193425522</v>
      </c>
      <c r="I96" s="102">
        <v>9</v>
      </c>
      <c r="J96" s="103">
        <v>7</v>
      </c>
      <c r="K96" s="90"/>
      <c r="L96" s="98">
        <v>1.6499020297865346</v>
      </c>
      <c r="M96" s="99">
        <v>3.1717904991600552</v>
      </c>
      <c r="N96" s="99">
        <v>2.6230860157719222</v>
      </c>
      <c r="O96" s="99">
        <v>2.2679999999999998</v>
      </c>
      <c r="P96" s="99">
        <v>4.9779999999999998</v>
      </c>
      <c r="Q96" s="99">
        <v>1.3169999999999999</v>
      </c>
      <c r="R96" s="99">
        <v>1.2190000000000001</v>
      </c>
      <c r="S96" s="99">
        <v>2.3199999999999998</v>
      </c>
      <c r="T96" s="99">
        <v>-0.79700000000000004</v>
      </c>
      <c r="U96" s="99">
        <v>5.1029999999999998</v>
      </c>
      <c r="V96" s="100">
        <v>1.5489999999999999</v>
      </c>
      <c r="W96" s="100">
        <f t="shared" si="1"/>
        <v>2.1111912366571284</v>
      </c>
    </row>
    <row r="97" spans="1:23" x14ac:dyDescent="0.35">
      <c r="A97" s="90" t="s">
        <v>575</v>
      </c>
      <c r="B97" s="90" t="s">
        <v>664</v>
      </c>
      <c r="C97" s="98">
        <v>0.34284241084634459</v>
      </c>
      <c r="D97" s="99">
        <v>1.7120658983774018</v>
      </c>
      <c r="E97" s="100">
        <v>2.5217225637742979</v>
      </c>
      <c r="G97" s="112" t="s">
        <v>573</v>
      </c>
      <c r="H97" s="110">
        <v>48.940679032016362</v>
      </c>
      <c r="I97" s="102">
        <v>139</v>
      </c>
      <c r="J97" s="103">
        <v>37</v>
      </c>
      <c r="K97" s="90"/>
      <c r="L97" s="98">
        <v>3.0111464075530683</v>
      </c>
      <c r="M97" s="99">
        <v>2.3003869344771051</v>
      </c>
      <c r="N97" s="99">
        <v>3.3392022440733014</v>
      </c>
      <c r="O97" s="99">
        <v>3.1320000000000001</v>
      </c>
      <c r="P97" s="99">
        <v>3.9929999999999999</v>
      </c>
      <c r="Q97" s="99">
        <v>3.9329999999999998</v>
      </c>
      <c r="R97" s="99">
        <v>3.194</v>
      </c>
      <c r="S97" s="99">
        <v>4.4109999999999996</v>
      </c>
      <c r="T97" s="99">
        <v>-7.1379999999999999</v>
      </c>
      <c r="U97" s="99">
        <v>5.74</v>
      </c>
      <c r="V97" s="100">
        <v>4.21</v>
      </c>
      <c r="W97" s="100">
        <f t="shared" si="1"/>
        <v>2.1168942310758498</v>
      </c>
    </row>
    <row r="98" spans="1:23" x14ac:dyDescent="0.35">
      <c r="A98" s="90" t="s">
        <v>575</v>
      </c>
      <c r="B98" s="90" t="s">
        <v>665</v>
      </c>
      <c r="C98" s="98">
        <v>1.446318587345985</v>
      </c>
      <c r="D98" s="99">
        <v>2.8212259957555386</v>
      </c>
      <c r="E98" s="100">
        <v>3.4233840163588436</v>
      </c>
      <c r="G98" s="112" t="s">
        <v>402</v>
      </c>
      <c r="H98" s="110">
        <v>72.879134631330203</v>
      </c>
      <c r="I98" s="102">
        <v>77</v>
      </c>
      <c r="J98" s="103">
        <v>8</v>
      </c>
      <c r="K98" s="90"/>
      <c r="L98" s="98">
        <v>1.8857995075156477</v>
      </c>
      <c r="M98" s="99">
        <v>5.1999999956050429</v>
      </c>
      <c r="N98" s="99">
        <v>5.7000000050572197</v>
      </c>
      <c r="O98" s="99">
        <v>2.95</v>
      </c>
      <c r="P98" s="99">
        <v>2.27</v>
      </c>
      <c r="Q98" s="99">
        <v>4</v>
      </c>
      <c r="R98" s="99">
        <v>4.3920000000000003</v>
      </c>
      <c r="S98" s="99">
        <v>5.4480000000000004</v>
      </c>
      <c r="T98" s="99">
        <v>0.91300000000000003</v>
      </c>
      <c r="U98" s="99">
        <v>4.5670000000000002</v>
      </c>
      <c r="V98" s="100">
        <v>0.8</v>
      </c>
      <c r="W98" s="100">
        <f t="shared" si="1"/>
        <v>3.1223050060571911</v>
      </c>
    </row>
    <row r="99" spans="1:23" x14ac:dyDescent="0.35">
      <c r="A99" s="90" t="s">
        <v>571</v>
      </c>
      <c r="B99" s="90" t="s">
        <v>666</v>
      </c>
      <c r="C99" s="98">
        <v>1.9142421361718398</v>
      </c>
      <c r="D99" s="99">
        <v>3.0011020126644361</v>
      </c>
      <c r="E99" s="100">
        <v>4.0922822936961589</v>
      </c>
      <c r="G99" s="112" t="s">
        <v>402</v>
      </c>
      <c r="H99" s="110">
        <v>76.114633172938127</v>
      </c>
      <c r="I99" s="102">
        <v>66</v>
      </c>
      <c r="J99" s="103">
        <v>9</v>
      </c>
      <c r="K99" s="90"/>
      <c r="L99" s="98">
        <v>5.4734541925385383</v>
      </c>
      <c r="M99" s="99">
        <v>4.6937225255789317</v>
      </c>
      <c r="N99" s="99">
        <v>6.0067219455820462</v>
      </c>
      <c r="O99" s="99">
        <v>5.0069999999999997</v>
      </c>
      <c r="P99" s="99">
        <v>4.45</v>
      </c>
      <c r="Q99" s="99">
        <v>5.8129999999999997</v>
      </c>
      <c r="R99" s="99">
        <v>4.843</v>
      </c>
      <c r="S99" s="99">
        <v>4.4130000000000003</v>
      </c>
      <c r="T99" s="99">
        <v>-5.5339999999999998</v>
      </c>
      <c r="U99" s="99">
        <v>3.0920000000000001</v>
      </c>
      <c r="V99" s="100">
        <v>8.6940000000000008</v>
      </c>
      <c r="W99" s="100">
        <f t="shared" si="1"/>
        <v>3.5466921531802975</v>
      </c>
    </row>
    <row r="100" spans="1:23" x14ac:dyDescent="0.35">
      <c r="A100" s="90" t="s">
        <v>575</v>
      </c>
      <c r="B100" s="90" t="s">
        <v>667</v>
      </c>
      <c r="C100" s="98">
        <v>1.8165870919236937</v>
      </c>
      <c r="D100" s="99">
        <v>2.9671130334121942</v>
      </c>
      <c r="E100" s="100">
        <v>4.1460050619633648</v>
      </c>
      <c r="G100" s="112" t="s">
        <v>573</v>
      </c>
      <c r="H100" s="110">
        <v>43.633236095724527</v>
      </c>
      <c r="I100" s="102">
        <v>146</v>
      </c>
      <c r="J100" s="103">
        <v>41</v>
      </c>
      <c r="K100" s="90"/>
      <c r="L100" s="98">
        <v>-0.83662749707312833</v>
      </c>
      <c r="M100" s="99">
        <v>2.3037669581925009</v>
      </c>
      <c r="N100" s="99">
        <v>7.1014223480749816</v>
      </c>
      <c r="O100" s="99">
        <v>6.1719999999999997</v>
      </c>
      <c r="P100" s="99">
        <v>5.8520000000000003</v>
      </c>
      <c r="Q100" s="99">
        <v>5.3049999999999997</v>
      </c>
      <c r="R100" s="99">
        <v>4.7460000000000004</v>
      </c>
      <c r="S100" s="99">
        <v>4.7649999999999997</v>
      </c>
      <c r="T100" s="99">
        <v>-1.244</v>
      </c>
      <c r="U100" s="99">
        <v>3.0550000000000002</v>
      </c>
      <c r="V100" s="100">
        <v>3.7040000000000002</v>
      </c>
      <c r="W100" s="100">
        <f t="shared" si="1"/>
        <v>3.5565590476877795</v>
      </c>
    </row>
    <row r="101" spans="1:23" x14ac:dyDescent="0.35">
      <c r="A101" s="90" t="s">
        <v>231</v>
      </c>
      <c r="B101" s="90" t="s">
        <v>668</v>
      </c>
      <c r="C101" s="98">
        <v>2.6124059576447589</v>
      </c>
      <c r="D101" s="99">
        <v>4.3931536419201889</v>
      </c>
      <c r="E101" s="100">
        <v>5.6722564665051767</v>
      </c>
      <c r="G101" s="112" t="s">
        <v>577</v>
      </c>
      <c r="H101" s="110">
        <v>86.894246999173433</v>
      </c>
      <c r="I101" s="102">
        <v>33</v>
      </c>
      <c r="J101" s="103">
        <v>22</v>
      </c>
      <c r="K101" s="90"/>
      <c r="L101" s="98">
        <v>4.1177072993516513</v>
      </c>
      <c r="M101" s="99">
        <v>5.4733556954527041</v>
      </c>
      <c r="N101" s="99">
        <v>7.6335381123007346</v>
      </c>
      <c r="O101" s="99">
        <v>9.6080000000000005</v>
      </c>
      <c r="P101" s="99">
        <v>3.3809999999999998</v>
      </c>
      <c r="Q101" s="99">
        <v>10.869</v>
      </c>
      <c r="R101" s="99">
        <v>6.1929999999999996</v>
      </c>
      <c r="S101" s="99">
        <v>7.0090000000000003</v>
      </c>
      <c r="T101" s="99">
        <v>-8.6120000000000001</v>
      </c>
      <c r="U101" s="99">
        <v>11.805999999999999</v>
      </c>
      <c r="V101" s="100">
        <v>6.851</v>
      </c>
      <c r="W101" s="100">
        <f t="shared" si="1"/>
        <v>5.0327050542126823</v>
      </c>
    </row>
    <row r="102" spans="1:23" x14ac:dyDescent="0.35">
      <c r="A102" s="90" t="s">
        <v>575</v>
      </c>
      <c r="B102" s="90" t="s">
        <v>669</v>
      </c>
      <c r="C102" s="98">
        <v>10.380851809157976</v>
      </c>
      <c r="D102" s="99">
        <v>8.3436024853472226</v>
      </c>
      <c r="E102" s="100">
        <v>5.9978829377542953</v>
      </c>
      <c r="G102" s="112" t="s">
        <v>426</v>
      </c>
      <c r="H102" s="110">
        <v>67.535233245846925</v>
      </c>
      <c r="I102" s="102">
        <v>103</v>
      </c>
      <c r="J102" s="103">
        <v>23</v>
      </c>
      <c r="K102" s="90"/>
      <c r="L102" s="98">
        <v>4.4700131823368974</v>
      </c>
      <c r="M102" s="99">
        <v>4.150813186271721</v>
      </c>
      <c r="N102" s="99">
        <v>4.2748232713028473</v>
      </c>
      <c r="O102" s="99">
        <v>5.3760000000000003</v>
      </c>
      <c r="P102" s="99">
        <v>1.2609999999999999</v>
      </c>
      <c r="Q102" s="99">
        <v>6.2709999999999999</v>
      </c>
      <c r="R102" s="99">
        <v>4.7729999999999997</v>
      </c>
      <c r="S102" s="99">
        <v>5.4290000000000003</v>
      </c>
      <c r="T102" s="99">
        <v>-0.93799999999999994</v>
      </c>
      <c r="U102" s="99">
        <v>2.4449999999999998</v>
      </c>
      <c r="V102" s="100">
        <v>4.96</v>
      </c>
      <c r="W102" s="100">
        <f t="shared" si="1"/>
        <v>7.1707427115507585</v>
      </c>
    </row>
    <row r="103" spans="1:23" x14ac:dyDescent="0.35">
      <c r="A103" s="90" t="s">
        <v>575</v>
      </c>
      <c r="B103" s="90" t="s">
        <v>670</v>
      </c>
      <c r="C103" s="98">
        <v>-1.3801179259189</v>
      </c>
      <c r="D103" s="99">
        <v>1.2027047615812192</v>
      </c>
      <c r="E103" s="100">
        <v>2.4249070445692134</v>
      </c>
      <c r="G103" s="112" t="s">
        <v>577</v>
      </c>
      <c r="H103" s="110">
        <v>86.159393229935986</v>
      </c>
      <c r="I103" s="102">
        <v>35</v>
      </c>
      <c r="J103" s="103">
        <v>1</v>
      </c>
      <c r="K103" s="90"/>
      <c r="L103" s="98">
        <v>3.4961183375797935</v>
      </c>
      <c r="M103" s="99">
        <v>3.3604061030308432</v>
      </c>
      <c r="N103" s="99">
        <v>3.7445757725785316</v>
      </c>
      <c r="O103" s="99">
        <v>3.6909999999999998</v>
      </c>
      <c r="P103" s="99">
        <v>3.8620000000000001</v>
      </c>
      <c r="Q103" s="99">
        <v>3.9380000000000002</v>
      </c>
      <c r="R103" s="99">
        <v>4.0069999999999997</v>
      </c>
      <c r="S103" s="99">
        <v>2.891</v>
      </c>
      <c r="T103" s="99">
        <v>-14.598000000000001</v>
      </c>
      <c r="U103" s="99">
        <v>3.4990000000000001</v>
      </c>
      <c r="V103" s="100">
        <v>8.3000000000000007</v>
      </c>
      <c r="W103" s="100">
        <f t="shared" si="1"/>
        <v>1.8138059030752163</v>
      </c>
    </row>
    <row r="104" spans="1:23" x14ac:dyDescent="0.35">
      <c r="A104" s="90" t="s">
        <v>579</v>
      </c>
      <c r="B104" s="90" t="s">
        <v>671</v>
      </c>
      <c r="C104" s="98">
        <v>-0.23058449292154837</v>
      </c>
      <c r="D104" s="99">
        <v>0.18053445950247937</v>
      </c>
      <c r="E104" s="100">
        <v>1.3300326593307599</v>
      </c>
      <c r="G104" s="112" t="s">
        <v>402</v>
      </c>
      <c r="H104" s="110">
        <v>70.665681404041052</v>
      </c>
      <c r="I104" s="102">
        <v>87</v>
      </c>
      <c r="J104" s="103">
        <v>11</v>
      </c>
      <c r="K104" s="90"/>
      <c r="L104" s="98">
        <v>3.6423226794134638</v>
      </c>
      <c r="M104" s="99">
        <v>1.3540919615167941</v>
      </c>
      <c r="N104" s="99">
        <v>2.8043401283809737</v>
      </c>
      <c r="O104" s="99">
        <v>3.2930000000000001</v>
      </c>
      <c r="P104" s="99">
        <v>2.6309999999999998</v>
      </c>
      <c r="Q104" s="99">
        <v>2.113</v>
      </c>
      <c r="R104" s="99">
        <v>2.1949999999999998</v>
      </c>
      <c r="S104" s="99">
        <v>-0.19900000000000001</v>
      </c>
      <c r="T104" s="99">
        <v>-7.9880000000000004</v>
      </c>
      <c r="U104" s="99">
        <v>4.7210000000000001</v>
      </c>
      <c r="V104" s="100">
        <v>3.0659999999999998</v>
      </c>
      <c r="W104" s="100">
        <f t="shared" si="1"/>
        <v>0.75528355941661962</v>
      </c>
    </row>
    <row r="105" spans="1:23" x14ac:dyDescent="0.35">
      <c r="A105" s="90" t="s">
        <v>231</v>
      </c>
      <c r="B105" s="90" t="s">
        <v>672</v>
      </c>
      <c r="C105" s="98">
        <v>-0.11659435485397163</v>
      </c>
      <c r="D105" s="99">
        <v>1.5069892590011902</v>
      </c>
      <c r="E105" s="100">
        <v>3.001683990106474</v>
      </c>
      <c r="G105" s="112" t="s">
        <v>577</v>
      </c>
      <c r="H105" s="110">
        <v>79.52270940766131</v>
      </c>
      <c r="I105" s="102">
        <v>52</v>
      </c>
      <c r="J105" s="103">
        <v>33</v>
      </c>
      <c r="K105" s="90"/>
      <c r="L105" s="98">
        <v>-0.58973412591981322</v>
      </c>
      <c r="M105" s="99">
        <v>9.0438654824314977</v>
      </c>
      <c r="N105" s="99">
        <v>4.9996256689180685</v>
      </c>
      <c r="O105" s="99">
        <v>-0.33800000000000002</v>
      </c>
      <c r="P105" s="99">
        <v>4.4089999999999998</v>
      </c>
      <c r="Q105" s="99">
        <v>4.2</v>
      </c>
      <c r="R105" s="99">
        <v>4.0999999999999996</v>
      </c>
      <c r="S105" s="99">
        <v>3.6</v>
      </c>
      <c r="T105" s="99">
        <v>-8.3000000000000007</v>
      </c>
      <c r="U105" s="99">
        <v>13.945</v>
      </c>
      <c r="V105" s="100">
        <v>-5.5759999999999996</v>
      </c>
      <c r="W105" s="100">
        <f t="shared" si="1"/>
        <v>2.2543366245538321</v>
      </c>
    </row>
    <row r="106" spans="1:23" x14ac:dyDescent="0.35">
      <c r="A106" s="90" t="s">
        <v>571</v>
      </c>
      <c r="B106" s="90" t="s">
        <v>673</v>
      </c>
      <c r="C106" s="98">
        <v>0.5652165458427838</v>
      </c>
      <c r="D106" s="99">
        <v>3.0624452280082259</v>
      </c>
      <c r="E106" s="100">
        <v>4.33160969781623</v>
      </c>
      <c r="G106" s="112" t="s">
        <v>577</v>
      </c>
      <c r="H106" s="110">
        <v>78.890549447741549</v>
      </c>
      <c r="I106" s="102">
        <v>56</v>
      </c>
      <c r="J106" s="103">
        <v>8</v>
      </c>
      <c r="K106" s="90"/>
      <c r="L106" s="98">
        <v>12.319819848483753</v>
      </c>
      <c r="M106" s="99">
        <v>11.648916189886327</v>
      </c>
      <c r="N106" s="99">
        <v>7.8852254815193961</v>
      </c>
      <c r="O106" s="99">
        <v>2.41</v>
      </c>
      <c r="P106" s="99">
        <v>1.49</v>
      </c>
      <c r="Q106" s="99">
        <v>5.6369999999999996</v>
      </c>
      <c r="R106" s="99">
        <v>7.7450000000000001</v>
      </c>
      <c r="S106" s="99">
        <v>5.6020000000000003</v>
      </c>
      <c r="T106" s="99">
        <v>-4.5579999999999998</v>
      </c>
      <c r="U106" s="99">
        <v>1.637</v>
      </c>
      <c r="V106" s="100">
        <v>4.8460000000000001</v>
      </c>
      <c r="W106" s="100">
        <f t="shared" si="1"/>
        <v>3.6970274629122279</v>
      </c>
    </row>
    <row r="107" spans="1:23" x14ac:dyDescent="0.35">
      <c r="A107" s="90" t="s">
        <v>575</v>
      </c>
      <c r="B107" s="90" t="s">
        <v>674</v>
      </c>
      <c r="C107" s="98">
        <v>2.7484311837486786</v>
      </c>
      <c r="D107" s="99">
        <v>3.8040844105169391</v>
      </c>
      <c r="E107" s="100">
        <v>4.437166103247403</v>
      </c>
      <c r="G107" s="112" t="s">
        <v>402</v>
      </c>
      <c r="H107" s="110">
        <v>76.129604349240608</v>
      </c>
      <c r="I107" s="102">
        <v>65</v>
      </c>
      <c r="J107" s="103">
        <v>4</v>
      </c>
      <c r="K107" s="90"/>
      <c r="L107" s="98">
        <v>1.2735415748875247</v>
      </c>
      <c r="M107" s="99">
        <v>4.8919045547561728</v>
      </c>
      <c r="N107" s="99">
        <v>5.1501913509219497</v>
      </c>
      <c r="O107" s="99">
        <v>4.3449999999999998</v>
      </c>
      <c r="P107" s="99">
        <v>0.52100000000000002</v>
      </c>
      <c r="Q107" s="99">
        <v>5.0579999999999998</v>
      </c>
      <c r="R107" s="99">
        <v>3.0659999999999998</v>
      </c>
      <c r="S107" s="99">
        <v>2.891</v>
      </c>
      <c r="T107" s="99">
        <v>-7.1870000000000003</v>
      </c>
      <c r="U107" s="99">
        <v>7.93</v>
      </c>
      <c r="V107" s="100">
        <v>1.135</v>
      </c>
      <c r="W107" s="100">
        <f t="shared" si="1"/>
        <v>4.1206252568821711</v>
      </c>
    </row>
    <row r="108" spans="1:23" x14ac:dyDescent="0.35">
      <c r="A108" s="90" t="s">
        <v>575</v>
      </c>
      <c r="B108" s="90" t="s">
        <v>675</v>
      </c>
      <c r="C108" s="98">
        <v>1.7345974801987962</v>
      </c>
      <c r="D108" s="99">
        <v>2.1902907307407293</v>
      </c>
      <c r="E108" s="100">
        <v>3.9391606371984134</v>
      </c>
      <c r="G108" s="112" t="s">
        <v>426</v>
      </c>
      <c r="H108" s="110">
        <v>66.134592515292979</v>
      </c>
      <c r="I108" s="102">
        <v>110</v>
      </c>
      <c r="J108" s="103">
        <v>25</v>
      </c>
      <c r="K108" s="90"/>
      <c r="L108" s="98">
        <v>7.2584392525877934</v>
      </c>
      <c r="M108" s="99">
        <v>6.9636071348707169</v>
      </c>
      <c r="N108" s="99">
        <v>7.3985127971386246</v>
      </c>
      <c r="O108" s="99">
        <v>6.7229999999999999</v>
      </c>
      <c r="P108" s="99">
        <v>3.8239999999999998</v>
      </c>
      <c r="Q108" s="99">
        <v>3.7410000000000001</v>
      </c>
      <c r="R108" s="99">
        <v>3.444</v>
      </c>
      <c r="S108" s="99">
        <v>2.3149999999999999</v>
      </c>
      <c r="T108" s="99">
        <v>-1.1990000000000001</v>
      </c>
      <c r="U108" s="99">
        <v>2.3279999999999998</v>
      </c>
      <c r="V108" s="100">
        <v>4.1479999999999997</v>
      </c>
      <c r="W108" s="100">
        <f t="shared" si="1"/>
        <v>3.0647256839695713</v>
      </c>
    </row>
    <row r="109" spans="1:23" x14ac:dyDescent="0.35">
      <c r="A109" s="90" t="s">
        <v>571</v>
      </c>
      <c r="B109" s="90" t="s">
        <v>676</v>
      </c>
      <c r="C109" s="98">
        <v>-4.7700497073887238</v>
      </c>
      <c r="D109" s="99">
        <v>-0.38368451177455132</v>
      </c>
      <c r="E109" s="100">
        <v>3.2897594501001937</v>
      </c>
      <c r="G109" s="112" t="s">
        <v>426</v>
      </c>
      <c r="H109" s="110">
        <v>65.606474585171327</v>
      </c>
      <c r="I109" s="102">
        <v>111</v>
      </c>
      <c r="J109" s="103">
        <v>22</v>
      </c>
      <c r="K109" s="90"/>
      <c r="L109" s="98">
        <v>6.4857540044064299</v>
      </c>
      <c r="M109" s="99">
        <v>7.8986694782381086</v>
      </c>
      <c r="N109" s="99">
        <v>8.1996637504261933</v>
      </c>
      <c r="O109" s="99">
        <v>7.4729999999999999</v>
      </c>
      <c r="P109" s="99">
        <v>6.4080000000000004</v>
      </c>
      <c r="Q109" s="99">
        <v>5.75</v>
      </c>
      <c r="R109" s="99">
        <v>6.4050000000000002</v>
      </c>
      <c r="S109" s="99">
        <v>6.75</v>
      </c>
      <c r="T109" s="99">
        <v>3.1890000000000001</v>
      </c>
      <c r="U109" s="99">
        <v>-17.937999999999999</v>
      </c>
      <c r="V109" s="100">
        <v>1.9710000000000001</v>
      </c>
      <c r="W109" s="100">
        <f t="shared" si="1"/>
        <v>1.4530374691628212</v>
      </c>
    </row>
    <row r="110" spans="1:23" x14ac:dyDescent="0.35">
      <c r="A110" s="90" t="s">
        <v>575</v>
      </c>
      <c r="B110" s="90" t="s">
        <v>677</v>
      </c>
      <c r="C110" s="98">
        <v>5.9000128031017951</v>
      </c>
      <c r="D110" s="99">
        <v>3.7913046668829331</v>
      </c>
      <c r="E110" s="100">
        <v>3.4125855123770643</v>
      </c>
      <c r="G110" s="112" t="s">
        <v>402</v>
      </c>
      <c r="H110" s="110">
        <v>72.202169838266542</v>
      </c>
      <c r="I110" s="102">
        <v>79</v>
      </c>
      <c r="J110" s="103">
        <v>10</v>
      </c>
      <c r="K110" s="90"/>
      <c r="L110" s="98">
        <v>5.061682013267613</v>
      </c>
      <c r="M110" s="99">
        <v>5.6147197006409399</v>
      </c>
      <c r="N110" s="99">
        <v>5.7577888470497651</v>
      </c>
      <c r="O110" s="99">
        <v>4.2640000000000002</v>
      </c>
      <c r="P110" s="99">
        <v>3.4000000000000002E-2</v>
      </c>
      <c r="Q110" s="99">
        <v>-1.0269999999999999</v>
      </c>
      <c r="R110" s="99">
        <v>1.06</v>
      </c>
      <c r="S110" s="99">
        <v>-0.83899999999999997</v>
      </c>
      <c r="T110" s="99">
        <v>-8.0359999999999996</v>
      </c>
      <c r="U110" s="99">
        <v>2.6560000000000001</v>
      </c>
      <c r="V110" s="100">
        <v>3.8420000000000001</v>
      </c>
      <c r="W110" s="100">
        <f t="shared" si="1"/>
        <v>3.6019450896299987</v>
      </c>
    </row>
    <row r="111" spans="1:23" x14ac:dyDescent="0.35">
      <c r="A111" s="90" t="s">
        <v>571</v>
      </c>
      <c r="B111" s="90" t="s">
        <v>678</v>
      </c>
      <c r="C111" s="98">
        <v>2.509308980392877</v>
      </c>
      <c r="D111" s="99">
        <v>4.3365366697670549</v>
      </c>
      <c r="E111" s="100">
        <v>4.4414058742941132</v>
      </c>
      <c r="G111" s="112" t="s">
        <v>573</v>
      </c>
      <c r="H111" s="110">
        <v>47.880656607147813</v>
      </c>
      <c r="I111" s="102">
        <v>141</v>
      </c>
      <c r="J111" s="103">
        <v>29</v>
      </c>
      <c r="K111" s="90"/>
      <c r="L111" s="98">
        <v>4.6701221485020756</v>
      </c>
      <c r="M111" s="99">
        <v>3.525153173819251</v>
      </c>
      <c r="N111" s="99">
        <v>6.0114828408077567</v>
      </c>
      <c r="O111" s="99">
        <v>3.976</v>
      </c>
      <c r="P111" s="99">
        <v>0.433</v>
      </c>
      <c r="Q111" s="99">
        <v>8.9770000000000003</v>
      </c>
      <c r="R111" s="99">
        <v>7.6219999999999999</v>
      </c>
      <c r="S111" s="99">
        <v>6.657</v>
      </c>
      <c r="T111" s="99">
        <v>-2.37</v>
      </c>
      <c r="U111" s="99">
        <v>4.2469999999999999</v>
      </c>
      <c r="V111" s="100">
        <v>5.8380000000000001</v>
      </c>
      <c r="W111" s="100">
        <f t="shared" si="1"/>
        <v>4.3889712720305845</v>
      </c>
    </row>
    <row r="112" spans="1:23" x14ac:dyDescent="0.35">
      <c r="A112" s="90" t="s">
        <v>231</v>
      </c>
      <c r="B112" s="90" t="s">
        <v>679</v>
      </c>
      <c r="C112" s="98">
        <v>1.7497887812736312</v>
      </c>
      <c r="D112" s="99">
        <v>1.8172353151896914</v>
      </c>
      <c r="E112" s="100">
        <v>1.7415218308118652</v>
      </c>
      <c r="G112" s="112" t="s">
        <v>419</v>
      </c>
      <c r="H112" s="110">
        <v>97.320188246923195</v>
      </c>
      <c r="I112" s="102">
        <v>6</v>
      </c>
      <c r="J112" s="103">
        <v>4</v>
      </c>
      <c r="K112" s="90"/>
      <c r="L112" s="98">
        <v>-1.0303540066027346</v>
      </c>
      <c r="M112" s="99">
        <v>-0.13017522863902575</v>
      </c>
      <c r="N112" s="99">
        <v>1.4233954098743582</v>
      </c>
      <c r="O112" s="99">
        <v>1.958</v>
      </c>
      <c r="P112" s="99">
        <v>2.1920000000000002</v>
      </c>
      <c r="Q112" s="99">
        <v>2.911</v>
      </c>
      <c r="R112" s="99">
        <v>2.3610000000000002</v>
      </c>
      <c r="S112" s="99">
        <v>1.956</v>
      </c>
      <c r="T112" s="99">
        <v>-3.9129999999999998</v>
      </c>
      <c r="U112" s="99">
        <v>4.883</v>
      </c>
      <c r="V112" s="100">
        <v>4.5179999999999998</v>
      </c>
      <c r="W112" s="100">
        <f t="shared" si="1"/>
        <v>1.7793785730007783</v>
      </c>
    </row>
    <row r="113" spans="1:23" x14ac:dyDescent="0.35">
      <c r="A113" s="90" t="s">
        <v>571</v>
      </c>
      <c r="B113" s="90" t="s">
        <v>680</v>
      </c>
      <c r="C113" s="98">
        <v>1.6101427265492019</v>
      </c>
      <c r="D113" s="99">
        <v>2.5126996765094445</v>
      </c>
      <c r="E113" s="100">
        <v>2.926527233523446</v>
      </c>
      <c r="G113" s="112" t="s">
        <v>419</v>
      </c>
      <c r="H113" s="110">
        <v>98.673978139326721</v>
      </c>
      <c r="I113" s="102">
        <v>1</v>
      </c>
      <c r="J113" s="103">
        <v>1</v>
      </c>
      <c r="K113" s="90"/>
      <c r="L113" s="98">
        <v>2.2395634845413639</v>
      </c>
      <c r="M113" s="99">
        <v>2.6288005896782796</v>
      </c>
      <c r="N113" s="99">
        <v>3.6255957672075687</v>
      </c>
      <c r="O113" s="99">
        <v>3.6909999999999998</v>
      </c>
      <c r="P113" s="99">
        <v>3.8839999999999999</v>
      </c>
      <c r="Q113" s="99">
        <v>3.46</v>
      </c>
      <c r="R113" s="99">
        <v>3.524</v>
      </c>
      <c r="S113" s="99">
        <v>3.0750000000000002</v>
      </c>
      <c r="T113" s="99">
        <v>-1.4770000000000001</v>
      </c>
      <c r="U113" s="99">
        <v>6.0880000000000001</v>
      </c>
      <c r="V113" s="100">
        <v>2.4350000000000001</v>
      </c>
      <c r="W113" s="100">
        <f t="shared" si="1"/>
        <v>2.7196134550164452</v>
      </c>
    </row>
    <row r="114" spans="1:23" x14ac:dyDescent="0.35">
      <c r="A114" s="90" t="s">
        <v>579</v>
      </c>
      <c r="B114" s="90" t="s">
        <v>681</v>
      </c>
      <c r="C114" s="98">
        <v>4.0750139508862748</v>
      </c>
      <c r="D114" s="99">
        <v>0.946067021483743</v>
      </c>
      <c r="E114" s="100">
        <v>2.8253976939387693</v>
      </c>
      <c r="G114" s="112" t="s">
        <v>426</v>
      </c>
      <c r="H114" s="110">
        <v>64.641996561099731</v>
      </c>
      <c r="I114" s="102">
        <v>115</v>
      </c>
      <c r="J114" s="103">
        <v>15</v>
      </c>
      <c r="K114" s="90"/>
      <c r="L114" s="98">
        <v>6.4967472990321502</v>
      </c>
      <c r="M114" s="99">
        <v>4.9267922688301464</v>
      </c>
      <c r="N114" s="99">
        <v>4.7858161704434874</v>
      </c>
      <c r="O114" s="99">
        <v>4.7919999999999998</v>
      </c>
      <c r="P114" s="99">
        <v>4.5629999999999997</v>
      </c>
      <c r="Q114" s="99">
        <v>4.6310000000000002</v>
      </c>
      <c r="R114" s="99">
        <v>-3.363</v>
      </c>
      <c r="S114" s="99">
        <v>-3.78</v>
      </c>
      <c r="T114" s="99">
        <v>-1.7889999999999999</v>
      </c>
      <c r="U114" s="99">
        <v>10.345000000000001</v>
      </c>
      <c r="V114" s="100">
        <v>4.024</v>
      </c>
      <c r="W114" s="100">
        <f t="shared" si="1"/>
        <v>1.8857323577112561</v>
      </c>
    </row>
    <row r="115" spans="1:23" x14ac:dyDescent="0.35">
      <c r="A115" s="90" t="s">
        <v>575</v>
      </c>
      <c r="B115" s="90" t="s">
        <v>682</v>
      </c>
      <c r="C115" s="98">
        <v>5.2681473931170952</v>
      </c>
      <c r="D115" s="99">
        <v>5.8171216819006277</v>
      </c>
      <c r="E115" s="100">
        <v>5.6255556295670361</v>
      </c>
      <c r="G115" s="112" t="s">
        <v>426</v>
      </c>
      <c r="H115" s="110">
        <v>68.812447501404833</v>
      </c>
      <c r="I115" s="102">
        <v>98</v>
      </c>
      <c r="J115" s="103">
        <v>19</v>
      </c>
      <c r="K115" s="90"/>
      <c r="L115" s="98">
        <v>10.599907397446637</v>
      </c>
      <c r="M115" s="99">
        <v>5.5657295960540178</v>
      </c>
      <c r="N115" s="99">
        <v>6.5644262265084619</v>
      </c>
      <c r="O115" s="99">
        <v>4.3929999999999998</v>
      </c>
      <c r="P115" s="99">
        <v>5.7409999999999997</v>
      </c>
      <c r="Q115" s="99">
        <v>5.0010000000000003</v>
      </c>
      <c r="R115" s="99">
        <v>7.0069999999999997</v>
      </c>
      <c r="S115" s="99">
        <v>6.1429999999999998</v>
      </c>
      <c r="T115" s="99">
        <v>3.55</v>
      </c>
      <c r="U115" s="99">
        <v>1.399</v>
      </c>
      <c r="V115" s="100">
        <v>11.111000000000001</v>
      </c>
      <c r="W115" s="100">
        <f t="shared" si="1"/>
        <v>5.7213386557338319</v>
      </c>
    </row>
    <row r="116" spans="1:23" x14ac:dyDescent="0.35">
      <c r="A116" s="90" t="s">
        <v>575</v>
      </c>
      <c r="B116" s="90" t="s">
        <v>683</v>
      </c>
      <c r="C116" s="98">
        <v>1.6711254984559387</v>
      </c>
      <c r="D116" s="99">
        <v>1.8286894595159531</v>
      </c>
      <c r="E116" s="100">
        <v>2.3705025942777347</v>
      </c>
      <c r="G116" s="112" t="s">
        <v>573</v>
      </c>
      <c r="H116" s="110">
        <v>54.117482987279544</v>
      </c>
      <c r="I116" s="102">
        <v>136</v>
      </c>
      <c r="J116" s="103">
        <v>35</v>
      </c>
      <c r="K116" s="90"/>
      <c r="L116" s="98">
        <v>4.2300611751055515</v>
      </c>
      <c r="M116" s="99">
        <v>6.6713353928837664</v>
      </c>
      <c r="N116" s="99">
        <v>6.3097186557238203</v>
      </c>
      <c r="O116" s="99">
        <v>2.653</v>
      </c>
      <c r="P116" s="99">
        <v>-1.617</v>
      </c>
      <c r="Q116" s="99">
        <v>0.80600000000000005</v>
      </c>
      <c r="R116" s="99">
        <v>1.923</v>
      </c>
      <c r="S116" s="99">
        <v>2.2080000000000002</v>
      </c>
      <c r="T116" s="99">
        <v>-1.794</v>
      </c>
      <c r="U116" s="99">
        <v>3.6469999999999998</v>
      </c>
      <c r="V116" s="100">
        <v>3.2519999999999998</v>
      </c>
      <c r="W116" s="100">
        <f t="shared" si="1"/>
        <v>2.0995960268968439</v>
      </c>
    </row>
    <row r="117" spans="1:23" x14ac:dyDescent="0.35">
      <c r="A117" s="90" t="s">
        <v>231</v>
      </c>
      <c r="B117" s="90" t="s">
        <v>684</v>
      </c>
      <c r="C117" s="98">
        <v>-7.5001429328758196E-2</v>
      </c>
      <c r="D117" s="99">
        <v>1.3021650287798892</v>
      </c>
      <c r="E117" s="100">
        <v>2.0797979747829265</v>
      </c>
      <c r="G117" s="112" t="s">
        <v>577</v>
      </c>
      <c r="H117" s="110">
        <v>78.35616814320835</v>
      </c>
      <c r="I117" s="102">
        <v>58</v>
      </c>
      <c r="J117" s="103">
        <v>35</v>
      </c>
      <c r="K117" s="90"/>
      <c r="L117" s="98">
        <v>-0.45618322360793873</v>
      </c>
      <c r="M117" s="99">
        <v>2.9252576645048585</v>
      </c>
      <c r="N117" s="99">
        <v>3.6291235127637393</v>
      </c>
      <c r="O117" s="99">
        <v>3.8559999999999999</v>
      </c>
      <c r="P117" s="99">
        <v>2.8479999999999999</v>
      </c>
      <c r="Q117" s="99">
        <v>1.0820000000000001</v>
      </c>
      <c r="R117" s="99">
        <v>2.8809999999999998</v>
      </c>
      <c r="S117" s="99">
        <v>3.91</v>
      </c>
      <c r="T117" s="99">
        <v>-4.6879999999999997</v>
      </c>
      <c r="U117" s="99">
        <v>3.931</v>
      </c>
      <c r="V117" s="100">
        <v>2.2170000000000001</v>
      </c>
      <c r="W117" s="100">
        <f t="shared" si="1"/>
        <v>1.6909815017814078</v>
      </c>
    </row>
    <row r="118" spans="1:23" x14ac:dyDescent="0.35">
      <c r="A118" s="90" t="s">
        <v>231</v>
      </c>
      <c r="B118" s="90" t="s">
        <v>685</v>
      </c>
      <c r="C118" s="98">
        <v>2.1276786032802697</v>
      </c>
      <c r="D118" s="99">
        <v>2.0038500872442633</v>
      </c>
      <c r="E118" s="100">
        <v>1.8376731142071945</v>
      </c>
      <c r="G118" s="112" t="s">
        <v>419</v>
      </c>
      <c r="H118" s="110">
        <v>96.569623372049904</v>
      </c>
      <c r="I118" s="102">
        <v>10</v>
      </c>
      <c r="J118" s="103">
        <v>8</v>
      </c>
      <c r="K118" s="90"/>
      <c r="L118" s="98">
        <v>2.7030738548426481</v>
      </c>
      <c r="M118" s="99">
        <v>1.0340729135363009</v>
      </c>
      <c r="N118" s="99">
        <v>1.9695443007938924</v>
      </c>
      <c r="O118" s="99">
        <v>1.857</v>
      </c>
      <c r="P118" s="99">
        <v>1.165</v>
      </c>
      <c r="Q118" s="99">
        <v>2.464</v>
      </c>
      <c r="R118" s="99">
        <v>0.82899999999999996</v>
      </c>
      <c r="S118" s="99">
        <v>1.1240000000000001</v>
      </c>
      <c r="T118" s="99">
        <v>-1.278</v>
      </c>
      <c r="U118" s="99">
        <v>3.8980000000000001</v>
      </c>
      <c r="V118" s="100">
        <v>3.2810000000000001</v>
      </c>
      <c r="W118" s="100">
        <f t="shared" si="1"/>
        <v>1.9207616007257289</v>
      </c>
    </row>
    <row r="119" spans="1:23" x14ac:dyDescent="0.35">
      <c r="A119" s="90" t="s">
        <v>586</v>
      </c>
      <c r="B119" s="90" t="s">
        <v>686</v>
      </c>
      <c r="C119" s="98">
        <v>1.2841572452507943</v>
      </c>
      <c r="D119" s="99">
        <v>3.5695383112497314</v>
      </c>
      <c r="E119" s="100">
        <v>3.4884405409466579</v>
      </c>
      <c r="G119" s="112" t="s">
        <v>577</v>
      </c>
      <c r="H119" s="110">
        <v>83.929015692724803</v>
      </c>
      <c r="I119" s="102">
        <v>38</v>
      </c>
      <c r="J119" s="103">
        <v>3</v>
      </c>
      <c r="K119" s="90"/>
      <c r="L119" s="98">
        <v>9.3317368265983944</v>
      </c>
      <c r="M119" s="99">
        <v>4.373453291056836</v>
      </c>
      <c r="N119" s="99">
        <v>2.7522002596044053</v>
      </c>
      <c r="O119" s="99">
        <v>5.0170000000000003</v>
      </c>
      <c r="P119" s="99">
        <v>5.0460000000000003</v>
      </c>
      <c r="Q119" s="99">
        <v>0.30399999999999999</v>
      </c>
      <c r="R119" s="99">
        <v>1.2869999999999999</v>
      </c>
      <c r="S119" s="99">
        <v>-1.1299999999999999</v>
      </c>
      <c r="T119" s="99">
        <v>-3.2</v>
      </c>
      <c r="U119" s="99">
        <v>2.9020000000000001</v>
      </c>
      <c r="V119" s="100">
        <v>4.3109999999999999</v>
      </c>
      <c r="W119" s="100">
        <f t="shared" si="1"/>
        <v>3.5289894260981947</v>
      </c>
    </row>
    <row r="120" spans="1:23" x14ac:dyDescent="0.35">
      <c r="A120" s="90" t="s">
        <v>571</v>
      </c>
      <c r="B120" s="90" t="s">
        <v>687</v>
      </c>
      <c r="C120" s="98">
        <v>-2.8988961286927073</v>
      </c>
      <c r="D120" s="99">
        <v>0.9425802646799708</v>
      </c>
      <c r="E120" s="100">
        <v>2.8446311877570185</v>
      </c>
      <c r="G120" s="112" t="s">
        <v>402</v>
      </c>
      <c r="H120" s="110">
        <v>69.599146780385112</v>
      </c>
      <c r="I120" s="102">
        <v>90</v>
      </c>
      <c r="J120" s="103">
        <v>17</v>
      </c>
      <c r="K120" s="90"/>
      <c r="L120" s="98">
        <v>2.8731257161786412</v>
      </c>
      <c r="M120" s="99">
        <v>4.4745926000517917</v>
      </c>
      <c r="N120" s="99">
        <v>5.7909341243793389</v>
      </c>
      <c r="O120" s="99">
        <v>4.0579999999999998</v>
      </c>
      <c r="P120" s="99">
        <v>4.5629999999999997</v>
      </c>
      <c r="Q120" s="99">
        <v>4.609</v>
      </c>
      <c r="R120" s="99">
        <v>6.0960000000000001</v>
      </c>
      <c r="S120" s="99">
        <v>3.12</v>
      </c>
      <c r="T120" s="99">
        <v>-0.94299999999999995</v>
      </c>
      <c r="U120" s="99">
        <v>5.742</v>
      </c>
      <c r="V120" s="100">
        <v>5.9669999999999996</v>
      </c>
      <c r="W120" s="100">
        <f t="shared" si="1"/>
        <v>1.8936057262184947</v>
      </c>
    </row>
    <row r="121" spans="1:23" x14ac:dyDescent="0.35">
      <c r="A121" s="90" t="s">
        <v>579</v>
      </c>
      <c r="B121" s="90" t="s">
        <v>688</v>
      </c>
      <c r="C121" s="98">
        <v>1.349334889011633</v>
      </c>
      <c r="D121" s="99">
        <v>2.1324418529624634</v>
      </c>
      <c r="E121" s="100">
        <v>3.875737232948695</v>
      </c>
      <c r="G121" s="112" t="s">
        <v>426</v>
      </c>
      <c r="H121" s="110">
        <v>61.957917699729606</v>
      </c>
      <c r="I121" s="102">
        <v>122</v>
      </c>
      <c r="J121" s="103">
        <v>19</v>
      </c>
      <c r="K121" s="90"/>
      <c r="L121" s="98">
        <v>9.7789039456094482</v>
      </c>
      <c r="M121" s="99">
        <v>6.9032725658169563</v>
      </c>
      <c r="N121" s="99">
        <v>5.0667432180278205</v>
      </c>
      <c r="O121" s="99">
        <v>5.7329999999999997</v>
      </c>
      <c r="P121" s="99">
        <v>4.9530000000000003</v>
      </c>
      <c r="Q121" s="99">
        <v>5.5910000000000002</v>
      </c>
      <c r="R121" s="99">
        <v>3.6850000000000001</v>
      </c>
      <c r="S121" s="99">
        <v>2.98</v>
      </c>
      <c r="T121" s="99">
        <v>-17.945</v>
      </c>
      <c r="U121" s="99">
        <v>15.336</v>
      </c>
      <c r="V121" s="100">
        <v>10</v>
      </c>
      <c r="W121" s="100">
        <f t="shared" si="1"/>
        <v>3.0040895429555792</v>
      </c>
    </row>
    <row r="122" spans="1:23" x14ac:dyDescent="0.35">
      <c r="A122" s="90" t="s">
        <v>571</v>
      </c>
      <c r="B122" s="90" t="s">
        <v>689</v>
      </c>
      <c r="C122" s="98">
        <v>0.50696592980361554</v>
      </c>
      <c r="D122" s="99">
        <v>1.127965129390196</v>
      </c>
      <c r="E122" s="100">
        <v>3.7955054005958777</v>
      </c>
      <c r="G122" s="112" t="s">
        <v>573</v>
      </c>
      <c r="H122" s="110">
        <v>55.401075093758223</v>
      </c>
      <c r="I122" s="102">
        <v>131</v>
      </c>
      <c r="J122" s="103">
        <v>27</v>
      </c>
      <c r="K122" s="90"/>
      <c r="L122" s="98">
        <v>4.6571195968623904</v>
      </c>
      <c r="M122" s="99">
        <v>3.8249463280067437</v>
      </c>
      <c r="N122" s="99">
        <v>13.543770621654581</v>
      </c>
      <c r="O122" s="99">
        <v>6.5759999999999996</v>
      </c>
      <c r="P122" s="99">
        <v>5.492</v>
      </c>
      <c r="Q122" s="99">
        <v>3.5350000000000001</v>
      </c>
      <c r="R122" s="99">
        <v>-0.27900000000000003</v>
      </c>
      <c r="S122" s="99">
        <v>4.4800000000000004</v>
      </c>
      <c r="T122" s="99">
        <v>-3.1669999999999998</v>
      </c>
      <c r="U122" s="99">
        <v>7.0000000000000007E-2</v>
      </c>
      <c r="V122" s="100">
        <v>4.5359999999999996</v>
      </c>
      <c r="W122" s="100">
        <f t="shared" si="1"/>
        <v>2.4617352649930369</v>
      </c>
    </row>
    <row r="123" spans="1:23" x14ac:dyDescent="0.35">
      <c r="A123" s="90" t="s">
        <v>579</v>
      </c>
      <c r="B123" s="90" t="s">
        <v>690</v>
      </c>
      <c r="C123" s="98">
        <v>1.1388134852348575</v>
      </c>
      <c r="D123" s="99">
        <v>1.2311721995777125</v>
      </c>
      <c r="E123" s="100">
        <v>3.152890592174673</v>
      </c>
      <c r="G123" s="112" t="s">
        <v>426</v>
      </c>
      <c r="H123" s="110">
        <v>63.814130726333779</v>
      </c>
      <c r="I123" s="102">
        <v>118</v>
      </c>
      <c r="J123" s="103">
        <v>17</v>
      </c>
      <c r="K123" s="90"/>
      <c r="L123" s="98">
        <v>-0.53851294250305837</v>
      </c>
      <c r="M123" s="99">
        <v>8.4174952847030529</v>
      </c>
      <c r="N123" s="99">
        <v>4.8608903705532152</v>
      </c>
      <c r="O123" s="99">
        <v>2.9569999999999999</v>
      </c>
      <c r="P123" s="99">
        <v>4.2679999999999998</v>
      </c>
      <c r="Q123" s="99">
        <v>4.8099999999999996</v>
      </c>
      <c r="R123" s="99">
        <v>3.2040000000000002</v>
      </c>
      <c r="S123" s="99">
        <v>-0.40200000000000002</v>
      </c>
      <c r="T123" s="99">
        <v>-0.82</v>
      </c>
      <c r="U123" s="99">
        <v>4.0170000000000003</v>
      </c>
      <c r="V123" s="100">
        <v>0.2</v>
      </c>
      <c r="W123" s="100">
        <f t="shared" si="1"/>
        <v>2.1920313958761928</v>
      </c>
    </row>
    <row r="124" spans="1:23" x14ac:dyDescent="0.35">
      <c r="A124" s="90" t="s">
        <v>579</v>
      </c>
      <c r="B124" s="90" t="s">
        <v>691</v>
      </c>
      <c r="C124" s="98">
        <v>1.205712245399182</v>
      </c>
      <c r="D124" s="99">
        <v>1.959755918859285</v>
      </c>
      <c r="E124" s="100">
        <v>2.7687545080362863</v>
      </c>
      <c r="G124" s="112" t="s">
        <v>426</v>
      </c>
      <c r="H124" s="110">
        <v>62.494421901152251</v>
      </c>
      <c r="I124" s="102">
        <v>121</v>
      </c>
      <c r="J124" s="103">
        <v>18</v>
      </c>
      <c r="K124" s="90"/>
      <c r="L124" s="98">
        <v>6.1397247056043467</v>
      </c>
      <c r="M124" s="99">
        <v>5.8525182108492944</v>
      </c>
      <c r="N124" s="99">
        <v>2.3821573718054045</v>
      </c>
      <c r="O124" s="99">
        <v>3.2519999999999998</v>
      </c>
      <c r="P124" s="99">
        <v>3.9529999999999998</v>
      </c>
      <c r="Q124" s="99">
        <v>2.5190000000000001</v>
      </c>
      <c r="R124" s="99">
        <v>3.9769999999999999</v>
      </c>
      <c r="S124" s="99">
        <v>2.2330000000000001</v>
      </c>
      <c r="T124" s="99">
        <v>-11.013999999999999</v>
      </c>
      <c r="U124" s="99">
        <v>13.551</v>
      </c>
      <c r="V124" s="100">
        <v>2.7010000000000001</v>
      </c>
      <c r="W124" s="100">
        <f t="shared" si="1"/>
        <v>2.3642552134477857</v>
      </c>
    </row>
    <row r="125" spans="1:23" x14ac:dyDescent="0.35">
      <c r="A125" s="90" t="s">
        <v>571</v>
      </c>
      <c r="B125" s="90" t="s">
        <v>692</v>
      </c>
      <c r="C125" s="98">
        <v>0.96069279950485864</v>
      </c>
      <c r="D125" s="99">
        <v>3.0362820733681239</v>
      </c>
      <c r="E125" s="100">
        <v>4.8545875775876546</v>
      </c>
      <c r="G125" s="112" t="s">
        <v>402</v>
      </c>
      <c r="H125" s="110">
        <v>74.806556985260698</v>
      </c>
      <c r="I125" s="102">
        <v>69</v>
      </c>
      <c r="J125" s="103">
        <v>10</v>
      </c>
      <c r="K125" s="90"/>
      <c r="L125" s="98">
        <v>6.8969517105747951</v>
      </c>
      <c r="M125" s="99">
        <v>6.7505313017782687</v>
      </c>
      <c r="N125" s="99">
        <v>6.3479874825028357</v>
      </c>
      <c r="O125" s="99">
        <v>6.3479999999999999</v>
      </c>
      <c r="P125" s="99">
        <v>7.149</v>
      </c>
      <c r="Q125" s="99">
        <v>6.931</v>
      </c>
      <c r="R125" s="99">
        <v>6.3410000000000002</v>
      </c>
      <c r="S125" s="99">
        <v>6.1189999999999998</v>
      </c>
      <c r="T125" s="99">
        <v>-9.5180000000000007</v>
      </c>
      <c r="U125" s="99">
        <v>5.7030000000000003</v>
      </c>
      <c r="V125" s="100">
        <v>7.5990000000000002</v>
      </c>
      <c r="W125" s="100">
        <f t="shared" si="1"/>
        <v>3.9454348254778893</v>
      </c>
    </row>
    <row r="126" spans="1:23" x14ac:dyDescent="0.35">
      <c r="A126" s="90" t="s">
        <v>231</v>
      </c>
      <c r="B126" s="90" t="s">
        <v>693</v>
      </c>
      <c r="C126" s="98">
        <v>3.162865203018228</v>
      </c>
      <c r="D126" s="99">
        <v>3.8363783613865499</v>
      </c>
      <c r="E126" s="100">
        <v>3.5697088266716248</v>
      </c>
      <c r="G126" s="112" t="s">
        <v>577</v>
      </c>
      <c r="H126" s="110">
        <v>85.420553644487129</v>
      </c>
      <c r="I126" s="102">
        <v>36</v>
      </c>
      <c r="J126" s="103">
        <v>23</v>
      </c>
      <c r="K126" s="90"/>
      <c r="L126" s="98">
        <v>1.6079066445646626</v>
      </c>
      <c r="M126" s="99">
        <v>1.3918923212492256</v>
      </c>
      <c r="N126" s="99">
        <v>3.3184475370007722</v>
      </c>
      <c r="O126" s="99">
        <v>4.383</v>
      </c>
      <c r="P126" s="99">
        <v>2.9540000000000002</v>
      </c>
      <c r="Q126" s="99">
        <v>5.14</v>
      </c>
      <c r="R126" s="99">
        <v>5.9450000000000003</v>
      </c>
      <c r="S126" s="99">
        <v>4.45</v>
      </c>
      <c r="T126" s="99">
        <v>-2.02</v>
      </c>
      <c r="U126" s="99">
        <v>6.8479999999999999</v>
      </c>
      <c r="V126" s="100">
        <v>4.8739999999999997</v>
      </c>
      <c r="W126" s="100">
        <f t="shared" si="1"/>
        <v>3.7030435940290873</v>
      </c>
    </row>
    <row r="127" spans="1:23" x14ac:dyDescent="0.35">
      <c r="A127" s="90" t="s">
        <v>231</v>
      </c>
      <c r="B127" s="90" t="s">
        <v>694</v>
      </c>
      <c r="C127" s="98">
        <v>1.0661443105445922</v>
      </c>
      <c r="D127" s="99">
        <v>1.7172276328006886</v>
      </c>
      <c r="E127" s="100">
        <v>1.5719478894561822</v>
      </c>
      <c r="G127" s="112" t="s">
        <v>419</v>
      </c>
      <c r="H127" s="110">
        <v>91.026987497789847</v>
      </c>
      <c r="I127" s="102">
        <v>25</v>
      </c>
      <c r="J127" s="103">
        <v>16</v>
      </c>
      <c r="K127" s="90"/>
      <c r="L127" s="98">
        <v>-4.0572943594235547</v>
      </c>
      <c r="M127" s="99">
        <v>-0.92264378725787455</v>
      </c>
      <c r="N127" s="99">
        <v>0.79219053837650444</v>
      </c>
      <c r="O127" s="99">
        <v>1.792</v>
      </c>
      <c r="P127" s="99">
        <v>2.0190000000000001</v>
      </c>
      <c r="Q127" s="99">
        <v>3.5059999999999998</v>
      </c>
      <c r="R127" s="99">
        <v>2.8490000000000002</v>
      </c>
      <c r="S127" s="99">
        <v>2.6829999999999998</v>
      </c>
      <c r="T127" s="99">
        <v>-8.3010000000000002</v>
      </c>
      <c r="U127" s="99">
        <v>5.5030000000000001</v>
      </c>
      <c r="V127" s="100">
        <v>6.726</v>
      </c>
      <c r="W127" s="100">
        <f t="shared" si="1"/>
        <v>1.6445877611284354</v>
      </c>
    </row>
    <row r="128" spans="1:23" x14ac:dyDescent="0.35">
      <c r="A128" s="90" t="s">
        <v>586</v>
      </c>
      <c r="B128" s="90" t="s">
        <v>695</v>
      </c>
      <c r="C128" s="98">
        <v>0.67674745765720079</v>
      </c>
      <c r="D128" s="99">
        <v>0.80775193577011795</v>
      </c>
      <c r="E128" s="100">
        <v>2.0997114519337501</v>
      </c>
      <c r="G128" s="112" t="s">
        <v>577</v>
      </c>
      <c r="H128" s="110">
        <v>78.783055534449289</v>
      </c>
      <c r="I128" s="102">
        <v>57</v>
      </c>
      <c r="J128" s="103">
        <v>6</v>
      </c>
      <c r="K128" s="90"/>
      <c r="L128" s="98">
        <v>4.730011843607838</v>
      </c>
      <c r="M128" s="99">
        <v>5.5560406430660754</v>
      </c>
      <c r="N128" s="99">
        <v>5.3343232919645871</v>
      </c>
      <c r="O128" s="99">
        <v>4.7530000000000001</v>
      </c>
      <c r="P128" s="99">
        <v>3.0640000000000001</v>
      </c>
      <c r="Q128" s="99">
        <v>-1.498</v>
      </c>
      <c r="R128" s="99">
        <v>1.2350000000000001</v>
      </c>
      <c r="S128" s="99">
        <v>0.68799999999999994</v>
      </c>
      <c r="T128" s="99">
        <v>-3.5579999999999998</v>
      </c>
      <c r="U128" s="99">
        <v>1.589</v>
      </c>
      <c r="V128" s="100">
        <v>4.2409999999999997</v>
      </c>
      <c r="W128" s="100">
        <f t="shared" si="1"/>
        <v>1.453731693851934</v>
      </c>
    </row>
    <row r="129" spans="1:23" x14ac:dyDescent="0.35">
      <c r="A129" s="90" t="s">
        <v>231</v>
      </c>
      <c r="B129" s="90" t="s">
        <v>696</v>
      </c>
      <c r="C129" s="98">
        <v>1.9886029006319417</v>
      </c>
      <c r="D129" s="99">
        <v>2.9733514596169686</v>
      </c>
      <c r="E129" s="100">
        <v>3.7501787507027151</v>
      </c>
      <c r="G129" s="112" t="s">
        <v>577</v>
      </c>
      <c r="H129" s="110">
        <v>84.261081453729389</v>
      </c>
      <c r="I129" s="102">
        <v>37</v>
      </c>
      <c r="J129" s="103">
        <v>24</v>
      </c>
      <c r="K129" s="90"/>
      <c r="L129" s="98">
        <v>2.0771650065377472</v>
      </c>
      <c r="M129" s="99">
        <v>3.5145518040847694</v>
      </c>
      <c r="N129" s="99">
        <v>3.4108091001793088</v>
      </c>
      <c r="O129" s="99">
        <v>3.1629999999999998</v>
      </c>
      <c r="P129" s="99">
        <v>2.8530000000000002</v>
      </c>
      <c r="Q129" s="99">
        <v>8.2129999999999992</v>
      </c>
      <c r="R129" s="99">
        <v>6.03</v>
      </c>
      <c r="S129" s="99">
        <v>3.8439999999999999</v>
      </c>
      <c r="T129" s="99">
        <v>-3.6920000000000002</v>
      </c>
      <c r="U129" s="99">
        <v>5.8739999999999997</v>
      </c>
      <c r="V129" s="100">
        <v>4.7910000000000004</v>
      </c>
      <c r="W129" s="100">
        <f t="shared" si="1"/>
        <v>3.3617651051598418</v>
      </c>
    </row>
    <row r="130" spans="1:23" x14ac:dyDescent="0.35">
      <c r="A130" s="90" t="s">
        <v>231</v>
      </c>
      <c r="B130" s="90" t="s">
        <v>697</v>
      </c>
      <c r="C130" s="98">
        <v>0.31321455831558875</v>
      </c>
      <c r="D130" s="99">
        <v>1.1211784185926943</v>
      </c>
      <c r="E130" s="100">
        <v>0.80914098391451361</v>
      </c>
      <c r="G130" s="112" t="s">
        <v>402</v>
      </c>
      <c r="H130" s="110">
        <v>76.528749373407479</v>
      </c>
      <c r="I130" s="102">
        <v>64</v>
      </c>
      <c r="J130" s="103">
        <v>36</v>
      </c>
      <c r="K130" s="90"/>
      <c r="L130" s="98">
        <v>4.0240861571797915</v>
      </c>
      <c r="M130" s="99">
        <v>1.7554221491628001</v>
      </c>
      <c r="N130" s="99">
        <v>0.736267221403759</v>
      </c>
      <c r="O130" s="99">
        <v>-1.9730000000000001</v>
      </c>
      <c r="P130" s="99">
        <v>0.19400000000000001</v>
      </c>
      <c r="Q130" s="99">
        <v>1.8260000000000001</v>
      </c>
      <c r="R130" s="99">
        <v>2.8069999999999999</v>
      </c>
      <c r="S130" s="99">
        <v>2.198</v>
      </c>
      <c r="T130" s="99">
        <v>-2.6539999999999999</v>
      </c>
      <c r="U130" s="99">
        <v>5.6239999999999997</v>
      </c>
      <c r="V130" s="100">
        <v>-2.0510000000000002</v>
      </c>
      <c r="W130" s="100">
        <f t="shared" si="1"/>
        <v>0.96515970125360395</v>
      </c>
    </row>
    <row r="131" spans="1:23" x14ac:dyDescent="0.35">
      <c r="A131" s="90" t="s">
        <v>575</v>
      </c>
      <c r="B131" s="90" t="s">
        <v>698</v>
      </c>
      <c r="C131" s="98">
        <v>4.5886571318858538</v>
      </c>
      <c r="D131" s="99">
        <v>6.3388189685080754</v>
      </c>
      <c r="E131" s="100">
        <v>6.1347836953729917</v>
      </c>
      <c r="G131" s="112" t="s">
        <v>402</v>
      </c>
      <c r="H131" s="110">
        <v>76.577775011818801</v>
      </c>
      <c r="I131" s="102">
        <v>63</v>
      </c>
      <c r="J131" s="103">
        <v>3</v>
      </c>
      <c r="K131" s="90"/>
      <c r="L131" s="98">
        <v>8.6415388651712988</v>
      </c>
      <c r="M131" s="99">
        <v>4.7198554996618309</v>
      </c>
      <c r="N131" s="99">
        <v>6.1642772027561934</v>
      </c>
      <c r="O131" s="99">
        <v>8.8539999999999992</v>
      </c>
      <c r="P131" s="99">
        <v>5.9720000000000004</v>
      </c>
      <c r="Q131" s="99">
        <v>3.9729999999999999</v>
      </c>
      <c r="R131" s="99">
        <v>8.5779999999999994</v>
      </c>
      <c r="S131" s="99">
        <v>9.4689999999999994</v>
      </c>
      <c r="T131" s="99">
        <v>-3.3570000000000002</v>
      </c>
      <c r="U131" s="99">
        <v>10.874000000000001</v>
      </c>
      <c r="V131" s="100">
        <v>6.7629999999999999</v>
      </c>
      <c r="W131" s="100">
        <f t="shared" si="1"/>
        <v>6.2368013319405335</v>
      </c>
    </row>
    <row r="132" spans="1:23" x14ac:dyDescent="0.35">
      <c r="A132" s="90" t="s">
        <v>586</v>
      </c>
      <c r="B132" s="90" t="s">
        <v>699</v>
      </c>
      <c r="C132" s="98">
        <v>2.4790435166051283</v>
      </c>
      <c r="D132" s="99">
        <v>2.0533451948943071</v>
      </c>
      <c r="E132" s="100">
        <v>2.158001329255721</v>
      </c>
      <c r="G132" s="112" t="s">
        <v>577</v>
      </c>
      <c r="H132" s="110">
        <v>76.963439522680929</v>
      </c>
      <c r="I132" s="102">
        <v>61</v>
      </c>
      <c r="J132" s="103">
        <v>8</v>
      </c>
      <c r="K132" s="90"/>
      <c r="L132" s="98">
        <v>5.4114449021643543</v>
      </c>
      <c r="M132" s="99">
        <v>2.6992547225567329</v>
      </c>
      <c r="N132" s="99">
        <v>3.6524816975790095</v>
      </c>
      <c r="O132" s="99">
        <v>4.6900000000000004</v>
      </c>
      <c r="P132" s="99">
        <v>2.363</v>
      </c>
      <c r="Q132" s="99">
        <v>-7.0000000000000007E-2</v>
      </c>
      <c r="R132" s="99">
        <v>2.762</v>
      </c>
      <c r="S132" s="99">
        <v>0.83199999999999996</v>
      </c>
      <c r="T132" s="99">
        <v>-4.3410000000000002</v>
      </c>
      <c r="U132" s="99">
        <v>3.9220000000000002</v>
      </c>
      <c r="V132" s="100">
        <v>8.7439999999999998</v>
      </c>
      <c r="W132" s="100">
        <f t="shared" si="1"/>
        <v>2.105673262075014</v>
      </c>
    </row>
    <row r="133" spans="1:23" x14ac:dyDescent="0.35">
      <c r="A133" s="90" t="s">
        <v>575</v>
      </c>
      <c r="B133" s="90" t="s">
        <v>700</v>
      </c>
      <c r="C133" s="98">
        <v>4.0137946463164598</v>
      </c>
      <c r="D133" s="99">
        <v>4.5694149693751296</v>
      </c>
      <c r="E133" s="100">
        <v>5.2331571951220512</v>
      </c>
      <c r="G133" s="112" t="s">
        <v>402</v>
      </c>
      <c r="H133" s="110">
        <v>69.313365081609845</v>
      </c>
      <c r="I133" s="102">
        <v>93</v>
      </c>
      <c r="J133" s="103">
        <v>15</v>
      </c>
      <c r="K133" s="90"/>
      <c r="L133" s="98">
        <v>5.1173942367478444</v>
      </c>
      <c r="M133" s="99">
        <v>2.8221056497235883</v>
      </c>
      <c r="N133" s="99">
        <v>6.6135001033739647</v>
      </c>
      <c r="O133" s="99">
        <v>6.367</v>
      </c>
      <c r="P133" s="99">
        <v>6.3559999999999999</v>
      </c>
      <c r="Q133" s="99">
        <v>7.407</v>
      </c>
      <c r="R133" s="99">
        <v>6.2089999999999996</v>
      </c>
      <c r="S133" s="99">
        <v>4.6139999999999999</v>
      </c>
      <c r="T133" s="99">
        <v>1.3260000000000001</v>
      </c>
      <c r="U133" s="99">
        <v>6.0670000000000002</v>
      </c>
      <c r="V133" s="100">
        <v>4.7089999999999996</v>
      </c>
      <c r="W133" s="100">
        <f t="shared" si="1"/>
        <v>4.9012860822485909</v>
      </c>
    </row>
    <row r="134" spans="1:23" x14ac:dyDescent="0.35">
      <c r="A134" s="90" t="s">
        <v>231</v>
      </c>
      <c r="B134" s="90" t="s">
        <v>701</v>
      </c>
      <c r="C134" s="98">
        <v>2.9071913241700997</v>
      </c>
      <c r="D134" s="99">
        <v>3.5107747978878168</v>
      </c>
      <c r="E134" s="100">
        <v>2.5987412011468258</v>
      </c>
      <c r="G134" s="112" t="s">
        <v>402</v>
      </c>
      <c r="H134" s="110">
        <v>74.50245157918026</v>
      </c>
      <c r="I134" s="102">
        <v>71</v>
      </c>
      <c r="J134" s="103">
        <v>38</v>
      </c>
      <c r="K134" s="90"/>
      <c r="L134" s="98">
        <v>-0.68154236933475798</v>
      </c>
      <c r="M134" s="99">
        <v>2.892636733558092</v>
      </c>
      <c r="N134" s="99">
        <v>-1.5895103199025831</v>
      </c>
      <c r="O134" s="99">
        <v>1.776</v>
      </c>
      <c r="P134" s="99">
        <v>3.339</v>
      </c>
      <c r="Q134" s="99">
        <v>2.101</v>
      </c>
      <c r="R134" s="99">
        <v>4.4950000000000001</v>
      </c>
      <c r="S134" s="99">
        <v>4.3319999999999999</v>
      </c>
      <c r="T134" s="99">
        <v>-0.90300000000000002</v>
      </c>
      <c r="U134" s="99">
        <v>7.55</v>
      </c>
      <c r="V134" s="100">
        <v>2.2509999999999999</v>
      </c>
      <c r="W134" s="100">
        <f t="shared" si="1"/>
        <v>3.0547579995173213</v>
      </c>
    </row>
    <row r="135" spans="1:23" x14ac:dyDescent="0.35">
      <c r="A135" s="90" t="s">
        <v>575</v>
      </c>
      <c r="B135" s="90" t="s">
        <v>702</v>
      </c>
      <c r="C135" s="98">
        <v>1.6001817079933423</v>
      </c>
      <c r="D135" s="99">
        <v>2.5822705421283176</v>
      </c>
      <c r="E135" s="99">
        <v>2.323464181185142</v>
      </c>
      <c r="G135" s="112" t="s">
        <v>573</v>
      </c>
      <c r="H135" s="110">
        <v>58.993492167204309</v>
      </c>
      <c r="I135" s="102">
        <v>126</v>
      </c>
      <c r="J135" s="102">
        <v>30</v>
      </c>
      <c r="K135" s="117"/>
      <c r="L135" s="98">
        <v>15.18176908302255</v>
      </c>
      <c r="M135" s="99">
        <v>20.715768285872748</v>
      </c>
      <c r="N135" s="99">
        <v>4.5567723661529431</v>
      </c>
      <c r="O135" s="99">
        <v>-20.492999999999999</v>
      </c>
      <c r="P135" s="99">
        <v>6.3540000000000001</v>
      </c>
      <c r="Q135" s="99">
        <v>3.7650000000000001</v>
      </c>
      <c r="R135" s="99">
        <v>3.4649999999999999</v>
      </c>
      <c r="S135" s="99">
        <v>5.2539999999999996</v>
      </c>
      <c r="T135" s="99">
        <v>-1.9690000000000001</v>
      </c>
      <c r="U135" s="99">
        <v>4.1050000000000004</v>
      </c>
      <c r="V135" s="99">
        <v>2.766</v>
      </c>
      <c r="W135" s="100">
        <f t="shared" si="1"/>
        <v>2.4528673616567298</v>
      </c>
    </row>
    <row r="136" spans="1:23" x14ac:dyDescent="0.35">
      <c r="A136" s="90" t="s">
        <v>571</v>
      </c>
      <c r="B136" s="90" t="s">
        <v>703</v>
      </c>
      <c r="C136" s="98">
        <v>2.254611894692915</v>
      </c>
      <c r="D136" s="99">
        <v>2.3804077568891469</v>
      </c>
      <c r="E136" s="99">
        <v>3.1207966515608421</v>
      </c>
      <c r="G136" s="112" t="s">
        <v>419</v>
      </c>
      <c r="H136" s="110">
        <v>97.805585083414968</v>
      </c>
      <c r="I136" s="102">
        <v>4</v>
      </c>
      <c r="J136" s="102">
        <v>2</v>
      </c>
      <c r="K136" s="117"/>
      <c r="L136" s="98">
        <v>4.461608951013317</v>
      </c>
      <c r="M136" s="99">
        <v>4.8372986457609866</v>
      </c>
      <c r="N136" s="99">
        <v>3.9380027286605586</v>
      </c>
      <c r="O136" s="99">
        <v>2.9769999999999999</v>
      </c>
      <c r="P136" s="99">
        <v>3.6019999999999999</v>
      </c>
      <c r="Q136" s="99">
        <v>4.5449999999999999</v>
      </c>
      <c r="R136" s="99">
        <v>3.5750000000000002</v>
      </c>
      <c r="S136" s="99">
        <v>1.331</v>
      </c>
      <c r="T136" s="99">
        <v>-3.9009999999999998</v>
      </c>
      <c r="U136" s="99">
        <v>8.8819999999999997</v>
      </c>
      <c r="V136" s="99">
        <v>3.6469999999999998</v>
      </c>
      <c r="W136" s="100">
        <f t="shared" si="1"/>
        <v>2.7506022042249945</v>
      </c>
    </row>
    <row r="137" spans="1:23" x14ac:dyDescent="0.35">
      <c r="A137" s="90" t="s">
        <v>231</v>
      </c>
      <c r="B137" s="90" t="s">
        <v>704</v>
      </c>
      <c r="C137" s="98">
        <v>0.39781205843958389</v>
      </c>
      <c r="D137" s="99">
        <v>0.97590941056187042</v>
      </c>
      <c r="E137" s="99">
        <v>1.8214852479931931</v>
      </c>
      <c r="G137" s="112" t="s">
        <v>577</v>
      </c>
      <c r="H137" s="110">
        <v>80.276897229698847</v>
      </c>
      <c r="I137" s="102">
        <v>47</v>
      </c>
      <c r="J137" s="102">
        <v>32</v>
      </c>
      <c r="K137" s="117"/>
      <c r="L137" s="98">
        <v>1.8958108123027844</v>
      </c>
      <c r="M137" s="99">
        <v>0.67084458223160615</v>
      </c>
      <c r="N137" s="99">
        <v>2.7524343314004627</v>
      </c>
      <c r="O137" s="99">
        <v>5.1669999999999998</v>
      </c>
      <c r="P137" s="99">
        <v>1.944</v>
      </c>
      <c r="Q137" s="99">
        <v>2.9380000000000002</v>
      </c>
      <c r="R137" s="99">
        <v>4.0309999999999997</v>
      </c>
      <c r="S137" s="99">
        <v>2.5190000000000001</v>
      </c>
      <c r="T137" s="99">
        <v>-3.375</v>
      </c>
      <c r="U137" s="99">
        <v>3.0139999999999998</v>
      </c>
      <c r="V137" s="99">
        <v>1.6679999999999999</v>
      </c>
      <c r="W137" s="100">
        <f t="shared" si="1"/>
        <v>1.3986973292775318</v>
      </c>
    </row>
    <row r="138" spans="1:23" x14ac:dyDescent="0.35">
      <c r="A138" s="90" t="s">
        <v>231</v>
      </c>
      <c r="B138" s="90" t="s">
        <v>705</v>
      </c>
      <c r="C138" s="98">
        <v>2.9453399614758569</v>
      </c>
      <c r="D138" s="99">
        <v>3.265722456681952</v>
      </c>
      <c r="E138" s="99">
        <v>2.8132202997918521</v>
      </c>
      <c r="G138" s="112" t="s">
        <v>419</v>
      </c>
      <c r="H138" s="110">
        <v>88.920325519387234</v>
      </c>
      <c r="I138" s="102">
        <v>30</v>
      </c>
      <c r="J138" s="102">
        <v>19</v>
      </c>
      <c r="K138" s="117"/>
      <c r="L138" s="98">
        <v>-2.6394387292630763</v>
      </c>
      <c r="M138" s="99">
        <v>-1.029283831306939</v>
      </c>
      <c r="N138" s="99">
        <v>2.7681580195902979</v>
      </c>
      <c r="O138" s="99">
        <v>2.21</v>
      </c>
      <c r="P138" s="99">
        <v>3.1920000000000002</v>
      </c>
      <c r="Q138" s="99">
        <v>4.8159999999999998</v>
      </c>
      <c r="R138" s="99">
        <v>4.4550000000000001</v>
      </c>
      <c r="S138" s="99">
        <v>3.4510000000000001</v>
      </c>
      <c r="T138" s="99">
        <v>-4.3209999999999997</v>
      </c>
      <c r="U138" s="99">
        <v>8.2110000000000003</v>
      </c>
      <c r="V138" s="99">
        <v>5.3739999999999997</v>
      </c>
      <c r="W138" s="100">
        <f t="shared" si="1"/>
        <v>3.0394713782369021</v>
      </c>
    </row>
    <row r="139" spans="1:23" x14ac:dyDescent="0.35">
      <c r="A139" s="90" t="s">
        <v>575</v>
      </c>
      <c r="B139" s="90" t="s">
        <v>706</v>
      </c>
      <c r="C139" s="98">
        <v>8.8409433265779214E-2</v>
      </c>
      <c r="D139" s="99">
        <v>2.1857023030043443</v>
      </c>
      <c r="E139" s="99">
        <v>1.8249844059199605</v>
      </c>
      <c r="G139" s="112" t="s">
        <v>402</v>
      </c>
      <c r="H139" s="110">
        <v>75.182844770260857</v>
      </c>
      <c r="I139" s="102">
        <v>68</v>
      </c>
      <c r="J139" s="102">
        <v>5</v>
      </c>
      <c r="K139" s="117"/>
      <c r="L139" s="98">
        <v>2.2133548084844037</v>
      </c>
      <c r="M139" s="99">
        <v>2.4852005003105813</v>
      </c>
      <c r="N139" s="99">
        <v>1.8469916036571876</v>
      </c>
      <c r="O139" s="99">
        <v>1.3220000000000001</v>
      </c>
      <c r="P139" s="99">
        <v>0.66500000000000004</v>
      </c>
      <c r="Q139" s="99">
        <v>1.1579999999999999</v>
      </c>
      <c r="R139" s="99">
        <v>1.522</v>
      </c>
      <c r="S139" s="99">
        <v>0.30299999999999999</v>
      </c>
      <c r="T139" s="99">
        <v>-6.3419999999999996</v>
      </c>
      <c r="U139" s="99">
        <v>4.9130000000000003</v>
      </c>
      <c r="V139" s="99">
        <v>2.0419999999999998</v>
      </c>
      <c r="W139" s="100">
        <f t="shared" ref="W139:W165" si="2">AVERAGE(D139,E139)</f>
        <v>2.0053433544621524</v>
      </c>
    </row>
    <row r="140" spans="1:23" x14ac:dyDescent="0.35">
      <c r="A140" s="90" t="s">
        <v>231</v>
      </c>
      <c r="B140" s="90" t="s">
        <v>707</v>
      </c>
      <c r="C140" s="98">
        <v>-0.43793400391870518</v>
      </c>
      <c r="D140" s="99">
        <v>0.55931383652465527</v>
      </c>
      <c r="E140" s="99">
        <v>1.23940470018431</v>
      </c>
      <c r="G140" s="112" t="s">
        <v>419</v>
      </c>
      <c r="H140" s="110">
        <v>90.367632171249966</v>
      </c>
      <c r="I140" s="102">
        <v>27</v>
      </c>
      <c r="J140" s="102">
        <v>17</v>
      </c>
      <c r="K140" s="117"/>
      <c r="L140" s="98">
        <v>-2.9594413017355699</v>
      </c>
      <c r="M140" s="99">
        <v>-1.4353942591932869</v>
      </c>
      <c r="N140" s="99">
        <v>1.3839079426702983</v>
      </c>
      <c r="O140" s="99">
        <v>3.8370000000000002</v>
      </c>
      <c r="P140" s="99">
        <v>3.0379999999999998</v>
      </c>
      <c r="Q140" s="99">
        <v>2.9769999999999999</v>
      </c>
      <c r="R140" s="99">
        <v>2.2829999999999999</v>
      </c>
      <c r="S140" s="99">
        <v>1.9830000000000001</v>
      </c>
      <c r="T140" s="99">
        <v>-11.324999999999999</v>
      </c>
      <c r="U140" s="99">
        <v>5.5220000000000002</v>
      </c>
      <c r="V140" s="99">
        <v>5.4749999999999996</v>
      </c>
      <c r="W140" s="100">
        <f t="shared" si="2"/>
        <v>0.89935926835448265</v>
      </c>
    </row>
    <row r="141" spans="1:23" x14ac:dyDescent="0.35">
      <c r="A141" s="90" t="s">
        <v>571</v>
      </c>
      <c r="B141" s="90" t="s">
        <v>708</v>
      </c>
      <c r="C141" s="98">
        <v>-3.0583991155611168</v>
      </c>
      <c r="D141" s="99">
        <v>7.8407546755454582E-2</v>
      </c>
      <c r="E141" s="99">
        <v>2.1593525209882225</v>
      </c>
      <c r="G141" s="112" t="s">
        <v>402</v>
      </c>
      <c r="H141" s="110">
        <v>73.00518117550061</v>
      </c>
      <c r="I141" s="102">
        <v>76</v>
      </c>
      <c r="J141" s="102">
        <v>13</v>
      </c>
      <c r="K141" s="117"/>
      <c r="L141" s="98">
        <v>9.1445722464256534</v>
      </c>
      <c r="M141" s="99">
        <v>3.3957326498342781</v>
      </c>
      <c r="N141" s="99">
        <v>4.960700591697301</v>
      </c>
      <c r="O141" s="99">
        <v>4.2060000000000004</v>
      </c>
      <c r="P141" s="99">
        <v>5.0540000000000003</v>
      </c>
      <c r="Q141" s="99">
        <v>6.4610000000000003</v>
      </c>
      <c r="R141" s="99">
        <v>2.31</v>
      </c>
      <c r="S141" s="99">
        <v>-0.22</v>
      </c>
      <c r="T141" s="99">
        <v>-3.472</v>
      </c>
      <c r="U141" s="99">
        <v>3.327</v>
      </c>
      <c r="V141" s="99">
        <v>-8.6590000000000007</v>
      </c>
      <c r="W141" s="100">
        <f t="shared" si="2"/>
        <v>1.1188800338718385</v>
      </c>
    </row>
    <row r="142" spans="1:23" x14ac:dyDescent="0.35">
      <c r="A142" s="90" t="s">
        <v>575</v>
      </c>
      <c r="B142" s="90" t="s">
        <v>709</v>
      </c>
      <c r="C142" s="98">
        <v>-2.6688383810210325</v>
      </c>
      <c r="D142" s="99">
        <v>-1.5401833642449736</v>
      </c>
      <c r="E142" s="99">
        <v>1.2842213840550842</v>
      </c>
      <c r="G142" s="112" t="s">
        <v>573</v>
      </c>
      <c r="H142" s="110">
        <v>29.302112762792021</v>
      </c>
      <c r="I142" s="102">
        <v>156</v>
      </c>
      <c r="J142" s="102">
        <v>47</v>
      </c>
      <c r="K142" s="117"/>
      <c r="L142" s="98">
        <v>-1.4398357186292348</v>
      </c>
      <c r="M142" s="99">
        <v>4.3946958327458523</v>
      </c>
      <c r="N142" s="99">
        <v>2.6794256681504725</v>
      </c>
      <c r="O142" s="99">
        <v>4.9059999999999997</v>
      </c>
      <c r="P142" s="99">
        <v>4.7</v>
      </c>
      <c r="Q142" s="99">
        <v>0.76800000000000002</v>
      </c>
      <c r="R142" s="99">
        <v>-2.29</v>
      </c>
      <c r="S142" s="99">
        <v>-2.5</v>
      </c>
      <c r="T142" s="99">
        <v>-3.63</v>
      </c>
      <c r="U142" s="99">
        <v>0.5</v>
      </c>
      <c r="V142" s="99">
        <v>-2.5</v>
      </c>
      <c r="W142" s="100">
        <f t="shared" si="2"/>
        <v>-0.12798099009494468</v>
      </c>
    </row>
    <row r="143" spans="1:23" x14ac:dyDescent="0.35">
      <c r="A143" s="90" t="s">
        <v>579</v>
      </c>
      <c r="B143" s="90" t="s">
        <v>710</v>
      </c>
      <c r="C143" s="98">
        <v>-6.0912921553037958</v>
      </c>
      <c r="D143" s="99">
        <v>-2.539464764773447</v>
      </c>
      <c r="E143" s="99">
        <v>-1.6533032843941364</v>
      </c>
      <c r="G143" s="112" t="s">
        <v>402</v>
      </c>
      <c r="H143" s="110">
        <v>69.385821977853183</v>
      </c>
      <c r="I143" s="102">
        <v>92</v>
      </c>
      <c r="J143" s="102">
        <v>12</v>
      </c>
      <c r="K143" s="117"/>
      <c r="L143" s="98">
        <v>2.6903497466884523</v>
      </c>
      <c r="M143" s="99">
        <v>2.9334416518612043</v>
      </c>
      <c r="N143" s="99">
        <v>0.25550303164546423</v>
      </c>
      <c r="O143" s="99">
        <v>-3.4140000000000001</v>
      </c>
      <c r="P143" s="99">
        <v>-4.9119999999999999</v>
      </c>
      <c r="Q143" s="99">
        <v>1.5660000000000001</v>
      </c>
      <c r="R143" s="99">
        <v>4.9480000000000004</v>
      </c>
      <c r="S143" s="99">
        <v>1.0980000000000001</v>
      </c>
      <c r="T143" s="99">
        <v>-15.906000000000001</v>
      </c>
      <c r="U143" s="99">
        <v>-2.742</v>
      </c>
      <c r="V143" s="99">
        <v>1.3280000000000001</v>
      </c>
      <c r="W143" s="100">
        <f t="shared" si="2"/>
        <v>-2.0963840245837915</v>
      </c>
    </row>
    <row r="144" spans="1:23" x14ac:dyDescent="0.35">
      <c r="A144" s="90" t="s">
        <v>231</v>
      </c>
      <c r="B144" s="90" t="s">
        <v>711</v>
      </c>
      <c r="C144" s="98">
        <v>1.8041121232050594</v>
      </c>
      <c r="D144" s="99">
        <v>1.5622302939160004</v>
      </c>
      <c r="E144" s="99">
        <v>2.0743232215396867</v>
      </c>
      <c r="G144" s="112" t="s">
        <v>419</v>
      </c>
      <c r="H144" s="110">
        <v>96.904206369440487</v>
      </c>
      <c r="I144" s="102">
        <v>7</v>
      </c>
      <c r="J144" s="102">
        <v>5</v>
      </c>
      <c r="K144" s="117"/>
      <c r="L144" s="98">
        <v>-0.58830456899072281</v>
      </c>
      <c r="M144" s="99">
        <v>1.1877757159060018</v>
      </c>
      <c r="N144" s="99">
        <v>2.6577982753164227</v>
      </c>
      <c r="O144" s="99">
        <v>4.4889999999999999</v>
      </c>
      <c r="P144" s="99">
        <v>2.0710000000000002</v>
      </c>
      <c r="Q144" s="99">
        <v>2.5680000000000001</v>
      </c>
      <c r="R144" s="99">
        <v>1.95</v>
      </c>
      <c r="S144" s="99">
        <v>1.986</v>
      </c>
      <c r="T144" s="99">
        <v>-2.17</v>
      </c>
      <c r="U144" s="99">
        <v>5.3860000000000001</v>
      </c>
      <c r="V144" s="99">
        <v>2.6419999999999999</v>
      </c>
      <c r="W144" s="100">
        <f t="shared" si="2"/>
        <v>1.8182767577278436</v>
      </c>
    </row>
    <row r="145" spans="1:23" x14ac:dyDescent="0.35">
      <c r="A145" s="90" t="s">
        <v>231</v>
      </c>
      <c r="B145" s="90" t="s">
        <v>712</v>
      </c>
      <c r="C145" s="98">
        <v>1.2890197152698013</v>
      </c>
      <c r="D145" s="99">
        <v>2.1594279609995271</v>
      </c>
      <c r="E145" s="99">
        <v>1.9949438623463989</v>
      </c>
      <c r="G145" s="112" t="s">
        <v>419</v>
      </c>
      <c r="H145" s="110">
        <v>98.385388118004073</v>
      </c>
      <c r="I145" s="102">
        <v>2</v>
      </c>
      <c r="J145" s="102">
        <v>1</v>
      </c>
      <c r="K145" s="117"/>
      <c r="L145" s="98">
        <v>1.0060240943135659</v>
      </c>
      <c r="M145" s="99">
        <v>1.852039766494749</v>
      </c>
      <c r="N145" s="99">
        <v>2.4492180871562819</v>
      </c>
      <c r="O145" s="99">
        <v>1.59</v>
      </c>
      <c r="P145" s="99">
        <v>2.073</v>
      </c>
      <c r="Q145" s="99">
        <v>1.427</v>
      </c>
      <c r="R145" s="99">
        <v>2.867</v>
      </c>
      <c r="S145" s="99">
        <v>1.161</v>
      </c>
      <c r="T145" s="99">
        <v>-2.5070000000000001</v>
      </c>
      <c r="U145" s="99">
        <v>4.2210000000000001</v>
      </c>
      <c r="V145" s="99">
        <v>2.1339999999999999</v>
      </c>
      <c r="W145" s="100">
        <f t="shared" si="2"/>
        <v>2.077185911672963</v>
      </c>
    </row>
    <row r="146" spans="1:23" x14ac:dyDescent="0.35">
      <c r="A146" s="90" t="s">
        <v>571</v>
      </c>
      <c r="B146" s="90" t="s">
        <v>713</v>
      </c>
      <c r="C146" s="98">
        <v>4.1942484708972883</v>
      </c>
      <c r="D146" s="99">
        <v>3.7202264352869774</v>
      </c>
      <c r="E146" s="99">
        <v>3.3189477234561782</v>
      </c>
      <c r="G146" s="112" t="s">
        <v>402</v>
      </c>
      <c r="H146" s="110">
        <v>74.109663332036064</v>
      </c>
      <c r="I146" s="102">
        <v>72</v>
      </c>
      <c r="J146" s="102">
        <v>11</v>
      </c>
      <c r="K146" s="117"/>
      <c r="L146" s="98">
        <v>2.2704029453876053</v>
      </c>
      <c r="M146" s="99">
        <v>2.5430680885972134</v>
      </c>
      <c r="N146" s="99">
        <v>4.9538203190596066</v>
      </c>
      <c r="O146" s="99">
        <v>1.466</v>
      </c>
      <c r="P146" s="99">
        <v>2.165</v>
      </c>
      <c r="Q146" s="99">
        <v>3.3109999999999999</v>
      </c>
      <c r="R146" s="99">
        <v>2.7869999999999999</v>
      </c>
      <c r="S146" s="99">
        <v>3.0640000000000001</v>
      </c>
      <c r="T146" s="99">
        <v>3.387</v>
      </c>
      <c r="U146" s="99">
        <v>6.5279999999999996</v>
      </c>
      <c r="V146" s="99">
        <v>2.452</v>
      </c>
      <c r="W146" s="100">
        <f t="shared" si="2"/>
        <v>3.5195870793715778</v>
      </c>
    </row>
    <row r="147" spans="1:23" x14ac:dyDescent="0.35">
      <c r="A147" s="90" t="s">
        <v>571</v>
      </c>
      <c r="B147" s="90" t="s">
        <v>714</v>
      </c>
      <c r="C147" s="98">
        <v>7.1805428191797027</v>
      </c>
      <c r="D147" s="99">
        <v>7.3081795758255463</v>
      </c>
      <c r="E147" s="99">
        <v>7.0632908095879854</v>
      </c>
      <c r="G147" s="112" t="s">
        <v>426</v>
      </c>
      <c r="H147" s="110">
        <v>65.502149613905985</v>
      </c>
      <c r="I147" s="102">
        <v>113</v>
      </c>
      <c r="J147" s="102">
        <v>23</v>
      </c>
      <c r="K147" s="117"/>
      <c r="L147" s="98">
        <v>7.4999994632152305</v>
      </c>
      <c r="M147" s="99">
        <v>7.3999997470037826</v>
      </c>
      <c r="N147" s="99">
        <v>6.7000006901625362</v>
      </c>
      <c r="O147" s="99">
        <v>6</v>
      </c>
      <c r="P147" s="99">
        <v>6.9</v>
      </c>
      <c r="Q147" s="99">
        <v>7.1</v>
      </c>
      <c r="R147" s="99">
        <v>7.6</v>
      </c>
      <c r="S147" s="99">
        <v>7.4</v>
      </c>
      <c r="T147" s="99">
        <v>4.3899999999999997</v>
      </c>
      <c r="U147" s="99">
        <v>9.4</v>
      </c>
      <c r="V147" s="99">
        <v>8</v>
      </c>
      <c r="W147" s="100">
        <f t="shared" si="2"/>
        <v>7.1857351927067654</v>
      </c>
    </row>
    <row r="148" spans="1:23" x14ac:dyDescent="0.35">
      <c r="A148" s="90" t="s">
        <v>575</v>
      </c>
      <c r="B148" s="90" t="s">
        <v>715</v>
      </c>
      <c r="C148" s="98">
        <v>3.6476767570704727</v>
      </c>
      <c r="D148" s="99">
        <v>4.4330707554891102</v>
      </c>
      <c r="E148" s="99">
        <v>5.5432278987954442</v>
      </c>
      <c r="G148" s="112" t="s">
        <v>426</v>
      </c>
      <c r="H148" s="110">
        <v>68.134404341049418</v>
      </c>
      <c r="I148" s="102">
        <v>101</v>
      </c>
      <c r="J148" s="102">
        <v>21</v>
      </c>
      <c r="K148" s="117"/>
      <c r="L148" s="98">
        <v>4.500153559821273</v>
      </c>
      <c r="M148" s="99">
        <v>6.7815856006531599</v>
      </c>
      <c r="N148" s="99">
        <v>6.732461868324811</v>
      </c>
      <c r="O148" s="99">
        <v>6.1609999999999996</v>
      </c>
      <c r="P148" s="99">
        <v>6.867</v>
      </c>
      <c r="Q148" s="99">
        <v>6.7729999999999997</v>
      </c>
      <c r="R148" s="99">
        <v>6.9589999999999996</v>
      </c>
      <c r="S148" s="99">
        <v>6.9889999999999999</v>
      </c>
      <c r="T148" s="99">
        <v>4.8159999999999998</v>
      </c>
      <c r="U148" s="99">
        <v>4.9470000000000001</v>
      </c>
      <c r="V148" s="99">
        <v>4.6879999999999997</v>
      </c>
      <c r="W148" s="100">
        <f t="shared" si="2"/>
        <v>4.9881493271422777</v>
      </c>
    </row>
    <row r="149" spans="1:23" x14ac:dyDescent="0.35">
      <c r="A149" s="90" t="s">
        <v>571</v>
      </c>
      <c r="B149" s="90" t="s">
        <v>716</v>
      </c>
      <c r="C149" s="98">
        <v>-0.75178730142027028</v>
      </c>
      <c r="D149" s="99">
        <v>0.80617945124625834</v>
      </c>
      <c r="E149" s="99">
        <v>1.8254251122560072</v>
      </c>
      <c r="G149" s="112" t="s">
        <v>426</v>
      </c>
      <c r="H149" s="110">
        <v>67.301316099527455</v>
      </c>
      <c r="I149" s="102">
        <v>104</v>
      </c>
      <c r="J149" s="102">
        <v>19</v>
      </c>
      <c r="K149" s="117"/>
      <c r="L149" s="98">
        <v>7.2427962024964359</v>
      </c>
      <c r="M149" s="99">
        <v>2.6874955632055553</v>
      </c>
      <c r="N149" s="99">
        <v>0.98442510993386245</v>
      </c>
      <c r="O149" s="99">
        <v>3.1339999999999999</v>
      </c>
      <c r="P149" s="99">
        <v>3.4350000000000001</v>
      </c>
      <c r="Q149" s="99">
        <v>4.1779999999999999</v>
      </c>
      <c r="R149" s="99">
        <v>4.2229999999999999</v>
      </c>
      <c r="S149" s="99">
        <v>2.1150000000000002</v>
      </c>
      <c r="T149" s="99">
        <v>-6.1609999999999996</v>
      </c>
      <c r="U149" s="99">
        <v>1.5629999999999999</v>
      </c>
      <c r="V149" s="99">
        <v>2.6440000000000001</v>
      </c>
      <c r="W149" s="100">
        <f t="shared" si="2"/>
        <v>1.3158022817511328</v>
      </c>
    </row>
    <row r="150" spans="1:23" x14ac:dyDescent="0.35">
      <c r="A150" s="90" t="s">
        <v>575</v>
      </c>
      <c r="B150" s="90" t="s">
        <v>717</v>
      </c>
      <c r="C150" s="98">
        <v>4.1237007551626403</v>
      </c>
      <c r="D150" s="99">
        <v>4.5599643087248731</v>
      </c>
      <c r="E150" s="99">
        <v>5.0461931715429786</v>
      </c>
      <c r="G150" s="112" t="s">
        <v>402</v>
      </c>
      <c r="H150" s="110">
        <v>71.06383353175876</v>
      </c>
      <c r="I150" s="102">
        <v>84</v>
      </c>
      <c r="J150" s="102">
        <v>12</v>
      </c>
      <c r="K150" s="117"/>
      <c r="L150" s="98">
        <v>6.543507029266066</v>
      </c>
      <c r="M150" s="99">
        <v>6.1123430766482372</v>
      </c>
      <c r="N150" s="99">
        <v>5.9205885732303445</v>
      </c>
      <c r="O150" s="99">
        <v>5.74</v>
      </c>
      <c r="P150" s="99">
        <v>5.6</v>
      </c>
      <c r="Q150" s="99">
        <v>4.3479999999999999</v>
      </c>
      <c r="R150" s="99">
        <v>4.9669999999999996</v>
      </c>
      <c r="S150" s="99">
        <v>5.4640000000000004</v>
      </c>
      <c r="T150" s="99">
        <v>1.758</v>
      </c>
      <c r="U150" s="99">
        <v>5.2590000000000003</v>
      </c>
      <c r="V150" s="99">
        <v>5.399</v>
      </c>
      <c r="W150" s="100">
        <f t="shared" si="2"/>
        <v>4.8030787401339259</v>
      </c>
    </row>
    <row r="151" spans="1:23" x14ac:dyDescent="0.35">
      <c r="A151" s="90" t="s">
        <v>579</v>
      </c>
      <c r="B151" s="90" t="s">
        <v>718</v>
      </c>
      <c r="C151" s="98">
        <v>-2.1662761553291388</v>
      </c>
      <c r="D151" s="99">
        <v>-0.32249691451342599</v>
      </c>
      <c r="E151" s="99">
        <v>-0.73360970360328848</v>
      </c>
      <c r="G151" s="112" t="s">
        <v>426</v>
      </c>
      <c r="H151" s="110">
        <v>65.576173252463747</v>
      </c>
      <c r="I151" s="102">
        <v>112</v>
      </c>
      <c r="J151" s="102">
        <v>14</v>
      </c>
      <c r="K151" s="117"/>
      <c r="L151" s="98">
        <v>1.2699643652024184</v>
      </c>
      <c r="M151" s="99">
        <v>2.2290748047658071</v>
      </c>
      <c r="N151" s="99">
        <v>-0.91254496880826241</v>
      </c>
      <c r="O151" s="99">
        <v>-0.75600000000000001</v>
      </c>
      <c r="P151" s="99">
        <v>-6.7640000000000002</v>
      </c>
      <c r="Q151" s="99">
        <v>-4.7069999999999999</v>
      </c>
      <c r="R151" s="99">
        <v>-0.871</v>
      </c>
      <c r="S151" s="99">
        <v>0.11</v>
      </c>
      <c r="T151" s="99">
        <v>-7.6779999999999999</v>
      </c>
      <c r="U151" s="99">
        <v>-1.0269999999999999</v>
      </c>
      <c r="V151" s="99">
        <v>2.4809999999999999</v>
      </c>
      <c r="W151" s="100">
        <f t="shared" si="2"/>
        <v>-0.52805330905835723</v>
      </c>
    </row>
    <row r="152" spans="1:23" x14ac:dyDescent="0.35">
      <c r="A152" s="90" t="s">
        <v>575</v>
      </c>
      <c r="B152" s="90" t="s">
        <v>719</v>
      </c>
      <c r="C152" s="98">
        <v>-0.76139414796470017</v>
      </c>
      <c r="D152" s="99">
        <v>1.515468696628397</v>
      </c>
      <c r="E152" s="99">
        <v>1.7677168413122724</v>
      </c>
      <c r="G152" s="112" t="s">
        <v>426</v>
      </c>
      <c r="H152" s="110">
        <v>68.074683718311135</v>
      </c>
      <c r="I152" s="102">
        <v>102</v>
      </c>
      <c r="J152" s="102">
        <v>22</v>
      </c>
      <c r="K152" s="117"/>
      <c r="L152" s="98">
        <v>3.9976740023093633</v>
      </c>
      <c r="M152" s="99">
        <v>2.8755238423073424</v>
      </c>
      <c r="N152" s="99">
        <v>2.9713983451090038</v>
      </c>
      <c r="O152" s="99">
        <v>0.96799999999999997</v>
      </c>
      <c r="P152" s="99">
        <v>1.117</v>
      </c>
      <c r="Q152" s="99">
        <v>2.238</v>
      </c>
      <c r="R152" s="99">
        <v>2.625</v>
      </c>
      <c r="S152" s="99">
        <v>1.5880000000000001</v>
      </c>
      <c r="T152" s="99">
        <v>-8.8179999999999996</v>
      </c>
      <c r="U152" s="99">
        <v>4.4050000000000002</v>
      </c>
      <c r="V152" s="99">
        <v>2.5219999999999998</v>
      </c>
      <c r="W152" s="100">
        <f t="shared" si="2"/>
        <v>1.6415927689703347</v>
      </c>
    </row>
    <row r="153" spans="1:23" x14ac:dyDescent="0.35">
      <c r="A153" s="90" t="s">
        <v>586</v>
      </c>
      <c r="B153" s="90" t="s">
        <v>720</v>
      </c>
      <c r="C153" s="98">
        <v>6.2162334826369348</v>
      </c>
      <c r="D153" s="99">
        <v>4.4468380199269797</v>
      </c>
      <c r="E153" s="99">
        <v>5.2521474880545149</v>
      </c>
      <c r="G153" s="112" t="s">
        <v>577</v>
      </c>
      <c r="H153" s="110">
        <v>79.725975588542326</v>
      </c>
      <c r="I153" s="102">
        <v>49</v>
      </c>
      <c r="J153" s="102">
        <v>4</v>
      </c>
      <c r="K153" s="117"/>
      <c r="L153" s="98">
        <v>4.7899402070344061</v>
      </c>
      <c r="M153" s="99">
        <v>8.4913093926863557</v>
      </c>
      <c r="N153" s="99">
        <v>5.1666907030455222</v>
      </c>
      <c r="O153" s="99">
        <v>6.0839999999999996</v>
      </c>
      <c r="P153" s="99">
        <v>3.323</v>
      </c>
      <c r="Q153" s="99">
        <v>7.5019999999999998</v>
      </c>
      <c r="R153" s="99">
        <v>2.98</v>
      </c>
      <c r="S153" s="99">
        <v>0.78400000000000003</v>
      </c>
      <c r="T153" s="99">
        <v>1.94</v>
      </c>
      <c r="U153" s="99">
        <v>11.353</v>
      </c>
      <c r="V153" s="99">
        <v>5.5659999999999998</v>
      </c>
      <c r="W153" s="100">
        <f t="shared" si="2"/>
        <v>4.8494927539907469</v>
      </c>
    </row>
    <row r="154" spans="1:23" x14ac:dyDescent="0.35">
      <c r="A154" s="90" t="s">
        <v>571</v>
      </c>
      <c r="B154" s="90" t="s">
        <v>721</v>
      </c>
      <c r="C154" s="98">
        <v>5.7825311290508274</v>
      </c>
      <c r="D154" s="99">
        <v>5.9692666570670072</v>
      </c>
      <c r="E154" s="99">
        <v>6.9419375690879193</v>
      </c>
      <c r="G154" s="112" t="s">
        <v>402</v>
      </c>
      <c r="H154" s="110">
        <v>73.971445285212496</v>
      </c>
      <c r="I154" s="102">
        <v>74</v>
      </c>
      <c r="J154" s="102">
        <v>12</v>
      </c>
      <c r="K154" s="117"/>
      <c r="L154" s="98">
        <v>11.099999961554488</v>
      </c>
      <c r="M154" s="99">
        <v>10.200000101398992</v>
      </c>
      <c r="N154" s="99">
        <v>10.299999970545908</v>
      </c>
      <c r="O154" s="99">
        <v>2.9860000000000002</v>
      </c>
      <c r="P154" s="99">
        <v>-0.97699999999999998</v>
      </c>
      <c r="Q154" s="99">
        <v>4.7069999999999999</v>
      </c>
      <c r="R154" s="99">
        <v>0.88200000000000001</v>
      </c>
      <c r="S154" s="99">
        <v>-3.3889999999999998</v>
      </c>
      <c r="T154" s="99">
        <v>-2.9369999999999998</v>
      </c>
      <c r="U154" s="99">
        <v>4.62</v>
      </c>
      <c r="V154" s="99">
        <v>1.7889999999999999</v>
      </c>
      <c r="W154" s="100">
        <f t="shared" si="2"/>
        <v>6.4556021130774628</v>
      </c>
    </row>
    <row r="155" spans="1:23" x14ac:dyDescent="0.35">
      <c r="A155" s="90" t="s">
        <v>575</v>
      </c>
      <c r="B155" s="90" t="s">
        <v>722</v>
      </c>
      <c r="C155" s="98">
        <v>3.8036415692147996</v>
      </c>
      <c r="D155" s="99">
        <v>4.8231874950755982</v>
      </c>
      <c r="E155" s="99">
        <v>4.6664450945707259</v>
      </c>
      <c r="G155" s="112" t="s">
        <v>402</v>
      </c>
      <c r="H155" s="110">
        <v>69.556086736265442</v>
      </c>
      <c r="I155" s="102">
        <v>91</v>
      </c>
      <c r="J155" s="102">
        <v>14</v>
      </c>
      <c r="K155" s="117"/>
      <c r="L155" s="98">
        <v>3.8374556059033003</v>
      </c>
      <c r="M155" s="99">
        <v>3.586905826320109</v>
      </c>
      <c r="N155" s="99">
        <v>5.1063073243118193</v>
      </c>
      <c r="O155" s="99">
        <v>8.0060000000000002</v>
      </c>
      <c r="P155" s="99">
        <v>0.159</v>
      </c>
      <c r="Q155" s="99">
        <v>6.83</v>
      </c>
      <c r="R155" s="99">
        <v>5.5019999999999998</v>
      </c>
      <c r="S155" s="99">
        <v>7.782</v>
      </c>
      <c r="T155" s="99">
        <v>-1.3009999999999999</v>
      </c>
      <c r="U155" s="99">
        <v>6.0039999999999996</v>
      </c>
      <c r="V155" s="99">
        <v>4.9329999999999998</v>
      </c>
      <c r="W155" s="100">
        <f t="shared" si="2"/>
        <v>4.7448162948231616</v>
      </c>
    </row>
    <row r="156" spans="1:23" x14ac:dyDescent="0.35">
      <c r="A156" s="90" t="s">
        <v>231</v>
      </c>
      <c r="B156" s="90" t="s">
        <v>723</v>
      </c>
      <c r="C156" s="98">
        <v>-11.461901799668306</v>
      </c>
      <c r="D156" s="99">
        <v>-5.8295559101049328</v>
      </c>
      <c r="E156" s="99">
        <v>-4.15839598326132</v>
      </c>
      <c r="G156" s="112" t="s">
        <v>402</v>
      </c>
      <c r="H156" s="110">
        <v>74.079326507080765</v>
      </c>
      <c r="I156" s="102">
        <v>73</v>
      </c>
      <c r="J156" s="102">
        <v>39</v>
      </c>
      <c r="K156" s="117"/>
      <c r="L156" s="98">
        <v>0.23868172076808841</v>
      </c>
      <c r="M156" s="99">
        <v>-2.66978900718703E-2</v>
      </c>
      <c r="N156" s="99">
        <v>-6.5526312936576572</v>
      </c>
      <c r="O156" s="99">
        <v>-9.7880000000000003</v>
      </c>
      <c r="P156" s="99">
        <v>2.4169999999999998</v>
      </c>
      <c r="Q156" s="99">
        <v>2.36</v>
      </c>
      <c r="R156" s="99">
        <v>3.488</v>
      </c>
      <c r="S156" s="99">
        <v>3.1989999999999998</v>
      </c>
      <c r="T156" s="99">
        <v>-3.7530000000000001</v>
      </c>
      <c r="U156" s="99">
        <v>3.3530000000000002</v>
      </c>
      <c r="V156" s="99">
        <v>-30.26</v>
      </c>
      <c r="W156" s="100">
        <f t="shared" si="2"/>
        <v>-4.9939759466831264</v>
      </c>
    </row>
    <row r="157" spans="1:23" x14ac:dyDescent="0.35">
      <c r="A157" s="90" t="s">
        <v>586</v>
      </c>
      <c r="B157" s="90" t="s">
        <v>724</v>
      </c>
      <c r="C157" s="98">
        <v>1.9883983839421138</v>
      </c>
      <c r="D157" s="99">
        <v>1.9344501122165347</v>
      </c>
      <c r="E157" s="99">
        <v>2.9471413005852209</v>
      </c>
      <c r="G157" s="112" t="s">
        <v>419</v>
      </c>
      <c r="H157" s="110">
        <v>91.971735408895199</v>
      </c>
      <c r="I157" s="102">
        <v>22</v>
      </c>
      <c r="J157" s="102">
        <v>1</v>
      </c>
      <c r="K157" s="117"/>
      <c r="L157" s="98">
        <v>4.4846260849086921</v>
      </c>
      <c r="M157" s="99">
        <v>5.0533458252665762</v>
      </c>
      <c r="N157" s="99">
        <v>4.2843036857947956</v>
      </c>
      <c r="O157" s="99">
        <v>6.7869999999999999</v>
      </c>
      <c r="P157" s="99">
        <v>5.5609999999999999</v>
      </c>
      <c r="Q157" s="99">
        <v>0.73499999999999999</v>
      </c>
      <c r="R157" s="99">
        <v>1.3140000000000001</v>
      </c>
      <c r="S157" s="99">
        <v>1.1080000000000001</v>
      </c>
      <c r="T157" s="99">
        <v>-4.9569999999999999</v>
      </c>
      <c r="U157" s="99">
        <v>3.9159999999999999</v>
      </c>
      <c r="V157" s="99">
        <v>7.4109999999999996</v>
      </c>
      <c r="W157" s="100">
        <f t="shared" si="2"/>
        <v>2.4407957064008778</v>
      </c>
    </row>
    <row r="158" spans="1:23" x14ac:dyDescent="0.35">
      <c r="A158" s="90" t="s">
        <v>231</v>
      </c>
      <c r="B158" s="90" t="s">
        <v>725</v>
      </c>
      <c r="C158" s="98">
        <v>-0.15570963242206304</v>
      </c>
      <c r="D158" s="99">
        <v>0.73784192060712961</v>
      </c>
      <c r="E158" s="99">
        <v>1.4574433295258649</v>
      </c>
      <c r="G158" s="112" t="s">
        <v>419</v>
      </c>
      <c r="H158" s="110">
        <v>95.869504572225566</v>
      </c>
      <c r="I158" s="102">
        <v>16</v>
      </c>
      <c r="J158" s="102">
        <v>11</v>
      </c>
      <c r="K158" s="117"/>
      <c r="L158" s="98">
        <v>1.4789239471568232</v>
      </c>
      <c r="M158" s="99">
        <v>2.1394857010831609</v>
      </c>
      <c r="N158" s="99">
        <v>2.6074759063105102</v>
      </c>
      <c r="O158" s="99">
        <v>2.3929999999999998</v>
      </c>
      <c r="P158" s="99">
        <v>2.165</v>
      </c>
      <c r="Q158" s="99">
        <v>2.444</v>
      </c>
      <c r="R158" s="99">
        <v>1.7050000000000001</v>
      </c>
      <c r="S158" s="99">
        <v>1.6040000000000001</v>
      </c>
      <c r="T158" s="99">
        <v>-11.031000000000001</v>
      </c>
      <c r="U158" s="99">
        <v>7.5970000000000004</v>
      </c>
      <c r="V158" s="99">
        <v>4.0449999999999999</v>
      </c>
      <c r="W158" s="100">
        <f t="shared" si="2"/>
        <v>1.0976426250664972</v>
      </c>
    </row>
    <row r="159" spans="1:23" x14ac:dyDescent="0.35">
      <c r="A159" s="90" t="s">
        <v>579</v>
      </c>
      <c r="B159" s="90" t="s">
        <v>726</v>
      </c>
      <c r="C159" s="98">
        <v>1.6858959431595322</v>
      </c>
      <c r="D159" s="99">
        <v>2.0522235488571683</v>
      </c>
      <c r="E159" s="99">
        <v>2.1214909700318696</v>
      </c>
      <c r="G159" s="112" t="s">
        <v>419</v>
      </c>
      <c r="H159" s="110">
        <v>95.916666666666671</v>
      </c>
      <c r="I159" s="102">
        <v>14</v>
      </c>
      <c r="J159" s="102">
        <v>1</v>
      </c>
      <c r="K159" s="117"/>
      <c r="L159" s="98">
        <v>2.249545852369943</v>
      </c>
      <c r="M159" s="99">
        <v>1.8420810710110016</v>
      </c>
      <c r="N159" s="99">
        <v>2.4519730353603584</v>
      </c>
      <c r="O159" s="99">
        <v>2.7069999999999999</v>
      </c>
      <c r="P159" s="99">
        <v>1.6679999999999999</v>
      </c>
      <c r="Q159" s="99">
        <v>2.242</v>
      </c>
      <c r="R159" s="99">
        <v>2.9449999999999998</v>
      </c>
      <c r="S159" s="99">
        <v>2.2949999999999999</v>
      </c>
      <c r="T159" s="99">
        <v>-2.7679999999999998</v>
      </c>
      <c r="U159" s="99">
        <v>5.9470000000000001</v>
      </c>
      <c r="V159" s="99">
        <v>2.0680000000000001</v>
      </c>
      <c r="W159" s="100">
        <f t="shared" si="2"/>
        <v>2.0868572594445189</v>
      </c>
    </row>
    <row r="160" spans="1:23" x14ac:dyDescent="0.35">
      <c r="A160" s="90" t="s">
        <v>579</v>
      </c>
      <c r="B160" s="90" t="s">
        <v>727</v>
      </c>
      <c r="C160" s="98">
        <v>0.91343850289404838</v>
      </c>
      <c r="D160" s="99">
        <v>2.2569945604846264</v>
      </c>
      <c r="E160" s="99">
        <v>2.3762166744240032</v>
      </c>
      <c r="G160" s="112" t="s">
        <v>577</v>
      </c>
      <c r="H160" s="110">
        <v>81.172173305315454</v>
      </c>
      <c r="I160" s="102">
        <v>43</v>
      </c>
      <c r="J160" s="102">
        <v>5</v>
      </c>
      <c r="K160" s="117"/>
      <c r="L160" s="98">
        <v>3.5381787068568795</v>
      </c>
      <c r="M160" s="99">
        <v>4.6375386431141186</v>
      </c>
      <c r="N160" s="99">
        <v>3.2387912162160193</v>
      </c>
      <c r="O160" s="99">
        <v>0.371</v>
      </c>
      <c r="P160" s="99">
        <v>1.69</v>
      </c>
      <c r="Q160" s="99">
        <v>1.6279999999999999</v>
      </c>
      <c r="R160" s="99">
        <v>0.47799999999999998</v>
      </c>
      <c r="S160" s="99">
        <v>0.35</v>
      </c>
      <c r="T160" s="99">
        <v>-6.1150000000000002</v>
      </c>
      <c r="U160" s="99">
        <v>4.4020000000000001</v>
      </c>
      <c r="V160" s="99">
        <v>4.8860000000000001</v>
      </c>
      <c r="W160" s="100">
        <f t="shared" si="2"/>
        <v>2.3166056174543148</v>
      </c>
    </row>
    <row r="161" spans="1:23" x14ac:dyDescent="0.35">
      <c r="A161" s="90" t="s">
        <v>571</v>
      </c>
      <c r="B161" s="90" t="s">
        <v>728</v>
      </c>
      <c r="C161" s="98">
        <v>4.966226080132774</v>
      </c>
      <c r="D161" s="99">
        <v>5.1922367720162121</v>
      </c>
      <c r="E161" s="99">
        <v>5.7634254597189516</v>
      </c>
      <c r="G161" s="112" t="s">
        <v>426</v>
      </c>
      <c r="H161" s="110">
        <v>68.759088115548678</v>
      </c>
      <c r="I161" s="102">
        <v>99</v>
      </c>
      <c r="J161" s="102">
        <v>18</v>
      </c>
      <c r="K161" s="117"/>
      <c r="L161" s="98">
        <v>7.1024448870695505</v>
      </c>
      <c r="M161" s="99">
        <v>7.2965503696402285</v>
      </c>
      <c r="N161" s="99">
        <v>6.8738384408295845</v>
      </c>
      <c r="O161" s="99">
        <v>7.2190000000000003</v>
      </c>
      <c r="P161" s="99">
        <v>5.9320000000000004</v>
      </c>
      <c r="Q161" s="99">
        <v>4.3949999999999996</v>
      </c>
      <c r="R161" s="99">
        <v>5.88</v>
      </c>
      <c r="S161" s="99">
        <v>5.9820000000000002</v>
      </c>
      <c r="T161" s="99">
        <v>1.996</v>
      </c>
      <c r="U161" s="99">
        <v>7.4029999999999996</v>
      </c>
      <c r="V161" s="99">
        <v>5.6689999999999996</v>
      </c>
      <c r="W161" s="100">
        <f t="shared" si="2"/>
        <v>5.4778311158675823</v>
      </c>
    </row>
    <row r="162" spans="1:23" x14ac:dyDescent="0.35">
      <c r="A162" s="90" t="s">
        <v>571</v>
      </c>
      <c r="B162" s="90" t="s">
        <v>729</v>
      </c>
      <c r="C162" s="98">
        <v>6.367284609117374</v>
      </c>
      <c r="D162" s="99">
        <v>8.0753375154714711</v>
      </c>
      <c r="E162" s="99">
        <v>8.6445538917790046</v>
      </c>
      <c r="G162" s="112" t="s">
        <v>426</v>
      </c>
      <c r="H162" s="110">
        <v>62.623537935388953</v>
      </c>
      <c r="I162" s="102">
        <v>120</v>
      </c>
      <c r="J162" s="102">
        <v>24</v>
      </c>
      <c r="K162" s="117"/>
      <c r="L162" s="98">
        <v>12.410056463111571</v>
      </c>
      <c r="M162" s="99">
        <v>7.2891294784445284</v>
      </c>
      <c r="N162" s="99">
        <v>9.6841913021478785</v>
      </c>
      <c r="O162" s="99">
        <v>6.9870000000000001</v>
      </c>
      <c r="P162" s="99">
        <v>6.69</v>
      </c>
      <c r="Q162" s="99">
        <v>6.94</v>
      </c>
      <c r="R162" s="99">
        <v>7.4649999999999999</v>
      </c>
      <c r="S162" s="99">
        <v>7.359</v>
      </c>
      <c r="T162" s="99">
        <v>2.867</v>
      </c>
      <c r="U162" s="99">
        <v>2.5619999999999998</v>
      </c>
      <c r="V162" s="99">
        <v>8.0180000000000007</v>
      </c>
      <c r="W162" s="100">
        <f t="shared" si="2"/>
        <v>8.3599457036252378</v>
      </c>
    </row>
    <row r="163" spans="1:23" x14ac:dyDescent="0.35">
      <c r="A163" s="90" t="s">
        <v>586</v>
      </c>
      <c r="B163" s="90" t="s">
        <v>730</v>
      </c>
      <c r="C163" s="98">
        <v>-1.1017371120758623</v>
      </c>
      <c r="D163" s="99">
        <v>-1.4008554823266794</v>
      </c>
      <c r="E163" s="99">
        <v>0.43888765074564517</v>
      </c>
      <c r="G163" s="112" t="s">
        <v>573</v>
      </c>
      <c r="H163" s="110">
        <v>44.737558430285063</v>
      </c>
      <c r="I163" s="102">
        <v>145</v>
      </c>
      <c r="J163" s="102">
        <v>11</v>
      </c>
      <c r="K163" s="117"/>
      <c r="L163" s="98">
        <v>16.665428768467855</v>
      </c>
      <c r="M163" s="99">
        <v>1.9894927620720551</v>
      </c>
      <c r="N163" s="99">
        <v>2.3769293269800476</v>
      </c>
      <c r="O163" s="99">
        <v>-27.995000000000001</v>
      </c>
      <c r="P163" s="99">
        <v>-9.375</v>
      </c>
      <c r="Q163" s="99">
        <v>-5.0720000000000001</v>
      </c>
      <c r="R163" s="99">
        <v>0.752</v>
      </c>
      <c r="S163" s="99">
        <v>1.4</v>
      </c>
      <c r="T163" s="99">
        <v>-8.5</v>
      </c>
      <c r="U163" s="99">
        <v>-1</v>
      </c>
      <c r="V163" s="99">
        <v>1.5</v>
      </c>
      <c r="W163" s="100">
        <f t="shared" si="2"/>
        <v>-0.48098391579051714</v>
      </c>
    </row>
    <row r="164" spans="1:23" x14ac:dyDescent="0.35">
      <c r="A164" s="90" t="s">
        <v>575</v>
      </c>
      <c r="B164" s="90" t="s">
        <v>731</v>
      </c>
      <c r="C164" s="98">
        <v>1.6991659105087376</v>
      </c>
      <c r="D164" s="99">
        <v>2.110140268966143</v>
      </c>
      <c r="E164" s="99">
        <v>3.0449788505192199</v>
      </c>
      <c r="G164" s="112" t="s">
        <v>426</v>
      </c>
      <c r="H164" s="110">
        <v>61.004320674622747</v>
      </c>
      <c r="I164" s="102">
        <v>124</v>
      </c>
      <c r="J164" s="102">
        <v>29</v>
      </c>
      <c r="K164" s="117"/>
      <c r="L164" s="98">
        <v>7.5975932105319126</v>
      </c>
      <c r="M164" s="99">
        <v>5.0572317397973361</v>
      </c>
      <c r="N164" s="99">
        <v>4.6979923625298614</v>
      </c>
      <c r="O164" s="99">
        <v>2.92</v>
      </c>
      <c r="P164" s="99">
        <v>3.7770000000000001</v>
      </c>
      <c r="Q164" s="99">
        <v>3.504</v>
      </c>
      <c r="R164" s="99">
        <v>4.0350000000000001</v>
      </c>
      <c r="S164" s="99">
        <v>1.4410000000000001</v>
      </c>
      <c r="T164" s="99">
        <v>-2.7850000000000001</v>
      </c>
      <c r="U164" s="99">
        <v>4.5990000000000002</v>
      </c>
      <c r="V164" s="99">
        <v>3.4409999999999998</v>
      </c>
      <c r="W164" s="100">
        <f t="shared" si="2"/>
        <v>2.5775595597426815</v>
      </c>
    </row>
    <row r="165" spans="1:23" x14ac:dyDescent="0.35">
      <c r="A165" s="90" t="s">
        <v>575</v>
      </c>
      <c r="B165" s="90" t="s">
        <v>732</v>
      </c>
      <c r="C165" s="98">
        <v>3.5464749905308901</v>
      </c>
      <c r="D165" s="99">
        <v>2.7818952866475843</v>
      </c>
      <c r="E165" s="99">
        <v>2.7261309103552733</v>
      </c>
      <c r="G165" s="112" t="s">
        <v>573</v>
      </c>
      <c r="H165" s="110">
        <v>55.033873809516088</v>
      </c>
      <c r="I165" s="102">
        <v>133</v>
      </c>
      <c r="J165" s="102">
        <v>33</v>
      </c>
      <c r="K165" s="117"/>
      <c r="L165" s="98">
        <v>17.615397198362849</v>
      </c>
      <c r="M165" s="99">
        <v>10.75800212279124</v>
      </c>
      <c r="N165" s="99">
        <v>3.9762602630956336</v>
      </c>
      <c r="O165" s="99">
        <v>1.794</v>
      </c>
      <c r="P165" s="99">
        <v>0.47799999999999998</v>
      </c>
      <c r="Q165" s="99">
        <v>4.9829999999999997</v>
      </c>
      <c r="R165" s="99">
        <v>4.7320000000000002</v>
      </c>
      <c r="S165" s="99">
        <v>-6.1219999999999999</v>
      </c>
      <c r="T165" s="99">
        <v>-7.8250000000000002</v>
      </c>
      <c r="U165" s="99">
        <v>8.4619999999999997</v>
      </c>
      <c r="V165" s="99">
        <v>3.0289999999999999</v>
      </c>
      <c r="W165" s="100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90625" bestFit="1" customWidth="1"/>
    <col min="8" max="8" width="27.90625" customWidth="1"/>
    <col min="9" max="9" width="21" customWidth="1"/>
    <col min="10" max="10" width="33.36328125" customWidth="1"/>
    <col min="11" max="11" width="16" customWidth="1"/>
    <col min="12" max="12" width="17.453125" customWidth="1"/>
    <col min="13" max="13" width="13.08984375" customWidth="1"/>
    <col min="14" max="14" width="13.54296875" customWidth="1"/>
    <col min="15" max="15" width="19.6328125" bestFit="1" customWidth="1"/>
    <col min="16" max="16" width="19.54296875" customWidth="1"/>
    <col min="17" max="17" width="15" customWidth="1"/>
    <col min="18" max="18" width="7.08984375" customWidth="1"/>
    <col min="19" max="19" width="10" customWidth="1"/>
    <col min="20" max="20" width="5.54296875" customWidth="1"/>
    <col min="21" max="21" width="13.08984375" customWidth="1"/>
  </cols>
  <sheetData>
    <row r="1" spans="1:21" x14ac:dyDescent="0.35">
      <c r="L1" s="5">
        <f>Assumption!F55</f>
        <v>0.2</v>
      </c>
      <c r="M1" s="5">
        <f>Assumption!G55</f>
        <v>0.4</v>
      </c>
      <c r="N1" s="5">
        <f>Assumption!H55</f>
        <v>0.4</v>
      </c>
      <c r="O1" s="5">
        <f>Assumption!E55</f>
        <v>0.5</v>
      </c>
      <c r="P1" s="5">
        <f>Assumption!E56</f>
        <v>0.3</v>
      </c>
      <c r="Q1" s="5">
        <f>Assumption!E57</f>
        <v>0.2</v>
      </c>
      <c r="U1" t="s">
        <v>512</v>
      </c>
    </row>
    <row r="2" spans="1:21" x14ac:dyDescent="0.35">
      <c r="B2" s="48" t="s">
        <v>387</v>
      </c>
      <c r="C2" s="48" t="s">
        <v>388</v>
      </c>
      <c r="D2" s="48" t="s">
        <v>62</v>
      </c>
      <c r="E2" s="48" t="s">
        <v>389</v>
      </c>
      <c r="F2" s="48" t="s">
        <v>391</v>
      </c>
      <c r="G2" s="48" t="s">
        <v>390</v>
      </c>
      <c r="H2" s="48" t="s">
        <v>481</v>
      </c>
      <c r="I2" s="48" t="s">
        <v>413</v>
      </c>
      <c r="J2" s="48" t="s">
        <v>475</v>
      </c>
      <c r="L2" s="55" t="s">
        <v>478</v>
      </c>
      <c r="M2" s="48" t="s">
        <v>479</v>
      </c>
      <c r="N2" s="48" t="s">
        <v>480</v>
      </c>
      <c r="O2" t="s">
        <v>492</v>
      </c>
      <c r="P2" t="s">
        <v>493</v>
      </c>
      <c r="Q2" t="s">
        <v>495</v>
      </c>
    </row>
    <row r="3" spans="1:21" x14ac:dyDescent="0.35">
      <c r="A3" t="s">
        <v>435</v>
      </c>
      <c r="B3" t="s">
        <v>473</v>
      </c>
      <c r="C3" t="str" cm="1">
        <f t="array" ref="C3">_xll.FDSB(B3,"FG_COMPANY_NAME")</f>
        <v>New Zealand Dollar per U.S. Dollar</v>
      </c>
      <c r="D3" cm="1">
        <f t="array" ref="D3">_xll.FDSB(B3,"FG_PRICE(0)")</f>
        <v>1.6397474999999999</v>
      </c>
      <c r="E3" cm="1">
        <f t="array" ref="E3">_xll.FDSB(B3,"FG_PRICE_CHANGE(0,-1AY)")</f>
        <v>1.6233443999999999</v>
      </c>
      <c r="F3" cm="1">
        <f t="array" ref="F3">_xll.FDSB(B3,"FG_PRICE_CHANGE(0,-1AM)")</f>
        <v>-0.39353967000000001</v>
      </c>
      <c r="G3" cm="1">
        <f t="array" ref="G3">_xll.FDSB(B3,"FG_PRICE_CHANGE(0,-3AM)")</f>
        <v>1.0576367</v>
      </c>
      <c r="H3" cm="1">
        <f t="array" ref="H3">_xll.FDSB(B3,"FG_PRICE_CHANGE(0,-6AM)")</f>
        <v>-2.6891828000000002</v>
      </c>
      <c r="I3" cm="1">
        <f t="array" ref="I3">_xll.FDS(B3,"STD(FG_PRICE_CHANGE(0,-1AY,AM))")</f>
        <v>2.1728894144515301</v>
      </c>
      <c r="J3" cm="1">
        <f t="array" ref="J3">_xll.FDS(B3,"STD(FG_PRICE_CHANGE(0,-3AY,M))")*SQRT(12)</f>
        <v>12.232759884598119</v>
      </c>
      <c r="L3">
        <f>(1-(_xlfn.PERCENTRANK.EXC($F$3:$F$15,F3)))*100</f>
        <v>71.500000000000014</v>
      </c>
      <c r="M3">
        <f>(1-(_xlfn.PERCENTRANK.EXC($G$3:$G$15,G3)))*100</f>
        <v>35.799999999999997</v>
      </c>
      <c r="N3">
        <f>(1-(_xlfn.PERCENTRANK.EXC($H$3:$H$15,H3)))*100</f>
        <v>85.8</v>
      </c>
      <c r="O3">
        <f>SUMPRODUCT($L$1:$N$1,L3:N3)</f>
        <v>62.940000000000005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35.049999999999997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470</v>
      </c>
      <c r="C4" t="str" cm="1">
        <f t="array" ref="C4">_xll.FDSB(B4,"FG_COMPANY_NAME")</f>
        <v>Australian Dollar per U.S. Dollar</v>
      </c>
      <c r="D4" cm="1">
        <f t="array" ref="D4">_xll.FDSB(B4,"FG_PRICE(0)")</f>
        <v>1.5339776000000001</v>
      </c>
      <c r="E4" cm="1">
        <f t="array" ref="E4">_xll.FDSB(B4,"FG_PRICE_CHANGE(0,-1AY)")</f>
        <v>3.4437776000000002</v>
      </c>
      <c r="F4" cm="1">
        <f t="array" ref="F4">_xll.FDSB(B4,"FG_PRICE_CHANGE(0,-1AM)")</f>
        <v>0</v>
      </c>
      <c r="G4" cm="1">
        <f t="array" ref="G4">_xll.FDSB(B4,"FG_PRICE_CHANGE(0,-3AM)")</f>
        <v>1.4802933</v>
      </c>
      <c r="H4" cm="1">
        <f t="array" ref="H4">_xll.FDSB(B4,"FG_PRICE_CHANGE(0,-6AM)")</f>
        <v>-0.94339850000000003</v>
      </c>
      <c r="I4" cm="1">
        <f t="array" ref="I4">_xll.FDS(B4,"STD(FG_PRICE_CHANGE(0,-1AY,AM))")</f>
        <v>1.9743613194790199</v>
      </c>
      <c r="J4" cm="1">
        <f t="array" ref="J4">_xll.FDS(B4,"STD(FG_PRICE_CHANGE(0,-3AY,M))")*SQRT(12)</f>
        <v>10.657251729069429</v>
      </c>
      <c r="L4">
        <f t="shared" ref="L4:L15" si="1">(1-(_xlfn.PERCENTRANK.EXC($F$3:$F$15,F4)))*100</f>
        <v>57.2</v>
      </c>
      <c r="M4">
        <f t="shared" ref="M4:M15" si="2">(1-(_xlfn.PERCENTRANK.EXC($G$3:$G$15,G4)))*100</f>
        <v>14.3</v>
      </c>
      <c r="N4">
        <f t="shared" ref="N4:N15" si="3">(1-(_xlfn.PERCENTRANK.EXC($H$3:$H$15,H4)))*100</f>
        <v>78.600000000000009</v>
      </c>
      <c r="O4">
        <f t="shared" ref="O4:O11" si="4">SUMPRODUCT($L$1:$N$1,L4:N4)</f>
        <v>48.600000000000009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38.590000000000003</v>
      </c>
      <c r="U4" cm="1">
        <f t="array" ref="U4">_xlfn.PERCENTRANK.EXC(_xlfn._xlws.FILTER(S$3:S$15, ISNUMBER(S$3:S$15)),S4)*100</f>
        <v>28.499999999999996</v>
      </c>
    </row>
    <row r="5" spans="1:21" x14ac:dyDescent="0.35">
      <c r="A5" t="s">
        <v>49</v>
      </c>
      <c r="B5" t="s">
        <v>471</v>
      </c>
      <c r="C5" t="str" cm="1">
        <f t="array" ref="C5">_xll.FDSB(B5,"FG_COMPANY_NAME")</f>
        <v>Canadian Dollar per U.S. Dollar</v>
      </c>
      <c r="D5" cm="1">
        <f t="array" ref="D5">_xll.FDSB(B5,"FG_PRICE(0)")</f>
        <v>1.35625</v>
      </c>
      <c r="E5" cm="1">
        <f t="array" ref="E5">_xll.FDSB(B5,"FG_PRICE_CHANGE(0,-1AY)")</f>
        <v>-0.46236515</v>
      </c>
      <c r="F5" cm="1">
        <f t="array" ref="F5">_xll.FDSB(B5,"FG_PRICE_CHANGE(0,-1AM)")</f>
        <v>0.81769230000000004</v>
      </c>
      <c r="G5" cm="1">
        <f t="array" ref="G5">_xll.FDSB(B5,"FG_PRICE_CHANGE(0,-3AM)")</f>
        <v>0.18097162</v>
      </c>
      <c r="H5" cm="1">
        <f t="array" ref="H5">_xll.FDSB(B5,"FG_PRICE_CHANGE(0,-6AM)")</f>
        <v>-0.26839972000000001</v>
      </c>
      <c r="I5" cm="1">
        <f t="array" ref="I5">_xll.FDS(B5,"STD(FG_PRICE_CHANGE(0,-1AY,AM))")</f>
        <v>1.33607263357915</v>
      </c>
      <c r="J5" cm="1">
        <f t="array" ref="J5">_xll.FDS(B5,"STD(FG_PRICE_CHANGE(0,-3AY,M))")*SQRT(12)</f>
        <v>6.5261579025430958</v>
      </c>
      <c r="L5">
        <f t="shared" si="1"/>
        <v>28.6</v>
      </c>
      <c r="M5">
        <f t="shared" si="2"/>
        <v>42.900000000000006</v>
      </c>
      <c r="N5">
        <f t="shared" si="3"/>
        <v>50</v>
      </c>
      <c r="O5">
        <f t="shared" si="4"/>
        <v>42.88</v>
      </c>
      <c r="P5">
        <f t="shared" si="5"/>
        <v>71.5</v>
      </c>
      <c r="Q5">
        <f>VLOOKUP(A5,CAD!$A$3:$J$15, 10, FALSE)</f>
        <v>42.8</v>
      </c>
      <c r="S5">
        <f t="shared" si="0"/>
        <v>51.45</v>
      </c>
      <c r="U5" cm="1">
        <f t="array" ref="U5">_xlfn.PERCENTRANK.EXC(_xlfn._xlws.FILTER(S$3:S$15, ISNUMBER(S$3:S$15)),S5)*100</f>
        <v>42.8</v>
      </c>
    </row>
    <row r="6" spans="1:21" x14ac:dyDescent="0.35">
      <c r="A6" t="s">
        <v>11</v>
      </c>
      <c r="B6" t="s">
        <v>468</v>
      </c>
      <c r="C6" t="str" cm="1">
        <f t="array" ref="C6">_xll.FDSB(B6,"FG_COMPANY_NAME")</f>
        <v>Euro per U.S. Dollar</v>
      </c>
      <c r="D6" cm="1">
        <f t="array" ref="D6">_xll.FDSB(B6,"FG_PRICE(0)")</f>
        <v>0.92051362999999997</v>
      </c>
      <c r="E6" cm="1">
        <f t="array" ref="E6">_xll.FDSB(B6,"FG_PRICE_CHANGE(0,-1AY)")</f>
        <v>-2.4485648000000002</v>
      </c>
      <c r="F6" cm="1">
        <f t="array" ref="F6">_xll.FDSB(B6,"FG_PRICE_CHANGE(0,-1AM)")</f>
        <v>-0.56611895999999995</v>
      </c>
      <c r="G6" cm="1">
        <f t="array" ref="G6">_xll.FDSB(B6,"FG_PRICE_CHANGE(0,-3AM)")</f>
        <v>-0.44184327000000001</v>
      </c>
      <c r="H6" cm="1">
        <f t="array" ref="H6">_xll.FDSB(B6,"FG_PRICE_CHANGE(0,-6AM)")</f>
        <v>-0.71800350000000002</v>
      </c>
      <c r="I6" cm="1">
        <f t="array" ref="I6">_xll.FDS(B6,"STD(FG_PRICE_CHANGE(0,-1AY,AM))")</f>
        <v>2.0459717567226301</v>
      </c>
      <c r="J6" cm="1">
        <f t="array" ref="J6">_xll.FDS(B6,"STD(FG_PRICE_CHANGE(0,-3AY,M))")*SQRT(12)</f>
        <v>7.8939456392796519</v>
      </c>
      <c r="L6">
        <f t="shared" si="1"/>
        <v>85.8</v>
      </c>
      <c r="M6">
        <f t="shared" si="2"/>
        <v>71.500000000000014</v>
      </c>
      <c r="N6">
        <f t="shared" si="3"/>
        <v>71.500000000000014</v>
      </c>
      <c r="O6">
        <f t="shared" si="4"/>
        <v>74.360000000000014</v>
      </c>
      <c r="P6">
        <f t="shared" si="5"/>
        <v>57.2</v>
      </c>
      <c r="Q6">
        <f>VLOOKUP(A6,CAD!$A$3:$J$15, 10, FALSE)</f>
        <v>78.5</v>
      </c>
      <c r="S6">
        <f t="shared" si="0"/>
        <v>70.040000000000006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469</v>
      </c>
      <c r="C7" t="str" cm="1">
        <f t="array" ref="C7">_xll.FDSB(B7,"FG_COMPANY_NAME")</f>
        <v>Japanese Yen per U.S. Dollar</v>
      </c>
      <c r="D7" cm="1">
        <f t="array" ref="D7">_xll.FDSB(B7,"FG_PRICE(0)")</f>
        <v>150.495</v>
      </c>
      <c r="E7" cm="1">
        <f t="array" ref="E7">_xll.FDSB(B7,"FG_PRICE_CHANGE(0,-1AY)")</f>
        <v>10.382128</v>
      </c>
      <c r="F7" cm="1">
        <f t="array" ref="F7">_xll.FDSB(B7,"FG_PRICE_CHANGE(0,-1AM)")</f>
        <v>1.5006303999999999</v>
      </c>
      <c r="G7" cm="1">
        <f t="array" ref="G7">_xll.FDSB(B7,"FG_PRICE_CHANGE(0,-3AM)")</f>
        <v>2.3044704999999999</v>
      </c>
      <c r="H7" cm="1">
        <f t="array" ref="H7">_xll.FDSB(B7,"FG_PRICE_CHANGE(0,-6AM)")</f>
        <v>2.7655362999999999</v>
      </c>
      <c r="I7" cm="1">
        <f t="array" ref="I7">_xll.FDS(B7,"STD(FG_PRICE_CHANGE(0,-1AY,AM))")</f>
        <v>2.4950512828945199</v>
      </c>
      <c r="J7" cm="1">
        <f t="array" ref="J7">_xll.FDS(B7,"STD(FG_PRICE_CHANGE(0,-3AY,M))")*SQRT(12)</f>
        <v>10.583389736033423</v>
      </c>
      <c r="L7">
        <f t="shared" si="1"/>
        <v>21.499999999999996</v>
      </c>
      <c r="M7">
        <f t="shared" si="2"/>
        <v>7.1999999999999957</v>
      </c>
      <c r="N7">
        <f t="shared" si="3"/>
        <v>7.1999999999999957</v>
      </c>
      <c r="O7">
        <f t="shared" si="4"/>
        <v>10.059999999999997</v>
      </c>
      <c r="P7">
        <f t="shared" si="5"/>
        <v>21.5</v>
      </c>
      <c r="Q7">
        <f>VLOOKUP(A7,CAD!$A$3:$J$15, 10, FALSE)</f>
        <v>64.2</v>
      </c>
      <c r="S7">
        <f t="shared" si="0"/>
        <v>24.32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474</v>
      </c>
      <c r="C8" t="str" cm="1">
        <f t="array" ref="C8">_xll.FDSB(B8,"FG_COMPANY_NAME")</f>
        <v>Swiss Franc per U.S. Dollar</v>
      </c>
      <c r="D8" cm="1">
        <f t="array" ref="D8">_xll.FDSB(B8,"FG_PRICE(0)")</f>
        <v>0.88475000000000004</v>
      </c>
      <c r="E8" cm="1">
        <f t="array" ref="E8">_xll.FDSB(B8,"FG_PRICE_CHANGE(0,-1AY)")</f>
        <v>-5.8275642000000003</v>
      </c>
      <c r="F8" cm="1">
        <f t="array" ref="F8">_xll.FDSB(B8,"FG_PRICE_CHANGE(0,-1AM)")</f>
        <v>2.2123455999999999</v>
      </c>
      <c r="G8" cm="1">
        <f t="array" ref="G8">_xll.FDSB(B8,"FG_PRICE_CHANGE(0,-3AM)")</f>
        <v>1.2357712000000001</v>
      </c>
      <c r="H8" cm="1">
        <f t="array" ref="H8">_xll.FDSB(B8,"FG_PRICE_CHANGE(0,-6AM)")</f>
        <v>-2.2596120000000001E-2</v>
      </c>
      <c r="I8" cm="1">
        <f t="array" ref="I8">_xll.FDS(B8,"STD(FG_PRICE_CHANGE(0,-1AY,AM))")</f>
        <v>2.5620571085339598</v>
      </c>
      <c r="J8" cm="1">
        <f t="array" ref="J8">_xll.FDS(B8,"STD(FG_PRICE_CHANGE(0,-3AY,M))")*SQRT(12)</f>
        <v>8.8357526025271032</v>
      </c>
      <c r="L8">
        <f t="shared" si="1"/>
        <v>14.3</v>
      </c>
      <c r="M8">
        <f t="shared" si="2"/>
        <v>28.6</v>
      </c>
      <c r="N8">
        <f t="shared" si="3"/>
        <v>42.900000000000006</v>
      </c>
      <c r="O8">
        <f t="shared" si="4"/>
        <v>31.460000000000004</v>
      </c>
      <c r="P8">
        <f t="shared" si="5"/>
        <v>42.900000000000006</v>
      </c>
      <c r="Q8">
        <f>VLOOKUP(A8,CAD!$A$3:$J$15, 10, FALSE)</f>
        <v>85.7</v>
      </c>
      <c r="S8">
        <f t="shared" si="0"/>
        <v>45.74</v>
      </c>
      <c r="U8" cm="1">
        <f t="array" ref="U8">_xlfn.PERCENTRANK.EXC(_xlfn._xlws.FILTER(S$3:S$15, ISNUMBER(S$3:S$15)),S8)*100</f>
        <v>35.699999999999996</v>
      </c>
    </row>
    <row r="9" spans="1:21" x14ac:dyDescent="0.35">
      <c r="A9" t="s">
        <v>48</v>
      </c>
      <c r="B9" t="s">
        <v>472</v>
      </c>
      <c r="C9" t="str" cm="1">
        <f t="array" ref="C9">_xll.FDSB(B9,"FG_COMPANY_NAME")</f>
        <v>British Pounds per U.S. Dollar</v>
      </c>
      <c r="D9" cm="1">
        <f t="array" ref="D9">_xll.FDSB(B9,"FG_PRICE(0)")</f>
        <v>0.78749460000000004</v>
      </c>
      <c r="E9" cm="1">
        <f t="array" ref="E9">_xll.FDSB(B9,"FG_PRICE_CHANGE(0,-1AY)")</f>
        <v>-5.6817713000000003</v>
      </c>
      <c r="F9" cm="1">
        <f t="array" ref="F9">_xll.FDSB(B9,"FG_PRICE_CHANGE(0,-1AM)")</f>
        <v>-0.3228724</v>
      </c>
      <c r="G9" cm="1">
        <f t="array" ref="G9">_xll.FDSB(B9,"FG_PRICE_CHANGE(0,-3AM)")</f>
        <v>-0.69299339999999998</v>
      </c>
      <c r="H9" cm="1">
        <f t="array" ref="H9">_xll.FDSB(B9,"FG_PRICE_CHANGE(0,-6AM)")</f>
        <v>-0.64180493000000005</v>
      </c>
      <c r="I9" cm="1">
        <f t="array" ref="I9">_xll.FDS(B9,"STD(FG_PRICE_CHANGE(0,-1AY,AM))")</f>
        <v>2.0309625122282902</v>
      </c>
      <c r="J9" cm="1">
        <f t="array" ref="J9">_xll.FDS(B9,"STD(FG_PRICE_CHANGE(0,-3AY,M))")*SQRT(12)</f>
        <v>8.3570058740616187</v>
      </c>
      <c r="L9">
        <f t="shared" si="1"/>
        <v>64.3</v>
      </c>
      <c r="M9">
        <f t="shared" si="2"/>
        <v>85.8</v>
      </c>
      <c r="N9">
        <f t="shared" si="3"/>
        <v>57.2</v>
      </c>
      <c r="O9">
        <f>SUMPRODUCT($L$1:$N$1,L9:N9)</f>
        <v>70.06</v>
      </c>
      <c r="P9">
        <f t="shared" si="5"/>
        <v>50</v>
      </c>
      <c r="Q9">
        <f>VLOOKUP(A9,CAD!$A$3:$J$15, 10, FALSE)</f>
        <v>14.2</v>
      </c>
      <c r="S9">
        <f t="shared" si="0"/>
        <v>52.870000000000005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560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57.2</v>
      </c>
      <c r="M10">
        <f t="shared" si="2"/>
        <v>64.3</v>
      </c>
      <c r="N10">
        <f t="shared" si="3"/>
        <v>28.6</v>
      </c>
      <c r="O10">
        <f t="shared" si="4"/>
        <v>48.599999999999994</v>
      </c>
      <c r="P10">
        <f t="shared" si="5"/>
        <v>92.9</v>
      </c>
      <c r="Q10">
        <f>VLOOKUP(A10,CAD!$A$3:$J$15, 10, FALSE)</f>
        <v>21.4</v>
      </c>
      <c r="S10">
        <f t="shared" si="0"/>
        <v>56.45</v>
      </c>
      <c r="U10" cm="1">
        <f t="array" ref="U10">_xlfn.PERCENTRANK.EXC(_xlfn._xlws.FILTER(S$3:S$15, ISNUMBER(S$3:S$15)),S10)*100</f>
        <v>57.099999999999994</v>
      </c>
    </row>
    <row r="11" spans="1:21" x14ac:dyDescent="0.35">
      <c r="A11" t="s">
        <v>1</v>
      </c>
      <c r="B11" t="s">
        <v>560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57.2</v>
      </c>
      <c r="M11">
        <f t="shared" si="2"/>
        <v>64.3</v>
      </c>
      <c r="N11">
        <f t="shared" si="3"/>
        <v>28.6</v>
      </c>
      <c r="O11">
        <f t="shared" si="4"/>
        <v>48.599999999999994</v>
      </c>
      <c r="P11">
        <f t="shared" si="5"/>
        <v>92.9</v>
      </c>
      <c r="Q11">
        <f>VLOOKUP(A11,CAD!$A$3:$J$15, 10, FALSE)</f>
        <v>21.4</v>
      </c>
      <c r="S11">
        <f t="shared" si="0"/>
        <v>56.45</v>
      </c>
      <c r="U11" cm="1">
        <f t="array" ref="U11">_xlfn.PERCENTRANK.EXC(_xlfn._xlws.FILTER(S$3:S$15, ISNUMBER(S$3:S$15)),S11)*100</f>
        <v>57.099999999999994</v>
      </c>
    </row>
    <row r="12" spans="1:21" x14ac:dyDescent="0.35">
      <c r="A12" t="s">
        <v>872</v>
      </c>
      <c r="B12" t="s">
        <v>474</v>
      </c>
      <c r="C12" t="str" cm="1">
        <f t="array" ref="C12">_xll.FDSB(B12,"FG_COMPANY_NAME")</f>
        <v>Swiss Franc per U.S. Dollar</v>
      </c>
      <c r="D12" cm="1">
        <f t="array" ref="D12">_xll.FDSB(B12,"FG_PRICE(0)")</f>
        <v>0.88475000000000004</v>
      </c>
      <c r="E12" cm="1">
        <f t="array" ref="E12">_xll.FDSB(B12,"FG_PRICE_CHANGE(0,-1AY)")</f>
        <v>-5.8275642000000003</v>
      </c>
      <c r="F12" cm="1">
        <f t="array" ref="F12">_xll.FDSB(B12,"FG_PRICE_CHANGE(0,-1AM)")</f>
        <v>2.2123455999999999</v>
      </c>
      <c r="G12" cm="1">
        <f t="array" ref="G12">_xll.FDSB(B12,"FG_PRICE_CHANGE(0,-3AM)")</f>
        <v>1.2357712000000001</v>
      </c>
      <c r="H12" cm="1">
        <f t="array" ref="H12">_xll.FDSB(B12,"FG_PRICE_CHANGE(0,-6AM)")</f>
        <v>-2.2596120000000001E-2</v>
      </c>
      <c r="I12" cm="1">
        <f t="array" ref="I12">_xll.FDS(B12,"STD(FG_PRICE_CHANGE(0,-1AY,AM))")</f>
        <v>2.5620571085339598</v>
      </c>
      <c r="J12" cm="1">
        <f t="array" ref="J12">_xll.FDS(B12,"STD(FG_PRICE_CHANGE(0,-3AY,M))")*SQRT(12)</f>
        <v>8.8357526025271032</v>
      </c>
      <c r="L12">
        <f t="shared" si="1"/>
        <v>14.3</v>
      </c>
      <c r="M12">
        <f t="shared" si="2"/>
        <v>28.6</v>
      </c>
      <c r="N12">
        <f t="shared" si="3"/>
        <v>42.900000000000006</v>
      </c>
      <c r="O12">
        <f t="shared" ref="O12:O15" si="6">SUMPRODUCT($L$1:$N$1,L12:N12)</f>
        <v>31.460000000000004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35.74</v>
      </c>
      <c r="U12" cm="1">
        <f t="array" ref="U12">_xlfn.PERCENTRANK.EXC(_xlfn._xlws.FILTER(S$3:S$15, ISNUMBER(S$3:S$15)),S12)*100</f>
        <v>21.4</v>
      </c>
    </row>
    <row r="13" spans="1:21" s="194" customFormat="1" x14ac:dyDescent="0.35">
      <c r="A13" s="194" t="s">
        <v>874</v>
      </c>
      <c r="B13" s="194" t="s">
        <v>887</v>
      </c>
      <c r="C13" s="194" t="str" cm="1">
        <f t="array" ref="C13">_xll.FDSB(B13,"FG_COMPANY_NAME")</f>
        <v>Netherlands Antilles Guilder per U.S. Dollar</v>
      </c>
      <c r="D13" s="194" cm="1">
        <f t="array" ref="D13">_xll.FDSB(B13,"FG_PRICE(0)")</f>
        <v>1.79</v>
      </c>
      <c r="E13" s="194" cm="1">
        <f t="array" ref="E13">_xll.FDSB(B13,"FG_PRICE_CHANGE(0,-1AY)")</f>
        <v>0</v>
      </c>
      <c r="F13" s="194" cm="1">
        <f t="array" ref="F13">_xll.FDSB(B13,"FG_PRICE_CHANGE(0,-1AM)")</f>
        <v>0</v>
      </c>
      <c r="G13" s="194" cm="1">
        <f t="array" ref="G13">_xll.FDSB(B13,"FG_PRICE_CHANGE(0,-3AM)")</f>
        <v>0</v>
      </c>
      <c r="H13" s="194" cm="1">
        <f t="array" ref="H13">_xll.FDSB(B13,"FG_PRICE_CHANGE(0,-6AM)")</f>
        <v>0</v>
      </c>
      <c r="I13" s="194" cm="1">
        <f t="array" ref="I13">_xll.FDS(B13,"STD(FG_PRICE_CHANGE(0,-1AY,AM))")</f>
        <v>0</v>
      </c>
      <c r="J13" s="194" cm="1">
        <f t="array" ref="J13">_xll.FDS(B13,"STD(FG_PRICE_CHANGE(0,-3AY,M))")*SQRT(12)</f>
        <v>0</v>
      </c>
      <c r="L13" s="194">
        <f t="shared" si="1"/>
        <v>57.2</v>
      </c>
      <c r="M13" s="194">
        <f t="shared" si="2"/>
        <v>64.3</v>
      </c>
      <c r="N13" s="194">
        <f t="shared" si="3"/>
        <v>28.6</v>
      </c>
      <c r="O13" s="194">
        <f t="shared" si="6"/>
        <v>48.599999999999994</v>
      </c>
      <c r="P13" s="194">
        <f t="shared" si="5"/>
        <v>92.9</v>
      </c>
      <c r="Q13" s="194">
        <f>VLOOKUP(A13,CAD!$A$3:$J$15, 10, FALSE)</f>
        <v>92.800000000000011</v>
      </c>
      <c r="S13" s="194">
        <f t="shared" si="7"/>
        <v>70.73</v>
      </c>
      <c r="U13" s="194" cm="1">
        <f t="array" ref="U13">_xlfn.PERCENTRANK.EXC(_xlfn._xlws.FILTER(S$3:S$15, ISNUMBER(S$3:S$15)),S13)*100</f>
        <v>92.800000000000011</v>
      </c>
    </row>
    <row r="14" spans="1:21" x14ac:dyDescent="0.35">
      <c r="A14" t="s">
        <v>871</v>
      </c>
      <c r="B14" t="s">
        <v>888</v>
      </c>
      <c r="C14" t="str" cm="1">
        <f t="array" ref="C14">_xll.FDSB(B14,"FG_COMPANY_NAME")</f>
        <v>Swedish Krona per U.S. Dollar</v>
      </c>
      <c r="D14" cm="1">
        <f t="array" ref="D14">_xll.FDSB(B14,"FG_PRICE(0)")</f>
        <v>10.352349999999999</v>
      </c>
      <c r="E14" cm="1">
        <f t="array" ref="E14">_xll.FDSB(B14,"FG_PRICE_CHANGE(0,-1AY)")</f>
        <v>-1.4957786</v>
      </c>
      <c r="F14" cm="1">
        <f t="array" ref="F14">_xll.FDSB(B14,"FG_PRICE_CHANGE(0,-1AM)")</f>
        <v>-1.2703180000000001</v>
      </c>
      <c r="G14" cm="1">
        <f t="array" ref="G14">_xll.FDSB(B14,"FG_PRICE_CHANGE(0,-3AM)")</f>
        <v>-1.0509192999999999</v>
      </c>
      <c r="H14" cm="1">
        <f t="array" ref="H14">_xll.FDSB(B14,"FG_PRICE_CHANGE(0,-6AM)")</f>
        <v>-6.0696124999999999</v>
      </c>
      <c r="I14" cm="1">
        <f t="array" ref="I14">_xll.FDS(B14,"STD(FG_PRICE_CHANGE(0,-1AY,AM))")</f>
        <v>2.7063331626362102</v>
      </c>
      <c r="J14" cm="1">
        <f t="array" ref="J14">_xll.FDS(B14,"STD(FG_PRICE_CHANGE(0,-3AY,M))")*SQRT(12)</f>
        <v>10.303259917483741</v>
      </c>
      <c r="L14">
        <f t="shared" si="1"/>
        <v>92.9</v>
      </c>
      <c r="M14">
        <f t="shared" si="2"/>
        <v>92.9</v>
      </c>
      <c r="N14">
        <f t="shared" si="3"/>
        <v>92.9</v>
      </c>
      <c r="O14">
        <f t="shared" si="6"/>
        <v>92.9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69.31</v>
      </c>
      <c r="U14" cm="1">
        <f t="array" ref="U14">_xlfn.PERCENTRANK.EXC(_xlfn._xlws.FILTER(S$3:S$15, ISNUMBER(S$3:S$15)),S14)*100</f>
        <v>71.399999999999991</v>
      </c>
    </row>
    <row r="15" spans="1:21" x14ac:dyDescent="0.35">
      <c r="A15" t="s">
        <v>873</v>
      </c>
      <c r="B15" t="s">
        <v>889</v>
      </c>
      <c r="C15" t="str" cm="1">
        <f t="array" ref="C15">_xll.FDSB(B15,"FG_COMPANY_NAME")</f>
        <v>Italian Lira per U.S. Dollar</v>
      </c>
      <c r="D15" cm="1">
        <f t="array" ref="D15">_xll.FDSB(B15,"FG_PRICE(0)")</f>
        <v>1782.3629000000001</v>
      </c>
      <c r="E15" cm="1">
        <f t="array" ref="E15">_xll.FDSB(B15,"FG_PRICE_CHANGE(0,-1AY)")</f>
        <v>-2.4485648000000002</v>
      </c>
      <c r="F15" cm="1">
        <f t="array" ref="F15">_xll.FDSB(B15,"FG_PRICE_CHANGE(0,-1AM)")</f>
        <v>-0.56611895999999995</v>
      </c>
      <c r="G15" cm="1">
        <f t="array" ref="G15">_xll.FDSB(B15,"FG_PRICE_CHANGE(0,-3AM)")</f>
        <v>-0.44184922999999998</v>
      </c>
      <c r="H15" cm="1">
        <f t="array" ref="H15">_xll.FDSB(B15,"FG_PRICE_CHANGE(0,-6AM)")</f>
        <v>-0.71800350000000002</v>
      </c>
      <c r="I15" cm="1">
        <f t="array" ref="I15">_xll.FDS(B15,"STD(FG_PRICE_CHANGE(0,-1AY,AM))")</f>
        <v>2.0459712043295899</v>
      </c>
      <c r="J15" cm="1">
        <f t="array" ref="J15">_xll.FDS(B15,"STD(FG_PRICE_CHANGE(0,-3AY,M))")*SQRT(12)</f>
        <v>7.8939448470427314</v>
      </c>
      <c r="L15">
        <f t="shared" si="1"/>
        <v>85.8</v>
      </c>
      <c r="M15">
        <f t="shared" si="2"/>
        <v>78.600000000000009</v>
      </c>
      <c r="N15">
        <f t="shared" si="3"/>
        <v>71.500000000000014</v>
      </c>
      <c r="O15">
        <f t="shared" si="6"/>
        <v>77.200000000000017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69.310000000000016</v>
      </c>
      <c r="U15" cm="1">
        <f t="array" ref="U15">_xlfn.PERCENTRANK.EXC(_xlfn._xlws.FILTER(S$3:S$15, ISNUMBER(S$3:S$15)),S15)*100</f>
        <v>78.5</v>
      </c>
    </row>
    <row r="24" spans="10:10" x14ac:dyDescent="0.35">
      <c r="J24" s="62"/>
    </row>
    <row r="26" spans="10:10" x14ac:dyDescent="0.35">
      <c r="J26" s="76"/>
    </row>
    <row r="28" spans="10:10" x14ac:dyDescent="0.35">
      <c r="J28" s="7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9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6328125" customWidth="1"/>
  </cols>
  <sheetData>
    <row r="1" spans="1:10" x14ac:dyDescent="0.35">
      <c r="F1" t="s">
        <v>485</v>
      </c>
      <c r="G1" t="s">
        <v>486</v>
      </c>
      <c r="H1" t="s">
        <v>487</v>
      </c>
      <c r="J1" t="s">
        <v>496</v>
      </c>
    </row>
    <row r="2" spans="1:10" x14ac:dyDescent="0.35">
      <c r="C2" t="s">
        <v>488</v>
      </c>
      <c r="D2" t="s">
        <v>156</v>
      </c>
      <c r="E2" t="s">
        <v>489</v>
      </c>
      <c r="F2" t="s">
        <v>490</v>
      </c>
      <c r="G2" t="s">
        <v>483</v>
      </c>
      <c r="H2" t="s">
        <v>484</v>
      </c>
    </row>
    <row r="3" spans="1:10" x14ac:dyDescent="0.35">
      <c r="A3" t="s">
        <v>435</v>
      </c>
      <c r="B3" t="s">
        <v>473</v>
      </c>
      <c r="C3" t="str" cm="1">
        <f t="array" ref="C3">_xll.FDS($E3,"FG_COMPANY_NAME")</f>
        <v>New Zealand</v>
      </c>
      <c r="D3" t="s">
        <v>201</v>
      </c>
      <c r="E3" t="s">
        <v>202</v>
      </c>
      <c r="F3" t="str">
        <f t="shared" ref="F3:F15" si="0">_xlfn.CONCAT($F$1,D3)</f>
        <v>CAGDPY@NZ</v>
      </c>
      <c r="G3" cm="1">
        <f t="array" ref="G3">IFERROR(_xll.FDS($F3,"EE_ACTUAL_ANNUAL(MED,0)"),0)</f>
        <v>-7.6</v>
      </c>
      <c r="H3" cm="1">
        <f t="array" ref="H3">IFERROR(_xll.FDS($F3,"EE_ACTUAL_ANNUAL(MED,+1)"),0)</f>
        <v>-6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470</v>
      </c>
      <c r="C4" t="str" cm="1">
        <f t="array" ref="C4">_xll.FDS($E4,"FG_COMPANY_NAME")</f>
        <v>Australia</v>
      </c>
      <c r="D4" t="s">
        <v>117</v>
      </c>
      <c r="E4" t="s">
        <v>178</v>
      </c>
      <c r="F4" t="str">
        <f t="shared" si="0"/>
        <v>CAGDPY@AU</v>
      </c>
      <c r="G4" cm="1">
        <f t="array" ref="G4">IFERROR(_xll.FDS($F4,"EE_ACTUAL_ANNUAL(MED,0)"),0)</f>
        <v>0.8</v>
      </c>
      <c r="H4" cm="1">
        <f t="array" ref="H4">IFERROR(_xll.FDS($F4,"EE_ACTUAL_ANNUAL(MED,+1)"),0)</f>
        <v>0.45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471</v>
      </c>
      <c r="C5" t="str" cm="1">
        <f t="array" ref="C5">_xll.FDS($E5,"FG_COMPANY_NAME")</f>
        <v>Canada</v>
      </c>
      <c r="D5" t="s">
        <v>120</v>
      </c>
      <c r="E5" t="s">
        <v>161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-0.7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468</v>
      </c>
      <c r="C6" t="str" cm="1">
        <f t="array" ref="C6">_xll.FDS($E6,"FG_COMPANY_NAME")</f>
        <v>Germany</v>
      </c>
      <c r="D6" t="s">
        <v>106</v>
      </c>
      <c r="E6" t="s">
        <v>561</v>
      </c>
      <c r="F6" t="str">
        <f t="shared" si="0"/>
        <v>CAGDPY@DE</v>
      </c>
      <c r="G6" cm="1">
        <f t="array" ref="G6">IFERROR(_xll.FDS($F6,"EE_ACTUAL_ANNUAL(MED,0)"),0)</f>
        <v>6.6486780128476797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469</v>
      </c>
      <c r="C7" t="str" cm="1">
        <f t="array" ref="C7">_xll.FDS($E7,"FG_COMPANY_NAME")</f>
        <v>Japan</v>
      </c>
      <c r="D7" t="s">
        <v>118</v>
      </c>
      <c r="E7" t="s">
        <v>168</v>
      </c>
      <c r="F7" t="str">
        <f t="shared" si="0"/>
        <v>CAGDPY@JP</v>
      </c>
      <c r="G7" cm="1">
        <f t="array" ref="G7">IFERROR(_xll.FDS($F7,"EE_ACTUAL_ANNUAL(MED,0)"),0)</f>
        <v>3.55359069955799</v>
      </c>
      <c r="H7" cm="1">
        <f t="array" ref="H7">IFERROR(_xll.FDS($F7,"EE_ACTUAL_ANNUAL(MED,+1)"),0)</f>
        <v>2.95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474</v>
      </c>
      <c r="C8" t="str" cm="1">
        <f t="array" ref="C8">_xll.FDS($E8,"FG_COMPANY_NAME")</f>
        <v>Switzerland</v>
      </c>
      <c r="D8" t="s">
        <v>114</v>
      </c>
      <c r="E8" t="s">
        <v>280</v>
      </c>
      <c r="F8" t="str">
        <f t="shared" si="0"/>
        <v>CAGDPY@CH</v>
      </c>
      <c r="G8" cm="1">
        <f t="array" ref="G8">IFERROR(_xll.FDS($F8,"EE_ACTUAL_ANNUAL(MED,0)"),0)</f>
        <v>0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472</v>
      </c>
      <c r="C9" t="str" cm="1">
        <f t="array" ref="C9">_xll.FDS($E9,"FG_COMPANY_NAME")</f>
        <v>United Kingdom</v>
      </c>
      <c r="D9" t="s">
        <v>119</v>
      </c>
      <c r="E9" t="s">
        <v>171</v>
      </c>
      <c r="F9" t="str">
        <f t="shared" si="0"/>
        <v>CAGDPY@GB</v>
      </c>
      <c r="G9" cm="1">
        <f t="array" ref="G9">IFERROR(_xll.FDS($F9,"EE_ACTUAL_ANNUAL(MED,0)"),0)</f>
        <v>-3.1</v>
      </c>
      <c r="H9" cm="1">
        <f t="array" ref="H9">IFERROR(_xll.FDS($F9,"EE_ACTUAL_ANNUAL(MED,+1)"),0)</f>
        <v>-3.15</v>
      </c>
      <c r="J9" cm="1">
        <f t="array" ref="J9">_xlfn.PERCENTRANK.EXC(_xlfn._xlws.FILTER(H$3:H$15, ISNUMBER(H$3:H$15)),H9)*100</f>
        <v>14.2</v>
      </c>
    </row>
    <row r="10" spans="1:10" x14ac:dyDescent="0.35">
      <c r="A10" t="s">
        <v>51</v>
      </c>
      <c r="B10" t="s">
        <v>560</v>
      </c>
      <c r="C10" t="str" cm="1">
        <f t="array" ref="C10">_xll.FDS($E10,"FG_COMPANY_NAME")</f>
        <v>United States</v>
      </c>
      <c r="D10" t="s">
        <v>123</v>
      </c>
      <c r="E10" t="s">
        <v>174</v>
      </c>
      <c r="F10" t="str">
        <f>_xlfn.CONCAT($F$1,D10)</f>
        <v>CAGDPY@US</v>
      </c>
      <c r="G10" cm="1">
        <f t="array" ref="G10">IFERROR(_xll.FDS($F10,"EE_ACTUAL_ANNUAL(MED,0)"),0)</f>
        <v>-3.1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21.4</v>
      </c>
    </row>
    <row r="11" spans="1:10" x14ac:dyDescent="0.35">
      <c r="A11" t="s">
        <v>1</v>
      </c>
      <c r="B11" t="s">
        <v>560</v>
      </c>
      <c r="C11" t="str" cm="1">
        <f t="array" ref="C11">_xll.FDS($E11,"FG_COMPANY_NAME")</f>
        <v>United States</v>
      </c>
      <c r="D11" t="s">
        <v>123</v>
      </c>
      <c r="E11" t="s">
        <v>174</v>
      </c>
      <c r="F11" t="str">
        <f t="shared" si="0"/>
        <v>CAGDPY@US</v>
      </c>
      <c r="G11" cm="1">
        <f t="array" ref="G11">IFERROR(_xll.FDS($F11,"EE_ACTUAL_ANNUAL(MED,0)"),0)</f>
        <v>-3.1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21.4</v>
      </c>
    </row>
    <row r="12" spans="1:10" x14ac:dyDescent="0.35">
      <c r="A12" t="s">
        <v>872</v>
      </c>
      <c r="B12" t="s">
        <v>474</v>
      </c>
      <c r="C12" t="s">
        <v>627</v>
      </c>
      <c r="D12" t="s">
        <v>110</v>
      </c>
      <c r="E12" t="s">
        <v>876</v>
      </c>
      <c r="F12" t="str">
        <f t="shared" si="0"/>
        <v>CAGDPY@FR</v>
      </c>
      <c r="G12" cm="1">
        <f t="array" ref="G12">IFERROR(_xll.FDS($F12,"EE_ACTUAL_ANNUAL(MED,0)"),0)</f>
        <v>-1.2326341256578499</v>
      </c>
      <c r="H12" cm="1">
        <f t="array" ref="H12">IFERROR(_xll.FDS($F12,"EE_ACTUAL_ANNUAL(MED,+1)"),0)</f>
        <v>-1.1499999999999999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874</v>
      </c>
      <c r="B13" t="s">
        <v>887</v>
      </c>
      <c r="C13" t="s">
        <v>679</v>
      </c>
      <c r="D13" t="s">
        <v>882</v>
      </c>
      <c r="E13" t="s">
        <v>877</v>
      </c>
      <c r="F13" t="str">
        <f t="shared" si="0"/>
        <v>CAGDPY@NL</v>
      </c>
      <c r="G13" cm="1">
        <f t="array" ref="G13">IFERROR(_xll.FDS($F13,"EE_ACTUAL_ANNUAL(MED,0)"),0)</f>
        <v>9.1</v>
      </c>
      <c r="H13" cm="1">
        <f t="array" ref="H13">IFERROR(_xll.FDS($F13,"EE_ACTUAL_ANNUAL(MED,+1)"),0)</f>
        <v>9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871</v>
      </c>
      <c r="B14" t="s">
        <v>888</v>
      </c>
      <c r="C14" t="s">
        <v>711</v>
      </c>
      <c r="D14" t="s">
        <v>276</v>
      </c>
      <c r="E14" t="s">
        <v>277</v>
      </c>
      <c r="F14" t="str">
        <f t="shared" si="0"/>
        <v>CAGDPY@SE</v>
      </c>
      <c r="G14" cm="1">
        <f t="array" ref="G14">IFERROR(_xll.FDS($F14,"EE_ACTUAL_ANNUAL(MED,0)"),0)</f>
        <v>4.7</v>
      </c>
      <c r="H14" cm="1">
        <f t="array" ref="H14">IFERROR(_xll.FDS($F14,"EE_ACTUAL_ANNUAL(MED,+1)"),0)</f>
        <v>4.8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873</v>
      </c>
      <c r="B15" t="s">
        <v>889</v>
      </c>
      <c r="C15" t="s">
        <v>647</v>
      </c>
      <c r="D15" t="s">
        <v>883</v>
      </c>
      <c r="E15" t="s">
        <v>875</v>
      </c>
      <c r="F15" t="str">
        <f t="shared" si="0"/>
        <v>CAGDPY@IT</v>
      </c>
      <c r="G15" cm="1">
        <f t="array" ref="G15">IFERROR(_xll.FDS($F15,"EE_ACTUAL_ANNUAL(MED,0)"),0)</f>
        <v>1.05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6328125" customWidth="1"/>
    <col min="2" max="2" width="14" customWidth="1"/>
    <col min="3" max="3" width="11.6328125" customWidth="1"/>
    <col min="24" max="24" width="11.08984375" bestFit="1" customWidth="1"/>
    <col min="25" max="25" width="13.6328125" bestFit="1" customWidth="1"/>
    <col min="40" max="40" width="11.36328125" customWidth="1"/>
  </cols>
  <sheetData>
    <row r="1" spans="1:40" x14ac:dyDescent="0.3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108</v>
      </c>
      <c r="I1" t="s">
        <v>109</v>
      </c>
      <c r="J1" t="s">
        <v>108</v>
      </c>
      <c r="K1" t="s">
        <v>110</v>
      </c>
      <c r="L1" t="s">
        <v>111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T1" t="s">
        <v>119</v>
      </c>
      <c r="U1" t="s">
        <v>120</v>
      </c>
      <c r="W1" t="s">
        <v>108</v>
      </c>
      <c r="Y1" t="s">
        <v>121</v>
      </c>
      <c r="AA1" t="s">
        <v>122</v>
      </c>
      <c r="AB1" t="s">
        <v>123</v>
      </c>
      <c r="AC1" t="s">
        <v>123</v>
      </c>
      <c r="AD1" t="s">
        <v>124</v>
      </c>
      <c r="AE1" t="s">
        <v>122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L1" t="s">
        <v>130</v>
      </c>
      <c r="AM1" t="s">
        <v>131</v>
      </c>
    </row>
    <row r="3" spans="1:40" x14ac:dyDescent="0.35">
      <c r="B3" t="s">
        <v>132</v>
      </c>
      <c r="C3" t="s">
        <v>133</v>
      </c>
      <c r="D3" t="s">
        <v>134</v>
      </c>
      <c r="E3" t="s">
        <v>19</v>
      </c>
      <c r="F3" t="s">
        <v>135</v>
      </c>
      <c r="G3" t="s">
        <v>17</v>
      </c>
      <c r="H3" t="s">
        <v>17</v>
      </c>
      <c r="I3" t="s">
        <v>136</v>
      </c>
      <c r="J3" t="s">
        <v>17</v>
      </c>
      <c r="K3" t="s">
        <v>137</v>
      </c>
      <c r="L3" t="s">
        <v>112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T3" t="s">
        <v>145</v>
      </c>
      <c r="U3" t="s">
        <v>146</v>
      </c>
      <c r="V3" t="s">
        <v>144</v>
      </c>
      <c r="W3" t="s">
        <v>17</v>
      </c>
      <c r="X3" t="s">
        <v>144</v>
      </c>
      <c r="Y3" t="s">
        <v>147</v>
      </c>
      <c r="Z3" t="s">
        <v>144</v>
      </c>
      <c r="AA3" t="s">
        <v>18</v>
      </c>
      <c r="AB3" t="s">
        <v>14</v>
      </c>
      <c r="AC3" t="s">
        <v>14</v>
      </c>
      <c r="AD3" t="s">
        <v>148</v>
      </c>
      <c r="AE3" t="s">
        <v>18</v>
      </c>
      <c r="AF3" t="s">
        <v>15</v>
      </c>
      <c r="AG3" t="s">
        <v>149</v>
      </c>
      <c r="AH3" t="s">
        <v>150</v>
      </c>
      <c r="AI3" t="s">
        <v>151</v>
      </c>
      <c r="AJ3" t="s">
        <v>152</v>
      </c>
      <c r="AL3" t="s">
        <v>153</v>
      </c>
      <c r="AM3" t="s">
        <v>20</v>
      </c>
      <c r="AN3" t="s">
        <v>144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7.4903000000000004</v>
      </c>
      <c r="AB7">
        <v>2.4325000000000001</v>
      </c>
      <c r="AC7">
        <v>2.4325000000000001</v>
      </c>
      <c r="AD7" t="e">
        <v>#N/A</v>
      </c>
      <c r="AE7">
        <v>7.4903000000000004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6.4687999999999999</v>
      </c>
      <c r="AB11">
        <v>1.5119</v>
      </c>
      <c r="AC11">
        <v>1.5119</v>
      </c>
      <c r="AD11" t="e">
        <v>#N/A</v>
      </c>
      <c r="AE11">
        <v>6.4687999999999999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7.3388</v>
      </c>
      <c r="AB12">
        <v>3.8776000000000002</v>
      </c>
      <c r="AC12">
        <v>3.8776000000000002</v>
      </c>
      <c r="AD12" t="e">
        <v>#N/A</v>
      </c>
      <c r="AE12">
        <v>7.3388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7.2</v>
      </c>
      <c r="AB13">
        <v>3.8791000000000002</v>
      </c>
      <c r="AC13">
        <v>3.8791000000000002</v>
      </c>
      <c r="AD13" t="e">
        <v>#N/A</v>
      </c>
      <c r="AE13">
        <v>7.2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95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398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7.2694000000000001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7.2694000000000001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500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7.2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7.2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6328125" customWidth="1"/>
  </cols>
  <sheetData>
    <row r="1" spans="1:14" x14ac:dyDescent="0.35">
      <c r="B1" t="s">
        <v>435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872</v>
      </c>
      <c r="L1" t="s">
        <v>874</v>
      </c>
      <c r="M1" t="s">
        <v>871</v>
      </c>
      <c r="N1" t="s">
        <v>873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8.3559628430688804</v>
      </c>
      <c r="G17">
        <v>14.538819869127099</v>
      </c>
      <c r="H17">
        <v>12.871054501249599</v>
      </c>
      <c r="I17">
        <v>25.011729152832</v>
      </c>
      <c r="J17">
        <v>18.292929265587102</v>
      </c>
      <c r="K17">
        <v>10.914009651363701</v>
      </c>
      <c r="L17">
        <v>13.091763606585999</v>
      </c>
      <c r="M17">
        <v>13.411796827846301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9.7140774239928902</v>
      </c>
      <c r="F18">
        <v>7.4385994017897197</v>
      </c>
      <c r="G18">
        <v>14.6677795152565</v>
      </c>
      <c r="H18">
        <v>11.205060980823401</v>
      </c>
      <c r="I18">
        <v>24.534442850508999</v>
      </c>
      <c r="J18">
        <v>17.2298191459873</v>
      </c>
      <c r="K18">
        <v>8.94242101240323</v>
      </c>
      <c r="L18">
        <v>9.7785656554204401</v>
      </c>
      <c r="M18">
        <v>11.907032685966399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12.1999545354885</v>
      </c>
      <c r="F19">
        <v>9.2207657607753006</v>
      </c>
      <c r="G19">
        <v>16.3837417700753</v>
      </c>
      <c r="H19">
        <v>13.922769947021701</v>
      </c>
      <c r="I19">
        <v>26.637202164256799</v>
      </c>
      <c r="J19">
        <v>20.686383270078501</v>
      </c>
      <c r="K19">
        <v>12.253958118864199</v>
      </c>
      <c r="L19">
        <v>10.899145950205799</v>
      </c>
      <c r="M19">
        <v>15.3602779404436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11.818809345525199</v>
      </c>
      <c r="F20">
        <v>9.2254456272439604</v>
      </c>
      <c r="G20">
        <v>16.690651733527702</v>
      </c>
      <c r="H20">
        <v>15.858744412332101</v>
      </c>
      <c r="I20">
        <v>24.048321572288899</v>
      </c>
      <c r="J20">
        <v>20.598572537804099</v>
      </c>
      <c r="K20">
        <v>13.1475852543623</v>
      </c>
      <c r="L20">
        <v>12.015889172957699</v>
      </c>
      <c r="M20">
        <v>14.691294534808801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13.1440312273413</v>
      </c>
      <c r="E21">
        <v>11.930755185031099</v>
      </c>
      <c r="F21">
        <v>9.2864954445411207</v>
      </c>
      <c r="G21">
        <v>19.285112932361301</v>
      </c>
      <c r="H21">
        <v>14.732463877154</v>
      </c>
      <c r="I21">
        <v>25.2987617146125</v>
      </c>
      <c r="J21">
        <v>20.343493959513701</v>
      </c>
      <c r="K21">
        <v>13.221059503291199</v>
      </c>
      <c r="L21">
        <v>12.7456586334444</v>
      </c>
      <c r="M21">
        <v>15.368050603555201</v>
      </c>
      <c r="N21">
        <v>13.3572177464321</v>
      </c>
    </row>
    <row r="23" spans="1:17" x14ac:dyDescent="0.35">
      <c r="A23" t="s">
        <v>95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9.7140774239928902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8.94242101240323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398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11.97961006340425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14.44282304978255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500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13.1440312273413</v>
      </c>
      <c r="E25" s="8">
        <f t="shared" si="2"/>
        <v>11.930755185031099</v>
      </c>
      <c r="F25" s="8">
        <f t="shared" si="2"/>
        <v>9.2864954445411207</v>
      </c>
      <c r="G25" s="8">
        <f t="shared" si="2"/>
        <v>19.285112932361301</v>
      </c>
      <c r="H25" s="8">
        <f t="shared" si="2"/>
        <v>14.732463877154</v>
      </c>
      <c r="I25" s="8">
        <f t="shared" si="2"/>
        <v>25.2987617146125</v>
      </c>
      <c r="J25" s="8">
        <f t="shared" si="2"/>
        <v>20.343493959513701</v>
      </c>
      <c r="K25" s="8">
        <f t="shared" si="2"/>
        <v>13.221059503291199</v>
      </c>
      <c r="L25" s="8">
        <f t="shared" si="2"/>
        <v>12.7456586334444</v>
      </c>
      <c r="M25" s="8">
        <f t="shared" si="2"/>
        <v>15.368050603555201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5" zoomScaleNormal="85" workbookViewId="0">
      <selection activeCell="N9" sqref="N9"/>
    </sheetView>
  </sheetViews>
  <sheetFormatPr defaultRowHeight="14.5" x14ac:dyDescent="0.35"/>
  <cols>
    <col min="1" max="1" width="19.6328125" hidden="1" customWidth="1"/>
    <col min="2" max="2" width="12.6328125" hidden="1" customWidth="1"/>
    <col min="3" max="3" width="15.6328125" hidden="1" customWidth="1"/>
    <col min="4" max="4" width="13.90625" hidden="1" customWidth="1"/>
    <col min="5" max="5" width="23.54296875" hidden="1" customWidth="1"/>
    <col min="6" max="6" width="9.6328125" hidden="1" customWidth="1"/>
    <col min="7" max="9" width="19.36328125" customWidth="1"/>
    <col min="10" max="10" width="34.36328125" customWidth="1"/>
    <col min="11" max="11" width="19.36328125" customWidth="1"/>
    <col min="12" max="12" width="11" customWidth="1"/>
    <col min="13" max="13" width="11" bestFit="1" customWidth="1"/>
    <col min="16" max="16" width="11.453125" customWidth="1"/>
    <col min="17" max="17" width="10.36328125" bestFit="1" customWidth="1"/>
    <col min="18" max="18" width="13.36328125" customWidth="1"/>
    <col min="28" max="28" width="13" customWidth="1"/>
  </cols>
  <sheetData>
    <row r="1" spans="1:20" ht="18.5" x14ac:dyDescent="0.55000000000000004">
      <c r="K1" s="71" t="s">
        <v>777</v>
      </c>
      <c r="L1" s="125">
        <f ca="1">TODAY()</f>
        <v>45357</v>
      </c>
      <c r="M1" s="127"/>
    </row>
    <row r="2" spans="1:20" ht="15" thickBot="1" x14ac:dyDescent="0.4">
      <c r="K2" s="12" t="s">
        <v>778</v>
      </c>
      <c r="L2" s="126">
        <f ca="1">EOMONTH((TODAY()-90),MOD(-MONTH((TODAY()-90)),3)-3)</f>
        <v>45199</v>
      </c>
    </row>
    <row r="3" spans="1:20" ht="50.25" customHeight="1" x14ac:dyDescent="0.35">
      <c r="E3" t="s">
        <v>753</v>
      </c>
      <c r="F3" t="s">
        <v>754</v>
      </c>
      <c r="H3" t="s">
        <v>770</v>
      </c>
      <c r="I3" t="s">
        <v>567</v>
      </c>
      <c r="J3" t="s">
        <v>522</v>
      </c>
      <c r="M3" s="123" t="s">
        <v>771</v>
      </c>
      <c r="N3" t="str" cm="1">
        <f t="array" aca="1" ref="N3:O3" ca="1">_xll.FDSRC("-","DUMMY","ECON_DATE("&amp;$L$1&amp;","&amp;$L$2&amp;",'Q', 'MM/YYYY')")</f>
        <v>12/2023</v>
      </c>
      <c r="O3" t="str">
        <f ca="1"/>
        <v>09/2023</v>
      </c>
      <c r="P3" s="123" t="s">
        <v>774</v>
      </c>
      <c r="Q3" s="123" t="s">
        <v>780</v>
      </c>
      <c r="R3" s="128" t="s">
        <v>781</v>
      </c>
      <c r="S3" s="128" t="s">
        <v>556</v>
      </c>
      <c r="T3" s="128" t="s">
        <v>743</v>
      </c>
    </row>
    <row r="4" spans="1:20" x14ac:dyDescent="0.35">
      <c r="A4" t="s">
        <v>435</v>
      </c>
      <c r="B4" t="s">
        <v>450</v>
      </c>
      <c r="C4" t="s">
        <v>435</v>
      </c>
      <c r="D4" t="s">
        <v>756</v>
      </c>
      <c r="E4">
        <v>53.7</v>
      </c>
      <c r="F4">
        <v>5.3</v>
      </c>
      <c r="G4" t="s">
        <v>201</v>
      </c>
      <c r="H4" s="120" t="s">
        <v>761</v>
      </c>
      <c r="I4" s="121" t="s">
        <v>680</v>
      </c>
      <c r="J4" s="122" t="str" cm="1">
        <f t="array" ref="J4">_xll.FDS(K4,"FG_COMPANY_NAME")</f>
        <v>iShares MSCI New Zealand ETF</v>
      </c>
      <c r="K4" s="122" t="s">
        <v>435</v>
      </c>
      <c r="L4" t="s">
        <v>756</v>
      </c>
      <c r="M4" cm="1">
        <f t="array" ref="M4">IF(_xll.FDSRC(,"DUMMY","ECON_EXPR_DATA('FDS_ECON["&amp;H4&amp;"]',,,M)")=0,$J$20,_xll.FDSRC(,"DUMMY","ECON_EXPR_DATA('FDS_ECON["&amp;H4&amp;"]',,,M)"))</f>
        <v>51.447499999999998</v>
      </c>
      <c r="N4" cm="1">
        <f t="array" aca="1" ref="N4:O4" ca="1">_xll.FDSRC("-","DUMMY","ECON_EXPR_DATA('FDS_ECON["&amp;H4&amp;"]',"&amp;$L$1&amp;","&amp;$L$2&amp;",Q)")</f>
        <v>44.258175000000001</v>
      </c>
      <c r="O4">
        <f ca="1"/>
        <v>45.884970000000003</v>
      </c>
      <c r="P4">
        <f t="shared" ref="P4:P12" ca="1" si="0">IFERROR(N4-O4,$M$20)</f>
        <v>-1.6267950000000013</v>
      </c>
      <c r="Q4" cm="1">
        <f t="array" ref="Q4">_xlfn.PERCENTRANK.EXC(_xlfn._xlws.FILTER(M$4:M$16, ISNUMBER(M$4:M$16)),M4)*100</f>
        <v>71.399999999999991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48.519999999999996</v>
      </c>
      <c r="T4" cm="1">
        <f t="array" aca="1" ref="T4" ca="1">_xlfn.PERCENTRANK.EXC(_xlfn._xlws.FILTER(S$4:S$16, ISNUMBER(S$4:S$16)),S4)*100</f>
        <v>50</v>
      </c>
    </row>
    <row r="5" spans="1:20" x14ac:dyDescent="0.35">
      <c r="A5" t="s">
        <v>44</v>
      </c>
      <c r="B5" t="s">
        <v>45</v>
      </c>
      <c r="C5" t="s">
        <v>44</v>
      </c>
      <c r="D5" t="s">
        <v>756</v>
      </c>
      <c r="E5">
        <v>53</v>
      </c>
      <c r="F5">
        <v>4.5</v>
      </c>
      <c r="G5" t="s">
        <v>117</v>
      </c>
      <c r="H5" s="120" t="s">
        <v>759</v>
      </c>
      <c r="I5" s="121" t="s">
        <v>582</v>
      </c>
      <c r="J5" s="122" t="str" cm="1">
        <f t="array" ref="J5">_xll.FDS(K5,"FG_COMPANY_NAME")</f>
        <v>iShares MSCI Australia ETF</v>
      </c>
      <c r="K5" s="122" t="s">
        <v>44</v>
      </c>
      <c r="L5" t="s">
        <v>756</v>
      </c>
      <c r="M5" cm="1">
        <f t="array" ref="M5">IF(_xll.FDSRC(,"DUMMY","ECON_EXPR_DATA('FDS_ECON["&amp;H5&amp;"]',,,M)")=0,$J$20,_xll.FDSRC(,"DUMMY","ECON_EXPR_DATA('FDS_ECON["&amp;H5&amp;"]',,,M)"))</f>
        <v>47.823067000000002</v>
      </c>
      <c r="N5" cm="1">
        <f t="array" aca="1" ref="N5:O5" ca="1">_xll.FDSRC("-","DUMMY","ECON_EXPR_DATA('FDS_ECON["&amp;H5&amp;"]',"&amp;$L$1&amp;","&amp;$L$2&amp;",Q)")</f>
        <v>47.862293000000001</v>
      </c>
      <c r="O5">
        <f ca="1"/>
        <v>49.327064999999997</v>
      </c>
      <c r="P5">
        <f t="shared" ca="1" si="0"/>
        <v>-1.4647719999999964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21.4</v>
      </c>
      <c r="S5">
        <f ca="1">Q5*Assumption!$E$27 + R5*Assumption!$F$27</f>
        <v>34.239999999999995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756</v>
      </c>
      <c r="E6">
        <v>53.7</v>
      </c>
      <c r="F6">
        <v>5.3</v>
      </c>
      <c r="G6" t="s">
        <v>120</v>
      </c>
      <c r="H6" s="120" t="s">
        <v>758</v>
      </c>
      <c r="I6" s="121" t="s">
        <v>604</v>
      </c>
      <c r="J6" s="122" t="str" cm="1">
        <f t="array" ref="J6">_xll.FDS(K6,"FG_COMPANY_NAME")</f>
        <v>iShares MSCI Canada ETF</v>
      </c>
      <c r="K6" s="122" t="s">
        <v>49</v>
      </c>
      <c r="L6" t="s">
        <v>756</v>
      </c>
      <c r="M6" cm="1">
        <f t="array" ref="M6">IF(_xll.FDSRC(,"DUMMY","ECON_EXPR_DATA('FDS_ECON["&amp;H6&amp;"]',,,M)")=0,$J$20,_xll.FDSRC(,"DUMMY","ECON_EXPR_DATA('FDS_ECON["&amp;H6&amp;"]',,,M)"))</f>
        <v>49.740319999999997</v>
      </c>
      <c r="N6" cm="1">
        <f t="array" aca="1" ref="N6:O6" ca="1">_xll.FDSRC("-","DUMMY","ECON_EXPR_DATA('FDS_ECON["&amp;H6&amp;"]',"&amp;$L$1&amp;","&amp;$L$2&amp;",Q)")</f>
        <v>47.255585000000004</v>
      </c>
      <c r="O6">
        <f ca="1"/>
        <v>48.335906999999999</v>
      </c>
      <c r="P6">
        <f t="shared" ca="1" si="0"/>
        <v>-1.0803219999999953</v>
      </c>
      <c r="Q6" cm="1">
        <f t="array" ref="Q6">_xlfn.PERCENTRANK.EXC(_xlfn._xlws.FILTER(M$4:M$16, ISNUMBER(M$4:M$16)),M6)*100</f>
        <v>64.2</v>
      </c>
      <c r="R6" cm="1">
        <f t="array" aca="1" ref="R6" ca="1">_xlfn.PERCENTRANK.EXC(_xlfn._xlws.FILTER(P$4:P$16, ISNUMBER(P$4:P$16)),P6)*100</f>
        <v>28.499999999999996</v>
      </c>
      <c r="S6">
        <f ca="1">Q6*Assumption!$E$27 + R6*Assumption!$F$27</f>
        <v>49.92</v>
      </c>
      <c r="T6" cm="1">
        <f t="array" aca="1" ref="T6" ca="1">_xlfn.PERCENTRANK.EXC(_xlfn._xlws.FILTER(S$4:S$16, ISNUMBER(S$4:S$16)),S6)*100</f>
        <v>57.099999999999994</v>
      </c>
    </row>
    <row r="7" spans="1:20" x14ac:dyDescent="0.35">
      <c r="A7" t="s">
        <v>11</v>
      </c>
      <c r="B7" t="s">
        <v>39</v>
      </c>
      <c r="C7" t="s">
        <v>11</v>
      </c>
      <c r="D7" t="s">
        <v>756</v>
      </c>
      <c r="E7">
        <v>54.2</v>
      </c>
      <c r="F7">
        <v>3.4</v>
      </c>
      <c r="G7" t="s">
        <v>106</v>
      </c>
      <c r="H7" s="120" t="s">
        <v>762</v>
      </c>
      <c r="I7" s="121" t="s">
        <v>631</v>
      </c>
      <c r="J7" s="122" t="str" cm="1">
        <f t="array" ref="J7">_xll.FDS(K7,"FG_COMPANY_NAME")</f>
        <v>iShares MSCI Germany ETF</v>
      </c>
      <c r="K7" s="122" t="s">
        <v>11</v>
      </c>
      <c r="L7" t="s">
        <v>756</v>
      </c>
      <c r="M7" cm="1">
        <f t="array" ref="M7">IF(_xll.FDSRC(,"DUMMY","ECON_EXPR_DATA('FDS_ECON["&amp;H7&amp;"]',,,M)")=0,$J$20,_xll.FDSRC(,"DUMMY","ECON_EXPR_DATA('FDS_ECON["&amp;H7&amp;"]',,,M)"))</f>
        <v>42.526249999999997</v>
      </c>
      <c r="N7" cm="1">
        <f t="array" aca="1" ref="N7:O7" ca="1">_xll.FDSRC("-","DUMMY","ECON_EXPR_DATA('FDS_ECON["&amp;H7&amp;"]',"&amp;$L$1&amp;","&amp;$L$2&amp;",Q)")</f>
        <v>42.238945000000001</v>
      </c>
      <c r="O7">
        <f ca="1"/>
        <v>39.155673999999998</v>
      </c>
      <c r="P7">
        <f t="shared" ca="1" si="0"/>
        <v>3.0832710000000034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92.800000000000011</v>
      </c>
      <c r="S7">
        <f ca="1">Q7*Assumption!$E$27 + R7*Assumption!$F$27</f>
        <v>41.38</v>
      </c>
      <c r="T7" cm="1">
        <f t="array" aca="1" ref="T7" ca="1">_xlfn.PERCENTRANK.EXC(_xlfn._xlws.FILTER(S$4:S$16, ISNUMBER(S$4:S$16)),S7)*100</f>
        <v>35.699999999999996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756</v>
      </c>
      <c r="E8">
        <v>52.9</v>
      </c>
      <c r="F8">
        <v>2.2000000000000002</v>
      </c>
      <c r="G8" t="s">
        <v>118</v>
      </c>
      <c r="H8" s="120" t="s">
        <v>760</v>
      </c>
      <c r="I8" s="121" t="s">
        <v>649</v>
      </c>
      <c r="J8" s="122" t="str" cm="1">
        <f t="array" ref="J8">_xll.FDS(K8,"FG_COMPANY_NAME")</f>
        <v>iShares MSCI Japan ETF</v>
      </c>
      <c r="K8" s="122" t="s">
        <v>46</v>
      </c>
      <c r="L8" t="s">
        <v>756</v>
      </c>
      <c r="M8" cm="1">
        <f t="array" ref="M8">IF(_xll.FDSRC(,"DUMMY","ECON_EXPR_DATA('FDS_ECON["&amp;H8&amp;"]',,,M)")=0,$J$20,_xll.FDSRC(,"DUMMY","ECON_EXPR_DATA('FDS_ECON["&amp;H8&amp;"]',,,M)"))</f>
        <v>47.182769999999998</v>
      </c>
      <c r="N8" cm="1">
        <f t="array" aca="1" ref="N8:O8" ca="1">_xll.FDSRC("-","DUMMY","ECON_EXPR_DATA('FDS_ECON["&amp;H8&amp;"]',"&amp;$L$1&amp;","&amp;$L$2&amp;",Q)")</f>
        <v>48.318770000000001</v>
      </c>
      <c r="O8">
        <f ca="1"/>
        <v>49.252665999999998</v>
      </c>
      <c r="P8">
        <f t="shared" ca="1" si="0"/>
        <v>-0.93389599999999717</v>
      </c>
      <c r="Q8" cm="1">
        <f t="array" ref="Q8">_xlfn.PERCENTRANK.EXC(_xlfn._xlws.FILTER(M$4:M$16, ISNUMBER(M$4:M$16)),M8)*100</f>
        <v>28.499999999999996</v>
      </c>
      <c r="R8" cm="1">
        <f t="array" aca="1" ref="R8" ca="1">_xlfn.PERCENTRANK.EXC(_xlfn._xlws.FILTER(P$4:P$16, ISNUMBER(P$4:P$16)),P8)*100</f>
        <v>35.699999999999996</v>
      </c>
      <c r="S8">
        <f ca="1">Q8*Assumption!$E$27 + R8*Assumption!$F$27</f>
        <v>31.379999999999995</v>
      </c>
      <c r="T8" cm="1">
        <f t="array" aca="1" ref="T8" ca="1">_xlfn.PERCENTRANK.EXC(_xlfn._xlws.FILTER(S$4:S$16, ISNUMBER(S$4:S$16)),S8)*100</f>
        <v>14.2</v>
      </c>
    </row>
    <row r="9" spans="1:20" x14ac:dyDescent="0.35">
      <c r="A9" t="s">
        <v>42</v>
      </c>
      <c r="B9" t="s">
        <v>43</v>
      </c>
      <c r="C9" t="s">
        <v>42</v>
      </c>
      <c r="D9" t="s">
        <v>756</v>
      </c>
      <c r="E9">
        <v>53.7</v>
      </c>
      <c r="F9">
        <v>5.3</v>
      </c>
      <c r="G9" t="s">
        <v>114</v>
      </c>
      <c r="H9" s="120" t="s">
        <v>764</v>
      </c>
      <c r="I9" s="121" t="s">
        <v>712</v>
      </c>
      <c r="J9" s="122" t="str" cm="1">
        <f t="array" ref="J9">_xll.FDS(K9,"FG_COMPANY_NAME")</f>
        <v>iShares MSCI Switzerland ETF</v>
      </c>
      <c r="K9" s="122" t="s">
        <v>42</v>
      </c>
      <c r="L9" t="s">
        <v>756</v>
      </c>
      <c r="M9" cm="1">
        <f t="array" ref="M9">IF(_xll.FDSRC(,"DUMMY","ECON_EXPR_DATA('FDS_ECON["&amp;H9&amp;"]',,,M)")=0,$J$20,_xll.FDSRC(,"DUMMY","ECON_EXPR_DATA('FDS_ECON["&amp;H9&amp;"]',,,M)"))</f>
        <v>43.954456</v>
      </c>
      <c r="N9" cm="1">
        <f t="array" aca="1" ref="N9:O9" ca="1">_xll.FDSRC("-","DUMMY","ECON_EXPR_DATA('FDS_ECON["&amp;H9&amp;"]',"&amp;$L$1&amp;","&amp;$L$2&amp;",Q)")</f>
        <v>41.921543</v>
      </c>
      <c r="O9">
        <f ca="1"/>
        <v>41.102364000000001</v>
      </c>
      <c r="P9">
        <f t="shared" ca="1" si="0"/>
        <v>0.81917899999999833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78.5</v>
      </c>
      <c r="S9">
        <f ca="1">Q9*Assumption!$E$27 + R9*Assumption!$F$27</f>
        <v>39.92</v>
      </c>
      <c r="T9" cm="1">
        <f t="array" aca="1" ref="T9" ca="1">_xlfn.PERCENTRANK.EXC(_xlfn._xlws.FILTER(S$4:S$16, ISNUMBER(S$4:S$16)),S9)*100</f>
        <v>28.499999999999996</v>
      </c>
    </row>
    <row r="10" spans="1:20" x14ac:dyDescent="0.35">
      <c r="A10" t="s">
        <v>48</v>
      </c>
      <c r="B10" t="s">
        <v>451</v>
      </c>
      <c r="C10" t="s">
        <v>48</v>
      </c>
      <c r="D10" t="s">
        <v>756</v>
      </c>
      <c r="E10">
        <v>54.9</v>
      </c>
      <c r="F10">
        <v>6.4</v>
      </c>
      <c r="G10" t="s">
        <v>119</v>
      </c>
      <c r="H10" s="120" t="s">
        <v>763</v>
      </c>
      <c r="I10" s="121" t="s">
        <v>451</v>
      </c>
      <c r="J10" s="122" t="str" cm="1">
        <f t="array" ref="J10">_xll.FDS(K10,"FG_COMPANY_NAME")</f>
        <v>iShares MSCI United Kingdom ETF</v>
      </c>
      <c r="K10" s="122" t="s">
        <v>48</v>
      </c>
      <c r="L10" t="s">
        <v>756</v>
      </c>
      <c r="M10" cm="1">
        <f t="array" ref="M10">IF(_xll.FDSRC(,"DUMMY","ECON_EXPR_DATA('FDS_ECON["&amp;H10&amp;"]',,,M)")=0,$J$20,_xll.FDSRC(,"DUMMY","ECON_EXPR_DATA('FDS_ECON["&amp;H10&amp;"]',,,M)"))</f>
        <v>47.508816000000003</v>
      </c>
      <c r="N10" cm="1">
        <f t="array" aca="1" ref="N10:O10" ca="1">_xll.FDSRC("-","DUMMY","ECON_EXPR_DATA('FDS_ECON["&amp;H10&amp;"]',"&amp;$L$1&amp;","&amp;$L$2&amp;",Q)")</f>
        <v>46.058700000000002</v>
      </c>
      <c r="O10">
        <f ca="1"/>
        <v>44.209952999999999</v>
      </c>
      <c r="P10">
        <f t="shared" ca="1" si="0"/>
        <v>1.848747000000003</v>
      </c>
      <c r="Q10" cm="1">
        <f t="array" ref="Q10">_xlfn.PERCENTRANK.EXC(_xlfn._xlws.FILTER(M$4:M$16, ISNUMBER(M$4:M$16)),M10)*100</f>
        <v>35.699999999999996</v>
      </c>
      <c r="R10" cm="1">
        <f t="array" aca="1" ref="R10" ca="1">_xlfn.PERCENTRANK.EXC(_xlfn._xlws.FILTER(P$4:P$16, ISNUMBER(P$4:P$16)),P10)*100</f>
        <v>85.7</v>
      </c>
      <c r="S10">
        <f ca="1">Q10*Assumption!$E$27 + R10*Assumption!$F$27</f>
        <v>55.7</v>
      </c>
      <c r="T10" cm="1">
        <f t="array" aca="1" ref="T10" ca="1">_xlfn.PERCENTRANK.EXC(_xlfn._xlws.FILTER(S$4:S$16, ISNUMBER(S$4:S$16)),S10)*100</f>
        <v>71.399999999999991</v>
      </c>
    </row>
    <row r="11" spans="1:20" x14ac:dyDescent="0.35">
      <c r="A11" t="s">
        <v>51</v>
      </c>
      <c r="B11" t="s">
        <v>452</v>
      </c>
      <c r="C11" t="s">
        <v>51</v>
      </c>
      <c r="D11" t="s">
        <v>756</v>
      </c>
      <c r="E11">
        <v>53.4</v>
      </c>
      <c r="F11">
        <v>6.5</v>
      </c>
      <c r="G11" t="s">
        <v>123</v>
      </c>
      <c r="H11" s="120" t="s">
        <v>757</v>
      </c>
      <c r="I11" s="121" t="s">
        <v>769</v>
      </c>
      <c r="J11" s="122" t="str" cm="1">
        <f t="array" ref="J11">_xll.FDS(K11,"FG_COMPANY_NAME")</f>
        <v>Invesco QQQ Trust Series I</v>
      </c>
      <c r="K11" s="122" t="s">
        <v>51</v>
      </c>
      <c r="L11" t="s">
        <v>756</v>
      </c>
      <c r="M11" cm="1">
        <f t="array" ref="M11">IF(_xll.FDSRC(,"DUMMY","ECON_EXPR_DATA('FDS_ECON["&amp;H11&amp;"]',,,M)")=0,$J$20,_xll.FDSRC(,"DUMMY","ECON_EXPR_DATA('FDS_ECON["&amp;H11&amp;"]',,,M)"))</f>
        <v>52.195070000000001</v>
      </c>
      <c r="N11" cm="1">
        <f t="array" aca="1" ref="N11:O11" ca="1">_xll.FDSRC("-","DUMMY","ECON_EXPR_DATA('FDS_ECON["&amp;H11&amp;"]',"&amp;$L$1&amp;","&amp;$L$2&amp;",Q)")</f>
        <v>49.098827</v>
      </c>
      <c r="O11">
        <f ca="1"/>
        <v>48.914909999999999</v>
      </c>
      <c r="P11">
        <f t="shared" ca="1" si="0"/>
        <v>0.183917000000001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64.2</v>
      </c>
      <c r="S11">
        <f ca="1">Q11*Assumption!$E$27 + R11*Assumption!$F$27</f>
        <v>77.100000000000009</v>
      </c>
      <c r="T11" cm="1">
        <f t="array" aca="1" ref="T11" ca="1">_xlfn.PERCENTRANK.EXC(_xlfn._xlws.FILTER(S$4:S$16, ISNUMBER(S$4:S$16)),S11)*100</f>
        <v>85.7</v>
      </c>
    </row>
    <row r="12" spans="1:20" x14ac:dyDescent="0.35">
      <c r="A12" t="s">
        <v>1</v>
      </c>
      <c r="B12" t="s">
        <v>1</v>
      </c>
      <c r="C12" t="s">
        <v>1</v>
      </c>
      <c r="D12" t="s">
        <v>756</v>
      </c>
      <c r="E12">
        <v>53.4</v>
      </c>
      <c r="F12">
        <v>6.5</v>
      </c>
      <c r="G12" t="s">
        <v>123</v>
      </c>
      <c r="H12" s="120" t="s">
        <v>757</v>
      </c>
      <c r="I12" s="121" t="s">
        <v>769</v>
      </c>
      <c r="J12" s="122" t="str" cm="1">
        <f t="array" ref="J12">_xll.FDS(K12,"FG_COMPANY_NAME")</f>
        <v>SPDR S&amp;P 500 ETF Trust</v>
      </c>
      <c r="K12" s="122" t="s">
        <v>1</v>
      </c>
      <c r="L12" t="s">
        <v>756</v>
      </c>
      <c r="M12" cm="1">
        <f t="array" ref="M12">IF(_xll.FDSRC(,"DUMMY","ECON_EXPR_DATA('FDS_ECON["&amp;H12&amp;"]',,,M)")=0,$J$20,_xll.FDSRC(,"DUMMY","ECON_EXPR_DATA('FDS_ECON["&amp;H12&amp;"]',,,M)"))</f>
        <v>52.195070000000001</v>
      </c>
      <c r="N12" cm="1">
        <f t="array" aca="1" ref="N12:O12" ca="1">_xll.FDSRC("-","DUMMY","ECON_EXPR_DATA('FDS_ECON["&amp;H12&amp;"]',"&amp;$L$1&amp;","&amp;$L$2&amp;",Q)")</f>
        <v>49.098827</v>
      </c>
      <c r="O12">
        <f ca="1"/>
        <v>48.914909999999999</v>
      </c>
      <c r="P12">
        <f t="shared" ca="1" si="0"/>
        <v>0.183917000000001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64.2</v>
      </c>
      <c r="S12">
        <f ca="1">Q12*Assumption!$E$27 + R12*Assumption!$F$27</f>
        <v>77.100000000000009</v>
      </c>
      <c r="T12" cm="1">
        <f t="array" aca="1" ref="T12" ca="1">_xlfn.PERCENTRANK.EXC(_xlfn._xlws.FILTER(S$4:S$16, ISNUMBER(S$4:S$16)),S12)*100</f>
        <v>85.7</v>
      </c>
    </row>
    <row r="13" spans="1:20" x14ac:dyDescent="0.35">
      <c r="G13" t="s">
        <v>110</v>
      </c>
      <c r="H13" s="120" t="s">
        <v>890</v>
      </c>
      <c r="I13" t="s">
        <v>627</v>
      </c>
      <c r="J13" s="122" t="str" cm="1">
        <f t="array" ref="J13">_xll.FDS(K13,"FG_COMPANY_NAME")</f>
        <v>iShares MSCI France ETF</v>
      </c>
      <c r="K13" t="s">
        <v>872</v>
      </c>
      <c r="L13" t="s">
        <v>756</v>
      </c>
      <c r="M13" cm="1">
        <f t="array" ref="M13">IF(_xll.FDSRC(,"DUMMY","ECON_EXPR_DATA('FDS_ECON["&amp;H13&amp;"]',,,M)")=0,$J$20,_xll.FDSRC(,"DUMMY","ECON_EXPR_DATA('FDS_ECON["&amp;H13&amp;"]',,,M)"))</f>
        <v>47.113422</v>
      </c>
      <c r="N13" cm="1">
        <f t="array" aca="1" ref="N13:O13" ca="1">_xll.FDSRC("-","DUMMY","ECON_EXPR_DATA('FDS_ECON["&amp;H13&amp;"]',"&amp;$L$1&amp;","&amp;$L$2&amp;",Q)")</f>
        <v>42.573967000000003</v>
      </c>
      <c r="O13">
        <f ca="1"/>
        <v>45.097969999999997</v>
      </c>
      <c r="P13">
        <f t="shared" ref="P13:P16" ca="1" si="1">IFERROR(N13-O13,$M$20)</f>
        <v>-2.5240029999999933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7.1</v>
      </c>
      <c r="S13">
        <f ca="1">Q13*Assumption!$E$27 + R13*Assumption!$F$27</f>
        <v>15.679999999999998</v>
      </c>
      <c r="T13" cm="1">
        <f t="array" aca="1" ref="T13" ca="1">_xlfn.PERCENTRANK.EXC(_xlfn._xlws.FILTER(S$4:S$16, ISNUMBER(S$4:S$16)),S13)*100</f>
        <v>7.1</v>
      </c>
    </row>
    <row r="14" spans="1:20" x14ac:dyDescent="0.35">
      <c r="G14" t="s">
        <v>882</v>
      </c>
      <c r="H14" s="120" t="s">
        <v>891</v>
      </c>
      <c r="I14" t="s">
        <v>679</v>
      </c>
      <c r="J14" s="122" t="str" cm="1">
        <f t="array" ref="J14">_xll.FDS(K14,"FG_COMPANY_NAME")</f>
        <v>iShares MSCI Netherlands ETF</v>
      </c>
      <c r="K14" t="s">
        <v>874</v>
      </c>
      <c r="L14" t="s">
        <v>756</v>
      </c>
      <c r="M14" cm="1">
        <f t="array" ref="M14">IF(_xll.FDSRC(,"DUMMY","ECON_EXPR_DATA('FDS_ECON["&amp;H14&amp;"]',,,M)")=0,$J$20,_xll.FDSRC(,"DUMMY","ECON_EXPR_DATA('FDS_ECON["&amp;H14&amp;"]',,,M)"))</f>
        <v>49.333509999999997</v>
      </c>
      <c r="N14" cm="1">
        <f t="array" aca="1" ref="N14:O14" ca="1">_xll.FDSRC("-","DUMMY","ECON_EXPR_DATA('FDS_ECON["&amp;H14&amp;"]',"&amp;$L$1&amp;","&amp;$L$2&amp;",Q)")</f>
        <v>44.495136000000002</v>
      </c>
      <c r="O14">
        <f ca="1"/>
        <v>44.945712999999998</v>
      </c>
      <c r="P14">
        <f t="shared" ca="1" si="1"/>
        <v>-0.45057699999999556</v>
      </c>
      <c r="Q14" cm="1">
        <f t="array" ref="Q14">_xlfn.PERCENTRANK.EXC(_xlfn._xlws.FILTER(M$4:M$16, ISNUMBER(M$4:M$16)),M14)*100</f>
        <v>57.099999999999994</v>
      </c>
      <c r="R14" cm="1">
        <f t="array" aca="1" ref="R14" ca="1">_xlfn.PERCENTRANK.EXC(_xlfn._xlws.FILTER(P$4:P$16, ISNUMBER(P$4:P$16)),P14)*100</f>
        <v>50</v>
      </c>
      <c r="S14">
        <f ca="1">Q14*Assumption!$E$27 + R14*Assumption!$F$27</f>
        <v>54.26</v>
      </c>
      <c r="T14" cm="1">
        <f t="array" aca="1" ref="T14" ca="1">_xlfn.PERCENTRANK.EXC(_xlfn._xlws.FILTER(S$4:S$16, ISNUMBER(S$4:S$16)),S14)*100</f>
        <v>64.2</v>
      </c>
    </row>
    <row r="15" spans="1:20" x14ac:dyDescent="0.35">
      <c r="G15" t="s">
        <v>276</v>
      </c>
      <c r="H15" s="120"/>
      <c r="I15" t="s">
        <v>711</v>
      </c>
      <c r="J15" s="122" t="str" cm="1">
        <f t="array" ref="J15">_xll.FDS(K15,"FG_COMPANY_NAME")</f>
        <v>iShares MSCI Sweden ETF</v>
      </c>
      <c r="K15" t="s">
        <v>871</v>
      </c>
      <c r="L15" t="s">
        <v>756</v>
      </c>
      <c r="M15" cm="1">
        <f t="array" ref="M15">IF(_xll.FDSRC(,"DUMMY","ECON_EXPR_DATA('FDS_ECON["&amp;H15&amp;"]',,,M)")=0,$J$20,_xll.FDSRC(,"DUMMY","ECON_EXPR_DATA('FDS_ECON["&amp;H15&amp;"]',,,M)"))</f>
        <v>51.447499999999998</v>
      </c>
      <c r="N15" t="str" cm="1">
        <f t="array" aca="1" ref="N15" ca="1">_xll.FDSRC("-","DUMMY","ECON_EXPR_DATA('FDS_ECON["&amp;H15&amp;"]',"&amp;$L$1&amp;","&amp;$L$2&amp;",Q)")</f>
        <v>-</v>
      </c>
      <c r="P15">
        <f t="shared" ca="1" si="1"/>
        <v>-0.17349399999999804</v>
      </c>
      <c r="Q15" cm="1">
        <f t="array" ref="Q15">_xlfn.PERCENTRANK.EXC(_xlfn._xlws.FILTER(M$4:M$16, ISNUMBER(M$4:M$16)),M15)*100</f>
        <v>71.399999999999991</v>
      </c>
      <c r="R15" cm="1">
        <f t="array" aca="1" ref="R15" ca="1">_xlfn.PERCENTRANK.EXC(_xlfn._xlws.FILTER(P$4:P$16, ISNUMBER(P$4:P$16)),P15)*100</f>
        <v>57.099999999999994</v>
      </c>
      <c r="S15">
        <f ca="1">Q15*Assumption!$E$27 + R15*Assumption!$F$27</f>
        <v>65.679999999999993</v>
      </c>
      <c r="T15" cm="1">
        <f t="array" aca="1" ref="T15" ca="1">_xlfn.PERCENTRANK.EXC(_xlfn._xlws.FILTER(S$4:S$16, ISNUMBER(S$4:S$16)),S15)*100</f>
        <v>78.5</v>
      </c>
    </row>
    <row r="16" spans="1:20" x14ac:dyDescent="0.35">
      <c r="G16" t="s">
        <v>883</v>
      </c>
      <c r="H16" s="120" t="s">
        <v>892</v>
      </c>
      <c r="I16" t="s">
        <v>647</v>
      </c>
      <c r="J16" s="122" t="str" cm="1">
        <f t="array" ref="J16">_xll.FDS(K16,"FG_COMPANY_NAME")</f>
        <v>iShares MSCI Italy ETF</v>
      </c>
      <c r="K16" t="s">
        <v>873</v>
      </c>
      <c r="L16" t="s">
        <v>756</v>
      </c>
      <c r="M16" cm="1">
        <f t="array" ref="M16">IF(_xll.FDSRC(,"DUMMY","ECON_EXPR_DATA('FDS_ECON["&amp;H16&amp;"]',,,M)")=0,$J$20,_xll.FDSRC(,"DUMMY","ECON_EXPR_DATA('FDS_ECON["&amp;H16&amp;"]',,,M)"))</f>
        <v>48.697094</v>
      </c>
      <c r="N16" cm="1">
        <f t="array" aca="1" ref="N16:O16" ca="1">_xll.FDSRC("-","DUMMY","ECON_EXPR_DATA('FDS_ECON["&amp;H16&amp;"]',"&amp;$L$1&amp;","&amp;$L$2&amp;",Q)")</f>
        <v>44.859454999999997</v>
      </c>
      <c r="O16">
        <f ca="1"/>
        <v>45.562866</v>
      </c>
      <c r="P16">
        <f t="shared" ca="1" si="1"/>
        <v>-0.70341100000000267</v>
      </c>
      <c r="Q16" cm="1">
        <f t="array" ref="Q16">_xlfn.PERCENTRANK.EXC(_xlfn._xlws.FILTER(M$4:M$16, ISNUMBER(M$4:M$16)),M16)*100</f>
        <v>50</v>
      </c>
      <c r="R16" cm="1">
        <f t="array" aca="1" ref="R16" ca="1">_xlfn.PERCENTRANK.EXC(_xlfn._xlws.FILTER(P$4:P$16, ISNUMBER(P$4:P$16)),P16)*100</f>
        <v>42.8</v>
      </c>
      <c r="S16">
        <f ca="1">Q16*Assumption!$E$27 + R16*Assumption!$F$27</f>
        <v>47.120000000000005</v>
      </c>
      <c r="T16" cm="1">
        <f t="array" aca="1" ref="T16" ca="1">_xlfn.PERCENTRANK.EXC(_xlfn._xlws.FILTER(S$4:S$16, ISNUMBER(S$4:S$16)),S16)*100</f>
        <v>42.8</v>
      </c>
    </row>
    <row r="18" spans="8:13" x14ac:dyDescent="0.35">
      <c r="K18" t="str" cm="1">
        <f t="array" aca="1" ref="K18:L18" ca="1">_xll.FDSRC("-","DUMMY","ECON_DATE("&amp;$L$1&amp;","&amp;$L$2&amp;",'Q', 'MM/YYYY')")</f>
        <v>12/2023</v>
      </c>
      <c r="L18" t="str">
        <f ca="1"/>
        <v>09/2023</v>
      </c>
      <c r="M18" t="s">
        <v>779</v>
      </c>
    </row>
    <row r="19" spans="8:13" x14ac:dyDescent="0.35">
      <c r="H19" s="120" t="s">
        <v>765</v>
      </c>
      <c r="I19" s="120" t="s">
        <v>766</v>
      </c>
      <c r="J19" cm="1">
        <f t="array" ref="J19">_xll.FDSRC("-","DUMMY","ECON_EXPR_DATA('FDS_ECON["&amp;H19&amp;"]',,,M)")</f>
        <v>49.253857000000004</v>
      </c>
      <c r="K19" cm="1">
        <f t="array" aca="1" ref="K19:L19" ca="1">_xll.FDSRC("-","DUMMY","ECON_EXPR_DATA('FDS_ECON["&amp;H19&amp;"]',"&amp;$L$1&amp;","&amp;$L$2&amp;",Q)")</f>
        <v>47.378044000000003</v>
      </c>
      <c r="L19">
        <f ca="1"/>
        <v>47.086407000000001</v>
      </c>
      <c r="M19">
        <f ca="1">K19-L19</f>
        <v>0.29163700000000148</v>
      </c>
    </row>
    <row r="20" spans="8:13" x14ac:dyDescent="0.35">
      <c r="H20" s="120" t="s">
        <v>767</v>
      </c>
      <c r="I20" s="120" t="s">
        <v>768</v>
      </c>
      <c r="J20" cm="1">
        <f t="array" ref="J20">_xll.FDSRC("-","DUMMY","ECON_EXPR_DATA('FDS_ECON["&amp;H20&amp;"]',,,M)")</f>
        <v>51.447499999999998</v>
      </c>
      <c r="K20" cm="1">
        <f t="array" aca="1" ref="K20:L20" ca="1">_xll.FDSRC("-","DUMMY","ECON_EXPR_DATA('FDS_ECON["&amp;H20&amp;"]',"&amp;$L$1&amp;","&amp;$L$2&amp;",Q)")</f>
        <v>50.640650000000001</v>
      </c>
      <c r="L20">
        <f ca="1"/>
        <v>50.814143999999999</v>
      </c>
      <c r="M20">
        <f ca="1">K20-L20</f>
        <v>-0.17349399999999804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A26B-7698-49E2-BF41-DB268906CF26}">
  <dimension ref="A1:T20"/>
  <sheetViews>
    <sheetView tabSelected="1" topLeftCell="H1" zoomScale="85" zoomScaleNormal="85" workbookViewId="0">
      <selection activeCell="O25" sqref="O25"/>
    </sheetView>
  </sheetViews>
  <sheetFormatPr defaultRowHeight="14.5" x14ac:dyDescent="0.35"/>
  <cols>
    <col min="1" max="1" width="19.6328125" hidden="1" customWidth="1"/>
    <col min="2" max="2" width="12.6328125" hidden="1" customWidth="1"/>
    <col min="3" max="3" width="15.6328125" hidden="1" customWidth="1"/>
    <col min="4" max="4" width="13.90625" hidden="1" customWidth="1"/>
    <col min="5" max="5" width="23.54296875" hidden="1" customWidth="1"/>
    <col min="6" max="6" width="9.6328125" hidden="1" customWidth="1"/>
    <col min="7" max="9" width="19.36328125" customWidth="1"/>
    <col min="10" max="10" width="34.36328125" customWidth="1"/>
    <col min="11" max="11" width="19.36328125" customWidth="1"/>
    <col min="12" max="12" width="11" customWidth="1"/>
    <col min="13" max="13" width="13.1796875" bestFit="1" customWidth="1"/>
    <col min="16" max="16" width="11.453125" customWidth="1"/>
    <col min="17" max="17" width="10.36328125" bestFit="1" customWidth="1"/>
    <col min="18" max="18" width="13.36328125" customWidth="1"/>
    <col min="28" max="28" width="13" customWidth="1"/>
  </cols>
  <sheetData>
    <row r="1" spans="1:20" x14ac:dyDescent="0.35">
      <c r="K1" s="71" t="s">
        <v>777</v>
      </c>
      <c r="L1" s="214">
        <f ca="1">EDATE(TODAY(), -1)</f>
        <v>45328</v>
      </c>
    </row>
    <row r="2" spans="1:20" ht="15" thickBot="1" x14ac:dyDescent="0.4">
      <c r="K2" s="12" t="s">
        <v>778</v>
      </c>
      <c r="L2" s="215">
        <f ca="1">EDATE(TODAY(), -4)</f>
        <v>45236</v>
      </c>
    </row>
    <row r="3" spans="1:20" ht="50.25" customHeight="1" x14ac:dyDescent="0.35">
      <c r="E3" t="s">
        <v>753</v>
      </c>
      <c r="F3" t="s">
        <v>754</v>
      </c>
      <c r="H3" t="s">
        <v>770</v>
      </c>
      <c r="I3" t="s">
        <v>567</v>
      </c>
      <c r="J3" t="s">
        <v>522</v>
      </c>
      <c r="M3" s="123" t="s">
        <v>771</v>
      </c>
      <c r="N3" t="str" cm="1">
        <f t="array" aca="1" ref="N3" ca="1">_xll.FDSRC("-","DUMMY","ECON_DATE("&amp;$L$1&amp;",,, 'MM/YYYY')")</f>
        <v>02/2024</v>
      </c>
      <c r="O3" t="str" cm="1">
        <f t="array" aca="1" ref="O3" ca="1">_xll.FDSRC("-","DUMMY","ECON_DATE("&amp;$L$2&amp;",,, 'MM/YYYY')")</f>
        <v>11/2023</v>
      </c>
      <c r="P3" s="123" t="s">
        <v>774</v>
      </c>
      <c r="Q3" s="123" t="s">
        <v>780</v>
      </c>
      <c r="R3" s="128" t="s">
        <v>781</v>
      </c>
      <c r="S3" s="128" t="s">
        <v>556</v>
      </c>
      <c r="T3" s="128" t="s">
        <v>743</v>
      </c>
    </row>
    <row r="4" spans="1:20" x14ac:dyDescent="0.35">
      <c r="A4" t="s">
        <v>435</v>
      </c>
      <c r="B4" t="s">
        <v>450</v>
      </c>
      <c r="C4" t="s">
        <v>435</v>
      </c>
      <c r="D4" t="s">
        <v>756</v>
      </c>
      <c r="E4">
        <v>53.7</v>
      </c>
      <c r="F4">
        <v>5.3</v>
      </c>
      <c r="G4" t="s">
        <v>201</v>
      </c>
      <c r="H4" s="120" t="s">
        <v>761</v>
      </c>
      <c r="I4" s="121" t="s">
        <v>680</v>
      </c>
      <c r="J4" s="122" t="str" cm="1">
        <f t="array" ref="J4">_xll.FDS(K4,"FG_COMPANY_NAME")</f>
        <v>iShares MSCI New Zealand ETF</v>
      </c>
      <c r="K4" s="122" t="s">
        <v>435</v>
      </c>
      <c r="L4" t="s">
        <v>756</v>
      </c>
      <c r="M4" cm="1">
        <f t="array" ref="M4">IF(_xll.FDSRC(,"DUMMY","ECON_EXPR_DATA('FDS_ECON["&amp;H4&amp;"]',,,M)")=0,$J$20,_xll.FDSRC(,"DUMMY","ECON_EXPR_DATA('FDS_ECON["&amp;H4&amp;"]',,,M)"))</f>
        <v>51.447499999999998</v>
      </c>
      <c r="N4" cm="1">
        <f t="array" aca="1" ref="N4" ca="1">_xll.FDSRC("-","DUMMY","ECON_EXPR_DATA('FDS_ECON["&amp;H4&amp;"]',"&amp;$N$3&amp;",,Q)")</f>
        <v>44.258175000000001</v>
      </c>
      <c r="O4" cm="1">
        <f t="array" aca="1" ref="O4" ca="1">_xll.FDSRC("-","DUMMY","ECON_EXPR_DATA('FDS_ECON["&amp;H4&amp;"]',"&amp;$O$3&amp;",,Q)")</f>
        <v>45.884970000000003</v>
      </c>
      <c r="P4">
        <f t="shared" ref="P4:P16" ca="1" si="0">IFERROR(N4-O4,$M$20)</f>
        <v>-1.6267950000000013</v>
      </c>
      <c r="Q4" cm="1">
        <f t="array" ref="Q4">_xlfn.PERCENTRANK.EXC(_xlfn._xlws.FILTER(M$4:M$16, ISNUMBER(M$4:M$16)),M4)*100</f>
        <v>71.399999999999991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48.519999999999996</v>
      </c>
      <c r="T4" cm="1">
        <f t="array" aca="1" ref="T4" ca="1">_xlfn.PERCENTRANK.EXC(_xlfn._xlws.FILTER(S$4:S$16, ISNUMBER(S$4:S$16)),S4)*100</f>
        <v>50</v>
      </c>
    </row>
    <row r="5" spans="1:20" x14ac:dyDescent="0.35">
      <c r="A5" t="s">
        <v>44</v>
      </c>
      <c r="B5" t="s">
        <v>45</v>
      </c>
      <c r="C5" t="s">
        <v>44</v>
      </c>
      <c r="D5" t="s">
        <v>756</v>
      </c>
      <c r="E5">
        <v>53</v>
      </c>
      <c r="F5">
        <v>4.5</v>
      </c>
      <c r="G5" t="s">
        <v>117</v>
      </c>
      <c r="H5" s="120" t="s">
        <v>759</v>
      </c>
      <c r="I5" s="121" t="s">
        <v>582</v>
      </c>
      <c r="J5" s="122" t="str" cm="1">
        <f t="array" ref="J5">_xll.FDS(K5,"FG_COMPANY_NAME")</f>
        <v>iShares MSCI Australia ETF</v>
      </c>
      <c r="K5" s="122" t="s">
        <v>44</v>
      </c>
      <c r="L5" t="s">
        <v>756</v>
      </c>
      <c r="M5" cm="1">
        <f t="array" ref="M5">IF(_xll.FDSRC(,"DUMMY","ECON_EXPR_DATA('FDS_ECON["&amp;H5&amp;"]',,,M)")=0,$J$20,_xll.FDSRC(,"DUMMY","ECON_EXPR_DATA('FDS_ECON["&amp;H5&amp;"]',,,M)"))</f>
        <v>47.823067000000002</v>
      </c>
      <c r="N5" cm="1">
        <f t="array" aca="1" ref="N5" ca="1">_xll.FDSRC("-","DUMMY","ECON_EXPR_DATA('FDS_ECON["&amp;H5&amp;"]',"&amp;$N$3&amp;",,Q)")</f>
        <v>47.862293000000001</v>
      </c>
      <c r="O5" cm="1">
        <f t="array" aca="1" ref="O5" ca="1">_xll.FDSRC("-","DUMMY","ECON_EXPR_DATA('FDS_ECON["&amp;H5&amp;"]',"&amp;$O$3&amp;",,Q)")</f>
        <v>49.327064999999997</v>
      </c>
      <c r="P5">
        <f t="shared" ca="1" si="0"/>
        <v>-1.4647719999999964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21.4</v>
      </c>
      <c r="S5">
        <f ca="1">Q5*Assumption!$E$27 + R5*Assumption!$F$27</f>
        <v>34.239999999999995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756</v>
      </c>
      <c r="E6">
        <v>53.7</v>
      </c>
      <c r="F6">
        <v>5.3</v>
      </c>
      <c r="G6" t="s">
        <v>120</v>
      </c>
      <c r="H6" s="120" t="s">
        <v>758</v>
      </c>
      <c r="I6" s="121" t="s">
        <v>604</v>
      </c>
      <c r="J6" s="122" t="str" cm="1">
        <f t="array" ref="J6">_xll.FDS(K6,"FG_COMPANY_NAME")</f>
        <v>iShares MSCI Canada ETF</v>
      </c>
      <c r="K6" s="122" t="s">
        <v>49</v>
      </c>
      <c r="L6" t="s">
        <v>756</v>
      </c>
      <c r="M6" cm="1">
        <f t="array" ref="M6">IF(_xll.FDSRC(,"DUMMY","ECON_EXPR_DATA('FDS_ECON["&amp;H6&amp;"]',,,M)")=0,$J$20,_xll.FDSRC(,"DUMMY","ECON_EXPR_DATA('FDS_ECON["&amp;H6&amp;"]',,,M)"))</f>
        <v>49.740319999999997</v>
      </c>
      <c r="N6" cm="1">
        <f t="array" aca="1" ref="N6" ca="1">_xll.FDSRC("-","DUMMY","ECON_EXPR_DATA('FDS_ECON["&amp;H6&amp;"]',"&amp;$N$3&amp;",,Q)")</f>
        <v>47.255585000000004</v>
      </c>
      <c r="O6" cm="1">
        <f t="array" aca="1" ref="O6" ca="1">_xll.FDSRC("-","DUMMY","ECON_EXPR_DATA('FDS_ECON["&amp;H6&amp;"]',"&amp;$O$3&amp;",,Q)")</f>
        <v>48.335906999999999</v>
      </c>
      <c r="P6">
        <f t="shared" ca="1" si="0"/>
        <v>-1.0803219999999953</v>
      </c>
      <c r="Q6" cm="1">
        <f t="array" ref="Q6">_xlfn.PERCENTRANK.EXC(_xlfn._xlws.FILTER(M$4:M$16, ISNUMBER(M$4:M$16)),M6)*100</f>
        <v>64.2</v>
      </c>
      <c r="R6" cm="1">
        <f t="array" aca="1" ref="R6" ca="1">_xlfn.PERCENTRANK.EXC(_xlfn._xlws.FILTER(P$4:P$16, ISNUMBER(P$4:P$16)),P6)*100</f>
        <v>28.499999999999996</v>
      </c>
      <c r="S6">
        <f ca="1">Q6*Assumption!$E$27 + R6*Assumption!$F$27</f>
        <v>49.92</v>
      </c>
      <c r="T6" cm="1">
        <f t="array" aca="1" ref="T6" ca="1">_xlfn.PERCENTRANK.EXC(_xlfn._xlws.FILTER(S$4:S$16, ISNUMBER(S$4:S$16)),S6)*100</f>
        <v>57.099999999999994</v>
      </c>
    </row>
    <row r="7" spans="1:20" x14ac:dyDescent="0.35">
      <c r="A7" t="s">
        <v>11</v>
      </c>
      <c r="B7" t="s">
        <v>39</v>
      </c>
      <c r="C7" t="s">
        <v>11</v>
      </c>
      <c r="D7" t="s">
        <v>756</v>
      </c>
      <c r="E7">
        <v>54.2</v>
      </c>
      <c r="F7">
        <v>3.4</v>
      </c>
      <c r="G7" t="s">
        <v>106</v>
      </c>
      <c r="H7" s="120" t="s">
        <v>762</v>
      </c>
      <c r="I7" s="121" t="s">
        <v>631</v>
      </c>
      <c r="J7" s="122" t="str" cm="1">
        <f t="array" ref="J7">_xll.FDS(K7,"FG_COMPANY_NAME")</f>
        <v>iShares MSCI Germany ETF</v>
      </c>
      <c r="K7" s="122" t="s">
        <v>11</v>
      </c>
      <c r="L7" t="s">
        <v>756</v>
      </c>
      <c r="M7" cm="1">
        <f t="array" ref="M7">IF(_xll.FDSRC(,"DUMMY","ECON_EXPR_DATA('FDS_ECON["&amp;H7&amp;"]',,,M)")=0,$J$20,_xll.FDSRC(,"DUMMY","ECON_EXPR_DATA('FDS_ECON["&amp;H7&amp;"]',,,M)"))</f>
        <v>42.526249999999997</v>
      </c>
      <c r="N7" cm="1">
        <f t="array" aca="1" ref="N7" ca="1">_xll.FDSRC("-","DUMMY","ECON_EXPR_DATA('FDS_ECON["&amp;H7&amp;"]',"&amp;$N$3&amp;",,Q)")</f>
        <v>42.238945000000001</v>
      </c>
      <c r="O7" cm="1">
        <f t="array" aca="1" ref="O7" ca="1">_xll.FDSRC("-","DUMMY","ECON_EXPR_DATA('FDS_ECON["&amp;H7&amp;"]',"&amp;$O$3&amp;",,Q)")</f>
        <v>39.155673999999998</v>
      </c>
      <c r="P7">
        <f t="shared" ca="1" si="0"/>
        <v>3.0832710000000034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92.800000000000011</v>
      </c>
      <c r="S7">
        <f ca="1">Q7*Assumption!$E$27 + R7*Assumption!$F$27</f>
        <v>41.38</v>
      </c>
      <c r="T7" cm="1">
        <f t="array" aca="1" ref="T7" ca="1">_xlfn.PERCENTRANK.EXC(_xlfn._xlws.FILTER(S$4:S$16, ISNUMBER(S$4:S$16)),S7)*100</f>
        <v>35.699999999999996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756</v>
      </c>
      <c r="E8">
        <v>52.9</v>
      </c>
      <c r="F8">
        <v>2.2000000000000002</v>
      </c>
      <c r="G8" t="s">
        <v>118</v>
      </c>
      <c r="H8" s="120" t="s">
        <v>760</v>
      </c>
      <c r="I8" s="121" t="s">
        <v>649</v>
      </c>
      <c r="J8" s="122" t="str" cm="1">
        <f t="array" ref="J8">_xll.FDS(K8,"FG_COMPANY_NAME")</f>
        <v>iShares MSCI Japan ETF</v>
      </c>
      <c r="K8" s="122" t="s">
        <v>46</v>
      </c>
      <c r="L8" t="s">
        <v>756</v>
      </c>
      <c r="M8" cm="1">
        <f t="array" ref="M8">IF(_xll.FDSRC(,"DUMMY","ECON_EXPR_DATA('FDS_ECON["&amp;H8&amp;"]',,,M)")=0,$J$20,_xll.FDSRC(,"DUMMY","ECON_EXPR_DATA('FDS_ECON["&amp;H8&amp;"]',,,M)"))</f>
        <v>47.182769999999998</v>
      </c>
      <c r="N8" cm="1">
        <f t="array" aca="1" ref="N8" ca="1">_xll.FDSRC("-","DUMMY","ECON_EXPR_DATA('FDS_ECON["&amp;H8&amp;"]',"&amp;$N$3&amp;",,Q)")</f>
        <v>48.318770000000001</v>
      </c>
      <c r="O8" cm="1">
        <f t="array" aca="1" ref="O8" ca="1">_xll.FDSRC("-","DUMMY","ECON_EXPR_DATA('FDS_ECON["&amp;H8&amp;"]',"&amp;$O$3&amp;",,Q)")</f>
        <v>49.252665999999998</v>
      </c>
      <c r="P8">
        <f t="shared" ca="1" si="0"/>
        <v>-0.93389599999999717</v>
      </c>
      <c r="Q8" cm="1">
        <f t="array" ref="Q8">_xlfn.PERCENTRANK.EXC(_xlfn._xlws.FILTER(M$4:M$16, ISNUMBER(M$4:M$16)),M8)*100</f>
        <v>28.499999999999996</v>
      </c>
      <c r="R8" cm="1">
        <f t="array" aca="1" ref="R8" ca="1">_xlfn.PERCENTRANK.EXC(_xlfn._xlws.FILTER(P$4:P$16, ISNUMBER(P$4:P$16)),P8)*100</f>
        <v>35.699999999999996</v>
      </c>
      <c r="S8">
        <f ca="1">Q8*Assumption!$E$27 + R8*Assumption!$F$27</f>
        <v>31.379999999999995</v>
      </c>
      <c r="T8" cm="1">
        <f t="array" aca="1" ref="T8" ca="1">_xlfn.PERCENTRANK.EXC(_xlfn._xlws.FILTER(S$4:S$16, ISNUMBER(S$4:S$16)),S8)*100</f>
        <v>14.2</v>
      </c>
    </row>
    <row r="9" spans="1:20" x14ac:dyDescent="0.35">
      <c r="A9" t="s">
        <v>42</v>
      </c>
      <c r="B9" t="s">
        <v>43</v>
      </c>
      <c r="C9" t="s">
        <v>42</v>
      </c>
      <c r="D9" t="s">
        <v>756</v>
      </c>
      <c r="E9">
        <v>53.7</v>
      </c>
      <c r="F9">
        <v>5.3</v>
      </c>
      <c r="G9" t="s">
        <v>114</v>
      </c>
      <c r="H9" s="120" t="s">
        <v>764</v>
      </c>
      <c r="I9" s="121" t="s">
        <v>712</v>
      </c>
      <c r="J9" s="122" t="str" cm="1">
        <f t="array" ref="J9">_xll.FDS(K9,"FG_COMPANY_NAME")</f>
        <v>iShares MSCI Switzerland ETF</v>
      </c>
      <c r="K9" s="122" t="s">
        <v>42</v>
      </c>
      <c r="L9" t="s">
        <v>756</v>
      </c>
      <c r="M9" cm="1">
        <f t="array" ref="M9">IF(_xll.FDSRC(,"DUMMY","ECON_EXPR_DATA('FDS_ECON["&amp;H9&amp;"]',,,M)")=0,$J$20,_xll.FDSRC(,"DUMMY","ECON_EXPR_DATA('FDS_ECON["&amp;H9&amp;"]',,,M)"))</f>
        <v>43.954456</v>
      </c>
      <c r="N9" cm="1">
        <f t="array" aca="1" ref="N9" ca="1">_xll.FDSRC("-","DUMMY","ECON_EXPR_DATA('FDS_ECON["&amp;H9&amp;"]',"&amp;$N$3&amp;",,Q)")</f>
        <v>41.921543</v>
      </c>
      <c r="O9" cm="1">
        <f t="array" aca="1" ref="O9" ca="1">_xll.FDSRC("-","DUMMY","ECON_EXPR_DATA('FDS_ECON["&amp;H9&amp;"]',"&amp;$O$3&amp;",,Q)")</f>
        <v>41.102364000000001</v>
      </c>
      <c r="P9">
        <f t="shared" ca="1" si="0"/>
        <v>0.81917899999999833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78.5</v>
      </c>
      <c r="S9">
        <f ca="1">Q9*Assumption!$E$27 + R9*Assumption!$F$27</f>
        <v>39.92</v>
      </c>
      <c r="T9" cm="1">
        <f t="array" aca="1" ref="T9" ca="1">_xlfn.PERCENTRANK.EXC(_xlfn._xlws.FILTER(S$4:S$16, ISNUMBER(S$4:S$16)),S9)*100</f>
        <v>28.499999999999996</v>
      </c>
    </row>
    <row r="10" spans="1:20" x14ac:dyDescent="0.35">
      <c r="A10" t="s">
        <v>48</v>
      </c>
      <c r="B10" t="s">
        <v>451</v>
      </c>
      <c r="C10" t="s">
        <v>48</v>
      </c>
      <c r="D10" t="s">
        <v>756</v>
      </c>
      <c r="E10">
        <v>54.9</v>
      </c>
      <c r="F10">
        <v>6.4</v>
      </c>
      <c r="G10" t="s">
        <v>119</v>
      </c>
      <c r="H10" s="120" t="s">
        <v>763</v>
      </c>
      <c r="I10" s="121" t="s">
        <v>451</v>
      </c>
      <c r="J10" s="122" t="str" cm="1">
        <f t="array" ref="J10">_xll.FDS(K10,"FG_COMPANY_NAME")</f>
        <v>iShares MSCI United Kingdom ETF</v>
      </c>
      <c r="K10" s="122" t="s">
        <v>48</v>
      </c>
      <c r="L10" t="s">
        <v>756</v>
      </c>
      <c r="M10" cm="1">
        <f t="array" ref="M10">IF(_xll.FDSRC(,"DUMMY","ECON_EXPR_DATA('FDS_ECON["&amp;H10&amp;"]',,,M)")=0,$J$20,_xll.FDSRC(,"DUMMY","ECON_EXPR_DATA('FDS_ECON["&amp;H10&amp;"]',,,M)"))</f>
        <v>47.508816000000003</v>
      </c>
      <c r="N10" cm="1">
        <f t="array" aca="1" ref="N10" ca="1">_xll.FDSRC("-","DUMMY","ECON_EXPR_DATA('FDS_ECON["&amp;H10&amp;"]',"&amp;$N$3&amp;",,Q)")</f>
        <v>46.058700000000002</v>
      </c>
      <c r="O10" cm="1">
        <f t="array" aca="1" ref="O10" ca="1">_xll.FDSRC("-","DUMMY","ECON_EXPR_DATA('FDS_ECON["&amp;H10&amp;"]',"&amp;$O$3&amp;",,Q)")</f>
        <v>44.209952999999999</v>
      </c>
      <c r="P10">
        <f t="shared" ca="1" si="0"/>
        <v>1.848747000000003</v>
      </c>
      <c r="Q10" cm="1">
        <f t="array" ref="Q10">_xlfn.PERCENTRANK.EXC(_xlfn._xlws.FILTER(M$4:M$16, ISNUMBER(M$4:M$16)),M10)*100</f>
        <v>35.699999999999996</v>
      </c>
      <c r="R10" cm="1">
        <f t="array" aca="1" ref="R10" ca="1">_xlfn.PERCENTRANK.EXC(_xlfn._xlws.FILTER(P$4:P$16, ISNUMBER(P$4:P$16)),P10)*100</f>
        <v>85.7</v>
      </c>
      <c r="S10">
        <f ca="1">Q10*Assumption!$E$27 + R10*Assumption!$F$27</f>
        <v>55.7</v>
      </c>
      <c r="T10" cm="1">
        <f t="array" aca="1" ref="T10" ca="1">_xlfn.PERCENTRANK.EXC(_xlfn._xlws.FILTER(S$4:S$16, ISNUMBER(S$4:S$16)),S10)*100</f>
        <v>71.399999999999991</v>
      </c>
    </row>
    <row r="11" spans="1:20" x14ac:dyDescent="0.35">
      <c r="A11" t="s">
        <v>51</v>
      </c>
      <c r="B11" t="s">
        <v>452</v>
      </c>
      <c r="C11" t="s">
        <v>51</v>
      </c>
      <c r="D11" t="s">
        <v>756</v>
      </c>
      <c r="E11">
        <v>53.4</v>
      </c>
      <c r="F11">
        <v>6.5</v>
      </c>
      <c r="G11" t="s">
        <v>123</v>
      </c>
      <c r="H11" s="120" t="s">
        <v>757</v>
      </c>
      <c r="I11" s="121" t="s">
        <v>769</v>
      </c>
      <c r="J11" s="122" t="str" cm="1">
        <f t="array" ref="J11">_xll.FDS(K11,"FG_COMPANY_NAME")</f>
        <v>Invesco QQQ Trust Series I</v>
      </c>
      <c r="K11" s="122" t="s">
        <v>51</v>
      </c>
      <c r="L11" t="s">
        <v>756</v>
      </c>
      <c r="M11" cm="1">
        <f t="array" ref="M11">IF(_xll.FDSRC(,"DUMMY","ECON_EXPR_DATA('FDS_ECON["&amp;H11&amp;"]',,,M)")=0,$J$20,_xll.FDSRC(,"DUMMY","ECON_EXPR_DATA('FDS_ECON["&amp;H11&amp;"]',,,M)"))</f>
        <v>52.195070000000001</v>
      </c>
      <c r="N11" cm="1">
        <f t="array" aca="1" ref="N11" ca="1">_xll.FDSRC("-","DUMMY","ECON_EXPR_DATA('FDS_ECON["&amp;H11&amp;"]',"&amp;$N$3&amp;",,Q)")</f>
        <v>49.098827</v>
      </c>
      <c r="O11" cm="1">
        <f t="array" aca="1" ref="O11" ca="1">_xll.FDSRC("-","DUMMY","ECON_EXPR_DATA('FDS_ECON["&amp;H11&amp;"]',"&amp;$O$3&amp;",,Q)")</f>
        <v>48.914909999999999</v>
      </c>
      <c r="P11">
        <f t="shared" ca="1" si="0"/>
        <v>0.183917000000001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64.2</v>
      </c>
      <c r="S11">
        <f ca="1">Q11*Assumption!$E$27 + R11*Assumption!$F$27</f>
        <v>77.100000000000009</v>
      </c>
      <c r="T11" cm="1">
        <f t="array" aca="1" ref="T11" ca="1">_xlfn.PERCENTRANK.EXC(_xlfn._xlws.FILTER(S$4:S$16, ISNUMBER(S$4:S$16)),S11)*100</f>
        <v>85.7</v>
      </c>
    </row>
    <row r="12" spans="1:20" x14ac:dyDescent="0.35">
      <c r="A12" t="s">
        <v>1</v>
      </c>
      <c r="B12" t="s">
        <v>1</v>
      </c>
      <c r="C12" t="s">
        <v>1</v>
      </c>
      <c r="D12" t="s">
        <v>756</v>
      </c>
      <c r="E12">
        <v>53.4</v>
      </c>
      <c r="F12">
        <v>6.5</v>
      </c>
      <c r="G12" t="s">
        <v>123</v>
      </c>
      <c r="H12" s="120" t="s">
        <v>757</v>
      </c>
      <c r="I12" s="121" t="s">
        <v>769</v>
      </c>
      <c r="J12" s="122" t="str" cm="1">
        <f t="array" ref="J12">_xll.FDS(K12,"FG_COMPANY_NAME")</f>
        <v>SPDR S&amp;P 500 ETF Trust</v>
      </c>
      <c r="K12" s="122" t="s">
        <v>1</v>
      </c>
      <c r="L12" t="s">
        <v>756</v>
      </c>
      <c r="M12" cm="1">
        <f t="array" ref="M12">IF(_xll.FDSRC(,"DUMMY","ECON_EXPR_DATA('FDS_ECON["&amp;H12&amp;"]',,,M)")=0,$J$20,_xll.FDSRC(,"DUMMY","ECON_EXPR_DATA('FDS_ECON["&amp;H12&amp;"]',,,M)"))</f>
        <v>52.195070000000001</v>
      </c>
      <c r="N12" cm="1">
        <f t="array" aca="1" ref="N12" ca="1">_xll.FDSRC("-","DUMMY","ECON_EXPR_DATA('FDS_ECON["&amp;H12&amp;"]',"&amp;$N$3&amp;",,Q)")</f>
        <v>49.098827</v>
      </c>
      <c r="O12" cm="1">
        <f t="array" aca="1" ref="O12" ca="1">_xll.FDSRC("-","DUMMY","ECON_EXPR_DATA('FDS_ECON["&amp;H12&amp;"]',"&amp;$O$3&amp;",,Q)")</f>
        <v>48.914909999999999</v>
      </c>
      <c r="P12">
        <f t="shared" ca="1" si="0"/>
        <v>0.183917000000001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64.2</v>
      </c>
      <c r="S12">
        <f ca="1">Q12*Assumption!$E$27 + R12*Assumption!$F$27</f>
        <v>77.100000000000009</v>
      </c>
      <c r="T12" cm="1">
        <f t="array" aca="1" ref="T12" ca="1">_xlfn.PERCENTRANK.EXC(_xlfn._xlws.FILTER(S$4:S$16, ISNUMBER(S$4:S$16)),S12)*100</f>
        <v>85.7</v>
      </c>
    </row>
    <row r="13" spans="1:20" x14ac:dyDescent="0.35">
      <c r="G13" t="s">
        <v>110</v>
      </c>
      <c r="H13" s="120" t="s">
        <v>890</v>
      </c>
      <c r="I13" t="s">
        <v>627</v>
      </c>
      <c r="J13" s="122" t="str" cm="1">
        <f t="array" ref="J13">_xll.FDS(K13,"FG_COMPANY_NAME")</f>
        <v>iShares MSCI France ETF</v>
      </c>
      <c r="K13" t="s">
        <v>872</v>
      </c>
      <c r="L13" t="s">
        <v>756</v>
      </c>
      <c r="M13" cm="1">
        <f t="array" ref="M13">IF(_xll.FDSRC(,"DUMMY","ECON_EXPR_DATA('FDS_ECON["&amp;H13&amp;"]',,,M)")=0,$J$20,_xll.FDSRC(,"DUMMY","ECON_EXPR_DATA('FDS_ECON["&amp;H13&amp;"]',,,M)"))</f>
        <v>47.113422</v>
      </c>
      <c r="N13" cm="1">
        <f t="array" aca="1" ref="N13" ca="1">_xll.FDSRC("-","DUMMY","ECON_EXPR_DATA('FDS_ECON["&amp;H13&amp;"]',"&amp;$N$3&amp;",,Q)")</f>
        <v>42.573967000000003</v>
      </c>
      <c r="O13" cm="1">
        <f t="array" aca="1" ref="O13" ca="1">_xll.FDSRC("-","DUMMY","ECON_EXPR_DATA('FDS_ECON["&amp;H13&amp;"]',"&amp;$O$3&amp;",,Q)")</f>
        <v>45.097969999999997</v>
      </c>
      <c r="P13">
        <f t="shared" ca="1" si="0"/>
        <v>-2.5240029999999933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7.1</v>
      </c>
      <c r="S13">
        <f ca="1">Q13*Assumption!$E$27 + R13*Assumption!$F$27</f>
        <v>15.679999999999998</v>
      </c>
      <c r="T13" cm="1">
        <f t="array" aca="1" ref="T13" ca="1">_xlfn.PERCENTRANK.EXC(_xlfn._xlws.FILTER(S$4:S$16, ISNUMBER(S$4:S$16)),S13)*100</f>
        <v>7.1</v>
      </c>
    </row>
    <row r="14" spans="1:20" x14ac:dyDescent="0.35">
      <c r="G14" t="s">
        <v>882</v>
      </c>
      <c r="H14" s="120" t="s">
        <v>891</v>
      </c>
      <c r="I14" t="s">
        <v>679</v>
      </c>
      <c r="J14" s="122" t="str" cm="1">
        <f t="array" ref="J14">_xll.FDS(K14,"FG_COMPANY_NAME")</f>
        <v>iShares MSCI Netherlands ETF</v>
      </c>
      <c r="K14" t="s">
        <v>874</v>
      </c>
      <c r="L14" t="s">
        <v>756</v>
      </c>
      <c r="M14" cm="1">
        <f t="array" ref="M14">IF(_xll.FDSRC(,"DUMMY","ECON_EXPR_DATA('FDS_ECON["&amp;H14&amp;"]',,,M)")=0,$J$20,_xll.FDSRC(,"DUMMY","ECON_EXPR_DATA('FDS_ECON["&amp;H14&amp;"]',,,M)"))</f>
        <v>49.333509999999997</v>
      </c>
      <c r="N14" cm="1">
        <f t="array" aca="1" ref="N14" ca="1">_xll.FDSRC("-","DUMMY","ECON_EXPR_DATA('FDS_ECON["&amp;H14&amp;"]',"&amp;$N$3&amp;",,Q)")</f>
        <v>44.495136000000002</v>
      </c>
      <c r="O14" cm="1">
        <f t="array" aca="1" ref="O14" ca="1">_xll.FDSRC("-","DUMMY","ECON_EXPR_DATA('FDS_ECON["&amp;H14&amp;"]',"&amp;$O$3&amp;",,Q)")</f>
        <v>44.945712999999998</v>
      </c>
      <c r="P14">
        <f t="shared" ca="1" si="0"/>
        <v>-0.45057699999999556</v>
      </c>
      <c r="Q14" cm="1">
        <f t="array" ref="Q14">_xlfn.PERCENTRANK.EXC(_xlfn._xlws.FILTER(M$4:M$16, ISNUMBER(M$4:M$16)),M14)*100</f>
        <v>57.099999999999994</v>
      </c>
      <c r="R14" cm="1">
        <f t="array" aca="1" ref="R14" ca="1">_xlfn.PERCENTRANK.EXC(_xlfn._xlws.FILTER(P$4:P$16, ISNUMBER(P$4:P$16)),P14)*100</f>
        <v>50</v>
      </c>
      <c r="S14">
        <f ca="1">Q14*Assumption!$E$27 + R14*Assumption!$F$27</f>
        <v>54.26</v>
      </c>
      <c r="T14" cm="1">
        <f t="array" aca="1" ref="T14" ca="1">_xlfn.PERCENTRANK.EXC(_xlfn._xlws.FILTER(S$4:S$16, ISNUMBER(S$4:S$16)),S14)*100</f>
        <v>64.2</v>
      </c>
    </row>
    <row r="15" spans="1:20" x14ac:dyDescent="0.35">
      <c r="G15" t="s">
        <v>276</v>
      </c>
      <c r="H15" s="120"/>
      <c r="I15" t="s">
        <v>711</v>
      </c>
      <c r="J15" s="122" t="str" cm="1">
        <f t="array" ref="J15">_xll.FDS(K15,"FG_COMPANY_NAME")</f>
        <v>iShares MSCI Sweden ETF</v>
      </c>
      <c r="K15" t="s">
        <v>871</v>
      </c>
      <c r="L15" t="s">
        <v>756</v>
      </c>
      <c r="M15" cm="1">
        <f t="array" ref="M15">IF(_xll.FDSRC(,"DUMMY","ECON_EXPR_DATA('FDS_ECON["&amp;H15&amp;"]',,,M)")=0,$J$20,_xll.FDSRC(,"DUMMY","ECON_EXPR_DATA('FDS_ECON["&amp;H15&amp;"]',,,M)"))</f>
        <v>51.447499999999998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0"/>
        <v>-0.17349399999999804</v>
      </c>
      <c r="Q15" cm="1">
        <f t="array" ref="Q15">_xlfn.PERCENTRANK.EXC(_xlfn._xlws.FILTER(M$4:M$16, ISNUMBER(M$4:M$16)),M15)*100</f>
        <v>71.399999999999991</v>
      </c>
      <c r="R15" cm="1">
        <f t="array" aca="1" ref="R15" ca="1">_xlfn.PERCENTRANK.EXC(_xlfn._xlws.FILTER(P$4:P$16, ISNUMBER(P$4:P$16)),P15)*100</f>
        <v>57.099999999999994</v>
      </c>
      <c r="S15">
        <f ca="1">Q15*Assumption!$E$27 + R15*Assumption!$F$27</f>
        <v>65.679999999999993</v>
      </c>
      <c r="T15" cm="1">
        <f t="array" aca="1" ref="T15" ca="1">_xlfn.PERCENTRANK.EXC(_xlfn._xlws.FILTER(S$4:S$16, ISNUMBER(S$4:S$16)),S15)*100</f>
        <v>78.5</v>
      </c>
    </row>
    <row r="16" spans="1:20" x14ac:dyDescent="0.35">
      <c r="G16" t="s">
        <v>883</v>
      </c>
      <c r="H16" s="120" t="s">
        <v>892</v>
      </c>
      <c r="I16" t="s">
        <v>647</v>
      </c>
      <c r="J16" s="122" t="str" cm="1">
        <f t="array" ref="J16">_xll.FDS(K16,"FG_COMPANY_NAME")</f>
        <v>iShares MSCI Italy ETF</v>
      </c>
      <c r="K16" t="s">
        <v>873</v>
      </c>
      <c r="L16" t="s">
        <v>756</v>
      </c>
      <c r="M16" cm="1">
        <f t="array" ref="M16">IF(_xll.FDSRC(,"DUMMY","ECON_EXPR_DATA('FDS_ECON["&amp;H16&amp;"]',,,M)")=0,$J$20,_xll.FDSRC(,"DUMMY","ECON_EXPR_DATA('FDS_ECON["&amp;H16&amp;"]',,,M)"))</f>
        <v>48.697094</v>
      </c>
      <c r="N16" cm="1">
        <f t="array" aca="1" ref="N16" ca="1">_xll.FDSRC("-","DUMMY","ECON_EXPR_DATA('FDS_ECON["&amp;H16&amp;"]',"&amp;$N$3&amp;",,Q)")</f>
        <v>44.859454999999997</v>
      </c>
      <c r="O16" cm="1">
        <f t="array" aca="1" ref="O16" ca="1">_xll.FDSRC("-","DUMMY","ECON_EXPR_DATA('FDS_ECON["&amp;H16&amp;"]',"&amp;$O$3&amp;",,Q)")</f>
        <v>45.562866</v>
      </c>
      <c r="P16">
        <f t="shared" ca="1" si="0"/>
        <v>-0.70341100000000267</v>
      </c>
      <c r="Q16" cm="1">
        <f t="array" ref="Q16">_xlfn.PERCENTRANK.EXC(_xlfn._xlws.FILTER(M$4:M$16, ISNUMBER(M$4:M$16)),M16)*100</f>
        <v>50</v>
      </c>
      <c r="R16" cm="1">
        <f t="array" aca="1" ref="R16" ca="1">_xlfn.PERCENTRANK.EXC(_xlfn._xlws.FILTER(P$4:P$16, ISNUMBER(P$4:P$16)),P16)*100</f>
        <v>42.8</v>
      </c>
      <c r="S16">
        <f ca="1">Q16*Assumption!$E$27 + R16*Assumption!$F$27</f>
        <v>47.120000000000005</v>
      </c>
      <c r="T16" cm="1">
        <f t="array" aca="1" ref="T16" ca="1">_xlfn.PERCENTRANK.EXC(_xlfn._xlws.FILTER(S$4:S$16, ISNUMBER(S$4:S$16)),S16)*100</f>
        <v>42.8</v>
      </c>
    </row>
    <row r="18" spans="8:13" x14ac:dyDescent="0.35">
      <c r="K18" t="str" cm="1">
        <f t="array" aca="1" ref="K18" ca="1">_xll.FDSRC("-","DUMMY","ECON_DATE("&amp;$L$1&amp;",,, 'MM/YYYY')")</f>
        <v>02/2024</v>
      </c>
      <c r="L18" t="str" cm="1">
        <f t="array" aca="1" ref="L18" ca="1">_xll.FDSRC("-","DUMMY","ECON_DATE("&amp;$L$2&amp;",,, 'MM/YYYY')")</f>
        <v>11/2023</v>
      </c>
      <c r="M18" t="s">
        <v>779</v>
      </c>
    </row>
    <row r="19" spans="8:13" x14ac:dyDescent="0.35">
      <c r="H19" s="120" t="s">
        <v>765</v>
      </c>
      <c r="I19" s="120" t="s">
        <v>766</v>
      </c>
      <c r="J19" cm="1">
        <f t="array" ref="J19">_xll.FDSRC("-","DUMMY","ECON_EXPR_DATA('FDS_ECON["&amp;H19&amp;"]',,,M)")</f>
        <v>49.253857000000004</v>
      </c>
      <c r="K19" cm="1">
        <f t="array" aca="1" ref="K19" ca="1">_xll.FDSRC("-","DUMMY","ECON_EXPR_DATA('FDS_ECON["&amp;H19&amp;"]',"&amp;$K$18&amp;",,Q)")</f>
        <v>47.378044000000003</v>
      </c>
      <c r="L19" cm="1">
        <f t="array" aca="1" ref="L19" ca="1">_xll.FDSRC("-","DUMMY","ECON_EXPR_DATA('FDS_ECON["&amp;H19&amp;"]',"&amp;$L$18&amp;",,Q)")</f>
        <v>47.086407000000001</v>
      </c>
      <c r="M19">
        <f ca="1">K19-L19</f>
        <v>0.29163700000000148</v>
      </c>
    </row>
    <row r="20" spans="8:13" x14ac:dyDescent="0.35">
      <c r="H20" s="120" t="s">
        <v>767</v>
      </c>
      <c r="I20" s="120" t="s">
        <v>768</v>
      </c>
      <c r="J20" cm="1">
        <f t="array" ref="J20">_xll.FDSRC("-","DUMMY","ECON_EXPR_DATA('FDS_ECON["&amp;H20&amp;"]',,,M)")</f>
        <v>51.447499999999998</v>
      </c>
      <c r="K20" cm="1">
        <f t="array" aca="1" ref="K20" ca="1">_xll.FDSRC("-","DUMMY","ECON_EXPR_DATA('FDS_ECON["&amp;H20&amp;"]',"&amp;$K$18&amp;",,Q)")</f>
        <v>50.640650000000001</v>
      </c>
      <c r="L20" cm="1">
        <f t="array" aca="1" ref="L20" ca="1">_xll.FDSRC("-","DUMMY","ECON_EXPR_DATA('FDS_ECON["&amp;H20&amp;"]',"&amp;$L$18&amp;",,Q)")</f>
        <v>50.814143999999999</v>
      </c>
      <c r="M20">
        <f ca="1">K20-L20</f>
        <v>-0.17349399999999804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G10" sqref="G10:G14"/>
    </sheetView>
  </sheetViews>
  <sheetFormatPr defaultRowHeight="14.5" x14ac:dyDescent="0.35"/>
  <cols>
    <col min="1" max="1" width="14.08984375" customWidth="1"/>
    <col min="2" max="2" width="34.36328125" bestFit="1" customWidth="1"/>
    <col min="3" max="3" width="9.6328125" bestFit="1" customWidth="1"/>
    <col min="4" max="4" width="15.36328125" customWidth="1"/>
    <col min="5" max="5" width="17.6328125" customWidth="1"/>
    <col min="6" max="6" width="19.453125" customWidth="1"/>
    <col min="7" max="7" width="18" customWidth="1"/>
  </cols>
  <sheetData>
    <row r="1" spans="1:7" x14ac:dyDescent="0.35">
      <c r="A1" t="s">
        <v>746</v>
      </c>
      <c r="B1" t="s">
        <v>523</v>
      </c>
      <c r="C1" t="s">
        <v>827</v>
      </c>
      <c r="D1" t="s">
        <v>853</v>
      </c>
      <c r="E1" t="s">
        <v>567</v>
      </c>
      <c r="F1" t="s">
        <v>854</v>
      </c>
      <c r="G1" t="s">
        <v>855</v>
      </c>
    </row>
    <row r="2" spans="1:7" x14ac:dyDescent="0.35">
      <c r="A2" t="s">
        <v>202</v>
      </c>
      <c r="B2" t="s">
        <v>450</v>
      </c>
      <c r="C2" t="s">
        <v>435</v>
      </c>
      <c r="D2" s="154" cm="1">
        <f t="array" ref="D2">_xll.FDS(C2,"FREF_MARKET_VALUE_COMPANY(0,,,USD,,0,,""LEGACY"")")</f>
        <v>99.176000000000002</v>
      </c>
      <c r="E2" t="s">
        <v>680</v>
      </c>
      <c r="F2" t="str">
        <f t="shared" ref="F2:F14" si="0">_xlfn.CONCAT("FC0000",RIGHT(A2,2))</f>
        <v>FC0000NZ</v>
      </c>
      <c r="G2" s="153" cm="1">
        <f t="array" ref="G2">_xll.FDSZ(F2,"FMA_MCAP(0,,,USD,""PORTAGG"")")</f>
        <v>91122.240000000005</v>
      </c>
    </row>
    <row r="3" spans="1:7" x14ac:dyDescent="0.35">
      <c r="A3" t="s">
        <v>178</v>
      </c>
      <c r="B3" t="s">
        <v>45</v>
      </c>
      <c r="C3" t="s">
        <v>44</v>
      </c>
      <c r="D3" s="154" cm="1">
        <f t="array" ref="D3">_xll.FDS(C3,"FREF_MARKET_VALUE_COMPANY(0,,,USD,,0,,""LEGACY"")")</f>
        <v>1955.2280000000001</v>
      </c>
      <c r="E3" t="s">
        <v>582</v>
      </c>
      <c r="F3" t="str">
        <f t="shared" si="0"/>
        <v>FC0000AU</v>
      </c>
      <c r="G3" s="153" cm="1">
        <f t="array" ref="G3">_xll.FDSZ(F3,"FMA_MCAP(0,,,USD,""PORTAGG"")")</f>
        <v>1654518.5</v>
      </c>
    </row>
    <row r="4" spans="1:7" x14ac:dyDescent="0.35">
      <c r="A4" t="s">
        <v>161</v>
      </c>
      <c r="B4" t="s">
        <v>50</v>
      </c>
      <c r="C4" t="s">
        <v>49</v>
      </c>
      <c r="D4" s="154" cm="1">
        <f t="array" ref="D4">_xll.FDS(C4,"FREF_MARKET_VALUE_COMPANY(0,,,USD,,0,,""LEGACY"")")</f>
        <v>2809.8180000000002</v>
      </c>
      <c r="E4" t="s">
        <v>604</v>
      </c>
      <c r="F4" t="str">
        <f t="shared" si="0"/>
        <v>FC0000CA</v>
      </c>
      <c r="G4" s="153" cm="1">
        <f t="array" ref="G4">_xll.FDSZ(F4,"FMA_MCAP(0,,,USD,""PORTAGG"")")</f>
        <v>2662035.5</v>
      </c>
    </row>
    <row r="5" spans="1:7" s="1" customFormat="1" x14ac:dyDescent="0.35">
      <c r="A5" s="156" t="s">
        <v>561</v>
      </c>
      <c r="B5" s="156" t="s">
        <v>39</v>
      </c>
      <c r="C5" s="156" t="s">
        <v>11</v>
      </c>
      <c r="D5" s="154" cm="1">
        <f t="array" ref="D5">_xll.FDS(C5,"FREF_MARKET_VALUE_COMPANY(0,,,USD,,0,,""LEGACY"")")</f>
        <v>1014.09</v>
      </c>
      <c r="E5" s="156" t="s">
        <v>631</v>
      </c>
      <c r="F5" s="156" t="str">
        <f t="shared" si="0"/>
        <v>FC0000DE</v>
      </c>
      <c r="G5" s="157" cm="1">
        <f t="array" ref="G5">_xll.FDSZ(F5,"FMA_MCAP(0,,,USD,""PORTAGG"")")</f>
        <v>2313505.2999999998</v>
      </c>
    </row>
    <row r="6" spans="1:7" x14ac:dyDescent="0.35">
      <c r="A6" t="s">
        <v>168</v>
      </c>
      <c r="B6" t="s">
        <v>47</v>
      </c>
      <c r="C6" t="s">
        <v>46</v>
      </c>
      <c r="D6" s="154" cm="1">
        <f t="array" ref="D6">_xll.FDS(C6,"FREF_MARKET_VALUE_COMPANY(0,,,USD,,0,,""LEGACY"")")</f>
        <v>16560.552</v>
      </c>
      <c r="E6" t="s">
        <v>649</v>
      </c>
      <c r="F6" t="str">
        <f t="shared" si="0"/>
        <v>FC0000JP</v>
      </c>
      <c r="G6" s="153" cm="1">
        <f t="array" ref="G6">_xll.FDSZ(F6,"FMA_MCAP(0,,,USD,""PORTAGG"")")</f>
        <v>6661200</v>
      </c>
    </row>
    <row r="7" spans="1:7" x14ac:dyDescent="0.35">
      <c r="A7" t="s">
        <v>280</v>
      </c>
      <c r="B7" t="s">
        <v>43</v>
      </c>
      <c r="C7" t="s">
        <v>42</v>
      </c>
      <c r="D7" s="154" cm="1">
        <f t="array" ref="D7">_xll.FDS(C7,"FREF_MARKET_VALUE_COMPANY(0,,,USD,,0,,""LEGACY"")")</f>
        <v>1201.5562500000001</v>
      </c>
      <c r="E7" t="s">
        <v>712</v>
      </c>
      <c r="F7" t="str">
        <f t="shared" si="0"/>
        <v>FC0000CH</v>
      </c>
      <c r="G7" s="153" cm="1">
        <f t="array" ref="G7">_xll.FDSZ(F7,"FMA_MCAP(0,,,USD,""PORTAGG"")")</f>
        <v>2133620.2999999998</v>
      </c>
    </row>
    <row r="8" spans="1:7" x14ac:dyDescent="0.35">
      <c r="A8" t="s">
        <v>171</v>
      </c>
      <c r="B8" t="s">
        <v>451</v>
      </c>
      <c r="C8" t="s">
        <v>48</v>
      </c>
      <c r="D8" s="154" cm="1">
        <f t="array" ref="D8">_xll.FDS(C8,"FREF_MARKET_VALUE_COMPANY(0,,,USD,,0,,""LEGACY"")")</f>
        <v>2576.37</v>
      </c>
      <c r="E8" t="s">
        <v>725</v>
      </c>
      <c r="F8" t="str">
        <f t="shared" si="0"/>
        <v>FC0000GB</v>
      </c>
      <c r="G8" s="153" cm="1">
        <f t="array" ref="G8">_xll.FDSZ(F8,"FMA_MCAP(0,,,USD,""PORTAGG"")")</f>
        <v>3041917</v>
      </c>
    </row>
    <row r="9" spans="1:7" x14ac:dyDescent="0.35">
      <c r="A9" t="s">
        <v>174</v>
      </c>
      <c r="B9" t="s">
        <v>452</v>
      </c>
      <c r="C9" t="s">
        <v>51</v>
      </c>
      <c r="D9" s="154" cm="1">
        <f t="array" ref="D9">_xll.FDS(C9,"FREF_MARKET_VALUE_COMPANY(0,,,USD,,0,,""LEGACY"")")</f>
        <v>257331.791</v>
      </c>
      <c r="E9" t="s">
        <v>726</v>
      </c>
      <c r="F9" t="str">
        <f t="shared" si="0"/>
        <v>FC0000US</v>
      </c>
      <c r="G9" s="153" cm="1">
        <f t="array" ref="G9">_xll.FDSZ(F9,"FMA_MCAP(0,,,USD,""PORTAGG"")")</f>
        <v>53679290</v>
      </c>
    </row>
    <row r="10" spans="1:7" x14ac:dyDescent="0.35">
      <c r="A10" t="s">
        <v>174</v>
      </c>
      <c r="B10" t="s">
        <v>1</v>
      </c>
      <c r="C10" t="s">
        <v>1</v>
      </c>
      <c r="D10" s="154" cm="1">
        <f t="array" ref="D10">_xll.FDS(C10,"FREF_MARKET_VALUE_COMPANY(0,,,USD,,0,,""LEGACY"")")</f>
        <v>506424.99482999998</v>
      </c>
      <c r="E10" t="s">
        <v>726</v>
      </c>
      <c r="F10" t="str">
        <f t="shared" si="0"/>
        <v>FC0000US</v>
      </c>
      <c r="G10" s="153" cm="1">
        <f t="array" ref="G10">_xll.FDSZ(F10,"FMA_MCAP(0,,,USD,""PORTAGG"")")</f>
        <v>53679290</v>
      </c>
    </row>
    <row r="11" spans="1:7" x14ac:dyDescent="0.35">
      <c r="A11" t="s">
        <v>876</v>
      </c>
      <c r="B11" t="s">
        <v>881</v>
      </c>
      <c r="C11" t="s">
        <v>872</v>
      </c>
      <c r="D11" s="154" cm="1">
        <f t="array" ref="D11">_xll.FDS(C11,"FREF_MARKET_VALUE_COMPANY(0,,,USD,,0,,""LEGACY"")")</f>
        <v>662.06799999999998</v>
      </c>
      <c r="E11" t="s">
        <v>627</v>
      </c>
      <c r="F11" t="str">
        <f t="shared" si="0"/>
        <v>FC0000FR</v>
      </c>
      <c r="G11" s="153" cm="1">
        <f t="array" ref="G11">_xll.FDSZ(F11,"FMA_MCAP(0,,,USD,""PORTAGG"")")</f>
        <v>3375113</v>
      </c>
    </row>
    <row r="12" spans="1:7" x14ac:dyDescent="0.35">
      <c r="A12" t="s">
        <v>877</v>
      </c>
      <c r="B12" t="s">
        <v>879</v>
      </c>
      <c r="C12" t="s">
        <v>874</v>
      </c>
      <c r="D12" s="154" cm="1">
        <f t="array" ref="D12">_xll.FDS(C12,"FREF_MARKET_VALUE_COMPANY(0,,,USD,,0,,""LEGACY"")")</f>
        <v>217.98</v>
      </c>
      <c r="E12" t="s">
        <v>679</v>
      </c>
      <c r="F12" t="str">
        <f t="shared" si="0"/>
        <v>FC0000NL</v>
      </c>
      <c r="G12" s="153" cm="1">
        <f t="array" ref="G12">_xll.FDSZ(F12,"FMA_MCAP(0,,,USD,""PORTAGG"")")</f>
        <v>1122856</v>
      </c>
    </row>
    <row r="13" spans="1:7" x14ac:dyDescent="0.35">
      <c r="A13" t="s">
        <v>277</v>
      </c>
      <c r="B13" t="s">
        <v>880</v>
      </c>
      <c r="C13" t="s">
        <v>871</v>
      </c>
      <c r="D13" s="154" cm="1">
        <f t="array" ref="D13">_xll.FDS(C13,"FREF_MARKET_VALUE_COMPANY(0,,,USD,,0,,""LEGACY"")")</f>
        <v>263.79599999999999</v>
      </c>
      <c r="E13" t="s">
        <v>711</v>
      </c>
      <c r="F13" t="str">
        <f t="shared" si="0"/>
        <v>FC0000SE</v>
      </c>
      <c r="G13" s="153" cm="1">
        <f t="array" ref="G13">_xll.FDSZ(F13,"FMA_MCAP(0,,,USD,""PORTAGG"")")</f>
        <v>1031661.5</v>
      </c>
    </row>
    <row r="14" spans="1:7" x14ac:dyDescent="0.35">
      <c r="A14" t="s">
        <v>875</v>
      </c>
      <c r="B14" t="s">
        <v>878</v>
      </c>
      <c r="C14" t="s">
        <v>873</v>
      </c>
      <c r="D14" s="154" cm="1">
        <f t="array" ref="D14">_xll.FDS(C14,"FREF_MARKET_VALUE_COMPANY(0,,,USD,,0,,""LEGACY"")")</f>
        <v>382.548</v>
      </c>
      <c r="E14" t="s">
        <v>647</v>
      </c>
      <c r="F14" t="str">
        <f t="shared" si="0"/>
        <v>FC0000IT</v>
      </c>
      <c r="G14" s="153" cm="1">
        <f t="array" ref="G14">_xll.FDSZ(F14,"FMA_MCAP(0,,,USD,""PORTAGG"")")</f>
        <v>857228.7</v>
      </c>
    </row>
    <row r="15" spans="1:7" x14ac:dyDescent="0.35">
      <c r="D15" s="154"/>
      <c r="G15" s="153"/>
    </row>
    <row r="17" spans="1:7" x14ac:dyDescent="0.35">
      <c r="A17" s="55" t="s">
        <v>370</v>
      </c>
      <c r="B17" s="55" t="str" cm="1">
        <f t="array" ref="B17">_xll.FDS(C17,"FG_COMPANY_NAME")</f>
        <v>Nasdaq South Africa</v>
      </c>
      <c r="C17" s="55" t="s">
        <v>859</v>
      </c>
      <c r="D17" s="160" cm="1">
        <f t="array" ref="D17">_xll.FDSZ(C17,"FMA_MCAP(0,,,USD,""PORTAGG"")")</f>
        <v>0</v>
      </c>
      <c r="E17" s="55" t="str" cm="1">
        <f t="array" ref="E17">_xll.FDS(A17,"FG_COMPANY_NAME")</f>
        <v>South Africa</v>
      </c>
      <c r="F17" s="55" t="str">
        <f>_xlfn.CONCAT("FC0000",RIGHT(A17,2))</f>
        <v>FC0000ZA</v>
      </c>
      <c r="G17" s="160" cm="1">
        <f t="array" ref="G17">_xll.FDS(F17,"FG_MCAP_IDX(0,,,USD)")</f>
        <v>292423.8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9708366"><![CDATA[{"FC0000US^FMA_MCAP(0,,,USD,\"PORTAGG\")":53679290.0,"FC0000DE^FMA_MCAP(0,,,USD,\"PORTAGG\")":2313505.3,"EWC^FREF_MARKET_VALUE_COMPANY(0,,,USD,,0,,\"LEGACY\")":2809.818,"FC0000CA^FMA_MCAP(0,,,USD,\"PORTAGG\")":2662035.5,"EWA^FREF_MARKET_VALUE_COMPANY(0,,,USD,,0,,\"LEGACY\")":1955.228,"FC0000AU^FMA_MCAP(0,,,USD,\"PORTAGG\")":1654518.5,"ENZL^FREF_MARKET_VALUE_COMPANY(0,,,USD,,0,,\"LEGACY\")":99.176,"FC0000NZ^FMA_MCAP(0,,,USD,\"PORTAGG\")":91122.24,"NQG00809^FG_COMPANY_NAME":"Nasdaq South Africa","CC_ZA^FG_COMPANY_NAME":"South Africa","NQG00809^FMA_MCAP(0,,,USD,\"PORTAGG\")":null,"FC0000ZA^FG_MCAP_IDX(0,,,USD)":292423.8,"EWI^FREF_MARKET_VALUE_COMPANY(0,,,USD,,0,,\"LEGACY\")":382.548,"FC0000IT^FMA_MCAP(0,,,USD,\"PORTAGG\")":857228.7,"EWD^FREF_MARKET_VALUE_COMPANY(0,,,USD,,0,,\"LEGACY\")":263.796,"FC0000SE^FMA_MCAP(0,,,USD,\"PORTAGG\")":1031661.5,"EWN^FREF_MARKET_VALUE_COMPANY(0,,,USD,,0,,\"LEGACY\")":217.98,"FC0000NL^FMA_MCAP(0,,,USD,\"PORTAGG\")":1122856.0,"EWQ^FREF_MARKET_VALUE_COMPANY(0,,,USD,,0,,\"LEGACY\")":662.068,"FC0000FR^FMA_MCAP(0,,,USD,\"PORTAGG\")":3375113.0,"SPY^FREF_MARKET_VALUE_COMPANY(0,,,USD,,0,,\"LEGACY\")":506424.99483,"QQQ^FREF_MARKET_VALUE_COMPANY(0,,,USD,,0,,\"LEGACY\")":257331.791,"EWU^FREF_MARKET_VALUE_COMPANY(0,,,USD,,0,,\"LEGACY\")":2576.37,"FC0000GB^FMA_MCAP(0,,,USD,\"PORTAGG\")":3041917.0,"EWL^FREF_MARKET_VALUE_COMPANY(0,,,USD,,0,,\"LEGACY\")":1201.55625,"FC0000CH^FMA_MCAP(0,,,USD,\"PORTAGG\")":2133620.3,"EWJ^FREF_MARKET_VALUE_COMPANY(0,,,USD,,0,,\"LEGACY\")":16560.552,"FC0000JP^FMA_MCAP(0,,,USD,\"PORTAGG\")":6661200.0,"EWG^FREF_MARKET_VALUE_COMPANY(0,,,USD,,0,,\"LEGACY\")":1014.09,"DUMMY^ECON_EXPR_DATA('FDS_ECON[]',,,M)":null,"DUMMY^ECON_EXPR_DATA('FDS_ECON[NTCPMIMFGSA@FR]',,,M)":47.113422,"DUMMY^ECON_EXPR_DATA('FDS_ECON[NTCPMIMFGSA@GB]',,,M)":47.508816,"DUMMY^ECON_EXPR_DATA('FDS_ECON[NTCPMIMFGSA@JP]',,,M)":47.18277,"DUMMY^ECON_EXPR_DATA('FDS_ECON[NTCPMIMFGSA@CA]',,,M)":49.74032,"DUMMY^ECON_EXPR_DATA('FDS_ECON[NTCPMIMFGSA@NZ]',,,M)":null,"DUMMY^ECON_EXPR_DATA('FDS_ECON[NTCPMIMFGSA@IT]',,,M)":48.697094,"DUMMY^ECON_EXPR_DATA('FDS_ECON[NTCPMIMFGMESA@US]',,,M)":52.19507,"DUMMY^ECON_EXPR_DATA('FDS_ECON[NTCPMIMFGSA@CH]',,,M)":43.954456,"DUMMY^ECON_EXPR_DATA('FDS_ECON[NTCPMIMFGSA@DE]',,,M)":42.52625,"DUMMY^ECON_EXPR_DATA('FDS_ECON[NTCPMIMFGSA@AU]',,,M)":47.823067,"DUMMY^ECON_EXPR_DATA('FDS_ECON[NTCPMIMFGSA@NL]',,,M)":49.33351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8463,11.9070326859664,15.3602779404436,14.6912945348088,15.3680506035552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FR^EE_ACTUAL_ANNUAL(MED,+1)":-1.15,"CAGDPY@AU^EE_ACTUAL_ANNUAL(MED,+1)":0.45,"USDITL^FG_PRICE_CHANGE(0,-3AM)":-0.44184923,"USDANG^FG_PRICE_CHANGE(0,-3AM)":0.0,"USDUSD^FG_PRICE_CHANGE(0,-3AM)":0.0,"USDGBP^FG_PRICE_CHANGE(0,-3AM)":-0.6929934,"USDJPY^FG_PRICE_CHANGE(0,-3AM)":2.3044705,"USDCAD^FG_PRICE_CHANGE(0,-3AM)":0.18097162,"USDNZD^FG_PRICE_CHANGE(0,-3AM)":1.0576367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],"EWD^FMA_DIV_YLD(NTMA,-10AY,0,AM,\"PORTAGG\",\"MEANR\")":[3.99366848184693,3.99126325412964,4.11187226650118,4.06745041293963,4.05135199817431,4.28411717912099,4.18828352234158,4.30738999542707,4.21474888694285,4.11893210669832,4.09745096649795,3.83369990842633,3.67019450583995,3.65937690689615,3.79221376969597,3.84371011100898,4.02620848817658,3.97652155166922,4.40894771797914,4.57136566651824,4.12405639252162,4.21571381315639,4.46743525945826,4.51321686424956,4.27244227416144,4.4026623563381,4.50663765653268,4.44920851553594,4.45984828805178,4.36841610803346,4.18540209469836,4.14187166390452,4.24570555871851,4.03949567137985,3.86540113570329,3.67984413142987,3.63830664450521,3.67771797992242,3.512705744293,3.36604315801769,3.56050769275156,3.68728274697132,3.74100517530846,3.52634257028056,3.51379707662705,3.66500534795097,3.70306250932207,3.81273090284385,3.98582247509225,4.16379633671818,4.03374338245727,4.08937100983267,4.17906637120055,4.09562349798691,4.04511214681699,4.05402475913192,4.30719388408219,4.45884851263367,4.64469829440776,4.31295938189837,4.12962975639641,4.07415965349333,4.02507739456709,4.37295300284587,4.09586167505537,4.1520859183797,4.1616160839249,4.04084789891005,3.6599152565671,3.72833813680238,3.59549070219962,3.54475411397242,3.75168603990891,3.99197054181823,3.43330175363627,2.9398972206795,3.00450382364383,3.02706294831297,3.04613619945323,3.0326695227194,3.17647111945125,3.01397460350416,3.08317272557961,2.96552060657484,2.91072312939165,2.75477930738998,2.87953308925506,2.67614977349376,2.69562978057831,2.70739027822329,2.72957625905381,2.93701221198978,2.98785653728161,3.02557243135518,2.79813712003775,2.94404820817427,3.37343342937531,3.08014196511247,3.38130135888321,3.23859296299805,3.63852905398068,3.45892741637499,3.71263331991204,3.62641555533321,3.71907740326317,3.55931358037428,3.64722752252945,3.42777181425567,3.49742820752947,3.64154665843357,3.71116048296115,3.7123831910178,3.72826452620109,3.86196961308518,3.95449653552831,4.10299250909727,3.85626151468886,3.13804183652875,2.98197891078311,3.3140954838563,3.25106600410122],"EWQ^FMA_PE(NTMA,-10AY,0,AM,\"PORTAGG\",\"MEANR\")":[13.8052599242527,14.0521966377966,14.0176256018427,14.2166335785692,14.1361001037127,13.2935719873864,13.952491944265,13.2381987885324,12.901313762166,13.7884594638176,13.7289565546907,15.6072248759,16.248165188513,16.6037523299544,16.3992254777522,16.024036046838,15.3237084896228,15.8528684045159,13.9508657899878,13.8827690699177,15.2915302025362,14.7690731045913,14.1752873396429,13.7223838276463,14.5520858214009,14.2264950589951,14.1861658824392,14.3182960735214,13.6982287872212,13.7897973489736,14.265122056874,13.9989862682257,13.5104488661513,13.7541373927975,14.646981526403,14.3369487502949,14.5341399191049,14.8322729851316,15.4661036765156,15.2634708736995,14.759932603358,14.7740514540149,14.5510852693452,15.1875610945984,15.4478297837694,15.0703722671518,15.0568383033677,14.883011983911,14.1847968466843,14.1087826330934,14.8102091998853,14.4786724922305,13.9214169739867,14.072271243197,13.6047046408345,13.6150947599762,12.8366828005511,12.5664136855346,11.9068560310163,12.8703089852673,13.5787893918899,13.8759338479745,14.0397728643122,13.3049018503161,14.0809810226379,13.6054903864722,13.8964850770857,13.77232801751,14.6385133237635,14.4872020603202,15.0300559696275,14.8131268241372,13.8748468856443,12.5360041044414,15.8836698494214,18.989131497066,19.2809752577408,19.6356046065242,19.1740616350775,18.0821121688499,17.5416792002974,19.0429811307927,18.0701185273924,17.8270398121279,18.0290262750309,18.3004914058889,17.8015613997234,17.8812166742069,17.4625566406553,16.8221721808954,16.2904181560816,15.4223544461693,15.8610419185483,15.139832931153,16.1030520744488,14.8152666728467,12.5924774116136,13.5609960682267,12.5451346254352,12.4292431743521,11.1853188289709,11.8109593984701,11.1241657096226,10.7614842038368,11.4255476671195,12.1846772308317,12.341981719946,13.4166095173354,13.3424034678087,13.3762972054909,13.3878340064485,13.1336131538586,13.2760080130871,13.045112210231,12.9497600687677,12.2142776291676,12.4413113283708,12.9740181619545,13.2628992281579,13.6461392312577,15.5397035968711],"QQQ^FMA_PE(LTMA,-10AY,0,AM,\"PORTAGG\",\"MEANR\")":[19.2709011630388,18.9604589630434,18.7783283384728,18.9017969696518,19.2148765330994,18.9741970650072,19.4119457064866,19.2525087136177,19.7535616683577,20.4343391103326,20.0691968928018,19.7408344854617,20.7570925544997,20.457636356412,20.3785244931196,20.1955568892353,19.9452813801037,20.3655289650461,19.1647038302447,19.2635539720155,20.5611373358865,20.6064489807126,19.9050710063603,18.2619361991922,18.2516666867713,18.4245100522264,18.2737461252963,18.6126621595739,18.6440457276687,19.412035999545,19.6058006620666,19.9465008074335,19.2478778038632,19.6266462216378,20.5913106388023,21.2572761468263,21.7219698335703,21.6535291099736,21.7836219593518,22.1022740381737,21.5399218389232,22.0850486522561,22.3062549192523,22.363092743029,22.9227416283693,22.8368980831031,24.1540038512161,24.1449957666679,24.0788483340659,23.5554020395594,23.265680097237,23.3427693991118,22.9029684507188,23.1215312910434,23.3721615278027,22.9338697397862,21.1234186000788,20.2852841007646,19.0476001417074,20.5389593871857,20.913814128787,21.1567250705163,21.5142552176524,20.8381362011605,21.8952327009466,21.7403634515916,21.9106671441629,22.129203862312,23.2772751727262,23.9209657662154,25.6234835956995,26.4210891810339,23.9970502388216,23.3643675426848,25.0848085988077,26.6459995769387,27.9753211761512,29.0872429404241,30.6448883050624,30.5399241983619,31.5089148655437,33.909425848717,34.6453741154332,35.1318545992393,32.684540374848,32.6716433388025,31.8645531272531,31.4616990484072,32.0171609181533,31.4594183915121,31.8010792817601,29.8608099612789,32.1992350775981,30.8335051969529,31.7861775357966,27.8003756988071,26.5577278574984,26.9680728952301,26.1860660335728,25.236945724813,24.1734814448847,26.0514745076895,24.488897986318,23.5367120069021,22.3801722673231,24.0273413937452,22.6503939800935,26.2413558925897,25.3131845910093,25.6456716768616,25.5096258270577,26.5757854525081,27.3341887206319,26.555960997089,26.7887987504424,26.0430148466678,26.3727856048661,27.4927757370683,28.1947907343788,30.0130341286181,30.3753914620825],"DDR3512M-FDS^FG_PRICE(0)":0.96913904,"PASP-FDS^FG_PRICE(0)":960.0,"PLATI-FDS^FG_PRICE(0)":894.0,"DUMMY^ECON_EXPR_DATA('FDS_ECON[PMIDMMANHE]',,,M)":49.253857,"EWD^FG_COMPANY_NAME":"iShares MSCI Sweden ETF"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6586334444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CAGDPY@FR^EE_ACTUAL_ANNUAL(MED,0)":-1.23263412565785,"CAGDPY@AU^EE_ACTUAL_ANNUAL(MED,0)":0.8,"USDITL^FG_PRICE_CHANGE(0,-1AM)":-0.56611896,"USDANG^FG_PRICE_CHANGE(0,-1AM)":0.0,"USDUSD^FG_PRICE_CHANGE(0,-1AM)":0.0,"USDGBP^FG_PRICE_CHANGE(0,-1AM)":-0.3228724,"USDJPY^FG_PRICE_CHANGE(0,-1AM)":1.5006304,"USDCAD^FG_PRICE_CHANGE(0,-1AM)":0.8176923,"USDNZD^FG_PRICE_CHANGE(0,-1AM)":-0.39353967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8.36054,7.3538184,0.84222555,-1.6703725,1.9749284,-7.4887395,-0.24346113,-7.8706446,-5.0993385,1.3258934,-5.477089,2.6412249,4.5032144,3.2831788,2.1854281,1.6850233,-2.8431296,2.3364544,-6.5883875,2.4441361,-0.6816685,-0.34316778,-6.467533,-13.146234,1.6156435,-0.5857706,3.1144738,-1.6326487,-7.64913,-0.4621029,6.499529,-5.405402,-0.27650595,2.2643209,12.460661,-1.4598548,0.94650984,3.9951086,7.4480534,3.4294128,0.74261427,7.985747,0.46219826,1.1830449,1.3965487,-1.2171686,2.8014183,5.2965403,-5.0903616,2.5388837,5.199635,-10.826719,-1.7426908,-0.37969947,-4.712409,-0.6181836,-5.7446003,-2.4068356,0.3109932,4.9799204,3.7107944,3.9468765,-0.14194846,-4.584217,8.991135,-5.127299,2.4599314,-1.9643485999999999,9.499073,-2.0332098,2.716422,-0.23736954,-6.016314,-29.150087,4.951501,19.795715,0.8410573,3.9056182,0.0,-4.189515,0.36779642,19.096088,2.2737026,0.8763075,-0.13364553,6.457007,-1.037085,8.320105,-3.4692883,0.030744076,1.7516851,-4.2283354,7.4424505,-7.279128,7.588315,-2.417183,-18.715595,12.151993,-5.3002357,0.4250884,-11.981976,1.9826531,-7.614422,1.6221046,7.8516006,11.839998,1.6126037,7.359767,2.5291204,-0.5517721,1.8603086,-1.3777614,6.3148737,0.5948663,-0.9025872,-7.44347,6.345439,5.392468,2.8558016,0.23845434,6.8093896],"EWN^FMA_DIV_YLD(NTMA,-10AY,0,AM,\"PORTAGG\",\"MEANR\")":[2.68984532508254,2.67126707524373,2.81697348034319,2.81302604363984,2.74809731260379,3.02855808781653,2.92833905600878,3.06632105731315,3.13825561926678,3.01333652251545,3.08146154647867,2.90041212861688,2.71151167153017,2.65446860563694,2.73851380507085,2.86920066045636,2.95031048369196,2.86384022510323,3.48373985946937,3.59274484905921,3.18525859456351,3.24592202388408,3.21759422453154,3.40650652264899,3.30689514791493,3.33420247127681,3.44491716761665,3.15820379646118,3.32961459433652,3.22708402576824,3.06719574638024,3.08425972778601,3.22947777603248,3.17431436302957,2.93909982755878,2.9453471749988,2.81676394391233,2.77519558482281,2.69896207538921,2.69270382525859,2.80029212195414,2.75012306960095,2.86919605885253,2.77129783606755,2.74329851679338,2.84822115568756,2.81954100358298,2.85162940046749,3.01713124475304,3.01601066750348,2.93207103567599,2.87658370110586,2.96667622010222,2.8361045196147,2.9457349883553,3.0626344642723,3.19994166073887,3.22002155234071,3.45552055978227,3.25001712180833,3.10244073755478,3.00838411035306,2.95313298217354,3.15568448964536,2.94241711839443,2.96913777924068,2.92586473374311,2.81032375082343,2.71064626650132,2.67601295810468,2.57692308486884,2.60371339716205,2.78069297740998,3.20485609528927,2.76635889359986,2.38028706088979,2.34370971906715,2.3647043844534,2.35778111888305,2.32667070572977,2.29481037849603,2.05513811281423,1.94684423360957,1.9410179083804,2.09168273222309,1.91768256488738,2.01504220238602,2.00071757628817,2.00869467931465,1.9248875890576,1.83825569482228,2.01206758872996,1.84565483419015,2.00595870227783,1.93435633515663,2.23184375093928,2.49780948125594,2.21128891636716,2.41589059233176,2.56093646803958,3.48420352945728,3.0413857238227,3.79304012738644,2.91948559780481,2.94884022376906,2.63424289569049,2.68045351424372,2.50476080702443,2.62721850533603,2.65280401193152,2.72628355341659,2.68778023644371,2.68438370126344,2.72316917583791,2.88128665314331,3.05688157343528,2.97249284621361,2.78745573827148,2.73303785912013,2.55140048032166,2.45480692606383],"SPY^FMA_PE(NTMA,-10AY,0,AM,\"PORTAGG\",\"MEANR\")":[15.1223130614076,15.0036798254437,14.9807407222394,15.2064681803441,15.5382568404618,14.9505229649943,15.2883371364133,14.9925693310257,15.4304658501201,15.9120558211944,15.96244162404,16.419523643282,16.8445898768855,16.4721081381795,16.7400919944104,16.4352487804838,16.2167847939528,16.3437954395583,14.9541919634132,15.211116793077,16.4782347854965,16.3317084868427,15.7336892964021,15.5099438140132,15.5167363536305,16.5004635460184,16.5226770167304,16.5924966240686,16.5274762929012,16.8656648362178,16.8353987793995,16.4998967636805,15.9314009319239,16.6187304749981,17.0303746810917,17.2007565377716,17.7918478206949,17.4639972744766,17.4587066309205,17.6699845483287,17.4455862424405,17.6558176903749,17.5139583604644,17.8379081913369,17.9873893505642,18.1571857761639,18.3154461217802,17.4567931643708,16.7186294157627,16.3280272953488,16.1223922939324,16.4087371116787,16.0711269701908,16.5791208014203,16.7607783211991,16.671085837805,15.5692950591314,15.3892957579238,14.6350443624539,15.8762635240394,16.252931096535,16.666795849669,16.9075550983813,15.9698054644912,17.0327146443677,16.6709137094355,16.6108563879746,16.6653498832325,17.3870584792154,17.5343593589442,18.1692256178913,18.4801112412569,17.5842314301237,15.4150159230203,19.9958863935943,22.0624665069425,21.8530127352021,22.083740991538,22.3212655882675,21.3957099965413,21.1983118866023,22.1743846008777,22.0441189396131,22.0170374307806,21.0854565012942,22.0538828772336,21.4588626999265,21.304072182828,21.5927825283421,20.9354067848336,21.2531059495434,20.0524149933392,21.4021003573203,20.5352287864636,21.402555966289,19.8383178116775,18.860370175799,19.6328001402032,18.2206266036189,17.2338444172687,15.9841345070002,17.4974891118223,16.5142032973876,16.0088902394908,16.3196021821568,17.5965965003554,16.724071126004,18.2599237848494,17.8026855322931,18.0312335535936,17.6856961162962,18.4629471266517,19.1448500271313,19.0135013077214,18.8904508192918,17.7410244971942,18.0390743809101,18.7079135530477,19.1510285813535,20.168084686601,22.7851734342265],"EWU^FMA_PE(LTMA,-10AY,0,AM,\"PORTAGG\",\"MEANR\")":[14.4228389635333,14.321614372864,14.3893722187413,14.3635178916582,14.4635631367125,14.2229546758657,14.3259661532883,13.6852686540251,13.6571584706565,13.9671384663896,13.6760489520509,14.449291240652,15.1825389702884,15.2601983607484,15.5735600312179,15.6596009526017,15.5181994991463,15.7326327234998,14.7873240569561,15.1081636704652,15.9923393617882,15.7034169706265,15.2846760952477,14.9951856990591,15.5936516191535,15.7601151272067,15.7990387706362,15.9914968248398,16.3512579053777,16.6939965588228,17.1492827394209,17.3296677766435,16.2431460224896,16.3684698356865,17.2807209886432,17.1730593944532,17.3620600606368,17.0764257459439,16.8262086236604,16.8020541321819,16.4550127307998,16.468691944279,16.103619870065,15.8711096344577,15.6243300350307,15.1155493959063,15.5436759678491,15.0783485898368,13.8558218942637,13.8741335923891,14.0284792862355,14.0295664509961,13.7950873312013,13.8587502045571,13.4848025964493,13.5080738665326,12.861120610642,12.5983627836019,12.1286869949997,12.6675236136849,12.9370712059007,13.0051016691814,13.0043341051328,12.8561353529555,13.1767581227365,12.9743126121464,12.9503809435329,12.8429168833659,13.4055846041042,13.3595463540105,14.2075295100932,13.953128788167,12.4128007828323,12.3474595424017,13.562115520447,14.9545205930159,15.3088729985573,15.9048126282025,16.3383134959903,16.8155783266292,16.5322753183077,19.3739861534205,19.8964655402159,19.307606914517,18.7803725495001,18.2153961897661,17.5599835702292,17.0557852121652,16.3401414881837,15.4104004263092,14.7353980638035,13.7824369947295,13.4113483604817,12.4710273516146,12.6066810315757,12.6552817687009,12.4091222468475,12.2767964995758,11.9327334007192,11.6970434956876,11.1000349956988,10.8978553522272,10.2759097984494,9.7195087066351,9.60528218794841,9.9880876774813,9.73551986101331,10.0982656394051,10.2641849383081,10.2866241362122,10.3415245221316,10.3040064909821,10.3638248279089,10.5555070069723,10.5145387085705,10.3397515321361,10.5289697280422,10.8956245942217,11.3242206018346,11.2541048853349,11.4546128295379],"WL-FDS^MAX(FG_PRICE(0,-5AY))":763.4,"USDCAD^FG_PRICE_CHANGE(0,-1AY)":-0.46236515,"EWD^FG_TOTAL_RETURNC(-10AY,0,AM)":[7.100594,-0.027632713,1.6026616,0.7614851,-1.7177105,-3.9830506,-0.5001545,-4.790062,1.3354063,1.7468572,-4.5451283,3.0832887,5.7971,-1.6321838,1.2148142,1.0831356,-4.99568,-0.12622476,-6.5402803,-0.5409062,3.5350084,0.16415119,-6.2426624,-4.3736877,4.2078257,3.3707857,-0.7472873,2.053392,-4.233551,1.0921001,4.213178,0.6565213,-7.6553345,2.0074368,6.0311913,6.2908173,-0.64683557,1.204431,8.427143,2.8181553,0.2646923,1.3537407,1.074338,4.050565,-1.8498123,-4.022503,3.0730963,1.8093109,-6.234127,-1.8953085,0.85862875,-0.030398369,-2.4067163,4.0769696,-0.28204322,0.7228136,-6.583458,-3.2398164,-1.5981436,5.4405093,0.3994584,4.409814,1.6830802,-7.05809,8.819378,-8.381134,-0.5913019,0.17493963,12.713945,-0.8676827,4.1971087,0.0911355,-3.7632823,-24.8502,11.665976,21.04472,-1.7410755,10.206032,2.2720814,-0.59055686,0.93352795,11.715245,1.8605232,3.9206028,1.9102216,6.0215592,1.7237544,7.147515,-2.4225712,3.9549232,-0.4295349,-7.867712,8.69565,-8.882057,9.111727,-9.980851,-18.723398,16.02676,-8.59865,1.1245251,-14.77083,10.412574,-13.4638195,0.65113306,3.7112594,12.5738735,-2.3319483,8.198202,0.055515766,-0.69348216,2.1787763,-3.6085367,-0.14179945,-1.4200509,-4.494375,-3.016591,2.8926969,10.429251,6.6209435,-1.3680518,5.414772],"EWQ^FG_COMPANY_NAME":"iShares MSCI France ETF"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42101240323,12.2539581188642,13.1475852543623,13.221059503291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+1)":-3.0,"CAGDPY@NZ^EE_ACTUAL_ANNUAL(MED,+1)":-6.0,"USDITL^FG_PRICE_CHANGE(0,-1AY)":-2.4485648,"USDANG^FG_PRICE_CHANGE(0,-1AY)":0.0,"USDUSD^FG_PRICE_CHANGE(0,-1AY)":0.0,"USDGBP^FG_PRICE_CHANGE(0,-1AY)":-5.6817713,"USDJPY^FG_PRICE_CHANGE(0,-1AY)":10.382128,"USDNZD^FG_PRICE_CHANGE(0,-1AY)":1.6233444,"EWA^JULIAN(FMA_EPS(NTMA,-20AY,0,CY,,\"PORTAGG\",\"MEANR\").DATES)":[38352,38716,39080,39447,39813,40178,40543,40907,41274,41639,42004,42369,42734,43098,43465,43830,44196,44561,44925,45289],"EWQ^FMA_DIV_YLD(NTMA,-10AY,0,AM,\"PORTAGG\",\"MEANR\")":[3.48800065609681,3.44523871759868,3.4638687105566,3.40314677817427,3.39466547962953,3.62938922033426,3.46051569248756,3.66366166176064,3.78295064988747,3.60053125737797,3.64916230848045,3.29870696276236,3.20322667199082,3.16908348705545,3.23008449182558,3.30427343335816,3.42910900812975,3.28066172513954,3.72022612204557,3.75713712725147,3.40571434891679,3.53260877580856,3.695135933997,3.91501369983541,3.73328352804335,3.80209442053117,3.80500408259515,3.74099399348952,3.87498928857858,3.80651779413734,3.65727704865518,3.69666651328337,3.84206700365282,3.69359323027504,3.4457616683946,3.48467204640201,3.43312872630518,3.36541305820753,3.20302724166321,3.22577455836148,3.35209483649732,3.34982234157062,3.40480123197067,3.2826454472718,3.22881272844645,3.27094020708733,3.26492160740921,3.28798644955116,3.4729556178549,3.48883838829736,3.30371098310647,3.35234841432552,3.4665935651196,3.39473735393995,3.4962465948667,3.49159248697106,3.70183322733909,3.77375068983075,4.00299318562177,3.79359593674381,3.61018153264353,3.53257535132803,3.48983441390455,3.68941293508324,3.48307835259069,3.65992110966625,3.57157631343115,3.6019278658264,3.40103173809881,3.43638194586445,3.32107569158241,3.36530096202138,3.60785633554719,4.48843951621097,3.66501471514003,3.09838449454209,3.08260103573464,3.17507082308698,3.15097130849987,3.27596497862787,3.22445239591409,2.8595569599684,2.92036512563252,2.94182165853113,2.82146261627734,2.7400858139563,2.72473170555019,2.67103769944326,2.69312704439762,2.69385335926535,2.75626790754225,2.88467128624076,2.74709248518717,2.87630629338555,2.68754976064924,2.89182130690571,3.4006010868894,3.06607656432858,3.22448161084733,3.20792621430169,3.53730111911811,3.25712985559851,3.49737002534738,3.59280587025269,3.42276453766615,3.26032581086652,3.24680528095213,3.05813258530929,3.13616809728225,3.16752059112588,3.19796365773109,3.26041297028459,3.24099782952408,3.30760324696775,3.32461220107856,3.49152384700578,3.4541575001755,3.32674504056966,3.268216738011,3.20794258474006,2.95561175250303],"QQQ^FMA_PE(NTMA,-10AY,0,AM,\"PORTAGG\",\"MEANR\")":[17.8273740230405,16.876151636883,16.6762648670382,17.183610319885,17.7656502883482,17.2573475159038,17.7737630113152,17.3233638844064,17.7175569758787,18.1410390740665,17.4085719896589,17.2297081172198,18.086785969898,17.5930702998624,18.015092180585,17.9005573941926,17.6216170239777,18.5221636330891,16.8907951485815,17.1770994663732,18.8384360337357,18.8344373393543,18.0523968620675,16.8456697793383,17.3457942482943,17.9809991003185,17.3258997769089,17.9437090657512,17.7093238287946,18.6756362685822,18.5893421645408,18.5760402500502,17.6296222986152,17.7586649712242,18.3092568721436,19.3094351018213,20.1405453119786,20.1382279659144,20.5772292550812,21.2027524572007,19.8547435220406,20.6417750448389,20.6993067237689,20.396638311608,20.9012350377746,20.5367225394248,21.3495471488768,20.8845307369388,20.6426104833192,19.6810844452275,19.7470859391111,20.5432776215878,19.9944536382941,20.5652717594885,21.0069498863393,20.4826805342542,18.8850673113004,18.379241900894,17.6695794785626,19.197365666601,19.7954741924912,20.7621331575988,21.4494060379668,19.4400249564428,21.2817650292575,20.6348273258007,20.497400113556,20.411648772202,21.4283553041877,21.6870648416359,22.8635334414515,23.6253257870767,22.588088914905,20.1149122658874,25.0830874315563,27.4394430557438,28.8230082344702,29.3028979283188,30.1632566756378,28.7721260874328,29.0528728199217,30.139721885605,29.6007895308391,29.9640015785162,26.8152063811817,28.4157878524009,27.1017183650153,27.025989998426,28.6177148872982,28.1215922684984,28.7401387137877,26.4484614429869,29.6635875816994,28.1983207404912,29.0442260635482,25.8669137255324,24.0416846836349,26.1164305367799,23.582813234798,21.6483583250418,20.0874049897724,23.620647305356,21.4813741815194,20.5998240557849,20.2643594163648,22.2772241849681,20.8280878673638,24.3287716323719,23.5610648811803,24.8688863325334,24.076173416447,26.128499654911,26.8021624240104,24.9009995604284,24.6492510092304,23.224047119706,23.3829055277616,24.025138066748,24.2265332776038,25.9873097032666,26.5729326491097],"EWL^FMA_PE(LTMA,-10AY,0,AM,\"PORTAGG\",\"MEANR\")":[17.1364069991293,17.1060562051019,17.1250613126208,17.2102811360228,17.2597702996767,16.9866198354842,17.5034729356427,17.0624895336422,17.1543581667354,17.6184008630134,17.1892387956023,17.0688150334987,17.9632836391579,18.028330397076,18.0932183027372,18.1015018506456,17.8155523923486,18.2680934792093,17.1691832618721,17.0105680671862,17.7759852895907,17.4902701636845,17.0028712522052,16.7287673022491,16.6344526418168,16.6263275456812,16.7108407562324,17.112112660667,17.2037167975357,17.5735509118325,17.9974801924623,18.1305386362343,17.2419120869675,17.3308447360363,18.4458412392836,18.6143092662367,19.6758440484471,19.4543456328416,19.5332165126259,19.6261880786779,19.4095821352218,19.46967483232,19.1444664384264,19.6280305073099,20.4025119141339,20.4227491025228,20.9618732232536,21.507578164467,21.1100631842414,20.5396245067421,20.2444108893736,19.6679368537386,19.2423074570726,19.2603756519011,18.7058393027404,18.4170696242638,17.9929825099386,17.7453518396777,16.4991314313888,17.5755340496179,18.3394318160253,18.2977965166738,18.2748242009205,18.1028308456078,18.4826916295533,18.2494739557424,18.3374444233711,18.1417193729842,18.8865083487033,18.8692926969172,19.7449365424873,19.9412311884975,18.0642341862183,17.738175680093,18.4045771603644,19.2632789848795,19.6724995941249,20.1321138832561,20.4164662971064,20.7899161628718,20.783602743101,20.9592896478072,22.1028224233987,21.3736762243852,20.4688832394904,20.4554903396587,20.3823073559885,20.7389530193878,20.859253667377,21.020109685097,21.1174303938879,20.0143035944468,20.9752353615898,20.4227766572214,21.6751039689911,19.7278824743864,18.3281041309794,18.6536954456422,18.3624085092782,18.1448349367019,17.5724768220331,18.3547041239477,17.9012740995087,17.3430499620543,18.6915925547177,19.9699113012793,20.8824849260327,20.818452300651,20.6873987258818,20.3796720105717,20.2674700435334,19.6829579091621,19.2185781088984,19.0270390276626,18.8896536197856,18.0787234076674,17.7813788921017,18.038188476555,18.4721283755708,18.5980070051474,19.4309739173937],"WL-FDS^FG_PRICE(0)/MAX(FG_PRICE(0,-1AY))":0.776788053445114,"NI-FDS^FG_PRICE(0)/MAX(FG_PRICE(0,-1AY))":0.688136256851997,"TIOS-FDS^FG_PRICE_CHANGE(0,-1AY)":-7.6595072646873,"FC0000US^FG_PRICE(0)":386.42722,"FC0000GB^FG_PRICE(0)":118.759514,"FC0000CA^FG_PRICE(0)":284.53564,"EWD^FG_PRICE_MAVG(0,,,,30)":38.075333,"QQQ^FG_PRICE_MAVG(0,,,,30)":430.94666,"EWG^FG_PRICE_MAVG(0,,,,30)":29.603333,"EWU^FG_COMPANY_NAME":"iShares MSCI United Kingdom ETF","SPY^FG_COMPANY_NAME":"SPDR S&P 500 ETF Trust"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55871,17.2298191459873,20.6863832700785,20.5985725378041,20.3434939595137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9499,9.791837,10.764477,11.358896],"CAGDPY@US^EE_ACTUAL_ANNUAL(MED,0)":-3.1,"CAGDPY@NZ^EE_ACTUAL_ANNUAL(MED,0)":-7.6,"USDITL^FG_PRICE(0)":1782.3629,"USDANG^FG_PRICE(0)":1.79,"USDUSD^FG_PRICE(0)":1.0,"USDGBP^FG_PRICE(0)":0.7874946,"USDJPY^FG_PRICE(0)":150.495,"USDCAD^FG_PRICE(0)":1.35625,"USDNZD^FG_PRICE(0)":1.6397475,"EWI^P_PRICE_RETURNS_PR('52W',2,-10AY,0,AM)":[39.32881,55.81771,41.68253,34.76175,53.476418,26.17147,26.818525,5.481267,-6.1238647,0.1275301,-9.217387,-6.697893,-10.019177,-12.893075,-12.277985,-9.284555,-13.228625,-4.391372,-10.47247,-0.4489839,4.185164,2.4690032,1.395297,-14.200526,-16.57129,-19.696499,-18.966389,-22.936417,-26.031101,-27.525585,-19.122028,-23.70242,-23.391169,-19.61515,-5.4777265,8.532524,5.9138775,11.443257,16.126871,22.102844,33.198082,44.502686,37.509872,45.804977,46.491074,43.20407,30.90427,41.68725,34.418823,29.672956,26.959455,9.460079,6.759715,-1.3479054,-6.5837326,-8.246696,-15.278572,-15.735883,-17.777222,-18.024467,-10.422718,-9.192699,-13.267631,-7.769382,2.306068,-2.3326337,4.764104,3.3450484,20.05875,20.518387,27.929592,17.27525,6.275916,-27.81877,-23.867815,-4.415083,-9.31806,-3.1424582,-5.4678917,-6.538457,-15.317756,2.946353,2.5026321,3.6468983,10.134411,63.152813,56.04212,41.094337,35.063396,30.02659,33.085884,32.25064,41.57263,11.24661,15.947235,12.1616955,-8.70803,-3.8243115,-7.9673886,-13.688433,-22.247553,-20.681625,-28.350645,-23.583435,-23.29244,-7.941538,-12.614316,-4.617417,13.257933,7.532215,15.663063,11.502159,37.198627,35.33162,44.340862,32.213654,37.17097,22.851658,24.354696,13.907539,20.953156],"EWN^FG_TOTAL_RETURNC(-10AY,0,AM)":[5.9455037,1.3639927,-1.7301083,1.3302088,1.8771529,-7.873404,3.5609484,-4.7330084,0.0849247,5.2609205,-3.7427902,0.9243727,6.3280582,1.4487028,1.42802,1.255703,-2.2060692,3.4603477,-10.747844,-0.04210472,5.560231,-2.0351171,-3.8932085,-0.7675946,1.6330004,3.551793,-0.69416165,3.7006617,-7.0414543,3.1155348,6.420481,-0.94637275,-4.697454,-3.216374,6.3158274,3.3305883,3.5415888,2.9976845,7.873142,3.3206582,-2.1290183,7.20222,-0.90438724,2.4445891,0.63632727,-0.91685057,3.7106276,2.0730257,-4.1830897,0.79089403,0.31386614,-0.40675402,-3.035146,4.21468,-2.7804077,-3.8349032,-3.345722,-1.7482519,-5.311304,7.9682827,3.8824797,3.0976415,3.200519,-4.5253158,6.4683676,-2.8070211,1.6409636,0.16144514,4.287553,0.71098804,4.2016625,-0.50281286,-4.5481563,-22.734356,12.132204,17.361618,2.2644043,4.971385,0.08610487,1.4625788,1.4414907,12.705493,4.1217566,3.9542675,-1.5811145,10.291028,-0.12665987,5.6013465,-2.4406314,4.4196725,6.151104,-9.260291,9.178638,-9.2345295,4.4487476,-8.084429,-16.269493,11.642944,-8.458864,-1.3924003,-9.641087,10.103619,-13.411766,0.12077093,0.46743155,18.267155,-0.42783022,9.823025,-2.428776,1.5557766,-2.0504355,2.694893,2.7551532,-0.09222031,-5.123472,-8.708345,5.2491426,7.0886016,2.2312522,6.7567587,5.7180285],"SPY^FMA_DIV_YLD(NTMA,-10AY,0,AM,\"PORTAGG\",\"MEANR\")":[2.15372065918412,2.17111710463843,2.15691568432852,2.12122842767783,2.07287838127132,2.14124597507789,2.09213857096733,2.13837907315852,2.1157293271773,2.07346328990957,2.10229323424265,2.15496677264422,2.13522159200013,2.18037388974949,2.1441308405287,2.17384316086199,2.19149921343609,2.2034946792876,2.41531906080632,2.38199274009803,2.22650609517358,2.2641211874548,2.35278634248131,2.45182025901469,2.47519773454617,2.29179874134034,2.29270141173246,2.27208474723715,2.27675912156177,2.22069278453994,2.21341278146833,2.24008268571098,2.32384116037786,2.22327630646496,2.15928731863829,2.15382596381122,2.08878190762007,2.12061673233943,2.10670285008389,2.07494532252397,2.10129944099141,2.08220043472711,2.09267262525336,2.04738760963883,2.02482466402925,1.97766788669361,1.92854772449522,1.92807790157411,2.00588531378872,2.05719532124281,2.06639210659848,2.01453535126737,2.05879959204646,1.98851052453935,1.95979248615028,1.96901131289838,2.10136678168294,2.13463124877442,2.29908188709377,2.14757291179803,2.10346520893783,2.06007761212581,2.02383841914468,2.13909420065111,2.01162769265154,2.06527222288341,2.07376501398621,2.07326521084106,2.00438008006279,1.99520521291437,1.93167258024595,1.91164951739893,2.02654271019938,2.51742983242672,2.14222008863301,1.93870554355714,1.91411502535144,1.79970339487916,1.74173338241266,1.78152900019557,1.74115688804745,1.62208323961021,1.60126083660986,1.54787035764092,1.59896473146645,1.50646577000424,1.46696350678992,1.45319438385991,1.42593221304371,1.4286963669732,1.39709799515581,1.47924110718746,1.37371930415087,1.41997314229704,1.34876972215271,1.45574455054108,1.52745698222879,1.43910421886212,1.53843923385629,1.61778691786345,1.75495806578475,1.62471426805953,1.74076258550845,1.8087295803524,1.83328458418493,1.69919760724794,1.80505656755424,1.69153170106217,1.73637928130525,1.72036477191471,1.73832392291671,1.65608094383121,1.59507351737119,1.59905272211324,1.59248821145404,1.70035947326065,1.66926217162396,1.59614951267697,1.57140933050948,1.49287155309226,1.38453031564009],"EWU^FMA_PE(NTMA,-10AY,0,AM,\"PORTAGG\",\"MEANR\")":[13.3879048451949,13.2462677818169,13.6001519615146,13.6100937018736,13.8295425863518,13.4148105526652,13.6038106516154,12.8099544815321,12.9963935824226,13.6789152635189,13.7274018826704,15.3846640106728,15.6543691368025,15.4774161276279,15.9728384666756,15.7411798929428,15.1399987260779,15.3639445839631,13.8779037354283,14.4814131553931,15.5046791699104,15.088114860838,14.8304301394075,15.262644725388,16.0190635420138,16.0702575697847,15.7056058055815,15.774831287018,16.1076551566143,16.0987715731599,16.2733929134538,15.9883278598237,14.3522619546099,14.1545278968975,14.4727634305462,14.3236830243526,14.4688844653649,14.3794981910232,14.3534165237601,14.8416697673004,14.5138786965978,14.8909741982064,14.6286836464253,14.6082211437204,14.5461107053146,14.1862749629472,14.7463424033308,14.145621020314,12.8099255289285,13.192603523636,13.7275503828248,13.6961076997536,13.1907166661787,13.1626874798717,12.5945186291056,12.6032580337546,11.8665666456458,11.7678812089743,11.5835868385297,12.2645564537277,12.4337731467761,12.7530921919556,12.648113795473,12.2178714222664,12.8024057061399,12.3144106681021,12.2317498539917,12.0724415820169,12.8145261214582,12.7884759306998,13.5189396280604,13.3256748785742,12.3464043302818,11.7545987704441,14.5577964264644,16.5052472874318,16.0111734699685,15.4915860201669,14.8264427530483,14.3894354453942,13.6807907956907,15.2025518390619,14.5169040764201,13.8398320638319,14.10661778962,13.431647037593,13.1300775520798,13.1803681263489,12.6943475296701,12.3712007275688,12.2419563162777,11.7776619527926,12.1260170097143,11.7320197099531,12.4070713543889,12.2266360997776,11.1822219456422,11.1939891562853,10.5465951320364,10.4172119471055,9.53875295596883,9.80405474421118,9.22014653941107,8.92090452824406,9.21074653826894,9.93161236465625,9.99167607243254,10.4981612295588,10.5444445177739,10.4446007269048,10.4980841749776,10.3040301855153,10.3552482902038,10.5697624650676,10.371577213373,10.1128989178502,10.2453737443902,10.5474355489927,11.0234643386872,11.0586568213896,11.4247590287301],"EWJ^FMA_PE(LTMA,-10AY,0,AM,\"PORTAGG\",\"MEANR\")":[15.7615597836134,15.5796693322523,15.2812199500938,15.3222103260505,15.3810728766151,15.170494544131,15.1377345144367,15.069695567942,15.7358656321379,16.1705128083748,15.885694894027,15.6108181727555,16.8997025629588,16.846137982127,16.874282906575,17.1444175773998,16.8303581367694,16.8289068810816,15.2574437940338,15.0560339317944,15.7240535231229,16.0308345788856,15.3296470119823,14.2759044732099,13.9379006042755,13.7142439212548,13.6427150737928,14.0461427162594,13.7030448296098,13.8376662261681,14.381164911327,14.2740130702519,14.347881767995,15.8579848447712,16.7273383672959,16.1498012859615,15.9673059796334,15.6747169931823,15.6297819494284,15.7743482115011,15.5137692104781,15.4156211265165,14.9719992262634,15.0895942063543,15.6429949377032,16.0097052154613,16.7749196023938,16.4463583995679,14.4091154825721,14.2276811637025,14.2649089849868,14.1618130030585,13.8338121460953,13.8175423610797,13.5376714590235,13.8677022586385,12.9119129900646,12.7275447401481,11.2917931477768,12.3089033612762,12.7194867487574,12.7457422370866,12.7922780444517,12.5674540425596,12.9714094912651,12.8584561076127,12.8611007221642,13.3349986283198,14.0758523432005,14.8787139469747,15.3089020661004,15.0493900130324,13.9535479450476,13.5911688308657,14.2459514808588,16.0435333314606,16.8997739670232,17.9045275335366,19.1827591958888,19.8984994373596,20.6308280718334,22.4630212974669,23.438364386591,23.4346973337913,21.5984985867663,21.3136894322823,20.6594665688145,20.2703450739014,19.79434050789,18.9888233780414,18.6774614729861,17.7287903314365,17.7591616545139,16.5263883330143,16.3946338706925,15.2522255173373,14.6403461710943,14.6116925315626,14.334825468141,14.2543532999978,13.7562362835689,13.8873632728917,13.6686077879221,13.2875522969825,13.1728814638025,13.3674585326689,12.5921996315016,13.3921599950951,13.6918334760373,13.6890040241088,13.819139565127,14.1522161462409,14.7090818256062,14.5578975443107,14.8741794062796,14.3173366875637,14.8536727885133,15.1415704234524,15.3450379691819,16.4037625286871,17.2800687460852],"WL-FDS^FG_PRICE_CHANGE(0,-1AY)":0.781781101291634,"NI-FDS^FG_PRICE_CHANGE(0,-1AY)":-27.9860684286007,"CPALM-FDS^FG_PRICE_CHANGE(0,-1AY)":-6.97081982399259,"BRENT-FDS^FG_PRICE_CHANGE(0,-1AY)":-1.57056058695404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2987617146125],"TRYMY10Y-FDS^FG_YIELD(-10AY,0,Y,,\"YTM\")":[4.131911,4.345605,4.195897,3.902544,4.235642,3.300551,2.804181,3.573893,4.131847,3.727505],"TRYAU10Y-FDS^FG_YIELD(-10AY,0,Y,,\"YTM\")":[2.81,2.88,2.76,2.63,2.315,1.375,0.972,1.671,4.051,3.955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4.170921,16.902506,16.818226,16.5339,21.768236,6.3534617,5.917549,-3.1404912,-0.8678138,1.4593124,-6.5948305,-0.58133006,-1.7913342,-5.072558,-3.7364483,-3.4291625,-7.0961833,-2.9003441,-8.794773,-4.9015403,-2.656275,-4.1704836,-5.874687,-12.683648,-13.995302,-9.621114,-11.373162,-11.648297,-11.095184,-8.704406,0.40832758,3.0256748,-8.109623,-5.738908,5.832231,19.782507,13.188065,9.8042965,19.954073,21.91596,26.529562,26.857018,23.978651,27.184809,33.935917,27.189754,23.641384,18.54335,13.205481,8.345008,0.7822275,-2.0099223,-4.620737,-1.6008794,-3.3723652,-6.4627113,-11.0989275,-10.247892,-14.315426,-11.259347,-4.9812675,1.1255264,2.4505496,-5.214894,5.6881666,-6.9919467,-7.251346,-7.7558336,11.299383,14.027953,25.684393,14.617753,9.865475,-21.123827,-13.159985,13.097799,2.711296,22.840141,26.378452,27.00975,12.305069,26.56002,23.721958,28.45552,36.028446,89.20971,74.82262,54.751133,53.677845,44.96093,43.636013,30.800283,40.859257,15.61371,23.067225,6.6045284,-14.979535,-6.9562016,-16.397804,-20.30549,-30.431414,-26.801126,-36.70828,-30.501032,-33.687996,-19.806374,-26.665741,-12.105489,4.7614336,-7.1274996,3.8233995,-2.9057205,15.950537,3.5244346,13.63163,10.091257,15.557898,7.1415663,16.962862,4.618156,12.332654],"EWQ^FG_TOTAL_RETURNC(-10AY,0,AM)":[8.068728,1.6591787,1.8361092,0.16694069,-0.11857748,-6.9846687,1.8315077,-7.5899243,-2.3355424,3.7863731,-5.0007286,3.8336039,2.7494192,1.5290499,2.9367447,-0.658375,-3.437686,3.7999153,-9.637653,1.2401819,5.553293,-2.9400408,-4.716933,-3.1066298,2.3830175,1.4811754,1.2927532,2.3466468,-5.5503902,2.359116,4.438746,-1.3485909,-2.526921,-0.59499145,6.5380216,1.5706778,1.5860438,3.3177137,9.406877,3.2458544,-2.1837354,4.1391373,-0.4676044,3.7248373,1.42349,-0.31898022,2.5507927,1.9405246,-3.6843657,0.12750626,4.043305,-1.5605927,-3.2740653,2.985561,-2.3574352,0.26100874,-6.3130436,-3.9597154,-3.318715,6.1255097,4.4971704,2.2704124,1.7892599,-3.6783814,7.2589397,-5.779785,2.193284,-1.0731041,7.1525455,-0.6643474,4.0427566,-1.9018352,-5.4409027,-27.744705,8.787191,18.300379,-0.34888387,2.8735638,2.339387,-4.1282835,1.2099624,18.389584,0.37561655,-1.2191474,2.5888085,3.8438916,4.4927955,6.0302854,-1.822859,2.04885,0.46331882,-4.2018948,7.247925,-5.7107153,7.3325515,-3.2160044,-16.457355,11.713112,-5.270529,1.6572833,-9.757966,6.5426826,-9.756863,-0.13816953,6.2608123,10.937511,1.1557937,8.151388,0.43069124,2.5194287,1.6209126,-2.752763,3.8854837,-0.8851886,-1.6811132,-6.9195805,2.324915,5.329585,2.4472237,0.99424124,4.5854926],"QQQ^FMA_DIV_YLD(NTMA,-10AY,0,AM,\"PORTAGG\",\"MEANR\")":[1.375940969169,1.42203366990281,1.35765022006343,1.31085769127697,1.24295239364795,1.26009035450258,1.21679091316816,1.24654883397084,1.22815233439533,1.19860449424864,1.20789072103969,1.26336058111876,1.21014085450188,1.28225423001148,1.23725505667508,1.24566531612437,1.26122092774196,1.26898564208871,1.39250307387024,1.36720016176551,1.2500149945807,1.2594201906243,1.28751040267954,1.3984289379076,1.37525834454113,1.32570560832186,1.40017082717854,1.34556864664874,1.35862473258535,1.28814138671485,1.28338731892531,1.26517421884498,1.33313270243846,1.31592340023061,1.28306640940629,1.23899425993883,1.21595978537277,1.20686559068748,1.18304033513769,1.14103212413917,1.21065328104709,1.1733588326675,1.16027732463639,1.16023455436958,1.11336772703611,1.12220869816426,1.07132887243851,1.0631498940693,1.07210358135772,1.12858728074745,1.11070277517455,1.05666052867409,1.08105015398593,1.07950353871957,1.05488183500922,1.08265742986666,1.18219257849352,1.21844131815612,1.30354729744351,1.21144853677109,1.1703388748799,1.11521314586928,1.08025528401419,1.1946491609796,1.08864064799322,1.11621918955703,1.11438660086899,1.11610304227057,1.06797775553727,1.08654061774371,1.0411164867807,0.986578331159224,1.03562781397979,1.23145700730043,1.03156441466986,0.943908619191668,0.879624694337777,0.821397782995049,0.786850768282955,0.812639713215828,0.786855619736535,0.741361956033625,0.775334098941024,0.732022435790007,0.803269981864908,0.754172587513757,0.748040551902438,0.739173930389873,0.696209342838354,0.699840125221088,0.67707934468187,0.739660766413022,0.658299003650074,0.690278907072366,0.671727645812504,0.753438942757188,0.811285753970716,0.743208204830712,0.835415605013489,0.908852628367175,0.992342144236491,0.869655966499269,0.962519191385244,1.01424016343692,1.0907144875189,0.987037692848049,1.04194380046685,0.914671698673555,0.942461039726818,0.889252043063212,0.882071549299479,0.791607043449002,0.761387572994137,0.88268287994045,0.874044954162833,0.942568075471403,0.92832005586592,0.893336434269433,0.950690160515164,0.875945757098651,0.861223620576085],"EWL^FMA_PE(NTMA,-10AY,0,AM,\"PORTAGG\",\"MEANR\")":[16.0014798676247,16.0827295839487,16.1890176135056,16.3312494359756,16.2902501563557,15.6444494198816,16.3233933019232,15.6369396707244,15.7499686745611,16.1132691477113,15.6550501907529,16.7774126146497,17.4604084112256,17.7000054458579,17.7629766214139,17.6709799497337,17.041634530551,17.8002882082395,16.2301395906278,16.0054315414928,17.0623573243898,16.8326321726504,16.5045089315243,16.1298041746557,16.5832884320209,16.3183453931268,16.3721829444146,17.0576555536762,16.895370900135,17.1290550773822,17.4419500342325,17.2311139046871,16.0822832120136,16.1562192824815,17.0152818502574,17.2049004017712,17.6434894956563,17.3673328520791,17.9660531629,18.2644958815692,17.8769566416458,17.9831562785605,17.4885502054535,17.9580905644998,17.9836230246756,17.6681605636221,17.8750241144717,17.3427588214935,16.0124396473691,15.7126215540154,16.1413610611255,15.7186109707989,15.6242358668332,16.3074694348589,15.9472185740361,15.9296578655331,15.7177625033584,15.6831125774657,14.7844400374552,15.5676157277344,16.3684196160835,16.7523047309905,16.8970832968054,16.6122526382002,17.3769096483735,16.9283003434567,17.0460625788036,16.7562358891189,17.5006364491964,17.3159466403618,17.9126715110934,18.0730501131879,17.2539239163538,16.0439215372656,17.8995360238307,19.3919641829221,19.5197212042751,19.4673536016794,19.1309374611738,19.0512570908496,18.7378126342856,18.3906129479302,18.9411516777064,18.8034266989157,18.3547780215432,18.814076523045,18.7506297023134,19.6130224461203,19.751334170712,19.8377151239441,19.7512107895055,18.2211928143975,19.4097627127289,18.6773071446453,19.7856136131679,18.0722229904065,17.0992650655098,18.5606498338934,17.4354113924282,16.848724453765,15.7364674893585,16.9290751793585,16.1352721568786,15.441984771414,15.9973445308328,16.9119655449688,16.8370173497963,17.4210693655025,17.1481760416522,17.0963726143083,17.5724704530227,16.7779876862957,16.4135475059141,16.6322527288404,16.6087456617472,15.7902835833192,15.7743932145795,16.3987377982896,16.9225962370184,17.1132112155278,19.1591141359456],"EWG^FMA_PE(LTMA,-10AY,0,AM,\"PORTAGG\",\"MEANR\")":[14.877929508675,14.7775784949163,14.6330415699914,14.6863869111369,14.7021212436149,14.0045679406956,14.3741780433513,13.7374051362458,13.5698955378554,14.4128656326982,14.2318596028789,15.7488294396175,16.4661045406859,16.5142576521012,16.2530129504283,15.8445817965042,15.471700557444,15.5201783458508,14.1915337180314,13.6947369017506,14.5168016929855,14.2539952798487,13.4391708993985,12.4680152645594,12.7186772140856,12.7465334367849,12.7583590087865,12.8653974745486,12.705984699086,13.0409808881388,13.4928239289522,13.7048395117176,13.3256283544746,13.5491630343979,14.915703331865,14.8545220186501,15.0052215600377,14.9546190854403,14.9225134133883,14.8415014924809,14.5588854078196,14.3844621450596,14.1350471384664,14.7434266607106,15.4846925731171,15.380714612053,15.5347598394883,14.7787830038189,14.1641193569388,14.0466151081835,14.2092224463604,14.107956356755,13.9157714629475,14.1001856742959,13.9060439563188,13.8898834325162,13.1625388688089,12.9514167121362,12.2768786939817,12.8443176067473,13.2311540599575,13.2761737802864,13.427236034518,13.1871173560361,13.5682138672204,13.4258317322727,13.639682675254,13.8112607171591,14.9957795340311,15.1701462453498,15.4651787096354,15.3264041990838,14.0643708168197,13.8058123764859,14.8896869073947,16.9735183280288,17.9694938279274,18.8977148289078,19.8788908704134,20.332643214517,19.4196131907557,20.9037215886831,22.0574672671701,21.5115225621764,20.2511777517591,20.0777812245172,19.1916274922274,18.8450824567692,18.3270679384091,17.5127282866019,16.8385122702839,15.6985740723827,15.7226497506559,14.0789510487142,14.3631212304081,13.2834752552484,12.3151823487368,12.4656035369232,12.1852535335843,12.1395736694844,11.3778626798294,11.5256193945889,10.7948767853942,10.4084659110535,10.5726579554231,11.0712193373567,10.9082701398918,11.759315906175,11.3760445136602,11.3793677064243,11.3485968599654,11.2754704877331,11.273303724595,11.2131397350068,11.2536888534903,10.8990254830743,10.9117388915196,11.7001414582429,11.8457155388963,12.0554418597325,12.5233385398671],"WL-FDS^FG_PRICE_CHANGE(0,-6AM)":-18.543956043956,"NI-FDS^FG_PRICE_CHANGE(0,-6AM)":-14.1636141636142,"CPALM-FDS^FG_PRICE_CHANGE(0,-6AM)":2.73657289002558,"BRENT-FDS^FG_PRICE_CHANGE(0,-6AM)":-4.75873544093178,"TIOS-FDS^FG_PRICE_CHANGE(0,-6AM)":-1.0576190879093,"USDSEK^STD(FG_PRICE_CHANGE(0,-3AY,M))":2.97429494344496,"USDCHF^STD(FG_PRICE_CHANGE(0,-3AY,M))":2.55066207178098,"USDUSD^STD(FG_PRICE_CHANGE(0,-3AY,M))":0.0,"USDEUR^STD(FG_PRICE_CHANGE(0,-3AY,M))":2.27878581990319,"USDAUD^STD(FG_PRICE_CHANGE(0,-3AY,M))":3.07648357729992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46997282],"EWN^P_PRICE_RETURNS_PR('52W',2,-10AY,0,AM)":[28.943825,27.92437,22.22736,20.678986,26.24979,4.994118,10.203528,0.2631545,-3.7041426,2.476406,-4.6979666,1.342392,1.7083287,0.709188,5.064702,4.9874544,1.3664007,13.177835,-2.459693,2.34313,7.941985,0.4601121,0.30311346,-1.3784349,-5.7332096,-3.7789881,-5.7922306,-4.4510484,-9.170872,-8.593673,7.4507833,8.003056,-2.4919987,-3.5498977,6.565237,11.445177,13.771713,12.445175,22.146046,22.377777,28.12965,33.207703,25.774944,28.285385,34.78948,38.68369,35.28533,34.76502,25.550604,21.0191,12.538612,8.478653,7.474327,4.682076,2.5012612,-3.7817001,-7.9382124,-8.364355,-16.335875,-11.503821,-4.0544987,-1.8586397,1.6332984,-3.2098114,6.2765837,-0.85271,3.623569,7.9298854,16.453648,19.36847,34.875416,21.054459,11.23023,-16.571337,-9.424866,11.338878,7.836938,15.501261,13.734388,17.484247,12.067628,25.414694,25.318527,30.932283,35.00221,92.31813,71.63815,54.43909,47.33356,46.559216,54.730392,39.01297,49.615776,21.602844,20.868946,6.8714023,-9.078466,-7.963973,-15.642333,-20.368444,-26.87679,-23.07158,-37.342323,-30.761444,-36.28589,-18.317812,-20.856768,-4.7567725,4.335642,0.23733377,7.254553,9.672952,27.024292,15.261555,25.123346,15.157234,27.185404,9.235466,12.152613,7.292402,18.12414],"SPY^FG_TOTAL_RETURNC(-10AY,0,AM)":[6.953275,-0.18899441,0.8905649,2.7278543,3.0837417,-2.1745682,3.259635,-1.3837814,2.3152828,3.2774687,-0.53023696,-0.6668925,3.023672,-1.3708234,2.366364,-0.5635083,-0.8595884,0.99850893,-8.018917,1.7867327,7.8769207,-0.35178065,-3.5221934,-4.6857176,4.6085477,3.4322262,-0.6012142,2.5706053,0.35048723,3.0911088,0.9058237,-1.1912405,-2.8554082,5.336845,3.7500143,1.2181163,3.9591908,-0.80263615,1.392901,2.2658706,-0.31903386,2.1468997,0.17379522,2.6526093,2.0895958,2.201593,3.3494234,1.4137983,-2.3125887,-1.6596377,0.933373,3.3380985,-1.0121644,4.688084,2.1896958,0.32471418,-6.0634317,-0.60319304,-6.051755,7.753873,2.7356982,3.2350898,2.3852706,-4.5913696,7.0313454,-2.0682693,0.48527718,0.56978464,4.4232965,1.3306379,4.0224195,2.062595,-4.923117,-20.183247,14.255214,9.800041,0.7233262,5.7105303,3.7902236,-2.1536767,2.9055834,7.6584935,0.14014244,4.718125,-2.4573386,6.696129,3.7467837,1.6794205,2.9716492,1.2127638,3.211987,-5.088091,8.92824,-2.889204,5.696547,-6.0412464,-3.6839783,6.0239553,-6.072676,-4.316407,-6.736702,8.637608,-5.294931,-3.2390893,-0.42860508,8.120096,-5.250871,7.4499726,-1.978904,1.4988899,-0.86622834,5.6253552,4.09528,0.6804943,0.98028183,-5.5439234,2.3618937,5.061078,2.7344108,5.7931066,3.6310315],"EWU^FMA_DIV_YLD(NTMA,-10AY,0,AM,\"PORTAGG\",\"MEANR\")":[3.82148258982574,3.90077181712625,3.819658860763,3.85749807500437,3.80061627739297,3.94260197358662,3.86572502422569,4.13435088218619,4.15355496762398,4.05245671817782,4.17006326625388,3.99893939948763,3.90998484833266,4.0204209325582,3.92039493495095,3.98969611277483,4.14420467296905,4.10175004844712,4.57520747761562,4.42968318466133,4.18908634474801,4.28635507854789,4.41464729620799,4.52779959067797,4.3451297176959,4.36717341094044,4.38409084760517,4.29394929485512,4.18327853364226,4.13391166742302,4.0356491162387,4.09277718252304,4.47265640204697,4.43792867253151,4.25376568923103,4.29250413560299,4.28452968118164,4.34618311197861,4.3640763639265,4.22036612470311,4.32356898553152,4.22797446184224,4.31442701168876,4.27151857857211,4.28615202258082,4.38672582669859,4.1881788415494,4.2797272394745,4.72587456316156,4.57461271827341,4.35461890472312,4.30985817033822,4.43552806190112,4.42349679681116,4.59321053842405,4.57233674344269,4.85250651158737,4.96104958244948,5.25680202750783,5.03469624008848,4.96630991752441,4.82567439292089,4.85246839573992,4.91482807960819,4.69962676327542,4.95575843656519,4.99293477458189,5.05931907495121,4.7724929510349,4.8193758926881,4.55360358543114,4.6823403143571,5.14502978546598,6.38007018563759,4.836052495283,3.95289395542081,4.08392480355766,4.00030602573784,4.18449642725712,4.23416743952931,4.37432164492106,3.84858808246676,3.9001017601378,4.06154833504394,3.96711984776389,4.04903206083814,3.98548356842936,3.88651397325149,3.99409262579473,4.1323998057081,4.16450288818054,4.21209675981142,4.05006875327363,4.10772782546683,3.83605265456243,3.83763462893458,4.18269312612693,3.97153726089232,4.10815404555977,4.06982315491196,4.32321531067159,4.18959639611317,4.43846751558151,4.52851526739591,4.44385866981687,4.21216748233736,4.22842057180156,4.09465231371573,4.12584156741685,4.20269967839824,4.24838601694528,4.35294126696343,4.38194774822776,4.38686255269952,4.47431798630873,4.60593921415223,4.56371042774103,4.42303827012522,4.26815275829855,4.29795264424164,4.08430426912935],"EWG^FG_COMPANY_NAME":"iShares MSCI Germany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32463877154],"TRYMX10Y-FDS^FG_YIELD(-10AY,0,Y,,\"YTM\")":[5.8237,6.2537,7.5651,7.6401,8.7069,6.8373,5.552,7.558,9.0223,8.95],"TRYPE10Y-FDS^FG_YIELD(-10AY,0,Y,,\"YTM\")":[5.681629,7.426917,6.415413,5.167133,5.645114,4.243226,3.535983,5.889906,7.923381,6.6087],"EWC^FG_COMPANY_NAME":"iShares MSCI Canada ETF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851129323613],"TRYIN10Y-FDS^FG_YIELD(-10AY,0,Y,,\"YTM\")":[7.86,7.89,6.63,7.4903,7.35,6.55,5.9,6.4688,7.3388,7.2],"TRYGR10Y-FDS^FG_YIELD(-10AY,0,Y,,\"YTM\")":[9.61,8.24,7.15,4.14,4.37,1.45,0.618,1.315,4.585,3.099],"CAGDPY@GB^EE_ACTUAL_ANNUAL(MED,+1)":-3.15,"CC_GB^FG_COMPANY_NAME":"United Kingdom","USDSEK^STD(FG_PRICE_CHANGE(0,-1AY,AM))":2.70633316263621,"USDCHF^STD(FG_PRICE_CHANGE(0,-1AY,AM))":2.56205710853396,"USDUSD^STD(FG_PRICE_CHANGE(0,-1AY,AM))":0.0,"USDEUR^STD(FG_PRICE_CHANGE(0,-1AY,AM))":2.04597175672263,"USDAUD^STD(FG_PRICE_CHANGE(0,-1AY,AM))":1.97436131947902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470961,2.21381527836792,2.4898156587914,2.56419575016557,2.5100925842499],"EWQ^P_PRICE_RETURNS_PR('52W',2,-10AY,0,AM)":[26.487434,29.35574,25.71131,23.059332,29.733551,8.09238,12.995148,-2.1363854,-7.5140533,-1.3891876,-9.054065,-2.0400107,-6.861758,-7.0757685,-5.97564,-6.750351,-9.478974,0.60340166,-10.727442,-2.8776407,5.702877,-1.147747,-0.8524418,-7.479465,-7.8093886,-7.8528643,-9.324545,-8.10424,-9.083867,-9.89393,1.7862082,1.479578,-6.288785,-3.5247684,7.3120832,12.883604,12.234127,13.636648,22.73959,24.418545,28.231466,30.461407,26.241386,30.726696,34.48168,36.40249,31.297577,32.40565,27.122175,21.08115,15.145254,9.784842,8.5611105,7.935357,5.320132,1.8030286,-6.3210306,-9.397066,-14.582729,-11.076069,-3.522426,-1.4576316,-3.7103534,-5.666566,4.6059012,-4.175252,0.16294718,-1.1698604,13.034964,16.91345,29.214525,16.298723,5.2382827,-25.598568,-20.536226,-2.4041057,-8.499283,-0.9989321,-0.85739493,-2.1952093,-9.24778,8.159744,4.347503,5.0736666,13.9962435,61.32288,57.365833,41.043877,38.95763,37.843643,35.594296,35.212837,43.279312,15.138161,22.021294,19.554626,-2.6413262,4.7364473,-5.049634,-8.334457,-16.32346,-12.638676,-22.38112,-18.197144,-18.950064,-5.1412106,-10.12724,0.6918669,14.388884,10.794163,18.854273,12.324774,30.88789,21.762753,31.38839,23.65054,25.699211,13.051486,14.494777,6.203139,11.341023],"QQQ^FG_TOTAL_RETURNC(-10AY,0,AM)":[7.38976,-4.669118,1.2967467,4.606235,4.848087,-0.39707422,4.2698264,-0.9925604,3.2494664,3.9561987,-1.9439161,-0.06800294,5.4243207,-2.8489947,3.9098144,0.3021121,-1.2416303,3.186667,-8.286196,2.0621657,10.58551,0.10433197,-4.601961,-7.1689487,3.9547443,4.3488383,-4.4478774,4.7691464,-1.5346825,7.0225716,1.2535691,1.3205051,-3.987497,1.8037796,4.1890144,4.567766,4.2488933,1.3477683,3.4186125,4.68477,-4.8075795,5.477631,1.635921,0.2400279,4.9578905,-0.36536455,5.1947355,2.6823044,0.83835125,-3.6060214,3.2114625,5.7196617,-1.7979622,5.4332495,3.2041311,-1.6911209,-7.1279764,-2.1608233,-5.4502068,8.513093,2.8844476,5.517578,4.028082,-8.476793,9.692311,-2.136439,0.52307844,0.4570365,5.979562,1.1644125,6.033075,6.20507,-4.066473,-15.791339,17.369259,9.204531,7.4856997,7.2128177,4.882014,-3.1285226,4.5933485,6.4863443,1.4244795,6.766677,-7.915449,6.8635464,1.7161131,1.6538382,6.988442,2.4258256,3.8738012,-7.482481,12.931765,-3.7893593,3.615427,-9.700608,-5.784762,9.622741,-10.750061,-7.099515,-7.687998,14.9824505,-9.010476,-4.2474985,-6.1850967,10.529697,-8.94354,15.217888,-2.1229327,6.634569,-0.9088874,12.17066,4.5534015,0.47260523,1.4917731,-4.587036,2.2126436,5.061054,2.8357506,8.25932,3.498745],"EWL^FMA_DIV_YLD(NTMA,-10AY,0,AM,\"PORTAGG\",\"MEANR\")":[3.19573279031993,3.19572123841158,3.19941486500802,3.2162066224983,3.27782530149552,3.43736141420564,3.26249795499245,3.39975935487568,3.36082915990139,3.23825157535935,3.31217177074199,3.2918169317798,3.17900037170843,3.13109479757595,3.09711685790773,3.12051496896827,3.23806260266242,3.09443255101963,3.39346671177993,3.43939997398871,3.2441379162591,3.28451161991089,3.34225149233076,3.51354674088293,3.48595322964661,3.57207045754521,3.58214448087616,3.47111952779416,3.5203014955333,3.51180091645715,3.42822070948567,3.46932621259989,3.71827232610039,3.71630699819162,3.51228643851784,3.44727006785641,3.34966278776583,3.42314894457319,3.32117754356481,3.26916377488315,3.26305177639174,3.23855101744722,3.31966903233124,3.2319141752183,3.22632650051147,3.23359095534239,3.17900439832344,3.23399277619482,3.52843856823392,3.57282311344333,3.471129052571,3.54595543988521,3.55226520638505,3.37459045442245,3.42509276169003,3.44208170336103,3.50453699075546,3.50676905467239,3.636441554693,3.46538605148667,3.34341838671519,3.29634248551682,3.26136714678486,3.3148319930864,3.17912848944572,3.25367930914858,3.21701929673944,3.27933245349102,3.12204452727722,3.13528360812671,3.02261710479137,2.99210895299057,3.14814554220313,3.53310306749487,3.3777186414414,3.08730933611866,3.04301857241544,2.96687242714275,2.9828708778369,2.95441049049601,2.94633738698622,2.92200975373758,2.8078468389217,2.81970230852534,2.88971322424031,2.7935006971028,2.79526396273171,2.67233855706077,2.63100633268272,2.57991988242635,2.57558710680237,2.77835028702106,2.57713944366403,2.67077607471837,2.52804890555209,2.77485801484989,2.96721915724644,2.74864770252585,2.91146949328081,2.97445030051647,3.1965228343549,3.05614856348982,3.19651035851543,3.32284461872628,3.28862045797891,3.08467540089239,3.11095957628547,3.02739493184441,3.13397406883025,3.17036582606292,3.06556095825257,3.12627979885354,3.18555114093357,3.2027226644569,3.24519618034505,3.4195311978305,3.46257959576952,3.35570980213868,3.27032077187097,3.31201043509744,3.14415904303386],"EWG^FMA_PE(NTMA,-10AY,0,AM,\"PORTAGG\",\"MEANR\")":[13.1975915295114,13.2413961484875,13.0187563084919,13.3042799490309,13.3314700479341,12.2512251442898,12.8815938738595,12.1334345673536,12.101190478682,12.9784780253541,12.7825272234926,14.2377605787583,14.810235578269,15.401928977175,14.7151395759407,13.9827588432228,13.5190984789168,13.9089478768916,12.1909707472067,11.7567898125376,13.4401656904912,13.4161150303784,12.7697353207234,11.8890557245468,12.5663689423759,12.5463292772496,12.401739073545,12.5002303711458,12.0769572673331,12.590894229682,13.0598123735016,13.0103594007285,12.4291032450206,12.6282640722403,13.7314763481099,13.6655992190853,13.9620892654792,14.0249595864931,14.045779537743,13.929161446858,13.4368981466052,13.2515016007289,13.0136614052677,13.7876379682505,14.2955132092919,13.9253981602684,13.9911735223173,13.4818469676368,12.601035925087,12.6242031190502,13.3662469696264,13.209537663508,12.7784281918763,13.0651007580992,12.6765171973692,12.6362335473084,11.8116826163144,11.6322565141869,11.1728077094826,11.7270152049537,12.232740516931,12.6070055297435,13.0365111748838,12.3318167274905,12.9923530179425,12.5713738736076,12.6986006824782,12.6712000276239,13.8267810209526,13.9969288593227,14.1093670463904,14.1141569148674,12.919097108791,11.8796957350468,14.6090337711871,17.9922801294651,18.1529602694738,17.7619537747632,17.4459240305987,16.7635121324661,15.3608367393602,16.020263008207,16.0453152241385,15.8699070910335,15.5363241990428,16.2350761603233,14.7992419570136,15.0243898816647,14.7441992827428,14.3549178194486,14.1712702010605,13.3514167342625,13.9447910877576,12.8624432491174,13.6012592582598,12.6296505986975,10.6510278899585,11.7069187401926,10.955653702074,11.0353529815604,9.7040564377485,10.408843997469,9.72516268418167,9.403421722456,10.0330089952636,10.8692756991826,10.9618174906824,11.7707473031541,11.6753014994328,11.3763071093856,11.121368268906,10.8628061218602,10.7944403863895,10.6652363383554,10.6456785236529,10.1314261612947,10.1543236777341,11.0589471980188,11.0643972329554,11.532266769186,12.4635893194836],"EWA^FMA_PE(LTMA,-10AY,0,AM,\"PORTAGG\",\"MEANR\")":[15.3246156768242,15.294188005753,15.2316930508121,15.1288926344598,15.2291980254451,15.3878410811146,15.4910241359794,14.7038804114428,15.2981878829492,14.6237053007784,14.8442549418679,15.7133709573477,16.2069644305237,16.2644675273386,16.3503942993752,15.9186154793625,16.0606296735918,16.2098313362095,15.0967343099177,15.12316260996,15.6471240042565,15.5206311202538,15.9365299791085,15.2788830878205,15.0670649567759,15.0971914368699,15.5431425345065,15.7232898649166,15.7835404267062,16.3289112045486,16.3823856602455,16.8355205006416,16.4497033585976,17.0762607591871,17.9408769730061,17.4936874239121,17.502128523886,17.3523722157325,17.2187550700021,16.9218107992119,16.7188263193845,16.7726012076477,16.621429923767,16.2813124381971,16.7574925946574,16.6197478273123,16.8120552642681,16.9208824259969,16.5093584074697,16.263254373172,16.3189205214321,16.1729502161788,16.2822757692091,16.2757098476572,16.2725413133912,15.9215921867009,15.3092180816754,14.9693648605516,14.6043015986726,15.3136873266965,15.9249658654693,15.884850484402,15.8676886818646,15.8757552666789,16.321577945621,16.4440725633018,16.3845871089203,16.5624234257992,17.3242851775187,17.2674378259464,17.8281025477692,18.2955494232032,16.905160296356,16.3629183863297,17.1507159323664,18.5355421378509,18.6698985511773,19.1666102091716,19.4760473060604,19.0311669054241,20.036351622814,22.732353364669,23.2673194440571,22.8185401629995,21.777351709278,21.3012038672565,20.9978108534606,20.7909363987482,19.8750088460077,19.3326600132356,19.1294168598438,18.4512431976666,22.5574507257018,17.5754168615788,18.093680554187,16.0393361768342,15.704104198327,15.7811301819717,15.342430660064,15.0184661914859,13.9861244999995,14.4611487327522,14.130471376196,13.5754002565179,13.5207993888735,14.4123445577826,13.9057949481175,14.9855807887684,14.2712508232755,14.2847651333206,14.2765913754311,14.3006014082232,14.6558819543819,14.978178529504,15.1076587386803,14.4201193452215,14.8805678458168,15.3458330215684,16.2812780263075,16.6427168933941,16.6107201547759],"WL-FDS^FG_PRICE_CHANGE(0,-1AM)":-10.2467080369305,"NI-FDS^FG_PRICE_CHANGE(0,-1AM)":8.99224806201551,"CPALM-FDS^FG_PRICE_CHANGE(0,-1AM)":6.04540654699051,"BRENT-FDS^FG_PRICE_CHANGE(0,-1AM)":0.0,"TIOS-FDS^FG_PRICE_CHANGE(0,-1AM)":-9.08808209593407,"FC0000CH^FG_PRICE(0)":323.625,"FC0000AU^FG_PRICE(0)":353.35425,"EWN^FG_PRICE_MAVG(0,,,,60)":45.166866,"EWU^FG_PRICE_MAVG(0,,,,60)":32.622334,"EWC^FG_PRICE_MAVG(0,,,,60)":36.249,"SPY^FG_TOTAL_RETURNC(0,-3AM)":12.632334,"VGK^FG_TOTAL_RETURNC(0,-3AM)":6.92575,"EWQ^FG_TOTAL_RETURNC(0,-3AM)":8.210194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84306888,7.43859940178972,9.2207657607753,9.22544562724396,9.28649544454112],"TRYQA10Y-FDS^FG_YIELD(-10AY,0,Y,,\"YTM\")":[null,null,null,null,null,null,null,null,null,null],"TRYCH10Y-FDS^FG_YIELD(-10AY,0,Y,,\"YTM\")":[0.314,null,-0.12,-0.09,-0.176,-0.434,-0.49,-0.111,1.617,0.703],"CAGDPY@GB^EE_ACTUAL_ANNUAL(MED,0)":-3.1,"CC_CH^FG_COMPANY_NAME":"Switzerland","USDSEK^FG_PRICE_CHANGE(0,-6AM)":-6.0696125,"USDCHF^FG_PRICE_CHANGE(0,-6AM)":-0.02259612,"USDUSD^FG_PRICE_CHANGE(0,-6AM)":0.0,"USDEUR^FG_PRICE_CHANGE(0,-6AM)":-0.7180035,"USDAUD^FG_PRICE_CHANGE(0,-6AM)":-0.9433985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463317178549],"SPY^P_PRICE_RETURNS_PR('52W',2,-10AY,0,AM)":[25.141453,22.005713,20.094883,20.497072,25.307869,15.648901,23.165108,19.51909,15.917134,17.784632,14.498711,18.621492,14.263177,11.4277,14.561844,10.891318,7.173836,10.108625,-1.918006,2.3498535,6.7382574,2.9873967,-0.11036396,-4.1517076,-2.6772082,2.0622253,-0.8965492,1.3632178,3.380084,5.618739,14.194632,12.476826,1.2868762,7.6292157,15.13958,22.463142,21.910799,16.537262,18.875206,18.167995,17.731262,16.652966,16.328764,20.311785,26.296795,22.672832,22.199177,23.279358,15.121424,14.0550375,13.538122,14.728535,13.93075,16.97786,19.114887,16.413652,7.474339,4.177046,-5.299425,0.62094927,5.8208466,11.087906,14.144754,4.0391207,12.493086,5.683923,3.4778237,3.730595,15.31068,17.554129,34.519398,23.284912,14.094173,-11.553431,-1.5606523,13.287914,7.4635267,15.079379,18.864323,18.170643,13.964617,21.081425,16.562485,19.5953,22.69696,65.37613,48.93165,37.916924,40.99548,34.996426,33.148266,30.218351,37.839508,25.406324,31.233728,17.749989,16.26923,15.536749,4.601383,-0.6664932,-10.165781,-4.307085,-12.215585,-10.4837,-18.17308,-9.689199,-18.33244,-6.166917,-5.724949,-9.009319,-3.965646,4.272735,18.325293,9.658611,15.691757,14.139533,19.02715,14.018464,23.627722,20.427608,28.68774],"EWU^FG_TOTAL_RETURNC(-10AY,0,AM)":[7.676661,-2.8328657,4.9562693,0.18517971,3.2214642,-4.321277,0.14727116,-7.3529425,-0.63491464,1.4376879,-4.396248,3.471434,2.0562887,-3.3934295,5.762899,-1.2454569,-1.6553998,0.70729256,-11.669368,3.302741,4.4997096,-3.6260605,-4.779011,-4.471034,2.6367784,0.064229965,1.4120698,2.974689,-3.200543,1.301229,4.0462494,-1.9753098,-7.2418156,3.0210495,3.9235473,1.2536168,1.6825318,1.1551738,2.7160406,4.567313,-2.075845,3.1503081,-1.1343777,2.6184201,-0.08601546,-0.08608103,6.015444,0.110411644,-5.238491,1.9202828,2.9688835,0.49903393,-2.6203156,0.02900362,-3.3343017,1.2297511,-4.4148207,-3.7507713,-1.4011145,5.774367,2.7137876,3.594482,0.44482946,-5.1372824,4.641199,-6.314826,0.39075613,-0.7784605,7.289958,-0.5484462,5.4916263,-2.7777731,-7.811552,-25.651175,9.578716,10.360182,-2.6907444,1.4154553,-1.3202608,-1.6055048,-0.7769942,16.87548,0.5697131,-0.06738901,4.113281,2.558291,3.1259894,4.4396877,-1.500231,0.4842639,0.8132577,-3.047508,2.896762,-3.4141958,7.532108,1.1851907,-8.023429,7.9274178,-2.536875,-0.4842639,-7.4246764,3.077948,-7.7896776,-1.8303454,3.298676,10.725439,-0.98543763,3.5347104,1.5518308,-0.091695786,1.8966079,-2.0414293,0.6303668,0.434649,-0.896436,-3.742987,1.523006,4.085541,3.023696,-1.1571288,1.1090636],"EWJ^FMA_DIV_YLD(NTMA,-10AY,0,AM,\"PORTAGG\",\"MEANR\")":[2.08339852522123,2.07970729032275,2.15781029827312,2.10484082061671,2.04869438770492,2.06843942639792,2.057172969887,2.09508174668382,1.96728082235104,1.91677458682577,1.98232280512474,2.00289422428968,1.89459024986066,1.87306489716522,1.86418460797726,1.84707965442335,1.90159297065694,1.90297415196875,2.20556783206123,2.21331368535566,2.07951746947237,2.0516927131749,2.1509945239934,2.34772702152295,2.33487126205417,2.48265173385914,2.46637665648089,2.36457455130072,2.5223679725129,2.45553763808727,2.34100500255819,2.37951887948945,2.39090100670584,2.16760263994861,2.07756850463772,2.1650400585983,2.13338853949562,2.23494128939627,2.18964645830292,2.13768306048346,2.16770465963382,2.16454066370686,2.20887719488853,2.15428033916332,2.03622719983469,2.0835876942962,2.00737359003685,2.03511276396523,2.26918251959667,2.28997008252972,2.21512025713478,2.24059387981884,2.35153795733357,2.29282134765729,2.33894835363632,2.24149155717657,2.44503711950436,2.48288692648824,2.79422796757495,2.61340798807015,2.53641864317608,2.56043296409997,2.56792597104037,2.77816451313793,2.64058832841297,2.71605042498039,2.75643933610654,2.65087036868837,2.51645454006131,2.46255614710075,2.44710562557018,2.50239547267093,2.77954222126291,3.14215693544466,2.86509612106247,2.47321109300713,2.53322652572026,2.50800129282067,2.38062225314233,2.41898949885205,2.39042496579895,2.16331502509081,2.15155377649523,2.09717196542287,2.1147546480725,2.06397654210626,2.16458536319394,2.14244306939426,2.18215088173115,2.25394519597973,2.19252576635571,2.27127912035627,2.1979804224428,2.33627409612125,2.27370879705805,2.43842927613891,2.62267961552555,2.5026446282151,2.58721575039502,2.58205840001682,2.74049656446848,2.62380900179969,2.64148441307765,2.70498625975606,2.69459013598373,2.64007884930232,2.79411792692299,2.63319218785222,2.57739602983709,2.5997998117192,2.53593251292447,2.42131978097059,2.30002870820223,2.38120643485238,2.33552592922455,2.49993678128239,2.40763477672035,2.41367930190169,2.42177360152177,2.2780490696722,2.05263837552871],"EWC^FMA_PE(NTMA,-10AY,0,AM,\"PORTAGG\",\"MEANR\")":[15.1848495345244,14.9846123671528,15.0417313150279,14.7787197898888,15.1112937218677,14.9547521407861,15.1977636872839,14.3135030463203,14.1297543353851,14.6430750037249,15.6006677092602,16.8850031164959,17.2751521607715,17.0975978273143,17.3665064837995,16.5459355844555,15.9393195822104,15.6649943094328,14.501702845761,14.4606031738619,14.882950130352,14.5116256698864,14.0062456600066,14.5140403358736,15.3121315579067,15.7518323302095,16.2645752310764,16.7267394913414,16.292351603394,16.3018438352894,16.4424361334629,15.8886293433516,15.4998692488029,15.8701628570013,15.9547997177573,16.0332923907167,16.0771331126213,15.9550378675498,15.4897636098004,15.5123585292512,15.2185526976216,15.7243994529745,15.3768543989389,15.8511428543261,15.921295855547,15.8382446814193,16.0791846298192,14.9050084693492,14.2838736765197,13.9735501295852,14.1585075546921,14.2003078226727,14.1973164222681,14.1594270157489,13.6919237725263,13.5010383248819,12.6295019222956,12.6354155946312,12.3790409167286,13.7308784390358,14.1545357718798,14.2317421817862,13.8350180935099,13.4487434329986,13.7908806569724,13.5458192811406,13.6654973070392,13.7403541728782,14.1303704379164,14.2308828658196,14.3988359334841,14.6033053504242,14.4021458250937,12.9230124190845,16.5662214265009,18.2367431192798,17.7111157880514,17.7556204851878,16.7949894250864,16.2219449389062,15.4977333972154,16.2812045631427,15.8363864674998,15.9589835060613,15.1903969819962,15.5223416392423,15.4359678041476,15.5890171863838,15.5841026701326,15.1172621070101,15.0059607722278,14.3422087655881,14.925291514468,14.0775350596005,14.4135665598288,14.1827105139414,13.9791952098913,13.6700244452683,12.7675803875727,12.4319886314992,11.2255879530961,11.4747062697648,11.2982604285122,11.3148012604548,11.5186146675421,12.4490725801399,12.0384878604288,13.068455910617,12.9699924818043,12.8861702480357,12.800130474759,12.9375850240642,13.00512848392,13.2089591843777,13.354403091929,12.2386242350722,12.6045907623818,13.0872355892043,13.5840027109724,13.8596449074863,14.8629000203024],"ENZL^FMA_PE(LTMA,-10AY,0,AM,\"PORTAGG\",\"MEANR\")":[17.9573725821049,17.9531960853795,18.1081302909899,17.9438382345737,18.0160973330219,17.8773236106286,17.9058782108598,17.8726778206679,18.5091483805311,18.9501389366444,19.2341389813833,20.0151700555164,20.5075127779875,20.2701126972107,20.0596567372419,20.0272275996383,19.8755888358466,19.8764203176493,18.960416878999,18.6100967787143,19.6937155792538,19.5659708040725,19.8420519527744,19.0315333903199,19.3301639469493,19.3533326936641,19.4656168983397,19.8165848770946,19.7077987621199,20.4763043308048,20.963367602413,20.962838625226,19.476175382873,20.0199524674571,20.2433333891742,20.5408386654425,19.8138835774319,19.8144190932246,19.9320225867068,20.0034945545716,20.0780043061073,20.4993157209764,20.6091379600415,20.6527194006466,21.2244259438749,21.6356077480455,22.4773959158251,22.4628391333142,22.5797765761439,22.4108138365989,22.4001870149689,22.4383592604618,22.978318263358,22.8067158433713,23.7001632473935,23.5291948131134,22.824232228699,23.0470691600501,22.7918941770155,23.2090272685318,24.1863572809716,24.16641206837,24.2577298861835,24.0671117381986,24.7717361132745,25.4183300791344,28.4433515640345,28.5934771235445,28.9666531689243,30.9828801801464,32.5714799457538,32.0618391243391,31.0717366497581,30.5732842905042,31.5268187530596,32.3038767122595,32.8069384123573,33.8701526852545,33.6290782545707,33.9186217581934,35.3499943924885,35.8585888067486,37.9245480693812,36.2976019608396,34.3658406711408,34.4420911347834,34.7577051084026,35.2895620560326,36.2748853413342,36.9974288902002,38.5269567438967,39.0411942993966,39.0731124763799,37.4885668597757,39.3110919887851,37.1552301371641,35.3194494266873,34.7419258748085,34.7500012453184,33.6799153487891,32.7706817688362,33.5775303159554,34.2725599613364,31.7837562402721,31.2708705353861,29.9399648504985,29.3527122128299,30.2234108820395,29.4854173541615,28.8686253101725,28.4258991596622,26.8703611716475,26.0517820790492,25.1971049821125,24.8184061430677,23.6101776165776,22.8144918329742,23.3584069441211,23.9134298258823,23.416418503694,23.459614811881],"WL-FDS^FG_PRICE_MAVG(0,,,,30)":646.01666,"NI-FDS^FG_PRICE_MAVG(0,,,,30)":16349.0,"CPALM-FDS^FG_PRICE_MAVG(0,,,,30)":3942.3333,"BRENT-FDS^FG_PRICE_MAVG(0,,,,30)":85.86,"TIOS-FDS^FG_PRICE_MAVG(0,,,,30)":129.153,"DUMMY^ECON_EXPR_DATA('FDS_ECON[NTCPMIMFGSA@EME]',,,M)":51.4475,"EWI^FG_COMPANY_NAME":"iShares MSCI Italy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89,12.1999545354885,11.8188093455252,11.9307551850311],"TRYUS10Y-FDS^FG_YIELD(-10AY,0,Y,,\"YTM\")":[2.1881,2.2961,2.4752,2.4325,2.6836,1.9185,0.9174,1.5119,3.8776,3.8791],"EWN^FG_COMPANY_NAME":"iShares MSCI Netherlands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40312273413],"TIPSCL10Y-FDS^FG_YIELD(-10AY,0,Y,,\"YTM\")":[null,null,null,null,null,null,null,null,null,5.3314],"TRYZA10Y-FDS^JULIAN(FG_YIELD(-10AY,0,CY,,\"YTM\").DATES)":[42004,42369,42734,43098,43465,43830,44196,44561,44925,45289],"CAGDPY@CH^EE_ACTUAL_ANNUAL(MED,0)":null,"CC_DE^FG_COMPANY_NAME":"Germany","USDSEK^FG_PRICE_CHANGE(0,-1AM)":-1.270318,"USDCHF^FG_PRICE_CHANGE(0,-1AM)":2.2123456,"USDEUR^FG_PRICE_CHANGE(0,-1AM)":-0.56611896,"USDAUD^FG_PRICE_CHANGE(0,-1AM)":0.0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8073991295,22.9690023603335,24.3479837603906],"EWU^P_PRICE_RETURNS_PR('52W',2,-10AY,0,AM)":[21.152317,16.230942,17.843163,17.62389,26.970911,13.572359,13.650095,2.785194,-2.4166286,0.66155195,-7.331353,0.5165577,-4.7300816,-5.8742704,-4.5517445,-5.914736,-9.894401,-5.6487503,-16.781504,-7.308316,-2.4153829,-7.2867928,-7.657981,-14.74616,-14.261234,-11.192542,-14.845878,-12.084693,-12.171942,-12.086546,1.2027383,-1.7360866,-12.776971,-7.2517514,1.7604113,8.14364,7.546413,8.020676,9.40963,12.274897,12.39264,14.444172,11.007082,13.841963,21.388126,18.925894,21.31977,20.064354,11.925364,12.631106,12.908363,8.51556,7.9122066,4.6163917,2.3182392,0.93364716,-3.4116209,-6.9810333,-13.488388,-8.593809,-0.92310905,0.70438385,-1.5184402,-7.273543,-0.35901666,-6.133932,-3.082043,-5.0047216,6.627834,10.175467,21.152996,8.346785,-2.755791,-30.456179,-23.862278,-11.423862,-17.175371,-10.833561,-12.353259,-11.932241,-19.61891,-5.536139,-9.943533,-7.432914,4.5408964,43.06388,35.714054,28.433395,30.004692,28.810978,32.05025,29.667377,34.46833,12.290692,18.817627,20.306896,6.2824607,11.846566,5.704832,1.3152957,-4.9628735,-2.8933704,-11.10031,-10.06493,-9.713644,2.7708411,-4.694682,-2.7380228,3.1390548,-0.32954216,4.2043567,1.1889458,11.498857,8.639622,16.719936,14.486181,17.281092,5.7707906,10.053492,4.579401,4.6081543],"EWJ^FG_TOTAL_RETURNC(-10AY,0,AM)":[4.6804667,-2.4075627,-1.32159,5.1785707,4.1032553,-1.3957322,-0.9991646,-3.2800674,2.782607,-0.6768167,-3.5241663,3.4635782,5.2360535,3.50734,3.073287,-0.3058076,-0.57451725,-0.31007528,-10.653186,1.3925195,5.9227467,0.6482959,-3.2459676,-6.6219625,3.4111261,-3.3854187,2.6055694,2.7145267,-1.3546884,5.0522685,3.3167481,-0.240767,-0.40225387,0.20194054,2.457416,1.5920401,0.6268382,0.40880442,1.7448545,4.6112895,-2.1239758,3.2777667,-1.178813,2.8629065,5.602145,-0.30410886,5.5491567,0.72733164,-3.770858,0.50024986,0.76322556,-0.36225915,-5.1962137,2.8988123,-1.8268704,2.886951,-6.9979725,-1.8175185,-2.1159828,3.2590032,0.31377077,1.8031359,1.1386156,-4.1458187,4.764414,-2.92691,0.35146475,4.552996,5.183351,0.9218931,-0.5098045,-0.21959543,-8.430677,-13.902754,8.653641,11.166012,-1.1336684,1.6131997,3.5497665,1.2747645,2.041161,10.118341,1.4556527,2.9209018,-1.6009271,2.2629738,-2.5744855,3.251195,-1.6413033,-0.5153954,6.29071,-5.3195953,3.3534288,-4.141164,2.1551132,-5.4336667,-4.7337294,2.0431519,-6.9998384,-1.8084764,-6.0357866,4.9010396,-5.8939877,-2.0049632,-0.8768499,9.94693,-2.9494584,7.200885,-1.1712015,2.718711,-0.33932328,5.549872,0.8521676,-0.4992783,0.42085648,-6.366861,6.730938,0.40322542,2.7290463,5.470979,5.1270366],"EWJ^FG_COMPANY_NAME":"iShares MSCI Japan ETF","QQQ^FG_COMPANY_NAME":"Invesco QQQ Trust Series I","TRYCN10Y-FDS^FG_YIELD(-10AY,0,Y,,\"YTM\")":[3.653331,2.901145,3.070911,3.93859,3.259862,3.197311,3.1948,2.7893,2.855,2.574],"USDCHF^FG_PRICE_CHANGE(0,-3AM)":1.2357712,"ENZL^FMA_DIV_YLD(NTMA,-10AY,0,AM,\"PORTAGG\",\"MEANR\")":[4.09484634095519,4.08956779228058,4.02334072565347,4.22459215842641,4.421391511775,4.52226183423207,4.55382978474397,4.6018441958213,4.47990058818705,4.50759642453152,4.43586796347832,4.29396463405057,4.27869395824602,4.4138014957123,4.47980108278334,4.42013617145957,4.61186719416915,4.53940046707195,5.22260074814821,5.29837676602734,4.84257685862867,4.78887374216258,4.73019526883236,4.88158054383727,4.73556904345562,4.55408948144109,4.57543464845833,4.32438540893238,4.39813902459698,4.17563823313295,4.19990245517957,4.31175282565325,4.75554800541407,4.57716127993359,4.58549512298602,4.48771596543018,4.53853881969885,4.54873372882403,4.49209203792424,4.41186765273181,4.40722247995424,4.36176346834037,4.38776912924581,4.41232287093179,4.40757024033168,4.34107064650019,4.18763419493342,4.19229139119894,4.28903646170116,4.27968682036714,4.2158892253854,4.17116088116122,4.0145683088214,4.14032000134658,3.91706862281149,4.03406067041509,4.2119740238095,4.11557429556026,4.19553378891551,4.10946320305568,3.88870717429911,3.74144056549263,3.69334715459933,3.77917319202755,3.54877451256345,3.4045182177879,3.30198876894552,3.34547837244413,3.36770191512075,3.26406685053044,3.15398807377595,3.15408053259321,3.12590309709881,3.19033008795888,2.70453711762228,2.53802682270805,2.46940634729309,2.36374685468661,2.39127378621893,2.45015190458803,2.40801741062682,2.41266385854858,2.4128274558384,2.50268550002555,2.61571444079244,2.59513839586018,2.55724370305018,2.68506159599807,2.62515177601402,2.61415249844945,2.5643717151279,2.60592484273509,2.68243680959918,2.79726863761521,2.76965352018696,2.94815473087788,3.00442008444934,3.08149513534464,3.0951189305751,3.20060229364261,3.40633923200343,3.18644500357618,3.19455867029734,3.41081862285077,3.40173226780716,3.38567091972028,3.43244128086423,3.27615154925685,3.38884001554701,3.39214024528718,3.40414705841494,3.41498057686381,3.41179855936287,3.44364643311656,3.30573007834377,3.44604624257507,3.47128414818075,3.13349220343913,2.98726754405611,2.98016780582514,2.72824082605975],"DDR3512M-FDS^FG_PRICE_CHANGE(0,-1AM)":-0.407332092765544,"COPP-FDS^FG_PRICE_CHANGE(0,-3AM)":0.824499411071855,"EWQ^FG_PRICE_MAVG(0,,,,30)":39.146,"EWG^FG_PRICE_MAVG(0,,,,60)":29.4095,"SPY^P_PRICE(0)/P_PRICE_LOW_PR(0,,,USD,,,\"PRICE\",\"INTRA\",\"52W\")-1":0.3458557,"EWI^FG_TOTAL_RETURNC(0,-6AM)":14.237345,"QQQ^FG_TOTAL_RETURNC(0,-3AM)":15.224398,"EWA^P_PRICE(0)/P_PRICE_LOW_PR(0,,,USD,,,\"PRICE\",\"INTRA\",\"52W\")-1":0.17399812,"QQQ^PERCENT_CHANGE(FMA_EPS(+1,0,,,,\"PORTAGG\",\"MEAN\"),FMA_EPS(+1,-3AM,,,,\"PORTAGG\",\"MEAN\"))":0.471225417335842,"EWA^FMA_PCT_ABOVE_MAVG(200,0,,,,\"PORTAGG\")":77.9661016949153,"VGK^FMA_COS_UP(\"EPS\",\"1M\",+1,0,,,\"PORTAGG\",\"MEANR\")":432.0,"EWU^FMA_COS_DOWN(\"EPS\",\"1M\",+1,0,,,\"PORTAGG\",\"MEANR\")":34.0,"EWJ^FMA_RBICS_REV_CURRENT(30, LOC, \"PORTAGG\")":17.6085351108136,"TRYFR10Y-FDS^FG_YIELD_NAME":"France Benchmark Bond - 10 Year","REFFFUND-FDS^PROPER_NAME(0,,,\"SECURITY\",\"NAME\")":"US Federal Funds Target Rate","REFNZOCR-FDS^PROPER_NAME(0,,,\"SECURITY\",\"NAME\")":"New Zealand Official Cash Rate","TRYGB10Y-FDS^FG_YIELD(0,,,,\"YTM\")":4.235,"CC_GB^IMF_IFS_RCPI_Q(0)":4.3536315,"EWI^FMA_EVAL_EBIT(LTMA,NOW,NOW,M,\"PORTAGG\",\"MEANR\")":11.3584541812418,"QQQ^FMA_PE(NTMA,0,,,\"PORTAGG\",\"MEANR\")":26.5729326491097,"EWA^FG_FCF_YIELD_NTM(0)":4.58056022006918,"USO^FG_TOTAL_RETURNC(0,-6AM)":-3.7831485,"SPY^P_PRICE(0)/P_PRICE_HIGH_PR(0,,,USD,,,\"PRICE\",\"INTRA\",\"52W\")":0.99630487,"USDITL^FG_PRICE_CHANGE(0,-6AM)":-0.7180035,"USDCHF^FG_PRICE_CHANGE(0,-1AY)":-5.8275642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523278574567],"ENZL^JULIAN(FMA_DIV_YLD(NTMA,-10AY,0,AM,\"PORTAGG\",\"MEANR\"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0],"PLATI-FDS^FG_PRICE_MAVG(0,,,,30)":902.4667,"EWQ^FG_PRICE(0)":40.37,"EWG^FG_PRICE(0)":30.73,"EWI^FG_TOTAL_RETURNC(0,-3AM)":10.12162,"VWO^PERCENT_CHANGE(FMA_EPS(+1,0,,,,\"PORTAGG\",\"MEAN\"),FMA_EPS(+1,-1AM,,,,\"PORTAGG\",\"MEAN\"))":-12.8544819381838,"EWU^FMA_COS_UP(\"EPS\",\"1M\",+1,0,,,\"PORTAGG\",\"MEANR\")":39.0,"EWG^FMA_RBICS_REV_CURRENT(30, LOC, \"PORTAGG\")":22.8345937685857,"EWA^FG_COMPANY_NAME":"iShares MSCI Australia ETF","REFGBBANK-FDS^(SUBARRAY(NOT_NA(NO_REPEAT_F(FG_YIELD(NOW,-10AY,D))),0,1)-SUBARRAY(NOT_NA(NO_REPEAT_F(FG_YIELD(NOW,-10AY,D))),1,1))*100":25.0,"TRYIT10Y-FDS^PCTCHG(FG_YIELD(0,,,,\"YTM\"),FG_YIELD(-3AM,,,,\"YTM\"))":-5.95005,"TRYCA10Y-FDS^PCTCHG(FG_YIELD(0,,,,\"YTM\"),FG_YIELD(-3AM,,,,\"YTM\"))":-0.8634576,"CC_CH^IMF_IFS_RCPI_Q(0)":1.6172575,"EWI^FMA_EVAL_EBITDA(NTMA,0,,,\"PORTAGG\",\"MEANR\")":7.35609426549293,"EWN^JULIAN(FMA_DIV_YLD(NTMA,NOW,NOW,M,\"PORTAGG\",\"MEANR\").DATES)":45351,"EWJ^FMA_DIV_YLD(NTMA,NOW,NOW,M,\"PORTAGG\",\"MEANR\")":2.19808782363452,"SPY^FG_TOTAL_RETURNC(0,-6AM)":14.412403,"EWL^FG_COMPANY_NAME":"iShares MSCI Switzerland ETF","USDSEK^FG_PRICE_CHANGE(0,-3AM)":-1.0509193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213322442499],"DDR3512M-FDS^FG_PRICE_MAVG(0,,,,30)":0.9721118,"COPP-FDS^FG_PRICE_CHANGE(0,-1AM)":0.798115923066867,"EWC^FG_PRICE_MAVG(0,,,,200)":34.7876,"EWU^P_PRICE(0)/P_PRICE_LOW_PR(0,,,USD,,,\"PRICE\",\"INTRA\",\"52W\")-1":0.09399998,"EWA^P_PRICE(0)/P_PRICE_HIGH_PR(0,,,USD,,,\"PRICE\",\"INTRA\",\"52W\")":0.97365224,"QQQ^PERCENT_CHANGE(FMA_EPS(+1,0,,,,\"PORTAGG\",\"MEAN\"),FMA_EPS(+1,-1AM,,,,\"PORTAGG\",\"MEAN\"))":0.389429801001324,"ENZL^PERCENT_CHANGE(FMA_EPS(+1,0,,,,\"PORTAGG\",\"MEAN\"),FMA_EPS(+1,-3AM,,,,\"PORTAGG\",\"MEAN\"))":-10.2365729312588,"EWI^SIZE(FG_CONSTITUENTS)":26,"TRYPH10Y-FDS^FG_YIELD(-10AY,0,Y,,\"YTM\")":[3.8633,4.1,4.6281,5.6986,7.1730304,4.847582,3.4208684,4.796723,6.9293385,6.0028777],"CAGDPY@DE^EE_ACTUAL_ANNUAL(MED,0)":6.64867801284768,"USDAUD^FG_PRICE_CHANGE(0,-3AM)":1.4802933,"NI-FDS^FG_PRICE_CHANGE(0,-3AM)":7.49235474006116,"FC0000JP^FG_PRICE(0)":178.32797,"EWG^P_PRICE(0)/P_PRICE_LOW_PR(0,,,USD,,,\"PRICE\",\"INTRA\",\"52W\")-1":0.24387777,"SPY^PERCENT_CHANGE(FMA_EPS(+1,0,,,,\"PORTAGG\",\"MEAN\"),FMA_EPS(+1,-1AM,,,,\"PORTAGG\",\"MEAN\"))":-9.53125538140812,"EWN^PERCENT_CHANGE(FMA_EPS(+1,0,,,,\"PORTAGG\",\"MEAN\"),FMA_EPS(+1,-1AM,,,,\"PORTAGG\",\"MEAN\"))":-11.9403577354406,"URTH^SIZE(FG_CONSTITUENTS)":1469,"EWQ^FMA_COS_UP(\"EPS\",\"1M\",+1,0,,,\"PORTAGG\",\"MEANR\")":20.0,"EWC^FMA_COS_UP(\"EPS\",\"1M\",+1,0,,,\"PORTAGG\",\"MEANR\")":44.0,"REFEUREFI-FDS^FG_YIELD(NOW,,,0)":4.5,"TRYNZ10Y-FDS^FG_YIELD_NAME":"New Zealand Benchmark Bond - 10 Year","VWO^JULIAN(FMA_DIV_YLD(NTMA,NOW,NOW,M,\"PORTAGG\",\"MEANR\").DATES)":45322,"EWD^FMA_PE(LTM,0,,,\"PORTAGG\",\"MEANR\")":15.0664319828547,"SPY^FMA_PE(NTMA,0,,,\"PORTAGG\",\"MEANR\")":22.7851734342265,"EWC^FMA_EVAL_EBITDA(NTMA,0,,,\"PORTAGG\",\"MEANR\")":10.2918880046852,"UUP^P_PRICE(0)/P_PRICE_HIGH_PR(0,,,USD,,,\"PRICE\",\"INTRA\",\"52W\")":0.9295541,"CAGDPY@CA^EE_ACTUAL_ANNUAL(MED,+1)":-0.7,"USDAUD^FG_PRICE_CHANGE(0,-1AY)":3.4437776,"EWC^FG_TOTAL_RETURNC(-10AY,0,AM)":[5.7142854,2.0869017,2.6474476,0.45707226,6.5368295,-1.536572,2.3720264,-7.7134132,-4.0634274,1.446271,-1.2688816,-4.67062,1.9744039,-0.9322345,6.152737,-5.727923,-2.6924253,-4.8689184,-7.992119,-0.08558035,2.6980639,-3.669721,-7.022542,0.33034086,6.396997,3.0946016,3.6020637,3.6837697,-0.09109974,1.20821,2.904904,-2.4361968,-1.189059,5.214596,2.962947,1.9820571,-1.576823,0.14902353,-3.9806545,2.0534754,3.1214356,3.0809164,1.224339,3.5574555,0.0,0.3435135,4.817426,-4.201126,-5.1104965,-0.18194914,3.2081604,-0.45920014,1.7239213,2.812934,-3.112173,1.3060331,-6.8292737,-1.1219144,-5.2090406,10.344828,1.6544104,1.4466524,1.1764646,-2.0436943,5.2643776,-3.241384,0.8909464,-0.070643425,3.358078,0.6497979,2.7121425,0.6034255,-5.5648146,-25.8645,14.040923,9.766281,0.046420097,6.6026926,1.5844345,-2.3750365,0.03629923,13.756811,-0.040763617,2.5210023,2.868855,6.159973,3.2043934,6.881118,-0.9117365,-1.1692882,2.4468899,-3.8057685,7.6398373,-5.804819,4.102075,0.52369833,0.3907323,5.396986,-5.7360888,-0.7051468,-9.800774,2.6439428,-3.6634207,-1.8419445,0.93824863,5.5472374,-4.2498293,6.9235325,-1.9144177,-0.3444314,-0.63364506,-0.17391443,3.242302,-1.0795474,0.31591654,-7.7870073,4.9363613,4.4674635,4.0322185,0.41390657,1.7312527],"CAGDPY@SE^EE_ACTUAL_ANNUAL(MED,+1)":4.8,"ENZL^JULIAN(FG_TOTAL_RETURNC(-10AY,0,AM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],"CPALM-FDS^FG_PRICE(0)/MAX(FG_PRICE(0,-1AY))":0.928356829211925,"TIOS-FDS^FG_PRICE(0)/MAX(FG_PRICE(0,-1AY))":0.811182019977802,"EWI^FG_PRICE_MAVG(0,,,,60)":33.964333,"EWL^FG_PRICE_MAVG(0,,,,30)":47.051334,"EWD^P_PRICE(0)/P_PRICE_HIGH_PR(0,,,USD,,,\"PRICE\",\"INTRA\",\"52W\")":0.98731136,"EWD^PERCENT_CHANGE(FMA_EPS(+1,0,,,,\"PORTAGG\",\"MEAN\"),FMA_EPS(+1,-1AM,,,,\"PORTAGG\",\"MEAN\"))":5.21692546127759,"EWG^PERCENT_CHANGE(FMA_EPS(+1,0,,,,\"PORTAGG\",\"MEAN\"),FMA_EPS(+1,-1AM,,,,\"PORTAGG\",\"MEAN\"))":-3.0252270019413,"VWO^SIZE(FG_CONSTITUENTS)":4677,"REFEUREFI-FDS^(SUBARRAY(NOT_NA(NO_REPEAT_F(FG_YIELD(NOW,-10AY,D))),0,1)-SUBARRAY(NOT_NA(NO_REPEAT_F(FG_YIELD(NOW,-10AY,D))),1,1))*100":25.0,"TRYGB10Y-FDS^PCTCHG(FG_YIELD(0,,,,\"YTM\"),FG_YIELD(-3AM,,,,\"YTM\"))":1.7050936,"CC_FR^IMF_IFS_RCPI_Q(0)":3.7187452,"VGK^JULIAN(FMA_DIV_YLD(NTMA,NOW,NOW,M,\"PORTAGG\",\"MEANR\").DATES)":45322,"EWQ^FMA_EVAL_EBIT(LTMA,NOW,NOW,M,\"PORTAGG\",\"MEANR\")":13.2540205582812,"EWG^FG_FCF_YIELD_NTM(0)":5.62129079430544,"ENZL^FG_FCF_YIELD_NTM(0)":0.468143825248781,"UUP^FG_TOTAL_RETURNC(0,-1AM)":0.35791397,"USDCAD^FG_PRICE_CHANGE(0,-6AM)":-0.26839972,"DDR3512M-FDS^FG_PRICE_CHANGE(0,-3AM)":-3.39849560506278,"CPALM-FDS^FG_PRICE_CHANGE(0,-3AM)":9.21696574225122,"TIOS-FDS^FG_PRICE_CHANGE(0,-3AM)":-10.3633297562471,"EWL^FG_PRICE(0)":46.89,"FXI^FG_TOTAL_RETURNC(0,-6AM)":-14.371729,"EWL^P_PRICE(0)/P_PRICE_HIGH_PR(0,,,USD,,,\"PRICE\",\"INTRA\",\"52W\")":0.9582098,"FXI^PERCENT_CHANGE(FMA_EPS(+1,0,,,,\"PORTAGG\",\"MEAN\"),FMA_EPS(+1,-3AM,,,,\"PORTAGG\",\"MEAN\"))":-15.5145575259465,"EWD^FMA_PCT_ABOVE_MAVG(200,0,,,,\"PORTAGG\")":74.4186046511628,"EWG^FMA_PCT_ABOVE_MAVG(200,0,,,,\"PORTAGG\")":69.4915254237288,"EWU^SIZE(FG_CONSTITUENTS)":85,"EWD^FG_ROE(0)":15.3257381580235,"TRYCA10Y-FDS^FG_YIELD_NAME":"Canada Benchmark Bond - 10 Year","REFEUREFI-FDS^PROPER_NAME(0,,,\"SECURITY\",\"NAME\")":"Eurozone Main Refinancing Operations Minimum Bid Rate","TRYGB10Y-FDS^PCTCHG(FG_YIELD(0,,,,\"YTM\"),FG_YIELD(-1AM,,,,\"YTM\"))":8.645462,"EWQ^FMA_EVAL_EBITDA(NTMA,0,,,\"PORTAGG\",\"MEANR\")":9.52498582233219,"EWU^FMA_EVAL_EBITDA(NTMA,0,,,\"PORTAGG\",\"MEANR\")":7.35762254816328,"ENZL^FG_COMPANY_NAME":"iShares MSCI New Zealand ETF","VGK^FG_TOTAL_RETURNC(0,-1AM)":3.1083226,"GLD^P_PRICE(0)/P_PRICE_HIGH_PR(0,,,USD,,,\"PRICE\",\"INTRA\",\"52W\")":0.9983706,"CAGDPY@SE^EE_ACTUAL_ANNUAL(MED,0)":4.7,"USDCHF^FG_PRICE(0)":0.88475,"EWI^FMA_DIV_YLD(NTMA,-10AY,0,AM,\"PORTAGG\",\"MEANR\")":[3.53242276066425,3.30926893787696,3.39928141524999,3.48528032853387,3.27729158249929,3.5736755904708,3.45177240438227,3.77215895485406,4.04317460409273,3.9333828042141,4.06134587663002,3.71302426186281,3.4747231844366,3.13160358072627,3.17642927206668,3.22621512697682,3.32377782990653,3.13428444754805,3.44948068556542,3.69527891923271,3.58897157100036,3.66096458058875,3.98669495573291,4.596590763973,4.33356723923275,4.54007175959016,4.48137164756487,4.68068410809657,4.95911206174502,4.91814017915492,4.71141530882967,5.00691521203561,4.99690749768347,4.82374329909708,4.2301917276839,4.35626800212647,4.05990350477389,3.94959167643576,3.82008396977488,3.79358750966842,3.8099664237188,3.71121267419804,3.76365208942429,3.79765697442544,3.73841304676083,3.88694648558752,3.88799266176523,3.82342077337038,4.14334489179592,4.10841288033735,3.83974969635014,4.34169098146298,4.47343043111058,4.44232084193975,4.70037811611189,4.73246120410951,5.02846733666882,5.19517628278497,5.27869322700623,5.11681974427287,4.77931031272033,4.61716820005365,4.63412917957235,5.05348182511915,4.69711184705548,4.91040692672873,4.80096802997001,4.88007232021736,4.53844459767796,4.61144572897077,4.48424327475321,4.52036752261613,4.9629103012771,6.36779775197604,5.4635202648736,4.22838569929541,4.26315896223712,3.94921362535655,4.10458469206802,4.21280879446129,4.26945972065081,3.93680627810488,3.94015298222961,3.947679057397,4.21663810050874,3.99637371635555,4.22634899362961,4.0578080931421,4.1376130952578,4.36310396155263,4.4217926580871,4.58025893616935,4.32112627872643,4.75235358825797,4.51234283003352,4.8217482873472,5.65037610221175,5.00862861586388,5.18222279511495,5.26220557604744,5.92881946620004,5.77683837690013,5.64469696857695,5.91827610723365,5.54664553856192,5.67755563875915,5.66518302423868,5.43386967367618,5.21946125726169,5.45615004079078,5.5152293213307,5.43936078668085,5.26263674027405,5.46083748857183,5.38738414368684,5.70074609431894,5.57528462825803,5.44925006616883,5.45464598877719,5.37821301913924,4.95585597705833],"EWI^FG_PRICE_MAVG(0,,,,30)":34.294,"FXI^FG_TOTAL_RETURNC(0,-3AM)":-1.2333751,"EWD^FG_TOTAL_RETURNC(0,-6AM)":22.159636,"EWL^FG_TOTAL_RETURNC(0,-6AM)":2.0901322,"FXI^PERCENT_CHANGE(FMA_EPS(+1,0,,,,\"PORTAGG\",\"MEAN\"),FMA_EPS(+1,-1AM,,,,\"PORTAGG\",\"MEAN\"))":-8.72119320598067,"EWN^PERCENT_CHANGE(FMA_EPS(+1,0,,,,\"PORTAGG\",\"MEAN\"),FMA_EPS(+1,-3AM,,,,\"PORTAGG\",\"MEAN\"))":-13.5695809865301,"VWO^FMA_COS_DOWN(\"EPS\",\"1M\",+1,0,,,\"PORTAGG\",\"MEANR\")":1198.0,"REFCATARG-FDS^(SUBARRAY(NOT_NA(NO_REPEAT_F(FG_YIELD(NOW,-10AY,D))),0,1)-SUBARRAY(NOT_NA(NO_REPEAT_F(FG_YIELD(NOW,-10AY,D))),1,1))*100":25.0,"TRYCH10Y-FDS^PCTCHG(FG_YIELD(0,,,,\"YTM\"),FG_YIELD(-3AM,,,,\"YTM\"))":-2.7261407,"TRYUS10Y-FDS^FG_YIELD(0,,,,\"YTM\")":4.216,"CC_US^IMF_IFS_RCPI_Q(0)":3.2433991,"EWU^FG_FCF_YIELD_NTM(0)":6.33945020782743,"EWG^FMA_DIV_YLD(NTMA,NOW,NOW,M,\"PORTAGG\",\"MEANR\")":3.45534580879456,"ENZL^FMA_DIV_YLD(NTMA,NOW,NOW,M,\"PORTAGG\",\"MEANR\")":2.88149232887874,"GLD^FG_TOTAL_RETURNC(0,-6AM)":8.827936,"CAGDPY@NL^EE_ACTUAL_ANNUAL(MED,+1)":9.0,"USDCHF^FG_COMPANY_NAME":"Swiss Franc per U.S. Dollar","USDAUD^FG_PRICE(0)":1.5339776,"EWG^FMA_DIV_YLD(NTMA,-10AY,0,AM,\"PORTAGG\",\"MEANR\")":[2.92727923725152,2.92704865530614,3.00546613367846,2.97118918547174,2.97712171938965,3.27952498707205,3.09161741946692,3.29188127460621,3.32106449414923,3.1695357827974,3.20673972066176,2.89514083294979,2.78309024822116,2.68976864034982,2.83130527553843,2.96323636338921,3.05685616476568,2.97523856995384,3.40086124311739,3.51099814566017,2.99982875895864,3.02327542846115,3.16279181876451,3.48413439562242,3.35807651938531,3.33842611335442,3.37974929324668,3.32649893888525,3.45090564501753,3.29355906323087,3.15759180837066,3.13680796954181,3.27905138003926,3.22706974405052,2.95424520894838,2.96780169636894,2.91453132973445,2.918040731529,2.87283087342161,2.89345814013456,3.00041456595016,3.04664267387214,3.12476873166622,2.95776587647489,2.85286242267193,2.91142005379629,2.89864373468423,3.03486414155075,3.26415442174342,3.29106051751067,3.11958434234051,3.1477797933358,3.26814988784593,3.20173208428678,3.30082908432317,3.32760286714725,3.58808191674732,3.66129656338555,3.8803184061531,3.7173364700761,3.57796067458287,3.48588336684598,3.37985280098915,3.58751305212908,3.42631044972663,3.53950872042247,3.49094372410817,3.49708801396196,3.19771155499223,3.11783540977524,3.09872815389408,3.10255154453835,3.3785534524756,4.00760950726393,3.47439046850271,2.85983097116864,2.86559149083768,2.87070045880864,2.85909494160686,2.8779421610387,2.99761251650515,2.77886204184179,2.71128493244629,2.7203220188489,2.81054474086113,2.68998077275861,2.83500708303479,2.77784188246147,2.80248347192271,2.82459967358833,2.84331045133629,3.02504301060152,2.90475684317671,3.15433445094716,2.99933909828433,3.24223569384731,3.86072841516427,3.51401099695744,3.76579621029511,3.7266379651704,4.21192722787975,3.95548918892744,4.1385548345337,4.28060593442704,4.06174750648161,3.70988506937136,3.67638846109114,3.42585563222999,3.48250213639352,3.53662897503116,3.57287175517332,3.618187211125,3.64056174298984,3.70294816072119,3.71747422764835,3.9336181352167,3.93023202508458,3.60833686711116,3.59466813868487,3.53325407792345,3.27356362221263],"CPALM-FDS^FG_PRICE(0)":4017.0,"TIOS-FDS^FG_PRICE(0)":116.94,"EWI^FG_PRICE(0)":35.92,"EWJ^FG_PRICE_MAVG(0,,,,200)":62.5522,"EWC^PERCENT_CHANGE(FMA_EPS(+1,0,,,,\"PORTAGG\",\"MEAN\"),FMA_EPS(+1,-3AM,,,,\"PORTAGG\",\"MEAN\"))":-9.40902801127429,"VWO^FMA_COS_UP(\"EPS\",\"1M\",+1,0,,,\"PORTAGG\",\"MEANR\")":773.0,"EWL^SIZE(FG_CONSTITUENTS)":46,"EWN^FG_ROE(0)":10.0928114052509,"TRYAU10Y-FDS^FG_YIELD_NAME":"Australia Benchmark Bond - 10 Year","REFCATARG-FDS^FG_YIELD(NOW,,,0)":5.0,"TRYUS10Y-FDS^FG_YIELD_NAME":"US Benchmark Bond - 10 Year","EWI^FG_FCF_YIELD_NTM(0)":5.69692578990909,"EWQ^FG_FCF_YIELD_NTM(0)":5.66373166156033,"EWU^FMA_DIV_YLD(NTMA,NOW,NOW,M,\"PORTAGG\",\"MEANR\")":4.21741195829708,"TLT^P_PRICE(0)/P_PRICE_HIGH_PR(0,,,USD,,,\"PRICE\",\"INTRA\",\"52W\")":0.8624198,"USDITL^STD(FG_PRICE_CHANGE(0,-3AY,M))":2.27878559120409,"USDJPY^STD(FG_PRICE_CHANGE(0,-3AY,M))":3.05516145651881,"EWJ^P_PRICE_RETURNS_PR('52W',2,-10AY,0,AM)":[13.458896,5.343318,-2.4479508,8.143723,7.8951716,4.0270567,6.6300035,-0.43292642,1.6866207,0.148952,-4.490942,6.199479,6.7631125,12.14695,18.276978,12.109602,6.721592,8.250963,-2.3050785,3.6767602,5.543506,6.951618,7.2600245,-3.1956017,-4.8743067,-11.208916,-11.611825,-9.558225,-9.648591,-4.7885537,7.387948,8.324814,1.8563747,0.99806786,7.38219,16.51429,14.87919,18.14704,17.155956,19.830168,18.388866,16.389084,12.134684,14.788198,20.25138,21.093739,24.747837,24.245811,18.349707,18.388308,17.246115,11.671865,8.166588,7.6720715,7.0629597,7.0879817,-5.4658175,-7.121068,-13.866073,-11.701191,-7.953185,-6.7599,-5.7295265,-9.96635,-0.5068898,-6.1558247,-4.0571632,-2.503562,10.266436,13.343,19.107258,11.321867,1.6178489,-14.106024,-7.6737165,7.0745587,1.337564,5.772364,9.143448,7.4836135,2.5630236,11.909019,14.119804,17.71164,26.491224,48.74023,34.71563,25.124132,24.481678,21.874023,25.793434,16.954304,18.458344,3.5892963,3.8297892,-4.59857,-7.635927,-7.8344703,-12.020898,-15.420109,-19.572884,-15.718532,-23.264378,-22.767847,-25.92898,-14.54823,-19.288176,-7.786703,-6.308275,-4.4547615,2.3880243,7.773435,18.128777,12.047482,18.256546,14.244175,25.40375,12.334704,18.907475,15.654051,24.444221],"EWN^FMA_PE(LTMA,-10AY,0,AM,\"PORTAGG\",\"MEANR\")":[17.4057539307913,17.2056200788441,16.8838582527278,16.8235213858037,16.9181601049196,16.2169115572302,16.834057766948,16.5766289696311,16.7210616152816,17.8924541093247,17.5290952437531,18.7344712361256,20.0957812711096,19.935824790479,19.6285502206523,19.3246866494914,18.9265659133696,19.1014813240055,17.2843428009239,16.6411710548961,17.5348300846867,17.5155796876613,16.4498228701346,15.8892948026478,16.4170373863784,16.3473649918568,16.1147881827541,16.2764740674428,15.8183783091024,15.9595685661785,16.4169863010332,16.1890723871008,15.3777867010343,15.2558604741705,16.4021809222975,16.1696397085979,16.4546385533255,16.5017694481697,16.7629776928466,16.7707809086025,16.5334856240205,16.7746606403712,16.6016722981034,17.1125538458683,17.5878297905684,17.1006155851136,17.4306698863031,17.2807800920778,16.5897048139151,16.5130528133951,16.566287067404,16.637335723037,16.4887357336975,16.7994862466477,16.6189635431497,16.133444020899,15.666116999648,15.4249032423024,14.3128616096014,15.3180523676928,16.1578650892113,16.2419034776916,16.3605987307984,16.1004731296261,16.5162958997901,16.3989457147716,16.7533524600581,16.8626803337809,17.5885904009417,17.9455010420806,18.8462830856144,18.8959175108475,17.2894429949274,16.6947288088913,17.584739259504,18.9557016870527,19.6672623598481,20.4735123391621,20.9647603820715,22.0656719008423,22.6032555111929,25.9771123347025,27.3925840343331,28.4154492023603,28.7739830691593,28.6410002005665,27.6186372683411,27.0441754111053,26.5711067603107,26.3891180375501,25.9109212580272,23.7919687470165,24.962327564665,22.3955137058444,22.8250905142463,19.9167754364658,18.1190720782585,18.6442752064398,18.1797984189955,18.5384855498793,18.0143758074229,19.8521737913772,18.4443194389549,17.9172716472711,17.4139832992147,18.4499237314036,18.53401288316,19.8760856526515,20.6609920433194,20.2939394009014,19.6967258701068,19.4461390340449,19.2585598139499,18.7305286705121,17.8203577095351,16.4676396322084,16.2116791058262,16.3602297122034,16.2406986615069,17.4345325514207,18.9241627294926],"BRENT-FDS^FG_PRICE(0)":85.86,"SPY^FG_PRICE(0)":512.3,"VWO^FG_TOTAL_RETURNC(0,-6AM)":4.065597,"VGK^PERCENT_CHANGE(FMA_EPS(+1,0,,,,\"PORTAGG\",\"MEAN\"),FMA_EPS(+1,-3AM,,,,\"PORTAGG\",\"MEAN\"))":-8.27748470091232,"SPY^FMA_COS_DOWN(\"EPS\",\"1M\",+1,0,,,\"PORTAGG\",\"MEANR\")":94.0,"EWA^SIZE(FG_CONSTITUENTS)":60,"TRYSE10Y-FDS^FG_YIELD_NAME":"Sweden Benchmark Bond - 10 Year","REFCHMPR-FDS^(SUBARRAY(NOT_NA(NO_REPEAT_F(FG_YIELD(NOW,-10AY,D))),0,1)-SUBARRAY(NOT_NA(NO_REPEAT_F(FG_YIELD(NOW,-10AY,D))),1,1))*100":25.0,"TRYNL10Y-FDS^PCTCHG(FG_YIELD(0,,,,\"YTM\"),FG_YIELD(-3AM,,,,\"YTM\"))":2.3675296,"EWD^JULIAN(FMA_DIV_YLD(NTMA,NOW,NOW,M,\"PORTAGG\",\"MEANR\").DATES)":45350,"QQQ^P_PRICE(0)/P_PRICE_HIGH_PR(0,,,USD,,,\"PRICE\",\"INTRA\",\"52W\")":0.9942675,"TRYEU10Y-FDS^FG_YIELD(-10AY,0,Y,,\"YTM\")":[0.5475,0.636,0.2082,0.4294,0.239,-0.189,-0.575,-0.181,2.533,2.004],"USDITL^STD(FG_PRICE_CHANGE(0,-1AY,AM))":2.04597120432959,"USDJPY^STD(FG_PRICE_CHANGE(0,-1AY,AM))":2.49505128289452,"EWG^P_PRICE_RETURNS_PR('52W',2,-10AY,0,AM)":[29.76675,29.102266,26.32345,24.071371,32.593227,9.600949,14.710522,-1.3759732,-6.58406,-2.2691429,-9.494901,-0.678277,-4.1408834,-1.9275844,-2.7819932,-6.2819777,-9.212196,0.88648796,-10.846418,-6.742507,1.6219258,-3.8689137,-4.678959,-14.831072,-15.070605,-14.801168,-12.754554,-10.647946,-12.140441,-9.13471,4.3566823,8.280766,-3.9027572,-5.549103,6.8748593,17.315186,17.252659,15.898585,21.236504,24.889278,28.070091,25.200676,19.625902,26.04233,34.221397,36.279,30.26706,25.431501,17.11582,13.197268,10.335505,3.1723619,1.4526725,1.9751787,-0.52205324,-6.8420053,-14.858067,-17.762262,-22.36032,-18.879044,-11.880427,-10.170096,-9.247065,-11.415821,-2.6142836,-10.987127,-8.774209,-7.82271,7.5116158,12.518156,21.277916,11.474824,1.8022776,-24.767273,-18.659157,3.631854,-1.0038435,10.491812,13.644671,13.1447315,-3.0934036,8.499122,12.264717,14.164829,21.217144,70.44282,52.045334,32.85301,29.986143,23.50545,20.918476,15.3719425,27.50659,5.602193,6.087601,1.0309815,-17.34298,-13.58589,-19.527,-21.924717,-30.947208,-28.574562,-36.91226,-32.289516,-32.795994,-16.462332,-19.786913,-8.610535,5.312836,3.34301,12.235176,6.553054,26.880014,21.452105,31.744062,24.0803,27.078379,14.360178,15.30224,4.0325284,13.0116825],"EWQ^FMA_PE(LTMA,-10AY,0,AM,\"PORTAGG\",\"MEANR\")":[16.0358885789492,15.9383009228067,15.817404028698,15.8327031142692,15.7590828940171,15.1972458005869,15.6359169929453,15.0806966009467,14.653620154262,15.3032837092829,15.0097912131255,16.5361588397552,17.5259833658856,17.5702056949852,17.4913823961681,17.3592906264531,16.9947151139488,17.2357083373588,15.8143877385292,15.5019152118394,16.5025623679388,15.8426349844756,15.0428137283207,14.1759656759047,15.1988117677065,15.1071167204815,15.0809115659005,15.1587629026133,14.851521350003,14.8466669722864,15.1507258838969,15.0056955140689,14.5633468580625,14.8672597288948,15.8679941802194,15.6304564442559,15.6320599128845,15.6509322245355,15.861179977502,15.827294319433,15.6130143914712,15.6458437199166,15.528032370634,15.9916048106414,16.3556429553545,16.1607873199744,16.265697269469,16.0985045047139,15.5409620442201,15.4291152743484,15.6045680442604,15.4644373506324,15.1374782007389,15.2332785841115,14.8961978682439,14.9160564851714,14.1901749458689,13.8040310433241,12.9361330326982,13.7741621896421,14.581421635759,14.6081349655526,14.6602947224629,14.3793957540511,14.7858762106186,14.588479542227,14.8683534821646,14.8498269704616,15.843584576106,15.8902619236435,16.6621930898946,16.3695396436722,14.7059695519195,14.385384855204,15.7294863943389,17.7393762734494,18.9656557929191,21.320841280692,22.690134112692,23.2947209919849,24.3606464399161,28.3826266239202,28.9307341039274,28.0236796828541,26.9584766386919,26.3016097138356,25.2973989564973,24.5190734771096,23.6067918751573,22.174395274464,20.9658277538684,19.3477973099574,18.8578886256317,17.283333037353,17.5368649172237,16.2028212308692,15.234886430007,15.2349355898685,14.7253757788565,14.3780231570392,13.5290178283938,13.3308948560946,12.5414378907072,11.810797436425,11.9131296249617,12.2241295922051,11.9954278863306,13.1080609700182,12.9301910233758,13.0297512075537,13.1373582551883,13.1285247139165,13.2964918046797,13.2909101033577,13.2786024257061,12.775905660241,12.8915689332472,13.5232540025799,13.9274118681353,14.3978239263126,15.733975837784],"NI-FDS^FG_PRICE(0)":17575.0,"COPP-FDS^MAX(FG_PRICE(0,-5AY))":4.929,"ENZL^FG_PRICE_MAVG(0,,,,200)":46.42301,"VWO^FG_TOTAL_RETURNC(0,-3AM)":4.5764565,"EWC^FG_TOTAL_RETURNC(0,-6AM)":7.427442,"EWU^FMA_PCT_ABOVE_MAVG(200,0,,,,\"PORTAGG\")":53.5714285714286,"EWQ^SIZE(FG_CONSTITUENTS)":64,"SPY^FMA_RBICS_REV_CURRENT(30, LOC, \"PORTAGG\")":12.5169616849279,"TRYNL10Y-FDS^PCTCHG(FG_YIELD(0,,,,\"YTM\"),FG_YIELD(-1AM,,,,\"YTM\"))":8.4394865,"TRYAU10Y-FDS^FG_YIELD(0,,,,\"YTM\")":4.105,"VWO^FG_PE(0)":12.8621994203067,"QQQ^FMA_EVAL_EBIT(LTMA,NOW,NOW,M,\"PORTAGG\",\"MEANR\")":25.0219547635961,"EWJ^FMA_EVAL_EBIT(LTMA,NOW,NOW,M,\"PORTAGG\",\"MEANR\")":17.9293615503174,"EWA^FMA_EVAL_EBITDA(NTMA,0,,,\"PORTAGG\",\"MEANR\")":8.86856897219922,"EWJ^P_PRICE(0)/P_PRICE_HIGH_PR(0,,,USD,,,\"PRICE\",\"INTRA\",\"52W\")":0.9932524,"TRYFR10Y-FDS^FG_YIELD(-10AY,0,Y,,\"YTM\")":[0.837,0.9989,0.682,0.785,0.71,0.118,-0.344,0.201,3.07,2.534],"USDSEK^FG_PRICE_CHANGE(0,-1AY)":-1.4957786,"PLATI-FDS^MAX(FG_PRICE(0,-5AY))":1272.59,"COPP-FDS^FG_PRICE(0)/MAX(FG_PRICE(0,-1AY))":0.929088277858176,"QQQ^FG_PRICE_MAVG(0,,,,200)":382.30295,"VGK^P_PRICE(0)/P_PRICE_LOW_PR(0,,,USD,,,\"PRICE\",\"INTRA\",\"52W\")-1":0.19288051,"QQQ^P_PRICE(0)/P_PRICE_LOW_PR(0,,,USD,,,\"PRICE\",\"INTRA\",\"52W\")-1":0.55692697,"EWC^FG_TOTAL_RETURNC(0,-3AM)":6.2713265,"VGK^PERCENT_CHANGE(FMA_EPS(+1,0,,,,\"PORTAGG\",\"MEAN\"),FMA_EPS(+1,-1AM,,,,\"PORTAGG\",\"MEAN\"))":-4.73495093263294,"EWL^PERCENT_CHANGE(FMA_EPS(+1,0,,,,\"PORTAGG\",\"MEAN\"),FMA_EPS(+1,-3AM,,,,\"PORTAGG\",\"MEAN\"))":-13.9198715787207,"SPY^FMA_COS_UP(\"EPS\",\"1M\",+1,0,,,\"PORTAGG\",\"MEANR\")":239.0,"EWQ^FMA_COS_DOWN(\"EPS\",\"1M\",+1,0,,,\"PORTAGG\",\"MEANR\")":30.0,"EWA^FMA_COS_DOWN(\"EPS\",\"1M\",+1,0,,,\"PORTAGG\",\"MEANR\")":25.0,"TRYNL10Y-FDS^FG_YIELD_NAME":"Netherlands Benchmark Bond - 10 Year","REFCHMPR-FDS^FG_YIELD(NOW,,,0)":1.75,"EWN^FMA_EVAL_EBIT(LTMA,NOW,NOW,M,\"PORTAGG\",\"MEANR\")":22.4785472937457,"EWA^FMA_DIV_YLD(NTMA,NOW,NOW,M,\"PORTAGG\",\"MEANR\")":3.98444519198664,"EWJ^FG_TOTAL_RETURNC(0,-6AM)":14.29001,"QQQ^FG_TOTAL_RETURNC(0,-6AM)":18.058754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EWG^FG_TOTAL_RETURNC(-10AY,0,AM)":[6.063688,0.09582043,0.38288832,1.5893221,1.1873722,-9.2744465,1.4951348,-7.3997917,-0.5549431,6.0267925,-4.2806983,5.351901,2.3660421,3.0931354,-1.1539757,-2.0680428,-2.8731287,1.7481208,-10.3085575,-2.8146982,8.00482,0.2979517,-5.0872684,-5.868542,2.0781398,3.420198,1.2204647,1.5947223,-5.413061,4.8921943,4.9011946,-0.979656,-4.147643,-1.7864287,7.797742,3.713429,1.2296557,2.6437998,5.8823586,4.174888,-2.55633,2.5420904,-0.6761074,5.28363,2.8017282,-0.98831654,3.042233,-0.3531456,-6.054342,0.03143549,3.2055378,-2.5883079,-4.1805387,2.5392532,-2.6067138,-1.4051497,-5.73464,-4.679632,-2.7190328,4.114902,2.0507097,1.9729614,3.7262678,-4.421419,5.339873,-6.5209746,0.0754118,-0.37679076,9.94705,-0.2407968,1.0689616,-0.71647763,-6.8041205,-24.668144,12.187958,21.771383,-0.18804073,5.186796,2.9310346,-2.2780597,-4.4223547,11.692977,4.576683,0.96393824,-1.0471225,5.6644917,0.32401085,6.400466,-2.3419142,-0.0574708,0.9775758,-6.947607,5.63035,-7.821554,5.4297924,-3.8484633,-19.043154,10.467362,-6.573433,2.4326444,-13.255042,3.7342548,-10.632062,-0.32786727,4.840219,15.374279,0.538826,9.856976,-1.6889513,2.5769472,1.4654517,-1.6162276,2.0994544,-0.7034838,-2.1962404,-6.9540024,1.7905712,9.521985,1.3670325,0.6889343,5.1317096],"PASP-FDS^MAX(FG_PRICE(0,-5AY))":3158.12,"W-FDS^FG_PRICE_MAVG(0,,,,30)":5.8834167,"EWG^FG_PRICE_MAVG(0,,,,200)":28.1064,"EWI^P_PRICE(0)/P_PRICE_LOW_PR(0,,,USD,,,\"PRICE\",\"INTRA\",\"52W\")-1":0.2906934,"EWL^PERCENT_CHANGE(FMA_EPS(+1,0,,,,\"PORTAGG\",\"MEAN\"),FMA_EPS(+1,-1AM,,,,\"PORTAGG\",\"MEAN\"))":-11.6396644938794,"EWD^FMA_RBICS_REV_CURRENT(30, LOC, \"PORTAGG\")":25.3194250250599,"TRYGB10Y-FDS^FG_YIELD_NAME":"United Kingdom Benchmark Bond - 10 Year","REFNZOCR-FDS^FG_YIELD(NOW,,,0)":5.5,"SPY^FMA_DIV_YLD(NTMA,NOW,NOW,M,\"PORTAGG\",\"MEANR\")":1.46699209592411,"EWJ^FMA_PE(NTMA,0,,,\"PORTAGG\",\"MEANR\")":17.0299526822646,"ENZL^FMA_PE(NTMA,0,,,\"PORTAGG\",\"MEANR\")":23.3837124038528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EWA^FG_TOTAL_RETURNC(-10AY,0,AM)":[8.089506,3.0652761,1.4677525,-0.07613301,2.6272655,-0.037682056,2.7139068,-11.853212,4.371357,-6.1029077,-3.0665815,2.8506756,3.7395477,-2.5445282,1.8711925,-7.6890173,1.380682,-1.4025211,-16.83262,4.0478826,4.0547967,2.1063685,-0.86529255,-5.614978,7.9320073,-0.4724443,2.953589,0.6147504,0.90146065,5.731821,-1.5488863,2.1632314,-4.234844,3.9698482,3.4679055,3.5491586,1.8063903,2.2747993,-2.135229,-1.272732,1.5399814,4.4949055,1.1973381,-2.1910608,2.3745537,-0.65645576,6.3441157,-0.16977787,-3.316331,-3.07827,3.1306624,0.5719304,0.03812313,1.2929082,-2.1126747,-2.9676259,-3.2437503,-1.3888836,-0.9830177,5.603671,2.8461218,1.4540315,0.92464685,0.9619832,5.42264,-2.5032938,-1.7567635,0.045847893,3.9871693,-0.83737373,1.9992352,0.888896,-8.502203,-28.59894,11.665535,19.444454,1.7390013,2.471006,-0.14763474,-2.16856,3.4256935,14.807594,2.8168201,2.1639585,1.8329978,0.5199909,3.700757,5.0652385,-3.1611502,0.0,1.4914036,-5.6141734,4.750502,-7.3551836,7.652104,-8.4752445,7.183039,8.518362,-5.6175528,-1.5372515,-12.84486,6.8753004,-3.4161508,-4.2719364,2.3512483,10.829819,-2.8345406,8.780491,-4.2804775,-1.4054537,-2.1166325,0.22064447,1.710701,-0.8822262,-0.9790778,-6.067419,4.3540716,3.3929348,7.8083158,-0.92359185,1.7796636],"PASP-FDS^FG_PRICE(0)/MAX(FG_PRICE(0,-1AY))":0.585365853658537,"W-FDS^FG_PRICE(0)":5.635,"EWD^FG_PRICE_MAVG(0,,,,200)":35.34245,"URTH^PERCENT_CHANGE(FMA_EPS(+1,0,,,,\"PORTAGG\",\"MEAN\"),FMA_EPS(+1,-3AM,,,,\"PORTAGG\",\"MEAN\"))":-9.75131154500311,"URTH^FMA_COS_UP(\"EPS\",\"1M\",+1,0,,,\"PORTAGG\",\"MEANR\")":714.0,"EWJ^FMA_COS_DOWN(\"EPS\",\"1M\",+1,0,,,\"PORTAGG\",\"MEANR\")":101.0,"EWN^FMA_RBICS_REV_CURRENT(30, LOC, \"PORTAGG\")":24.7200394051191,"TRYIT10Y-FDS^FG_YIELD(0,,,,\"YTM\")":3.841,"CC_NL^IMF_IFS_RCPI_Q(0)":0.80520856,"EWI^FMA_PE(LTM,0,,,\"PORTAGG\",\"MEANR\")":10.5365874581256,"EWJ^FMA_PE(LTM,0,,,\"PORTAGG\",\"MEANR\")":15.4952354068781,"UUP^FG_TOTAL_RETURNC(0,-6AM)":2.6151538,"CAGDPY@CA^EE_ACTUAL_ANNUAL(MED,0)":-0.614727995236974,"USDJPY^FG_PRICE_CHANGE(0,-6AM)":2.7655363,"BRENT-FDS^MAX(FG_PRICE(0,-5AY))":140.85,"EWD^FG_PRICE_MAVG(0,,,,60)":38.148167,"EWC^FG_PRICE_MAVG(0,,,,30)":36.453,"EWL^FMA_PCT_ABOVE_MAVG(200,0,,,,\"PORTAGG\")":62.2222222222222,"SPY^FMA_PE(LTM,0,,,\"PORTAGG\",\"MEANR\")":25.3210561360297,"ENZL^FMA_PE(LTM,0,,,\"PORTAGG\",\"MEANR\")":29.9615308782081,"UUP^FG_TOTAL_RETURNC(0,-3AM)":1.7054915,"PASP-FDS^FG_PRICE_CHANGE(0,-1AY)":-34.6938775510204,"TRYJP10Y-FDS^FG_YIELD_NAME":"Japan Benchmark Bond - 10 Year","TRYIT10Y-FDS^PCTCHG(FG_YIELD(0,,,,\"YTM\"),FG_YIELD(-1AM,,,,\"YTM\"))":1.2388026,"EWJ^JULIAN(FMA_DIV_YLD(NTMA,NOW,NOW,M,\"PORTAGG\",\"MEANR\").DATES)":45350,"ENZL^JULIAN(FMA_DIV_YLD(NTMA,NOW,NOW,M,\"PORTAGG\",\"MEANR\").DATES)":45350,"EWN^FG_PRICE_MAVG(0,,,,200)":42.34243,"TRYSE10Y-FDS^PCTCHG(FG_YIELD(0,,,,\"YTM\"),FG_YIELD(-3AM,,,,\"YTM\"))":-1.1015892,"URTH^PERCENT_CHANGE(FMA_EPS(+1,0,,,,\"PORTAGG\",\"MEAN\"),FMA_EPS(+1,-1AM,,,,\"PORTAGG\",\"MEAN\"))":-7.93523738852576,"VGK^SIZE(FG_CONSTITUENTS)":1291,"EWJ^FMA_COS_UP(\"EPS\",\"1M\",+1,0,,,\"PORTAGG\",\"MEANR\")":108.0,"TRYCH10Y-FDS^FG_YIELD_NAME":"Treasury - Switzerland Benchmark Bond 10Y","EWI^JULIAN(FMA_DIV_YLD(NTMA,NOW,NOW,M,\"PORTAGG\",\"MEANR\").DATES)":45351,"EWI^P_PRICE(0)/P_PRICE_HIGH_PR(0,,,USD,,,\"PRICE\",\"INTRA\",\"52W\")":0.998435,"TRYIT10Y-FDS^FG_YIELD_NAME":"Italy Benchmark Bond - 10 Year","BRENT-FDS^FG_PRICE(0)/MAX(FG_PRICE(0,-1AY))":0.870614479821537,"EWJ^PERCENT_CHANGE(FMA_EPS(+1,0,,,,\"PORTAGG\",\"MEAN\"),FMA_EPS(+1,-3AM,,,,\"PORTAGG\",\"MEAN\"))":-10.1999095336708,"EWQ^FMA_RBICS_REV_CURRENT(30, LOC, \"PORTAGG\")":11.608719396206,"REFFFUND-FDS^(SUBARRAY(NOT_NA(NO_REPEAT_F(FG_YIELD(NOW,-10AY,D))),0,1)-SUBARRAY(NOT_NA(NO_REPEAT_F(FG_YIELD(NOW,-10AY,D))),1,1))*100":25.0,"URTH^FMA_PCT_ABOVE_MAVG(200,0,,,,\"PORTAGG\")":67.2530446549391,"EWI^PERCENT_CHANGE(FMA_EPS(+1,0,,,,\"PORTAGG\",\"MEAN\"),FMA_EPS(+1,-3AM,,,,\"PORTAGG\",\"MEAN\"))":0.857323679455972,"EWA^FMA_RBICS_REV_CURRENT(30, LOC, \"PORTAGG\")":40.7151096463949,"CC_AU^IMF_IFS_RCPI_Q(0)":4.051988,"REFFFUND-FDS^FG_YIELD(NOW,,,0)":5.5,"ENZL^P_PRICE(0)/P_PRICE_HIGH_PR(0,,,USD,,,\"PRICE\",\"INTRA\",\"52W\")":0.87875247,"EWL^FMA_EVAL_EBIT(LTMA,NOW,NOW,M,\"PORTAGG\",\"MEANR\")":16.6376630649059,"TRYNZ10Y-FDS^PCTCHG(FG_YIELD(0,,,,\"YTM\"),FG_YIELD(-3AM,,,,\"YTM\"))":-4.846713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CC_JP^FG_COMPANY_NAME":"Japan","USDEUR^FG_PRICE_CHANGE(0,-3AM)":-0.44184327,"ENZL^FG_TOTAL_RETURNC(-10AY,0,AM)":[7.5039506,3.2574058,3.7950635,-4.798901,4.2865157,-5.1565886,0.47169924,-5.3867044,4.0480494,1.6014099,0.65152645,-0.47944188,4.2089224,-2.0681202,0.19875765,-4.6617928,-6.8306627,-1.030916,-9.866905,3.5955071,11.465764,2.557683,2.768457,-3.1182766,6.6870093,5.1495433,2.3002744,4.3278575,1.8619895,6.1290264,3.278327,-3.279382,-7.8026533,0.49505234,-1.6901791,7.7511787,-3.5509825,0.66509247,0.14157295,6.4443946,3.570068,3.3964753,-2.5689662,1.0373831,-2.6310146,-0.065904856,8.328772,1.3650417,-0.67332983,1.7460942,-1.8574536,0.7405877,0.9357929,-2.3863375,2.2549987,-3.0502856,-2.0408154,4.340279,-1.6525507,4.1980624,3.285122,3.9207816,0.09624958,-2.1153808,7.5347543,0.40801764,-1.1267126,-1.8681109,0.66628456,6.6376686,3.9060473,-2.143979,-1.8525124,-19.453716,9.618986,12.86186,4.9372435,3.2849908,0.47369003,-1.7285764,4.269111,8.536696,4.018724,-0.58892965,-7.8495207,0.2089262,4.2502046,-3.6307693,-0.705868,0.68137646,4.3667316,-3.103286,0.1912117,-7.6812983,3.6479712,-9.264255,4.0729046,-0.89349747,-9.162641,-2.8948903,-8.27806,11.025942,-4.8131647,-9.0676365,4.6691775,11.947989,-1.2857795,5.788827,-4.1425824,1.045227,0.03978014,-2.8633952,1.476562,-1.5484989,-5.8360934,-3.5384655,0.95694065,4.3105364,4.8638344,-2.5063157,-2.6139557],"EWD^FG_PRICE(0)":39.52,"EWC^FG_PRICE(0)":37.02,"TRYSE10Y-FDS^FG_YIELD(0,,,,\"YTM\")":2.424,"EWJ^FG_TOTAL_RETURNC(0,-3AM)":13.904452,"QQQ^FMA_RBICS_REV_CURRENT(30, LOC, \"PORTAGG\")":0.861039068445163,"SPY^JULIAN(FMA_DIV_YLD(NTMA,NOW,NOW,M,\"PORTAGG\",\"MEANR\").DATES)":45351,"EWG^FMA_EVAL_EBIT(LTMA,NOW,NOW,M,\"PORTAGG\",\"MEANR\")":13.4032796384461,"CC_DE^IMF_IFS_RCPI_Q(0)":3.5546436,"EWG^FMA_EVAL_EBITDA(NTMA,0,,,\"PORTAGG\",\"MEANR\")":8.64096024838525,"CC_CA^IMF_IFS_RCPI_Q(0)":3.2111022,"EWG^FG_TOTAL_RETURNC(0,-6AM)":11.306071,"EWC^SIZE(FG_CONSTITUENTS)":88,"TRYFR10Y-FDS^PCTCHG(FG_YIELD(0,,,,\"YTM\"),FG_YIELD(-3AM,,,,\"YTM\"))":-0.62111413,"EWC^FMA_COS_DOWN(\"EPS\",\"1M\",+1,0,,,\"PORTAGG\",\"MEANR\")":34.0,"TRYFR10Y-FDS^PCTCHG(FG_YIELD(0,,,,\"YTM\"),FG_YIELD(-1AM,,,,\"YTM\"))":5.3016534,"VGK^FG_TOTAL_RETURNC(0,-6AM)":9.44599,"TLT^FG_TOTAL_RETURNC(0,-6AM)":1.1095405,"USO^FG_TOTAL_RETURNC(0,-3AM)":8.09114,"TRYJP10Y-FDS^FG_YIELD(0,,,,\"YTM\")":0.7115,"EWA^JULIAN(FMA_ROE(NTMA,-20AY,NOW,FY,\"PORTAGG\",\"MEANR\").DATES)":[38352,38716,39080,39447,39813,40178,40543,40907,41274,41639,42004,42369,42734,43098,43465,43830,44196,44561,44925,45289],"CC_CA^FG_COMPANY_NAME":"Canada","USDEUR^FG_PRICE_CHANGE(0,-1AY)":-2.4485648,"EWC^FMA_DIV_YLD(NTMA,-10AY,0,AM,\"PORTAGG\",\"MEANR\")":[2.88882392696835,2.91187195860029,2.84969097558561,2.86445334380831,2.79690860600783,2.80379457323574,2.75454630731311,2.91369474506466,3.01487515536736,2.98312231478788,2.90627132915346,2.89425708206254,2.88178560931378,2.88985059263069,2.8164815887255,2.90063917353018,3.0015151753047,3.0603238578867,3.25660419980678,3.30547131549187,3.23383901622166,3.31273288692691,3.38218731965775,3.37988259420051,3.25532814973938,3.19604179371096,3.12594526672503,3.01468549032031,3.0768974137006,2.99334947318124,2.93570045645377,2.97091316617307,2.99276323441794,2.88509080898664,2.80820130989549,2.82487684845552,2.87954070619418,2.89887891681171,2.9703478790569,2.97949800928306,3.05134311316204,3.01971169312734,3.0708359150307,2.96492311897016,2.91559582201892,2.9338021613707,2.87712653979317,3.03444594585367,3.16644044857663,3.23373281075465,3.13343568726582,3.09685861351478,3.07534124195832,3.07070010637545,3.14507608834581,3.18381771176668,3.38607122550708,3.40802649006384,3.57435364282132,3.32334815361779,3.26902675216791,3.23387336333925,3.22124880660834,3.35404683975822,3.28350093395983,3.38638358154247,3.38686604617641,3.38862059274525,3.31757103798366,3.28261076181261,3.26432854776536,3.24030054220613,3.42851730554025,4.4274093326505,3.87249961516204,3.54384417918066,3.52630010189897,3.38246596040062,3.41112968466877,3.4366620525085,3.46780821838772,3.12503235027304,3.11733851643624,3.01969577632129,2.96072006742611,2.80258135035122,2.74529530465899,2.5945381468635,2.70419184812494,2.70078695448748,2.71305785779172,2.83710253849952,2.71956790210307,2.87145110775974,2.78584889082917,2.80362679520632,2.84557885474321,2.81027315276681,3.003028967106,3.10242999425018,3.42241268976922,3.34858581792338,3.47749931269678,3.46134453087201,3.46403487133021,3.28170113423955,3.43467322805486,3.25367565156304,3.28699952186339,3.30508678976919,3.30145862183927,3.31108210263712,3.24699322791431,3.44564650882637,3.44669197490379,3.74060814365465,3.61425551147236,3.44704684590704,3.36761991574715,3.32579350577365,3.25558697737179],"PASP-FDS^FG_PRICE_CHANGE(0,-6AM)":-22.5806451612903,"BRENT-FDS^FG_PRICE_CHANGE(0,-3AM)":0.0,"EWD^P_PRICE(0)/P_PRICE_LOW_PR(0,,,USD,,,\"PRICE\",\"INTRA\",\"52W\")-1":0.28792572,"VGK^FMA_COS_DOWN(\"EPS\",\"1M\",+1,0,,,\"PORTAGG\",\"MEANR\")":545.0,"EWG^SIZE(FG_CONSTITUENTS)":57,"CC_JP^IMF_IFS_RCPI_Q(0)":2.9194753,"EWD^FMA_EVAL_EBIT(LTMA,NOW,NOW,M,\"PORTAGG\",\"MEANR\")":15.9169250945677,"GLD^FG_TOTAL_RETURNC(0,-3AM)":4.338336,"EWD^FMA_EVAL_EBITDA(NTMA,0,,,\"PORTAGG\",\"MEANR\")":11.6045457894571,"VGK^FMA_PCT_ABOVE_MAVG(200,0,,,,\"PORTAGG\")":61.2421383647799,"EWI^FMA_COS_UP(\"EPS\",\"1M\",+1,0,,,\"PORTAGG\",\"MEANR\")":11.0,"EWL^FMA_RBICS_REV_CURRENT(30, LOC, \"PORTAGG\")":18.2315218383482,"QQQ^FG_FCF_YIELD_NTM(0)":3.60996711142412,"EWG^FMA_PE(NTMA,0,,,\"PORTAGG\",\"MEANR\")":12.4635893194836,"VGK^P_PRICE(0)/P_PRICE_HIGH_PR(0,,,USD,,,\"PRICE\",\"INTRA\",\"52W\")":0.99820817,"COPP-FDS^FG_PRICE_CHANGE(0,-6AM)":1.03606557377049,"EWQ^FG_PRICE_MAVG(0,,,,200)":37.583424,"EWD^SIZE(FG_CONSTITUENTS)":43,"EWD^FMA_COS_DOWN(\"EPS\",\"1M\",+1,0,,,\"PORTAGG\",\"MEANR\")":14.0,"SPY^FG_TOTAL_RETURNC(0,-1AM)":3.6310315,"TLT^FG_TOTAL_RETURNC(0,-3AM)":2.5523543,"URTH^P_PRICE(0)/P_PRICE_LOW_PR(0,,,USD,,,\"PRICE\",\"INTRA\",\"52W\")-1":0.291286,"SPY^SIZE(FG_CONSTITUENTS)":504,"EWN^FMA_PE(LTM,0,,,\"PORTAGG\",\"MEANR\")":23.1453559649611,"ENZL^FMA_EVAL_EBIT(LTMA,NOW,NOW,M,\"PORTAGG\",\"MEANR\")":20.5022640603055,"EWJ^FMA_EVAL_EBITDA(NTMA,0,,,\"PORTAGG\",\"MEANR\")":11.3408946800155,"EWA^FMA_DIV_YLD(NTMA,-10AY,0,AM,\"PORTAGG\",\"MEANR\")":[4.85449067749105,4.79999766508593,4.78607173275801,4.81573749921409,4.78954796615276,4.72494099492016,4.68529124195175,5.05057519231253,4.84282857442742,4.9793321952458,4.95610550061048,4.69378123510542,4.57516278071761,4.61054270870761,4.64121959069181,4.94025469250166,4.85649458853878,4.79670841463601,5.51200695998104,5.45496103020028,5.23312215596218,5.27467957117332,5.14253336142738,5.14469204148457,4.8076398435174,4.93884327877262,4.63735358443825,4.60736851394045,4.67110150724477,4.50674751015082,4.58236082419872,4.51140345933382,4.77689300525309,4.59212589379812,4.47190703941818,4.58267927812281,4.56585486549954,4.52036715266029,4.52590075357029,4.61124187305626,4.65593019811276,4.60261092780464,4.57391715057525,4.65112642289677,4.46900978717414,4.50102126760439,4.44511701486072,4.47306088124523,4.66559465320391,4.83779652628425,4.67529411445381,4.72603509980728,4.59296362000577,4.63159948350894,4.64763613505808,4.7947704097068,5.07323443284335,5.27875503778238,5.35555764450583,5.09503508519014,4.91822337366744,4.89881540074731,4.87897621861783,4.85345467755832,4.61323053043652,4.56425079486326,4.6119010729338,4.55438622426741,4.38145309624349,4.40883696090694,4.29147430238786,4.19471566351325,4.56061914230272,5.13034694853349,4.00674108048484,3.34628469184429,3.38867077170893,3.38657325815467,3.50955811925958,3.72496845568349,3.70433970946549,3.42438036489861,3.54121850072666,3.60855689339928,3.8622132220508,3.97163701521748,3.91119479708517,3.82089686941806,4.05887340357472,4.04434221989806,4.01386602730576,4.08374511609973,3.36077091863194,4.03994299490941,3.81215306312218,4.3114491725966,4.30561087042062,4.30754422186982,4.54477996660012,4.67171506929082,5.31604037070342,4.8323350851886,4.87310864328757,5.03109829711148,4.92670943172706,4.43365855536458,4.59977968225796,4.24934450400746,4.45700276690121,4.48113634991334,4.47683855870835,4.47915140953114,4.27929142523483,4.16466087153078,4.15464262820757,4.44654360306339,4.36548090276511,4.26238560806534,4.0540102095415,3.9590217454451,3.99904361092918],"EWA^FG_PRICE_MAVG(0,,,,200)":22.5757,"EWD^FG_TOTAL_RETURNC(0,-3AM)":10.856617,"VWO^PERCENT_CHANGE(FMA_EPS(+1,0,,,,\"PORTAGG\",\"MEAN\"),FMA_EPS(+1,-3AM,,,,\"PORTAGG\",\"MEAN\"))":-16.6418570923085,"EWJ^PERCENT_CHANGE(FMA_EPS(+1,0,,,,\"PORTAGG\",\"MEAN\"),FMA_EPS(+1,-1AM,,,,\"PORTAGG\",\"MEAN\"))":-10.0414784091281,"EWI^FMA_COS_DOWN(\"EPS\",\"1M\",+1,0,,,\"PORTAGG\",\"MEANR\")":6.0,"EWG^FMA_COS_DOWN(\"EPS\",\"1M\",+1,0,,,\"PORTAGG\",\"MEANR\")":23.0,"EWU^FMA_RBICS_REV_CURRENT(30, LOC, \"PORTAGG\")":17.3805118242571,"TRYDE10Y-FDS^FG_YIELD_NAME":"Germany Benchmark Bond - 10 Year","QQQ^FMA_EVAL_EBITDA(NTMA,0,,,\"PORTAGG\",\"MEANR\")":16.4998667742672,"EWJ^FG_TOTAL_RETURNC(0,-1AM)":5.1270366,"GLD^FG_TOTAL_RETURNC(0,-1AM)":3.92344,"USDEUR^FG_PRICE(0)":0.92051363,"PASP-FDS^FG_PRICE_CHANGE(0,-3AM)":-1.53846153846153,"EWG^P_PRICE(0)/P_PRICE_HIGH_PR(0,,,USD,,,\"PRICE\",\"INTRA\",\"52W\")":0.9977305,"VWO^FMA_PCT_ABOVE_MAVG(200,0,,,,\"PORTAGG\")":32.7024647887324,"EWG^FMA_COS_UP(\"EPS\",\"1M\",+1,0,,,\"PORTAGG\",\"MEANR\")":24.0,"TRYSE10Y-FDS^PCTCHG(FG_YIELD(0,,,,\"YTM\"),FG_YIELD(-1AM,,,,\"YTM\"))":9.931977,"CC_AU^FG_COMPANY_NAME":"Australia","EWN^FG_PRICE_MAVG(0,,,,30)":46.608833,"EWA^FG_PRICE_MAVG(0,,,,60)":23.676332,"EWJ^FMA_PCT_ABOVE_MAVG(200,0,,,,\"PORTAGG\")":69.9115044247788,"TRYNL10Y-FDS^FG_YIELD(0,,,,\"YTM\")":2.724,"CC_NZ^IMF_IFS_RCPI_Q(0)":4.655029,"EWD^FMA_PE(NTMA,0,,,\"PORTAGG\",\"MEANR\")":15.870621943015,"EWG^JULIAN(FMA_DIV_YLD(NTMA,NOW,NOW,M,\"PORTAGG\",\"MEANR\").DATES)":45350,"EWU^FG_PRICE_MAVG(0,,,,200)":32.2178,"EWL^JULIAN(FMA_DIV_YLD(NTMA,NOW,NOW,M,\"PORTAGG\",\"MEANR\").DATES)":45350,"TRYBR10Y-FDS^FG_YIELD(-10AY,0,Y,,\"YTM\")":[12.319731,15.989595,11.062725,9.887577,8.936093,6.883678,6.961219,10.970291,12.900059,10.455909],"CC_NZ^FG_COMPANY_NAME":"New Zealand","USDEUR^FG_COMPANY_NAME":"Euro per U.S. Dollar","EWI^FMA_PE(NTMA,-10AY,0,AM,\"PORTAGG\",\"MEANR\")":[12.9689501999363,14.2212595021542,14.0708482211635,14.1716625503396,14.7785325321067,13.6396566259806,14.3796105072559,13.2073275393212,12.301998011983,12.8090566763635,12.3465411669524,14.2793109121398,15.2610265141404,15.9388310177707,15.8914442549752,15.5045082139394,14.8304003267738,15.3796391842502,14.0801466921182,13.9538705482463,14.7557754064176,14.5402042731772,13.9620651057295,12.4521091193606,13.2250057853165,12.7500448691093,12.9121217132276,12.7778702479836,11.8557083830139,12.0914013738476,12.5206266110849,11.6898816711743,11.4746380817115,12.014925970761,13.7198633185164,12.9864369833174,13.3715242527145,13.5088662528605,13.7067949014255,13.3007485007019,13.2911156316648,13.5749941714021,13.3394042700422,13.5974383722529,13.7293486959989,13.4160196237327,13.2546031444468,13.0654642426309,12.3046923683967,12.4075853450745,13.2173491316891,11.7130393439483,11.4468033693622,11.3942858634379,10.6164346981033,10.5721799142306,9.94002956158159,9.60087780931526,9.42590620139115,9.90666269821955,10.4786916959104,10.923163395018,10.8935892251122,9.95473517348031,10.8047167214337,10.3747233306414,10.6711153335973,10.4737335321711,11.3452837013623,11.15020385013,11.4631351033453,11.4889814663776,10.5287998030365,9.5976681545152,12.9695299896013,17.6544194630382,17.9760991754632,16.491571431043,15.5007221673687,14.5590336185972,14.0379655693388,15.1804070132994,14.7743712672419,14.0779901231629,13.5098077828441,14.0471705125076,13.3022681019328,13.7319688728286,13.4337090345574,12.1118347771608,11.9288059196513,11.511751906207,11.7955687332937,10.6649134370866,11.3657601300363,10.5799456219617,8.93157367124482,9.75084099637307,9.17668325792174,8.76345679183419,7.70345533018875,7.7403876802686,7.64077774858365,7.5368975923427,8.07487083045603,7.88857804052585,7.9419834681083,8.41203256935796,8.7761051157398,8.49656591540779,8.33684161500357,8.54537760711136,8.84448989022233,8.38897770850312,8.48261079696335,8.00782357711585,8.16804802574917,8.6681648777691,8.94995350182723,9.00388375619441,9.27849633940662],"COPP-FDS^FG_PRICE_CHANGE(0,-1AY)":-5.5419323197646,"EWN^FG_PRICE(0)":48.44,"EWN^P_PRICE(0)/P_PRICE_LOW_PR(0,,,USD,,,\"PRICE\",\"INTRA\",\"52W\")-1":0.33480287,"EWD^FG_FCF_YIELD_NTM(0)":3.7559388883394,"EWA^FG_PRICE(0)":24.02,"EWD^FMA_DIV_YLD(NTMA,NOW,NOW,M,\"PORTAGG\",\"MEANR\")":3.30065745663349,"EWG^FMA_PE(LTM,0,,,\"PORTAGG\",\"MEANR\")":12.7256354702503,"QQQ^FMA_PE(LTM,0,,,\"PORTAGG\",\"MEANR\")":34.8909855936238,"VWO^P_PRICE(0)/P_PRICE_HIGH_PR(0,,,USD,,,\"PRICE\",\"INTRA\",\"52W\")":0.9605569,"EWU^FG_ROE(0)":15.7516914910147,"EWD^FMA_PE(NTMA,-10AY,0,AM,\"PORTAGG\",\"MEANR\")":[15.9145806978317,15.9093508116535,15.6444081505704,15.853796393959,15.8493885641385,15.163305978966,14.7973149005033,14.3306098956464,15.1379904937799,15.56812668895,15.580527381065,16.2558739834123,17.0672706736385,17.0216798453716,15.8770949216739,16.2381145879512,15.5856786497829,15.8974078514511,14.5337713870876,14.1462302046591,15.7638695124564,15.301358425341,14.4413252976912,14.62021722787,15.5575452499885,15.0125542245811,14.8024286787735,14.7761017947686,14.6967790020612,14.9968884719293,15.6461650170137,15.9178033902776,15.466357740438,15.958798335709,16.5733138338338,16.5227064130977,16.488603046213,16.9128482510411,17.1818242004973,18.0717772891166,16.6697160211889,16.1106291583542,15.965060274012,16.9648734783742,17.3618010522557,16.6024346262441,16.3783030690931,16.4732815841935,15.7541759072653,15.35327676715,15.820382466456,15.5265204930381,15.1698699116889,15.564368026137,15.7660969941905,15.7656655373605,14.6065068232269,14.0917756118493,13.6203556981464,14.2367223706847,14.9217633132031,15.1447969729997,15.6580015974668,14.2765890157834,15.2217776614731,14.5782762503662,13.9464444448238,14.5253212487074,16.0299800755742,15.5720623889083,16.2353785640944,16.4697789450216,15.3606499745586,14.2429721899089,17.3068551738066,19.6086734973416,19.6962540272857,18.4478823576681,17.9733322972651,18.1470522811909,16.330639150606,17.3762929965275,18.1626013899605,19.0206051159409,19.239814280483,20.2750642239152,17.7102747895429,18.678738749802,18.6967713787255,18.6593898138268,18.6210488248724,17.6172395888089,18.5761582596282,18.3813314189373,18.8499718673322,16.3173333325732,14.0150025784833,15.3836944739876,14.1800480480437,16.2081109684652,14.1175286908588,15.1150235886553,13.9407914784345,13.6457374578255,12.6298503986909,13.2020133958543,13.0640349450541,14.5470689674175,14.2596382117256,13.7710976189543,13.5747628484398,13.6792109600104,13.5505958179827,13.1148555301017,12.9963127514576,12.6074397527864,12.8675068628209,14.6783867863966,15.3592788834937,15.6260785549776,15.870621943015],"PASP-FDS^FG_PRICE_CHANGE(0,-1AM)":-0.826446280991733,"EWA^FG_PRICE_MAVG(0,,,,30)":23.673,"EWN^P_PRICE(0)/P_PRICE_HIGH_PR(0,,,USD,,,\"PRICE\",\"INTRA\",\"52W\")":0.99650276,"EWG^PERCENT_CHANGE(FMA_EPS(+1,0,,,,\"PORTAGG\",\"MEAN\"),FMA_EPS(+1,-3AM,,,,\"PORTAGG\",\"MEAN\"))":-6.44786954518065,"EWC^FMA_RBICS_REV_CURRENT(30, LOC, \"PORTAGG\")":40.9198307473676,"TRYFR10Y-FDS^FG_YIELD(0,,,,\"YTM\")":2.88,"QQQ^FMA_DIV_YLD(NTMA,NOW,NOW,M,\"PORTAGG\",\"MEANR\")":0.873570101366551,"EWC^PERCENT_CHANGE(FMA_EPS(+1,0,,,,\"PORTAGG\",\"MEAN\"),FMA_EPS(+1,-1AM,,,,\"PORTAGG\",\"MEAN\"))":-5.52652668781151,"TRYVN10Y-FDS^FG_YIELD(-10AY,0,Y,,\"YTM\")":[7.3,6.277413,7.1117578,5.6717234,4.738006,3.5404546,2.4877946,2.059403,4.687226,2.9473283],"USDCAD^STD(FG_PRICE_CHANGE(0,-3AY,M))":1.88393951090363,"USDSEK^FG_PRICE(0)":10.35235,"USDCAD^STD(FG_PRICE_CHANGE(0,-1AY,AM))":1.33607263357915,"EWN^FMA_PE(NTMA,-10AY,0,AM,\"PORTAGG\",\"MEANR\")":[14.2135660583974,14.418707515667,14.0451316802475,14.3800567280407,14.7610889154335,13.7294911063854,14.7653683477746,14.3962121736047,14.4135973072754,15.0439316831914,14.7415881880381,15.7019018979136,17.0136250070939,17.2941740768059,16.9538857876576,16.7297485233588,16.3203363371118,16.9682422223256,14.6664536541852,14.3419530965628,16.078528391647,15.7565480733989,15.0388291543828,14.6044140747346,15.1896219004673,15.1561427806192,14.603579269761,15.0861469584859,14.211112750831,14.5524481630844,15.3407069268504,15.0830307082648,14.2561430437559,14.2262921960439,15.1317023246567,15.1490347352061,15.8009171850079,16.0042483804641,16.6083855987058,16.396469374385,15.7501055642313,16.0716205213413,15.6909424418986,16.1080941462545,16.421423660795,15.8832519495267,16.1081624498857,16.011029812542,15.1871700478783,15.2429707910015,15.6208701701628,15.8205115180746,15.4454391834472,15.9445439213679,15.497601097526,14.7537683106234,14.2175372558626,14.1374857249048,13.120370306583,14.2087512348359,15.0009042817828,15.5192273397544,15.7858604141071,14.9799713441675,15.7382749530245,15.3613052878032,15.6661311663915,15.9062927151525,16.4612623214344,16.53655627522,17.1873998153889,17.3116125540237,16.2725019714599,14.0657699374322,16.7837318948459,19.3582961816099,19.8346728837101,19.8699556901521,19.1851884180544,19.4526676632613,19.5392742750028,20.5535144995925,20.7947347911555,21.7830216283646,20.9576466091829,22.7386617085589,21.2908190435194,21.3284086523289,21.3058755207648,21.7471664019874,21.9478951637422,19.8970361525138,21.6208439913169,19.773992773068,20.6173908746817,18.2609067744502,16.2720875388512,18.5916895804458,16.8180125893736,17.2274205339076,15.8399376892068,18.1562179065952,15.9523177472139,15.2188563796483,14.9663822434631,16.4611003122291,16.1219242527655,17.3668687115047,16.710047956736,16.4472127356785,15.5571081627764,15.7498044532279,15.9369598527387,15.6771867592415,14.7364793744004,13.3892221550472,13.8966704821205,14.6009605588415,14.7447617716396,15.7874212985246,18.5715482653789],"PASP-FDS^FG_PRICE_MAVG(0,,,,30)":953.93335,"EWQ^FG_PRICE_MAVG(0,,,,60)":38.83725,"ENZL^FG_PRICE_MAVG(0,,,,60)":46.701084,"FXI^P_PRICE(0)/P_PRICE_LOW_PR(0,,,USD,,,\"PRICE\",\"INTRA\",\"52W\")-1":0.12128472,"EWN^FG_TOTAL_RETURNC(0,-6AM)":18.719196,"EWG^FG_TOTAL_RETURNC(0,-3AM)":7.303107,"USO^FG_TOTAL_RETURNC(0,-1AM)":9.628201,"USDSEK^FG_COMPANY_NAME":"Swedish Krona per U.S. Dollar","USDAUD^FG_COMPANY_NAME":"Australian Dollar per U.S. Dollar","COPP-FDS^FG_PRICE_MAVG(0,,,,30)":3.8158166,"FXI^P_PRICE(0)/P_PRICE_HIGH_PR(0,,,USD,,,\"PRICE\",\"INTRA\",\"52W\")":0.76588076,"EWN^FG_TOTAL_RETURNC(0,-3AM)":15.379345,"EWI^PERCENT_CHANGE(FMA_EPS(+1,0,,,,\"PORTAGG\",\"MEAN\"),FMA_EPS(+1,-1AM,,,,\"PORTAGG\",\"MEAN\"))":3.17700928423839,"EWC^FMA_PCT_ABOVE_MAVG(200,0,,,,\"PORTAGG\")":61.7977528089888,"ENZL^FMA_RBICS_REV_CURRENT(30, LOC, \"PORTAGG\")":13.6238991435932,"TRYUS10Y-FDS^PCTCHG(FG_YIELD(0,,,,\"YTM\"),FG_YIELD(-3AM,,,,\"YTM\"))":-1.0909028,"EWJ^FMA_PE(NTMA,-10AY,0,AM,\"PORTAGG\",\"MEANR\")":[13.3863222457718,13.4367439253404,13.0292388408046,13.5868482418009,13.9379781926158,13.7377112703887,13.7710622815259,13.605547455641,14.3855299747179,14.7442469456248,14.2217382053288,14.062991963231,15.0420221781974,15.3071373737643,15.6441413428259,16.2402418749483,15.5409536493671,15.5040789231642,13.3308657736671,13.2918978074689,14.2206006581181,14.4319964693314,13.7050380709808,12.7054724080409,13.0918787470464,12.4045816644422,12.4604476329538,13.4176105000418,12.6818555773172,12.993005689561,13.636063568928,13.4009374801389,13.3340396907029,14.6070228151189,14.9695015700192,14.2633100796732,14.3112752079332,13.6830274618086,14.0220437262967,14.6177589268447,14.2554982317049,14.2334736352065,13.7297054110204,14.0654554311952,14.8043693202298,14.6507717948096,15.0970522527145,14.824058295345,12.8016957965391,12.6896517314878,13.1840853880057,13.1353984427347,12.6573301662808,12.8227895061279,12.5541050676413,13.1390534663798,12.1167172200331,12.1558547598052,10.9548340208761,12.0496570667173,12.6676689359415,12.6899105746731,12.7487262459767,12.1055156657887,12.9190449413411,12.6129597904912,12.5626712967727,13.0727555585828,13.8292931028441,14.3877073728314,14.5187270613216,14.1902508800333,12.9102026593606,11.722783515891,13.7849359848947,17.1345998913154,17.475735827475,17.7066700714291,18.2180373745715,17.9011673436619,17.5344686955038,18.5712872999413,18.2421165071297,18.461430229616,17.571277200459,17.5855024192748,16.6393562163216,16.6345877129577,16.3206793309877,15.629578519918,15.7491392162721,15.0481377645604,15.5349848822812,14.506280421085,14.7601063445943,13.7802969918217,12.7648427917957,13.3114412798827,12.8339237804872,12.9288237261061,12.1577790481003,12.6908938179285,12.6231584924877,12.3501910219507,12.4068219032521,12.7461019649459,12.0482122134764,12.8646775621292,13.3078478400138,13.2997444210899,13.6392232347146,14.3085834324374,15.0865123048886,14.4457757151244,14.6762206622934,13.7326333822466,14.1559623356939,14.1545954825582,14.058709048772,14.9532248374916,17.0299526822646],"NI-FDS^MAX(FG_PRICE(0,-5AY))":48241.0,"COPP-FDS^FG_PRICE(0)":3.852,"SPY^FG_PRICE_MAVG(0,,,,200)":452.20715,"ENZL^FG_PRICE_MAVG(0,,,,30)":45.922,"EWQ^P_PRICE(0)/P_PRICE_LOW_PR(0,,,USD,,,\"PRICE\",\"INTRA\",\"52W\")-1":0.19934642,"EWC^P_PRICE(0)/P_PRICE_LOW_PR(0,,,USD,,,\"PRICE\",\"INTRA\",\"52W\")-1":0.17860556,"EWD^FMA_COS_UP(\"EPS\",\"1M\",+1,0,,,\"PORTAGG\",\"MEANR\")":10.0,"EWA^FMA_COS_UP(\"EPS\",\"1M\",+1,0,,,\"PORTAGG\",\"MEANR\")":30.0,"EWI^FG_ROE(0)":12.7985922948259,"VWO^FMA_EVAL_EBIT(LTMA,NOW,NOW,M,\"PORTAGG\",\"MEANR\")":13.8732869646192,"EWN^FMA_EVAL_EBITDA(NTMA,0,,,\"PORTAGG\",\"MEANR\")":13.9337982188975,"QQQ^JULIAN(FMA_DIV_YLD(NTMA,NOW,NOW,M,\"PORTAGG\",\"MEANR\").DATES)":45351,"EWC^FMA_EVAL_EBIT(LTMA,NOW,NOW,M,\"PORTAGG\",\"MEANR\")":16.3605060757202,"USDANG^STD(FG_PRICE_CHANGE(0,-3AY,M))":0.0,"USDNZD^STD(FG_PRICE_CHANGE(0,-3AY,M))":3.53129360615239,"EWA^FMA_PE(NTMA,-10AY,0,AM,\"PORTAGG\",\"MEANR\")":[14.0429499239715,14.2984806195286,14.2721515065256,14.1775471088901,14.470144161433,14.7716754991309,14.8904681920022,13.9080576011534,14.5471572676946,14.1094730853552,14.6262194220997,15.758257082409,16.220909830015,16.2523775221701,16.301695757441,15.1638263068372,15.4841375406311,15.7204422358023,13.999494154228,14.2968851204463,15.093278417169,15.064781264346,15.6384303118155,15.3262496654408,15.8199453818539,15.415935362746,16.3553319729932,16.2996290566753,15.999973819414,16.4900617545458,16.2099438092433,16.3576474953088,15.3783155559203,15.6786481105494,15.9978846569998,15.6042763822164,15.7107518687991,15.7971870856378,15.7802607224412,15.39965433794,15.3175279280684,15.6506028945661,15.6384385009527,15.3362843367515,15.946902792774,15.845029356876,16.0193841662017,15.9032455761203,15.3294363410676,14.759298666304,15.310383772271,15.13810878929,15.5010352829042,15.4881824673553,15.5536558232622,15.1138064381411,14.3912145806402,14.1673441049957,13.9949240615902,14.6789558767283,15.4624279720486,15.3844252171123,15.4009511831517,15.4168961445301,16.2872000468238,16.3162212856101,16.1249512629421,16.2497435015316,16.9883030102618,16.8461142675154,17.23769927886,17.7394966894497,16.2783170651856,14.2933351383017,16.773175602281,19.6117734526855,19.2256058688285,19.1987639029907,18.9553895113679,17.8949313774311,18.2357631380362,19.8955331411634,19.1880470887245,18.8496678026363,18.2222691783455,17.6611665393569,18.0117541561927,18.4410063144999,17.3066818034817,17.0996909872917,17.387460383849,17.0244825157634,17.9601600627582,16.9172725511445,17.7139952423083,15.8324556469375,15.6991855448931,16.0905199310405,14.7806516550441,14.2559874186128,12.4724347323239,13.7848691906161,13.5788553456945,13.0926361235895,13.4695934600517,14.5963023095546,14.0266685111293,15.0568337909699,14.5201460991821,14.4792312011978,14.3780592297632,14.3998475346568,15.0142265583721,15.4026298204681,15.5104648620548,14.4006146318785,14.8757381207264,15.398533278867,16.1764570939353,16.5898470502772,16.6069622960294],"PLATI-FDS^FG_PRICE(0)/MAX(FG_PRICE(0,-1AY))":0.787665198237885,"ENZL^FG_PRICE(0)":45.08,"EWJ^P_PRICE(0)/P_PRICE_LOW_PR(0,,,USD,,,\"PRICE\",\"INTRA\",\"52W\")-1":0.28164232,"EWC^P_PRICE(0)/P_PRICE_HIGH_PR(0,,,USD,,,\"PRICE\",\"INTRA\",\"52W\")":0.9936921,"EWI^FMA_PCT_ABOVE_MAVG(200,0,,,,\"PORTAGG\")":68.0,"EWA^PERCENT_CHANGE(FMA_EPS(+1,0,,,,\"PORTAGG\",\"MEAN\"),FMA_EPS(+1,-3AM,,,,\"PORTAGG\",\"MEAN\"))":-1.68479167339371,"EWN^SIZE(FG_CONSTITUENTS)":55,"ENZL^SIZE(FG_CONSTITUENTS)":15,"EWQ^FG_ROE(0)":11.9153313127968,"REFGBBANK-FDS^FG_YIELD(NOW,,,0)":5.25,"TRYUS10Y-FDS^PCTCHG(FG_YIELD(0,,,,\"YTM\"),FG_YIELD(-1AM,,,,\"YTM\"))":4.680321,"EWU^FMA_EVAL_EBIT(LTMA,NOW,NOW,M,\"PORTAGG\",\"MEANR\")":10.3790862412806,"USDANG^STD(FG_PRICE_CHANGE(0,-1AY,AM))":0.0,"USDNZD^STD(FG_PRICE_CHANGE(0,-1AY,AM))":2.17288941445153,"ENZL^FMA_PE(NTMA,-10AY,0,AM,\"PORTAGG\",\"MEANR\")":[17.1708318210941,17.2777830175213,17.7327766438296,17.1443728874014,17.32041006322,16.9940217661714,17.265195330418,17.0817297077626,17.7371668759014,18.0608533316646,18.3613013678912,19.1543353677596,19.2249890279109,18.4899205739579,18.2319462564558,18.3636593132085,18.2289772582524,18.4293396237735,17.2015824314033,16.9700635398646,18.2816422301113,18.1877637495649,18.2707979599419,17.3112897676038,18.0124966648951,18.5112430016437,18.8313003545641,19.4929709603077,19.059687665176,20.08127870695,20.6958794495932,20.2497674276414,18.2150531619003,18.7150183102484,18.7432023333229,19.0975197273083,19.0176230962398,19.1385579728599,19.4408903270487,19.4809545927608,19.4565018600269,19.8184185668558,19.9205763536595,19.812097428364,20.2607857672626,20.3656939917651,21.0151764254555,20.9643662464545,20.254594308011,20.1266114384915,20.3470634754239,20.5236612546943,21.3783934241575,20.9208465976924,21.9367620950543,21.379556949515,20.3149253120883,20.2875400226918,19.9014809258006,20.4225650865482,21.756838462993,22.3801381158921,22.8790877957081,22.4328255984599,23.9009109176406,24.7241187918701,26.1689236474308,25.315679184783,24.8542870592984,25.5699679213229,25.892417189177,25.777302567957,26.0603218038678,25.4321240613704,29.035879770463,30.510945764533,31.1429880652595,32.1223959134736,32.2310139877911,31.9539882573779,32.8964108077883,32.5104823611867,34.2405257269894,32.8872994048619,31.7347203975857,32.1646560824619,32.8210794886046,33.1818415210105,34.2994539736844,34.3120024276324,35.0558025094772,34.6220436903752,33.4680616546862,31.1544012693683,32.2759314958494,30.2786270119634,29.4592610621962,28.7294182256224,28.9937376547513,26.9009383698974,25.335570939777,26.7626790880838,27.0887216417372,24.0901251950625,23.5137564579036,23.4701979612872,23.3023161140285,24.4182624076852,23.5699102731238,23.364078492875,23.5817680780018,21.1567770376368,21.0360948282709,20.9424546735886,20.8795334368409,19.9784685206573,20.0584413923127,21.6033889162125,22.8233927344052,22.4469699971523,23.3837124038528],"TIOS-FDS^MAX(FG_PRICE(0,-5AY))":219.77,"SPY^FG_PRICE_MAVG(0,,,,60)":484.27182,"EWQ^P_PRICE(0)/P_PRICE_HIGH_PR(0,,,USD,,,\"PRICE\",\"INTRA\",\"52W\")":0.998269,"EWA^FG_TOTAL_RETURNC(0,-6AM)":10.179305,"EWD^PERCENT_CHANGE(FMA_EPS(+1,0,,,,\"PORTAGG\",\"MEAN\"),FMA_EPS(+1,-3AM,,,,\"PORTAGG\",\"MEAN\"))":-0.495966091858695,"REFGBBANK-FDS^PROPER_NAME(0,,,\"SECURITY\",\"NAME\")":"UK Bank Rate","VWO^FMA_EVAL_EBITDA(NTMA,0,,,\"PORTAGG\",\"MEANR\")":9.27102479443158,"EWN^FG_FCF_YIELD_NTM(0)":3.25117193057391,"TLT^FG_TOTAL_RETURNC(0,-1AM)":-1.7549217,"TRYCH10Y-FDS^PCTCHG(FG_YIELD(0,,,,\"YTM\"),FG_YIELD(-1AM,,,,\"YTM\"))":-8.29439,"VWO^FMA_DIV_YLD(NTMA,NOW,NOW,M,\"PORTAGG\",\"MEANR\")":3.15506497935286,"EWC^FMA_DIV_YLD(NTMA,NOW,NOW,M,\"PORTAGG\",\"MEANR\")":3.26196135361486,"PLATI-FDS^FG_PRICE_CHANGE(0,-1AY)":-9.23857868020305,"EWQ^FG_TOTAL_RETURNC(0,-6AM)":8.557117,"EWA^PERCENT_CHANGE(FMA_EPS(+1,0,,,,\"PORTAGG\",\"MEAN\"),FMA_EPS(+1,-1AM,,,,\"PORTAGG\",\"MEAN\"))":1.41172491222421,"EWN^FMA_COS_DOWN(\"EPS\",\"1M\",+1,0,,,\"PORTAGG\",\"MEANR\")":18.0,"ENZL^FMA_COS_DOWN(\"EPS\",\"1M\",+1,0,,,\"PORTAGG\",\"MEANR\")":9.0,"SPY^FG_ROE(0)":18.0612862464207,"REFCHMPR-FDS^PROPER_NAME(0,,,\"SECURITY\",\"NAME\")":"Swiss Policy Rate - Sight Deposit Rate","VWO^FG_FCF_YIELD_NTM(0)":5.06454561198217,"EWN^FMA_DIV_YLD(NTMA,NOW,NOW,M,\"PORTAGG\",\"MEANR\")":2.4848618906768,"EWU^FMA_PE(NTMA,0,,,\"PORTAGG\",\"MEANR\")":11.4247590287301,"EWC^FG_FCF_YIELD_NTM(0)":4.9567787243007,"REFJPTON-FDS^FG_YIELD(NOW,,,0)":-0.1,"TRYJP10Y-FDS^PCTCHG(FG_YIELD(0,,,,\"YTM\"),FG_YIELD(-3AM,,,,\"YTM\"))":3.1159408,"VWO^FG_PE_NTM(0,,,90,0)":13.5805423201849,"VWO^FG_TOTAL_RETURNC(0,-1AM)":4.466319,"USDANG^FG_PRICE_CHANGE(0,-6AM)":0.0,"USDNZD^FG_PRICE_CHANGE(0,-6AM)":-2.6891828,"PLATI-FDS^FG_PRICE_CHANGE(0,-6AM)":-9.42249240121581,"SPY^FG_PRICE_MAVG(0,,,,30)":497.292,"EWA^FG_TOTAL_RETURNC(0,-3AM)":8.713508,"EWN^FMA_PCT_ABOVE_MAVG(200,0,,,,\"PORTAGG\")":53.7037037037037,"ENZL^PERCENT_CHANGE(FMA_EPS(+1,0,,,,\"PORTAGG\",\"MEAN\"),FMA_EPS(+1,-1AM,,,,\"PORTAGG\",\"MEAN\"))":-5.48479787271044,"ENZL^FMA_COS_UP(\"EPS\",\"1M\",+1,0,,,\"PORTAGG\",\"MEANR\")":4.0,"QQQ^FG_ROE(0)":22.2705069539562,"TRYCH10Y-FDS^FG_YIELD(0,,,,\"YTM\")":0.785,"EWU^FMA_PE(LTM,0,,,\"PORTAGG\",\"MEANR\")":11.1199564306398,"USO^P_PRICE(0)/P_PRICE_HIGH_PR(0,,,USD,,,\"PRICE\",\"INTRA\",\"52W\")":0.88858205,"ENZL^P_PRICE(0)/P_PRICE_LOW_PR(0,,,USD,,,\"PRICE\",\"INTRA\",\"52W\")-1":0.09870553,"ENZL^FMA_PCT_ABOVE_MAVG(200,0,,,,\"PORTAGG\")":50.0,"EWN^FMA_COS_UP(\"EPS\",\"1M\",+1,0,,,\"PORTAGG\",\"MEANR\")":26.0,"EWN^FMA_PE(NTMA,0,,,\"PORTAGG\",\"MEANR\")":18.5715482653789,"EWC^FMA_PE(NTMA,0,,,\"PORTAGG\",\"MEANR\")":14.8629000203024,"FC0000GR^FG_PRICE(0)":9.824128,"EWQ^PERCENT_CHANGE(FMA_EPS(+1,0,,,,\"PORTAGG\",\"MEAN\"),FMA_EPS(+1,-1AM,,,,\"PORTAGG\",\"MEAN\"))":-8.74368031840675,"FXI^SIZE(FG_CONSTITUENTS)":51,"QQQ^FG_TOTAL_RETURNC(0,-1AM)":3.498745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13612011142,2.46081798651847,2.80265475944353,2.92072613428035],"EWI^FMA_PE(LTMA,-10AY,0,AM,\"PORTAGG\",\"MEANR\")":[17.4118138675369,17.4136802869271,17.1929215138145,17.167262290833,17.6402971957018,17.0263482508288,18.1398171913731,17.2120704446378,16.7255895343347,18.6482594777937,18.3466638170294,24.2183373091815,44.8432743982694,42.2802481730877,39.3568245312479,36.3499319294915,33.483948253963,30.9211640184065,27.2539900020776,24.8459512457413,23.0628788383285,20.6936266018261,17.6395720178285,14.4505925252191,15.4230131530954,15.1690932607388,15.0923711033051,14.9456084735528,14.4259968433632,14.5008630084656,15.1038076396175,14.5934601676255,14.3428184222674,14.4867861339462,28.0415530750573,20.4174498420508,85.3564615635191,77.870542433568,70.9460323769124,64.0285620945993,56.8092072651158,49.538256012373,42.9328744031754,35.5006667970594,28.8236970843374,21.7201860754476,15.4249303358665,15.4206696166956,14.1696212278114,14.0440537018873,14.2418853683048,13.5744665710781,13.3079904494722,13.1387089321782,12.4545973487094,12.2482589104941,11.5501657389104,11.1176283029121,10.7065671091417,11.0560606052493,11.2886251924667,11.351685085385,11.34433898976,10.9137950638932,11.2832911384678,11.0615612962911,11.2117209537195,11.0771423928189,11.9543291147804,11.7878181703357,12.1860381147651,12.2272469555023,11.3447655393459,11.0870115154984,12.5056925735503,15.4744214974493,17.0037692368536,17.2864082655253,17.7000312946623,18.115127925755,19.3439730311474,22.3904884468905,23.3391437226529,21.1660835060948,20.2001063640676,19.7895671723476,18.9801405331032,18.585789715606,17.9766484038761,16.3805223733927,15.5697007485226,14.5149528671049,14.1118136499835,12.2946929957655,12.4145580059855,11.7158048150002,10.4791778418614,10.5554692981079,10.2924894859238,9.96986201910191,9.32052182494765,8.95826626404019,8.51641207644438,8.23697527373468,8.25302799110711,7.88335706991699,7.71634292428465,8.18862995108811,8.32077859114348,8.31104891949933,8.2853168655711,8.41175433140411,8.63358897342958,8.30455360663595,8.38806422040202,8.07695085520218,8.20324246667842,8.64204564075223,8.89382637498702,9.08446825995505,9.27031038294217],"QQQ^FG_PRICE_MAVG(0,,,,60)":417.739,"REFJPTON-FDS^(SUBARRAY(NOT_NA(NO_REPEAT_F(FG_YIELD(NOW,-10AY,D))),0,1)-SUBARRAY(NOT_NA(NO_REPEAT_F(FG_YIELD(NOW,-10AY,D))),1,1))*100":-20.0,"EWU^JULIAN(FMA_DIV_YLD(NTMA,NOW,NOW,M,\"PORTAGG\",\"MEANR\").DATES)":45350,"EWI^FMA_DIV_YLD(NTMA,NOW,NOW,M,\"PORTAGG\",\"MEANR\")":5.32410854707422,"TRYTR7Y-FDS^FG_YIELD(-10AY,0,Y,,\"YTM\")":[7.979133,10.679033,11.110786,11.586128,15.896213,12.034795,12.534946,23.870693,7.323803,21.984322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27032146839],"EWD^FMA_PE(LTMA,-10AY,0,AM,\"PORTAGG\",\"MEANR\")":[15.2263347073423,15.3798180919709,15.4457277166589,15.739347939926,15.9551548654774,15.8355760500575,15.9221746553735,15.7984597954535,16.5002996588234,17.230893150017,17.5611304283267,18.7306595236697,20.2058847364245,19.9577239367745,19.2326555199115,19.150692837615,18.5594823200711,18.4234555013061,17.1706881063775,16.4681325303132,17.4446667488981,16.8085658844358,15.450058104013,14.8076271088276,15.6493999203538,15.5552695103873,15.5074650500016,15.4832213384227,15.4538294040505,15.7000002003564,16.2003736307799,16.606433066163,16.5204798150493,17.3004395096195,18.3459614003345,17.317713288186,17.4512606454946,17.5472795163147,17.6820533787236,18.1528829143027,17.6072549666568,17.0737358104253,16.9755886646677,17.8543199534358,18.5544382013791,18.1084189134506,18.1977190468129,18.7371641814784,16.8815747774007,16.7003927546224,16.7673617804807,16.6057942513812,16.3719159528033,16.5915548331113,16.748752323118,16.8242164943209,15.4743853477997,14.7477333239919,14.0807560582387,16.2360867570493,18.1413254465354,17.8975621289525,17.8458656711923,17.0206295610308,17.2219803424837,16.6021513867663,15.9032969524347,16.0615937535805,17.0926881740577,15.8071957401211,16.3304978555893,14.2536553576023,12.9753017133522,13.0287292930084,14.7587063245461,16.4453890460528,17.5640069288372,17.1731465639003,17.2284508319473,18.0136853183054,15.6753382177758,17.1069519801277,18.1121546210417,18.034389002137,17.6859858598049,18.1673704513481,17.4105700673991,17.8751875292888,18.0061697590247,17.6230205423994,17.5730624674858,16.8112435762064,16.6826492976408,16.1153719422025,17.1512450841927,12.2284218487772,11.5152949931041,12.1681805087061,12.1913369263323,13.8630577044977,13.3069346694575,14.6692892459779,14.4771349600033,14.9465289973055,13.5804089834813,14.5317646340623,15.9798805263351,27.3012638074588,25.5878671279295,24.2816103482016,23.1207610830261,22.0082610502462,20.7749188614945,19.2345647455212,17.9375657292314,16.332120371566,15.9296626937602,17.4884176889329,17.4733837562466,15.2193554657805,15.7591493478474],"PLATI-FDS^FG_PRICE_CHANGE(0,-3AM)":-4.38502673796791,"QQQ^FG_PRICE(0)":444.02,"EWQ^PERCENT_CHANGE(FMA_EPS(+1,0,,,,\"PORTAGG\",\"MEAN\"),FMA_EPS(+1,-3AM,,,,\"PORTAGG\",\"MEAN\"))":-11.8546359307356,"REFSEREPO-FDS^PROPER_NAME(0,,,\"SECURITY\",\"NAME\")":"Sweden Repo Rate","TRYTW10Y-FDS^FG_YIELD(-10AY,0,Y,,\"YTM\")":[1.6015,1.015,1.2037,0.9478,0.8648,0.672,0.315,0.7413,1.2812,1.211]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19874125,3.67789534776584,4.61613845138492,4.46089531352278,4.55933864625466],"SPY^FMA_PE(LTMA,-10AY,0,AM,\"PORTAGG\",\"MEANR\")":[16.3955453897826,16.2968359427293,16.2372062655387,16.3003204021029,16.4996505616026,16.2029024156078,16.4849999912374,16.3629751097438,16.684921910295,17.1911357554625,17.2880609023596,17.0995495528243,17.5799708274535,17.4862016147174,17.5670688830186,17.4719082405555,17.3881398304416,17.4804102529502,16.5216733276677,16.6496234324281,17.5924137357809,17.4949842320588,16.8740731560845,16.2966838906097,16.18819342752,16.4452153070474,16.565182572191,16.7753482194953,16.9159239183927,17.3687128662998,17.6159089870747,17.6604468683771,17.2918700891375,18.2194455870168,19.0533805734181,19.0470058282493,19.5059964529408,19.3170637122769,19.2164526892078,19.238310359636,19.0961398757214,19.1759928307014,19.0917620071552,19.4373095021123,19.6418530820794,19.9724142674525,20.5965677858188,20.4222110096896,19.753213097976,19.3882771370759,19.0584991730264,18.9288508433386,18.5562986133552,18.6694704620637,18.654180542312,18.5055152210056,17.3250553415588,16.8848339833356,15.6618488826115,16.8014756694772,17.1112776465071,17.1996750663753,17.3212839887634,16.9941811050291,17.5797539543109,17.4926407268984,17.5851849371932,17.794563845827,18.5597061398244,18.959983645075,19.8915399440879,20.0691386730713,18.0715434525816,17.557040547659,19.2731921961178,20.7668198070845,21.3671576551022,22.3038942807201,23.3883618464257,23.5187739818145,23.9337439724761,25.9027611325381,26.9439055447151,27.1482501290524,26.1622497896246,26.0393846136138,25.466466538247,25.0640225235674,24.9298725129803,24.0941196651705,24.0082796562599,22.804994578896,23.5200371236019,22.474526753368,23.3451138885706,21.5223060262083,20.6614683379461,20.7468916383848,20.2294383694768,19.6695178267227,18.8216824588018,19.3781930881383,18.543543501192,17.9146497617128,17.6683217500341,18.6182342100037,17.491096160865,18.810006379886,18.1092429863217,18.2200606304666,18.1797096756021,18.6063601904263,19.1667197855834,19.3786789412874,19.5870191516838,18.9957221012806,19.5028656496435,20.4955035062471,21.365681505201,22.3991230399419,23.155143878481],"PLATI-FDS^FG_PRICE_CHANGE(0,-1AM)":-1.75824175824176,"URTH^P_PRICE(0)/P_PRICE_HIGH_PR(0,,,USD,,,\"PRICE\",\"INTRA\",\"52W\")":0.99672145,"FXI^FMA_COS_DOWN(\"EPS\",\"1M\",+1,0,,,\"PORTAGG\",\"MEANR\")":20.0,"EWL^FG_ROE(0)":24.1266840314759,"REFJPTON-FDS^PROPER_NAME(0,,,\"SECURITY\",\"NAME\")":"Japan Policy Rate","TRYJP10Y-FDS^PCTCHG(FG_YIELD(0,,,,\"YTM\"),FG_YIELD(-1AM,,,,\"YTM\"))":5.3293877,"VGK^FMA_EVAL_EBIT(LTMA,NOW,NOW,M,\"PORTAGG\",\"MEANR\")":13.0698985396901,"EWC^FMA_PE(LTM,0,,,\"PORTAGG\",\"MEANR\")":16.4884355869725,"DBA^P_PRICE(0)/P_PRICE_HIGH_PR(0,,,USD,,,\"PRICE\",\"INTRA\",\"52W\")":0.9955655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455698578818],"EWC^FMA_PE(LTMA,-10AY,0,AM,\"PORTAGG\",\"MEANR\")":[16.5561814206342,16.4277853956283,16.374325786381,16.1929648993416,16.3289123304105,16.2632147956074,16.4672018357723,15.8239037173897,15.4701758949802,15.5503000572496,15.7070156564,16.1719455372154,17.0129997181938,17.095456503967,17.3722715313449,17.2369093217697,17.0842855539427,17.0369251442477,16.3289756829073,16.3797557994676,16.7688649740271,16.5771509376271,15.6579007267959,15.5497195772734,15.806776648673,15.9762520210847,16.301516958882,16.7490838649762,16.7934665316453,17.2097209866306,17.6838143347528,17.7498036694306,17.9708370643136,18.7977509765365,19.6417470328651,19.6526094006356,19.4084327608691,19.1001421299763,18.6826313037059,18.42952715946,18.0241574110775,18.0045353284545,17.5274265070569,17.6902426586131,17.4996441700455,17.2185018914301,17.4394824755236,16.3939027219064,15.8114070627831,15.6198928641047,15.5888812557178,15.5250481268711,15.464265835349,15.4898696571682,15.153028687669,15.0016635363752,14.2201797377882,13.9417337044614,13.2373247902731,14.6195787736894,14.7263630274139,14.7452976828294,14.6032994608244,14.4105210837952,14.5470594711168,14.3726991654181,14.4474859429443,14.5155283080125,14.9086180240408,14.9815503581764,15.2569832294954,15.5367709968033,14.4683396357362,14.1660934537007,15.6866160105218,17.1128878068767,17.4247691451461,18.1964896724324,18.1013456003587,18.4059117213452,18.4312175495254,20.0369285715154,20.5969012920507,20.8641443092447,19.9152642303619,19.6112449968824,19.1746888291518,18.7762277565505,18.4301547295925,17.7212986576671,17.2307850610811,16.3230143910268,16.6710607552959,15.4860500993552,15.4072578603303,15.4053006106557,15.241983480752,15.0457098602895,14.6099308225907,14.2639868085087,13.4335584086702,13.2266529697451,12.7701419947638,12.5512527258382,12.4251735409757,12.8844391541457,12.1523460871622,12.9204737630084,12.6284457678431,12.685728456823,12.7328785996034,12.894574518691,13.051981126626,13.4146178950906,13.659225175889,13.0133375855118,13.4837938998873,13.9992623852342,14.5459823743817,14.6713802983647,14.9493033489384],"CPALM-FDS^MAX(FG_PRICE(0,-5AY))":8163.0,"EWU^FG_PRICE_MAVG(0,,,,30)":32.509666,"ENZL^FG_TOTAL_RETURNC(0,-6AM)":1.1387229,"EWQ^FMA_PCT_ABOVE_MAVG(200,0,,,,\"PORTAGG\")":66.1290322580645,"EWJ^FG_ROE(0)":9.50728950489472,"TRYDE10Y-FDS^PCTCHG(FG_YIELD(0,,,,\"YTM\"),FG_YIELD(-3AM,,,,\"YTM\"))":3.307556,"TRYDE10Y-FDS^FG_YIELD(0,,,,\"YTM\")":2.405,"VGK^FMA_EVAL_EBITDA(NTMA,0,,,\"PORTAGG\",\"MEANR\")":9.03209206976305,"EWL^FMA_EVAL_EBITDA(NTMA,0,,,\"PORTAGG\",\"MEANR\")":13.5282992427661,"EWC^JULIAN(FMA_DIV_YLD(NTMA,NOW,NOW,M,\"PORTAGG\",\"MEANR\").DATES)":45351,"DBA^FG_TOTAL_RETURNC(0,-6AM)":7.786,"FXI^FMA_COS_UP(\"EPS\",\"1M\",+1,0,,,\"PORTAGG\",\"MEANR\")":13.0,"EWG^FG_ROE(0)":11.8485776502836,"EWQ^FMA_DIV_YLD(NTMA,NOW,NOW,M,\"PORTAGG\",\"MEANR\")":3.12066304412615,"EWA^FMA_EVAL_EBIT(LTMA,NOW,NOW,M,\"PORTAGG\",\"MEANR\")":12.4400251263789,"CAGDPY@IT^EE_ACTUAL_ANNUAL(MED,+1)":0.95,"W-FDS^MAX(FG_PRICE(0,-5AY))":14.2525,"EWU^FG_PRICE(0)":32.82,"URTH^FG_TOTAL_RETURNC(0,-6AM)":13.214933,"ENZL^FG_TOTAL_RETURNC(0,-3AM)":-0.43677092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JULIAN(FMA_DIV_YLD(LTMA,-10AY,0,AM,\"PORTAGG\",\"MEANR\"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0],"W-FDS^FG_PRICE(0)/MAX(FG_PRICE(0,-1AY))":0.741203551463334,"FXI^FMA_PCT_ABOVE_MAVG(200,0,,,,\"PORTAGG\")":45.0980392156863,"SPY^PERCENT_CHANGE(FMA_EPS(+1,0,,,,\"PORTAGG\",\"MEAN\"),FMA_EPS(+1,-3AM,,,,\"PORTAGG\",\"MEAN\"))":-10.8740778627976,"QQQ^SIZE(FG_CONSTITUENTS)":102,"TRYDE10Y-FDS^PCTCHG(FG_YIELD(0,,,,\"YTM\"),FG_YIELD(-1AM,,,,\"YTM\"))":7.944347,"VGK^FG_FCF_YIELD_NTM(0)":5.04747369188114,"EWL^FG_FCF_YIELD_NTM(0)":4.51711959689719,"EWA^FMA_PE(NTMA,0,,,\"PORTAGG\",\"MEANR\")":16.6069622960294,"DBA^FG_TOTAL_RETURNC(0,-3AM)":6.805241,"EWL^FMA_PE(NTMA,0,,,\"PORTAGG\",\"MEANR\")":19.1591141359456,"CAGDPY@IT^EE_ACTUAL_ANNUAL(MED,0)":1.05,"QQQ^P_PRICE_RETURNS_PR('52W',2,-10AY,0,AM)":[36.306763,28.220104,24.689663,27.359951,34.90254,25.744843,31.558311,26.545883,24.025011,25.07081,19.760979,23.005915,20.75466,18.8362,26.234686,21.040642,14.72975,18.112564,3.8896203,8.152592,14.704251,10.45413,7.46001,-0.1758635,-1.5673637,5.7254076,-2.7783275,0.7788539,1.2783289,5.0141096,13.995767,15.094852,-0.07240772,2.236712,10.98876,25.008858,25.422405,21.769142,31.794012,31.068588,27.310658,25.472868,26.356638,24.603558,35.735,33.310448,34.59725,32.550003,28.080952,21.597313,21.353745,22.553432,26.428091,26.604044,28.324831,25.852608,12.431717,9.353948,-1.7118514,3.8694143,5.9770107,16.007637,19.144058,1.2242913,13.068199,5.271876,2.2239327,4.4576406,19.200314,23.251545,44.13445,35.280823,26.141203,0.62907934,13.577593,35.51959,33.792843,45.479656,51.78802,50.15584,44.45579,52.055157,45.44624,46.215355,40.348995,79.143036,54.35388,43.681442,43.016754,36.63114,33.5145,29.235792,39.538788,26.587343,28.796982,8.931839,11.452341,14.330006,0.3178954,-6.764656,-19.988829,-11.199397,-21.974766,-19.49414,-33.122017,-24.504536,-32.48109,-12.762183,-11.797607,-12.94021,-3.3405364,13.672638,32.186043,15.505242,27.016926,28.380287,42.12197,32.951714,50.15068,38.57497,49.185562],"DDR3512M-FDS^MAX(FG_PRICE(0,-5AY))":3.3053632,"EWL^FG_PRICE_MAVG(0,,,,200)":45.8486,"URTH^FG_TOTAL_RETURNC(0,-3AM)":11.331558,"EWC^FG_ROE(0)":10.9984367232779,"TRYCA10Y-FDS^PCTCHG(FG_YIELD(0,,,,\"YTM\"),FG_YIELD(-1AM,,,,\"YTM\"))":1.9475578,"TRYCA10Y-FDS^FG_YIELD(0,,,,\"YTM\")":3.4444,"VGK^FMA_DIV_YLD(NTMA,NOW,NOW,M,\"PORTAGG\",\"MEANR\")":3.63179726396542,"EWQ^FMA_PE(NTMA,0,,,\"PORTAGG\",\"MEANR\")":15.5397035968711,"EWL^FMA_DIV_YLD(NTMA,NOW,NOW,M,\"PORTAGG\",\"MEANR\")":3.30413336586071,"EWL^P_PRICE_RETURNS_PR('52W',2,-10AY,0,AM)":[20.646023,18.5351,17.651249,20.19266,23.149193,10.187996,15.575576,3.9068103,2.1386623,7.1262956,0.13849735,4.323542,-0.4715383,0.28125048,2.2981524,2.9393435,-1.6312003,6.43003,-5.443102,-0.750196,1.8128037,-2.2881508,-0.339365,-8.907461,-9.411359,-10.270101,-11.954176,-10.641277,-7.0082664,-9.456658,0.49598217,0.773859,-7.6879206,-6.367117,-0.052011013,8.6526985,10.03381,11.012232,16.625643,18.078375,17.698383,18.712389,15.711641,18.261147,23.27584,26.06455,23.550833,21.918571,12.266958,8.0073595,1.8988132,-2.6541471,-2.4191916,2.1828651,3.2556415,-0.4336536,-1.4680624,-3.069812,-9.071302,-6.5231323,3.6711335,7.8661203,9.3153715,11.262714,18.200148,9.807861,11.54778,10.5322,19.325363,20.104683,32.84123,26.366901,18.471872,-0.8005023,2.5049329,9.77881,6.6479445,12.457061,11.971855,15.904558,9.006559,13.106704,12.87409,10.031271,8.459436,32.477615,28.48674,27.789795,26.301552,24.714672,24.705482,15.384161,25.359858,17.55787,19.002687,11.445117,8.708275,12.8106,2.8615952,-6.439626,-13.02101,-12.25952,-19.85411,-14.709366,-21.577942,-10.534376,-15.86219,-6.1262665,-4.2694807,-6.7312183,6.2956095,5.598259,12.91697,9.645796,17.080784,11.90691,16.117775,7.92259,12.464738,6.921208,8.590376],"DDR3512M-FDS^FG_PRICE(0)/MAX(FG_PRICE(0,-1AY))":0.798999193035903,"W-FDS^FG_PRICE_CHANGE(0,-1AY)":-19.0082644628099,"FC0000NZ^FG_PRICE(0)":388.7566,"EWL^FG_PRICE_MAVG(0,,,,60)":47.145832,"EWU^P_PRICE(0)/P_PRICE_HIGH_PR(0,,,USD,,,\"PRICE\",\"INTRA\",\"52W\")":0.9640182,"EWJ^SIZE(FG_CONSTITUENTS)":219,"QQQ^FMA_COS_DOWN(\"EPS\",\"1M\",+1,0,,,\"PORTAGG\",\"MEANR\")":47.0,"EWA^FG_ROE(0)":12.6661744631728,"REFCATARG-FDS^PROPER_NAME(0,,,\"SECURITY\",\"NAME\")":"Canada Target Rate","VGK^FG_PE_NTM(0,,,90,0)":13.6247659469135,"EWQ^FMA_PE(LTM,0,,,\"PORTAGG\",\"MEANR\")":16.8789044856393,"EWA^FMA_PE(LTM,0,,,\"PORTAGG\",\"MEANR\")":17.7110040211663,"DBA^FG_TOTAL_RETURNC(0,-1AM)":3.456223,"SPY^FMA_EVAL_EBITDA(NTMA,0,,,\"PORTAGG\",\"MEANR\")":15.4246167007626,"CAGDPY@NL^EE_ACTUAL_ANNUAL(MED,0)":9.1,"W-FDS^FG_PRICE_CHANGE(0,-6AM)":-0.704845814977972,"VWO^P_PRICE(0)/P_PRICE_LOW_PR(0,,,USD,,,\"PRICE\",\"INTRA\",\"52W\")-1":0.105326414,"SPY^FMA_PCT_ABOVE_MAVG(200,0,,,,\"PORTAGG\")":72.962226640159,"QQQ^FMA_COS_UP(\"EPS\",\"1M\",+1,0,,,\"PORTAGG\",\"MEANR\")":42.0,"ENZL^FG_ROE(0)":4.9485254090132,"TRYAU10Y-FDS^PCTCHG(FG_YIELD(0,,,,\"YTM\"),FG_YIELD(-3AM,,,,\"YTM\"))":-7.7942524,"CAGDPY@CH^EE_ACTUAL_ANNUAL(MED,+1)":8.0,"USDGBP^STD(FG_PRICE_CHANGE(0,-3AY,M))":2.41245979550438,"EWC^P_PRICE_RETURNS_PR('52W',2,-10AY,0,AM)":[6.333101,10.432541,12.745869,13.546478,27.272224,18.551327,20.838022,9.735859,1.00981,5.2304745,1.180768,1.0248303,-2.5491416,-5.4311695,-2.2017598,-8.2230625,-15.785461,-19.010645,-27.210014,-21.478992,-15.639472,-19.893826,-24.562103,-20.604647,-17.161304,-13.794129999999999,-15.865517,-8.655209,-4.4914007,1.0770559,12.184143,10.388589,6.210375,15.108955,28.46458,32.828667,22.034157,17.342054,8.753693,8.957493,10.485638,12.5300045,12.299013,17.492437,18.242287,13.401354,15.443826,8.843601,5.1779985,4.205477,12.007177,9.249437,7.7688813,7.4887037,2.8838158,0.6470442,-5.7732344,-7.595891,-16.434938,-3.7465394,3.1156063,4.798007,3.4659624,1.0996699,4.6184063,-1.407367,2.5257468,1.1324883,12.190378,14.200628,26.936483,12.819481,4.807341,-23.353922,-13.670069,-3.2618105,-7.2576103,1.2970209,1.9932866,0.38648844,-3.561014,8.997655,6.0762763,8.098173,17.752039,70.401955,52.595043,48.584152,47.161137,36.432194,36.525787,35.574078,45.878746,22.632526,25.799751,23.34894,20.377445,19.512272,9.159064,2.078998,-7.686311,-4.124534,-9.653205,-8.002329,-13.730043,-4.2606235,-11.088496,-4.907775,-7.3590994,-12.632931,-7.9038086,-8.755046,5.9775352,2.1331072,7.3082805,-0.08945465,7.1118116,2.8053522,11.697662,4.2808414,8.796215],"DDR3512M-FDS^FG_PRICE_CHANGE(0,-1AY)":-20.1000806964097,"EWJ^FG_PRICE_MAVG(0,,,,60)":65.624,"EWU^FG_TOTAL_RETURNC(0,-6AM)":4.72728,"EWL^FMA_COS_DOWN(\"EPS\",\"1M\",+1,0,,,\"PORTAGG\",\"MEANR\")":19.0,"REFSEREPO-FDS^(SUBARRAY(NOT_NA(NO_REPEAT_F(FG_YIELD(NOW,-10AY,D))),0,1)-SUBARRAY(NOT_NA(NO_REPEAT_F(FG_YIELD(NOW,-10AY,D))),1,1))*100":25.0,"REFAUCASH-FDS^(SUBARRAY(NOT_NA(NO_REPEAT_F(FG_YIELD(NOW,-10AY,D))),0,1)-SUBARRAY(NOT_NA(NO_REPEAT_F(FG_YIELD(NOW,-10AY,D))),1,1))*100":25.0,"TRYAU10Y-FDS^PCTCHG(FG_YIELD(0,,,,\"YTM\"),FG_YIELD(-1AM,,,,\"YTM\"))":3.0888977,"VGK^FG_PE(0)":12.3288653041064,"EWQ^JULIAN(FMA_DIV_YLD(NTMA,NOW,NOW,M,\"PORTAGG\",\"MEANR\").DATES)":45350,"EWL^FMA_PE(LTM,0,,,\"PORTAGG\",\"MEANR\")":14.9547484999971,"EWA^JULIAN(FMA_DIV_YLD(NTMA,NOW,NOW,M,\"PORTAGG\",\"MEANR\").DATES)":45351,"REFSEREPO-FDS^FG_YIELD(NOW,,,0)":4.0,"TRYNZ10Y-FDS^FG_YIELD(0,,,,\"YTM\")":4.7393,"SPY^FMA_EVAL_EBIT(LTMA,NOW,NOW,M,\"PORTAGG\",\"MEANR\")":20.8122509477878,"CAGDPY@JP^EE_ACTUAL_ANNUAL(MED,+1)":2.95,"USDGBP^STD(FG_PRICE_CHANGE(0,-1AY,AM))":2.03096251222829,"EWA^P_PRICE_RETURNS_PR('52W',2,-10AY,0,AM)":[-1.5555143,1.6517997,-0.17859936,11.803877,24.479712,18.001223,15.764093,-1.6106427,-2.4518847,-1.9176424,-4.2111754,2.504325,-1.6208589,-7.1191072,-6.6057324,-13.72115,-14.640504,-15.93287,-31.9309,-19.851887,-19.89538,-12.89196,-10.913807,-18.246496,-14.942569,-13.134087,-12.211114,-7.23322,-4.1840973,2.1245122,16.572071,18.702257,9.245718,11.01048,16.10179,29.576897,22.263348,23.461746,17.359234,17.368757,15.886378,14.530647,17.78332,12.707853,19.525564,15.125334,18.325603,14.181746,8.483934,2.6655793,8.189785,10.211266,8.581138,5.347359,1.8112302,1.0028839,-5.0801573,-5.243933,-11.772644,-6.6702127,-0.72155,3.9209604,1.8324375,2.092445,7.58754,3.8296342,3.9319515,7.159722,15.1681185,15.81223,23.516106,13.974047,1.3978362,-29.292292,-21.043856,-6.5898476,-8.731431,-5.2544775,-3.7026525,-4.2097807,-6.342536,8.43389,9.303045,10.684454,23.186886,71.34552,61.05533,41.666805,34.843563,31.591928,32.059715,29.041218,30.69415,6.367135,10.424399,-1.0750234,4.1222334,12.407219,2.3065686,-2.556628,-12.843555,-7.7774343,-11.771387,-10.988736,-13.027495,2.5674105,-6.091082,12.050533,1.271224,-9.438539,-6.079352,-5.7606754,11.562956,3.4651756,6.2711596,4.0863276,11.39791,-0.99794865,9.846079,-1.597786,6.381047],"DDR3512M-FDS^FG_PRICE_CHANGE(0,-6AM)":1.07098388863471,"W-FDS^FG_PRICE_CHANGE(0,-3AM)":-5.41334452370961,"EWU^FG_TOTAL_RETURNC(0,-3AM)":2.960956,"QQQ^FMA_PCT_ABOVE_MAVG(200,0,,,,\"PORTAGG\")":76.4705882352941,"REFAUCASH-FDS^FG_YIELD(NOW,,,0)":4.35,"EWL^P_PRICE(0)/P_PRICE_LOW_PR(0,,,USD,,,\"PRICE\",\"INTRA\",\"52W\")-1":0.1285199,"EWL^FMA_COS_UP(\"EPS\",\"1M\",+1,0,,,\"PORTAGG\",\"MEANR\")":13.0,"EWJ^FG_FCF_YIELD_NTM(0)":3.66386635282025,"WL-FDS^FG_PRICE_CHANGE(0,-3AM)":-16.4200140944327,"EWJ^FG_PRICE_MAVG(0,,,,30)":67.32567,"CAGDPY@JP^EE_ACTUAL_ANNUAL(MED,0)":3.55359069955799,"USDGBP^FG_PRICE_CHANGE(0,-6AM)":-0.64180493,"ENZL^P_PRICE_RETURNS_PR('52W',2,-10AY,0,AM)":[19.006979,17.150486,16.83098,22.31548,30.837477,19.778835,19.730007,3.2989383,4.091513,12.038898,12.037039,9.210003,5.862677,0.28384924,-3.0759811,-2.936387,-12.836796,-9.511447,-18.822788,-12.216579,-4.7795057,-3.8832843,-1.8617272,-4.463917,-2.192074,5.016458,7.2190166,16.923582,28.644062,37.555813,54.73617,47.15737,21.719158,21.443928,14.096558,27.463282,17.188692,9.827339,7.509804,12.160254,11.530256,8.658624,3.5515904,7.081735,11.770832,12.457013,23.917734,17.842329,19.512165,21.34074,18.918526,12.546301,9.683716,3.1799197,8.676159,4.2794466,4.338491,9.537161,-0.55550337,2.2238493,6.2977552,8.569729,11.211443,7.591808,14.625942,17.511045,14.007938,15.398109,18.587149,21.198225,30.63575,20.254648,14.272904,-12.056404,-3.0038893,11.837411,10.6545925,12.263048,14.080179,16.166342,18.331087,20.438362,20.568966,22.484947,15.000868,42.820213,36.067116,16.183472,9.935581,7.1643233,11.862826,9.759402,5.466783,-10.549808,-10.612231,-18.412853,-7.857114,-8.8708105,-20.595497,-18.559015,-25.094341,-18.496973,-25.261963,-30.241371,-27.123564,-13.168865,-15.83479,-2.5783718,-7.9734683,-7.849926,1.4854908,0.87914467,12.314892,-0.4055202,-0.37047267,4.5149803,5.0468206,-6.069231,-0.2176106,-10.102999,-6.575328],"W-FDS^FG_PRICE_CHANGE(0,-1AM)":-6.04418507711546,"EWJ^FG_PRICE(0)":69.92,"EWL^FG_TOTAL_RETURNC(0,-3AM)":2.3575544,"EWU^PERCENT_CHANGE(FMA_EPS(+1,0,,,,\"PORTAGG\",\"MEAN\"),FMA_EPS(+1,-3AM,,,,\"PORTAGG\",\"MEAN\"))":-8.28625244415491,"REFAUCASH-FDS^PROPER_NAME(0,,,\"SECURITY\",\"NAME\")":"Australia Target Cash Rate","CC_IT^IMF_IFS_RCPI_Q(0)":0.98369783,"CAGDPY@DE^EE_ACTUAL_ANNUAL(MED,+1)":6.5,"EWL^FG_TOTAL_RETURNC(-10AY,0,AM)":[6.7881823,0.47086477,2.460456,0.34304857,0.87007284,-5.5764256,2.815175,-5.803567,1.1690378,3.2479763,-4.6279488,2.917862,1.8798113,2.2686005,3.4605145,0.97198486,-3.8731813,2.4427056,-8.6546955,-0.12891293,2.742827,-0.91080666,-2.7258277,-5.930269,1.3162374,1.2991428,1.5187383,2.8257966,-1.0553479,0.5031824,2.20294,-0.65317154,-5.8842897,-1.1177063,5.5409074,3.1480193,2.1753192,1.7477036,6.652093,3.6017537,-0.8931458,1.3690591,-1.5517294,2.743733,-1.6193151,0.8374214,3.4364343,1.1904716,-5.991787,-1.4551818,0.62019825,-1.027292,-0.6539345,5.9057593,-0.28893948,-0.92726946,-2.8663337,-0.5721152,-2.967894,4.026222,4.260421,2.5323749,1.8523693,0.854218,5.5404663,-1.5852034,1.2617469,-1.8292725,4.8609376,0.07725954,4.709208,1.4254212,-2.253455,-13.881999,4.9222827,8.010971,1.9616127,4.3544292,0.82484484,-0.19249916,0.40984154,3.8415313,4.4938684,-1.129067,-3.649801,4.4620037,2.4694085,7.4250937,0.77415705,3.0433059,0.5748272,-7.4300346,9.090912,-3.1615973,6.3683987,-7.4081063,-6.0159564,8.4041,-6.5675855,-3.3748925,-5.6098995,4.329002,-7.768565,-1.8745303,0.30566454,10.208225,0.27649403,3.5386086,-2.0195305,3.0804038,6.4820886,-2.6207209,-0.50671697,1.3066292,-1.2682736,-6.4445853,0.51198006,6.066227,4.4968247,-1.1280477,-0.9296477],"WL-FDS^FG_PRICE(0)":593.0,"EWI^FG_PRICE_MAVG(0,,,,200)":32.1385,"EWU^PERCENT_CHANGE(FMA_EPS(+1,0,,,,\"PORTAGG\",\"MEAN\"),FMA_EPS(+1,-1AM,,,,\"PORTAGG\",\"MEAN\"))":-2.45955859354796,"URTH^FMA_COS_DOWN(\"EPS\",\"1M\",+1,0,,,\"PORTAGG\",\"MEANR\")":495.0,"EWI^FMA_RBICS_REV_CURRENT(30, LOC, \"PORTAGG\")":34.5462492743982,"REFNZOCR-FDS^(SUBARRAY(NOT_NA(NO_REPEAT_F(FG_YIELD(NOW,-10AY,D))),0,1)-SUBARRAY(NOT_NA(NO_REPEAT_F(FG_YIELD(NOW,-10AY,D))),1,1))*100":25.0,"TRYNZ10Y-FDS^PCTCHG(FG_YIELD(0,,,,\"YTM\"),FG_YIELD(-1AM,,,,\"YTM\"))":3.8705149,"CC_SE^IMF_IFS_RCPI_Q(0)":5.550837,"EWI^FMA_PE(NTMA,0,,,\"PORTAGG\",\"MEANR\")":9.27849633940662,"SPY^FG_FCF_YIELD_NTM(0)":3.66881485038698,"ENZL^FMA_EVAL_EBITDA(NTMA,0,,,\"PORTAGG\",\"MEANR\")":12.9184746975482,"DUMMY^ECON_DATE(45356,45199,'Q', 'MM/YYYY')":["12/2023","09/2023"],"DUMMY^ECON_EXPR_DATA('FDS_ECON[PMIDMMANHE]',45356,45199,Q)":[47.378044,47.086407],"DUMMY^ECON_EXPR_DATA('FDS_ECON[NTCPMIMFGSA@EME]',45356,45199,Q)":[50.64065,50.814144],"DUMMY^ECON_EXPR_DATA('FDS_ECON[NTCPMIMFGSA@NZ]',45356,45199,Q)":[44.258175,45.88497],"DUMMY^ECON_EXPR_DATA('FDS_ECON[NTCPMIMFGSA@AU]',45356,45199,Q)":[47.862293,49.327065],"DUMMY^ECON_EXPR_DATA('FDS_ECON[NTCPMIMFGSA@CA]',45356,45199,Q)":[47.255585,48.335907],"DUMMY^ECON_EXPR_DATA('FDS_ECON[NTCPMIMFGSA@DE]',45356,45199,Q)":[42.238945,39.155674],"DUMMY^ECON_EXPR_DATA('FDS_ECON[NTCPMIMFGSA@JP]',45356,45199,Q)":[48.31877,49.252666],"DUMMY^ECON_EXPR_DATA('FDS_ECON[NTCPMIMFGSA@CH]',45356,45199,Q)":[41.921543,41.102364],"DUMMY^ECON_EXPR_DATA('FDS_ECON[NTCPMIMFGSA@GB]',45356,45199,Q)":[46.0587,44.209953],"DUMMY^ECON_EXPR_DATA('FDS_ECON[NTCPMIMFGMESA@US]',45356,45199,Q)":[49.098827,48.91491],"DUMMY^ECON_EXPR_DATA('FDS_ECON[NTCPMIMFGSA@FR]',45356,45199,Q)":[42.573967,45.09797],"DUMMY^ECON_EXPR_DATA('FDS_ECON[NTCPMIMFGSA@NL]',45356,45199,Q)":[44.495136,44.945713],"DUMMY^ECON_EXPR_DATA('FDS_ECON[]',45356,45199,Q)":null,"DUMMY^ECON_EXPR_DATA('FDS_ECON[NTCPMIMFGSA@IT]',45356,45199,Q)":[44.859455,45.562866],"DUMMY^ECON_DATE(45357,45199,'Q', 'MM/YYYY')":["12/2023","09/2023"],"DUMMY^ECON_EXPR_DATA('FDS_ECON[PMIDMMANHE]',45357,45199,Q)":[47.378044,47.086407],"DUMMY^ECON_EXPR_DATA('FDS_ECON[NTCPMIMFGSA@EME]',45357,45199,Q)":[50.64065,50.814144],"DUMMY^ECON_EXPR_DATA('FDS_ECON[NTCPMIMFGSA@NZ]',45357,45199,Q)":[44.258175,45.88497],"DUMMY^ECON_EXPR_DATA('FDS_ECON[NTCPMIMFGSA@AU]',45357,45199,Q)":[47.862293,49.327065],"DUMMY^ECON_EXPR_DATA('FDS_ECON[NTCPMIMFGSA@CA]',45357,45199,Q)":[47.255585,48.335907],"DUMMY^ECON_EXPR_DATA('FDS_ECON[NTCPMIMFGSA@DE]',45357,45199,Q)":[42.238945,39.155674],"DUMMY^ECON_EXPR_DATA('FDS_ECON[NTCPMIMFGSA@JP]',45357,45199,Q)":[48.31877,49.252666],"DUMMY^ECON_EXPR_DATA('FDS_ECON[NTCPMIMFGSA@CH]',45357,45199,Q)":[41.921543,41.102364],"DUMMY^ECON_EXPR_DATA('FDS_ECON[NTCPMIMFGSA@GB]',45357,45199,Q)":[46.0587,44.209953],"DUMMY^ECON_EXPR_DATA('FDS_ECON[NTCPMIMFGMESA@US]',45357,45199,Q)":[49.098827,48.91491],"DUMMY^ECON_EXPR_DATA('FDS_ECON[NTCPMIMFGSA@FR]',45357,45199,Q)":[42.573967,45.09797],"DUMMY^ECON_EXPR_DATA('FDS_ECON[NTCPMIMFGSA@NL]',45357,45199,Q)":[44.495136,44.945713],"DUMMY^ECON_EXPR_DATA('FDS_ECON[]',45357,45199,Q)":null,"DUMMY^ECON_EXPR_DATA('FDS_ECON[NTCPMIMFGSA@IT]',45357,45199,Q)":[44.859455,45.562866],"DUMMY^ECON_DATE(45357,45199,'M', 'MM/YYYY')":["02/2024","01/2024","12/2023","11/2023","10/2023","09/2023"],"DUMMY^ECON_DATE(45357,45199,Q', 'MM/YYYY')":"#NUM","DUMMY^ECON_EXPR_DATA('FDS_ECON[NTCPMIMFGSA@NZ]',12/2023,09/2023,Q)":[44.258175,45.88497],"DUMMY^ECON_DATE(45357,,, 'MM/YYYY')":"03/2024","DUMMY^ECON_DATE(45266,,, 'MM/YYYY')":"12/2023","DUMMY^ECON_EXPR_DATA('FDS_ECON[NTCPMIMFGSA@NZ]',03/2024,12/2023,Q)":[null,44.258175],"DUMMY^ECON_DATE(45236,,, 'MM/YYYY')":"11/2023","DUMMY^ECON_DATE(45328,,, 'MM/YYYY')":"02/2024","DUMMY^ECON_EXPR_DATA('FDS_ECON[NTCPMIMFGSA@NZ]',02/2024,11/2023,Q)":44.258175,"DUMMY^ECON_EXPR_DATA('FDS_ECON[NTCPMIMFGSA@AU]',02/2024,,Q)":47.862293,"DUMMY^ECON_EXPR_DATA('FDS_ECON[NTCPMIMFGSA@NZ]',02/2024,,Q)":44.258175,"DUMMY^ECON_EXPR_DATA('FDS_ECON[NTCPMIMFGSA@CA]',02/2024,,Q)":47.255585,"DUMMY^ECON_EXPR_DATA('FDS_ECON[NTCPMIMFGSA@DE]',02/2024,,Q)":42.238945,"DUMMY^ECON_EXPR_DATA('FDS_ECON[NTCPMIMFGSA@JP]',02/2024,,Q)":48.31877,"DUMMY^ECON_EXPR_DATA('FDS_ECON[NTCPMIMFGSA@CH]',02/2024,,Q)":41.921543,"DUMMY^ECON_EXPR_DATA('FDS_ECON[NTCPMIMFGSA@GB]',02/2024,,Q)":46.0587,"DUMMY^ECON_EXPR_DATA('FDS_ECON[NTCPMIMFGMESA@US]',02/2024,,Q)":49.098827,"DUMMY^ECON_EXPR_DATA('FDS_ECON[NTCPMIMFGSA@FR]',02/2024,,Q)":42.573967,"DUMMY^ECON_EXPR_DATA('FDS_ECON[NTCPMIMFGSA@NL]',02/2024,,Q)":44.495136,"DUMMY^ECON_EXPR_DATA('FDS_ECON[]',02/2024,,Q)":null,"DUMMY^ECON_EXPR_DATA('FDS_ECON[NTCPMIMFGSA@IT]',02/2024,,Q)":44.859455,"DUMMY^ECON_EXPR_DATA('FDS_ECON[NTCPMIMFGSA@NZ]',11/2023,,Q)":45.88497,"DUMMY^ECON_EXPR_DATA('FDS_ECON[NTCPMIMFGSA@AU]',11/2023,,Q)":49.327065,"DUMMY^ECON_EXPR_DATA('FDS_ECON[NTCPMIMFGSA@CA]',11/2023,,Q)":48.335907,"DUMMY^ECON_EXPR_DATA('FDS_ECON[NTCPMIMFGSA@DE]',11/2023,,Q)":39.155674,"DUMMY^ECON_EXPR_DATA('FDS_ECON[NTCPMIMFGSA@JP]',11/2023,,Q)":49.252666,"DUMMY^ECON_EXPR_DATA('FDS_ECON[NTCPMIMFGSA@CH]',11/2023,,Q)":41.102364,"DUMMY^ECON_EXPR_DATA('FDS_ECON[NTCPMIMFGSA@GB]',11/2023,,Q)":44.209953,"DUMMY^ECON_EXPR_DATA('FDS_ECON[NTCPMIMFGMESA@US]',11/2023,,Q)":48.91491,"DUMMY^ECON_EXPR_DATA('FDS_ECON[NTCPMIMFGSA@FR]',11/2023,,Q)":45.09797,"DUMMY^ECON_EXPR_DATA('FDS_ECON[NTCPMIMFGSA@NL]',11/2023,,Q)":44.945713,"DUMMY^ECON_EXPR_DATA('FDS_ECON[]',11/2023,,Q)":null,"DUMMY^ECON_EXPR_DATA('FDS_ECON[NTCPMIMFGSA@IT]',11/2023,,Q)":45.562866,"DUMMY^ECON_EXPR_DATA('FDS_ECON[PMIDMMANHE]',02/2024,,Q)":47.378044,"DUMMY^ECON_EXPR_DATA('FDS_ECON[NTCPMIMFGSA@EME]',02/2024,,Q)":50.64065,"DUMMY^ECON_EXPR_DATA('FDS_ECON[PMIDMMANHE]',11/2023,,Q)":47.086407,"DUMMY^ECON_EXPR_DATA('FDS_ECON[NTCPMIMFGSA@EME]',11/2023,,Q)":50.814144}]]></FdsFormulaCache>
</file>

<file path=customXml/itemProps1.xml><?xml version="1.0" encoding="utf-8"?>
<ds:datastoreItem xmlns:ds="http://schemas.openxmlformats.org/officeDocument/2006/customXml" ds:itemID="{B4C5A5DE-DE15-4D79-A181-72A1F6943E8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</vt:vector>
  </HeadingPairs>
  <TitlesOfParts>
    <vt:vector size="29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Risk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Economic Momentum (2)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2024-03-06T06:59:29Z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