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TF_Model_Excel\"/>
    </mc:Choice>
  </mc:AlternateContent>
  <xr:revisionPtr revIDLastSave="0" documentId="13_ncr:1_{14E044B7-63F1-4D22-AA47-EC5ECDCF69CD}" xr6:coauthVersionLast="47" xr6:coauthVersionMax="47" xr10:uidLastSave="{00000000-0000-0000-0000-000000000000}"/>
  <bookViews>
    <workbookView xWindow="-110" yWindow="-110" windowWidth="25820" windowHeight="15500" firstSheet="21" activeTab="26" xr2:uid="{00000000-000D-0000-FFFF-FFFF00000000}"/>
  </bookViews>
  <sheets>
    <sheet name="__FDSCACHE__" sheetId="2" state="veryHidden" r:id="rId1"/>
    <sheet name="Assumption" sheetId="8" r:id="rId2"/>
    <sheet name="Technical Strength" sheetId="58" r:id="rId3"/>
    <sheet name="OUTPUT_COUNTRY" sheetId="40" r:id="rId4"/>
    <sheet name="PORTFOLIO" sheetId="55" r:id="rId5"/>
    <sheet name="OUTPUT_PPT" sheetId="49" r:id="rId6"/>
    <sheet name="mnemonics" sheetId="20" r:id="rId7"/>
    <sheet name="Value -2 " sheetId="1" r:id="rId8"/>
    <sheet name="LIQIDITY 2" sheetId="28" r:id="rId9"/>
    <sheet name="Quality - 2" sheetId="39" r:id="rId10"/>
    <sheet name="Momnetum ranking" sheetId="12" r:id="rId11"/>
    <sheet name="Risk" sheetId="13" r:id="rId12"/>
    <sheet name="Timing" sheetId="56" r:id="rId13"/>
    <sheet name="Leading Indicator" sheetId="52" r:id="rId14"/>
    <sheet name="t -PE" sheetId="46" r:id="rId15"/>
    <sheet name="Forwa Pe" sheetId="47" r:id="rId16"/>
    <sheet name="DY " sheetId="7" r:id="rId17"/>
    <sheet name="Monthly Returns" sheetId="5" r:id="rId18"/>
    <sheet name="Yearly returns" sheetId="15" r:id="rId19"/>
    <sheet name="Index earnings" sheetId="18" r:id="rId20"/>
    <sheet name="GDP_GROWTH" sheetId="45" r:id="rId21"/>
    <sheet name="Currency- 2" sheetId="42" r:id="rId22"/>
    <sheet name="Chart1" sheetId="36" state="hidden" r:id="rId23"/>
    <sheet name="CAD" sheetId="43" r:id="rId24"/>
    <sheet name="Country Int rates " sheetId="9" r:id="rId25"/>
    <sheet name="Index ROE" sheetId="38" r:id="rId26"/>
    <sheet name="Economic Momentum" sheetId="48" r:id="rId27"/>
    <sheet name="Market Capitalisation" sheetId="57" r:id="rId28"/>
  </sheets>
  <definedNames>
    <definedName name="_xlnm._FilterDatabase" localSheetId="10" hidden="1">'Momnetum ranking'!$A$2:$AI$30</definedName>
    <definedName name="_xlnm._FilterDatabase" localSheetId="3" hidden="1">OUTPUT_COUNTRY!$B$6:$N$6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48" l="1" a="1"/>
  <c r="M24" i="48" l="1"/>
  <c r="M23" i="48" a="1"/>
  <c r="M23" i="48" l="1"/>
  <c r="M21" i="48" a="1"/>
  <c r="M21" i="48" l="1"/>
  <c r="M18" i="48" a="1"/>
  <c r="M18" i="48" l="1"/>
  <c r="M17" i="48" a="1"/>
  <c r="M17" i="48" l="1"/>
  <c r="M16" i="48" a="1"/>
  <c r="M16" i="48" l="1"/>
  <c r="M15" i="48" a="1"/>
  <c r="M15" i="48" l="1"/>
  <c r="M14" i="48" a="1"/>
  <c r="M14" i="48" l="1"/>
  <c r="M13" i="48" a="1"/>
  <c r="M13" i="48" l="1"/>
  <c r="M12" i="48" a="1"/>
  <c r="M12" i="48" l="1"/>
  <c r="M11" i="48" a="1"/>
  <c r="M11" i="48" l="1"/>
  <c r="M10" i="48" a="1"/>
  <c r="M10" i="48" l="1"/>
  <c r="M8" i="48" a="1"/>
  <c r="M8" i="48" l="1"/>
  <c r="M6" i="48" a="1"/>
  <c r="M6" i="48" l="1"/>
  <c r="M4" i="48" a="1"/>
  <c r="M4" i="48" l="1"/>
  <c r="J28" i="48" a="1"/>
  <c r="J28" i="48" l="1"/>
  <c r="M5" i="48" a="1"/>
  <c r="M7" i="48" a="1"/>
  <c r="M9" i="48" a="1"/>
  <c r="M19" i="48" a="1"/>
  <c r="M20" i="48" a="1"/>
  <c r="M22" i="48" a="1"/>
  <c r="J27" i="48" a="1"/>
  <c r="J27" i="48" l="1"/>
  <c r="M22" i="48"/>
  <c r="M20" i="48"/>
  <c r="M19" i="48"/>
  <c r="M9" i="48"/>
  <c r="M7" i="48"/>
  <c r="M5" i="48"/>
  <c r="L2" i="48"/>
  <c r="L1" i="48"/>
  <c r="L26" i="48" a="1"/>
  <c r="O3" i="48" a="1"/>
  <c r="K26" i="48" a="1"/>
  <c r="N3" i="48" a="1"/>
  <c r="N3" i="48" l="1"/>
  <c r="K26" i="48"/>
  <c r="O3" i="48"/>
  <c r="L26" i="48"/>
  <c r="G26" i="18" a="1"/>
  <c r="G26" i="18" s="1"/>
  <c r="A4" i="9" a="1"/>
  <c r="G33" i="57" a="1"/>
  <c r="G16" i="57" a="1"/>
  <c r="D33" i="57" a="1"/>
  <c r="D16" i="57" a="1"/>
  <c r="G31" i="57" a="1"/>
  <c r="G15" i="57" a="1"/>
  <c r="D31" i="57" a="1"/>
  <c r="D15" i="57" a="1"/>
  <c r="G30" i="57" a="1"/>
  <c r="D30" i="57" a="1"/>
  <c r="G12" i="57" a="1"/>
  <c r="G11" i="57" a="1"/>
  <c r="D8" i="57" a="1"/>
  <c r="D13" i="57" a="1"/>
  <c r="D9" i="57" a="1"/>
  <c r="D24" i="57" a="1"/>
  <c r="G23" i="57" a="1"/>
  <c r="D7" i="57" a="1"/>
  <c r="G22" i="57" a="1"/>
  <c r="G6" i="57" a="1"/>
  <c r="D22" i="57" a="1"/>
  <c r="D6" i="57" a="1"/>
  <c r="G21" i="57" a="1"/>
  <c r="G5" i="57" a="1"/>
  <c r="D21" i="57" a="1"/>
  <c r="D5" i="57" a="1"/>
  <c r="G20" i="57" a="1"/>
  <c r="G4" i="57" a="1"/>
  <c r="D20" i="57" a="1"/>
  <c r="D4" i="57" a="1"/>
  <c r="G19" i="57" a="1"/>
  <c r="G3" i="57" a="1"/>
  <c r="D19" i="57" a="1"/>
  <c r="D3" i="57" a="1"/>
  <c r="G18" i="57" a="1"/>
  <c r="G2" i="57" a="1"/>
  <c r="D18" i="57" a="1"/>
  <c r="D2" i="57" a="1"/>
  <c r="G17" i="57" a="1"/>
  <c r="E33" i="57" a="1"/>
  <c r="D17" i="57" a="1"/>
  <c r="B33" i="57" a="1"/>
  <c r="G14" i="57" a="1"/>
  <c r="D14" i="57" a="1"/>
  <c r="G29" i="57" a="1"/>
  <c r="G13" i="57" a="1"/>
  <c r="D29" i="57" a="1"/>
  <c r="G28" i="57" a="1"/>
  <c r="D28" i="57" a="1"/>
  <c r="D12" i="57" a="1"/>
  <c r="G27" i="57" a="1"/>
  <c r="D27" i="57" a="1"/>
  <c r="D11" i="57" a="1"/>
  <c r="G26" i="57" a="1"/>
  <c r="G10" i="57" a="1"/>
  <c r="D26" i="57" a="1"/>
  <c r="D10" i="57" a="1"/>
  <c r="G25" i="57" a="1"/>
  <c r="G9" i="57" a="1"/>
  <c r="D25" i="57" a="1"/>
  <c r="G24" i="57" a="1"/>
  <c r="G8" i="57" a="1"/>
  <c r="G7" i="57" a="1"/>
  <c r="D23" i="57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N17" i="48" a="1"/>
  <c r="N18" i="48" a="1"/>
  <c r="N19" i="48" a="1"/>
  <c r="N20" i="48" a="1"/>
  <c r="N21" i="48" a="1"/>
  <c r="N22" i="48" a="1"/>
  <c r="N23" i="48" a="1"/>
  <c r="N24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O17" i="48" a="1"/>
  <c r="O18" i="48" a="1"/>
  <c r="O19" i="48" a="1"/>
  <c r="O20" i="48" a="1"/>
  <c r="O21" i="48" a="1"/>
  <c r="O22" i="48" a="1"/>
  <c r="O23" i="48" a="1"/>
  <c r="O24" i="48" a="1"/>
  <c r="L27" i="48" a="1"/>
  <c r="L28" i="48" a="1"/>
  <c r="K27" i="48" a="1"/>
  <c r="K28" i="48" a="1"/>
  <c r="K28" i="48" l="1"/>
  <c r="K27" i="48"/>
  <c r="L28" i="48"/>
  <c r="L27" i="48"/>
  <c r="O24" i="48"/>
  <c r="O23" i="48"/>
  <c r="O22" i="48"/>
  <c r="O21" i="48"/>
  <c r="O20" i="48"/>
  <c r="O19" i="48"/>
  <c r="O18" i="48"/>
  <c r="O17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N24" i="48"/>
  <c r="N23" i="48"/>
  <c r="N22" i="48"/>
  <c r="N21" i="48"/>
  <c r="N20" i="48"/>
  <c r="N19" i="48"/>
  <c r="N18" i="48"/>
  <c r="N17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A11" i="9"/>
  <c r="A13" i="9"/>
  <c r="A12" i="9"/>
  <c r="A4" i="9"/>
  <c r="A5" i="9"/>
  <c r="A6" i="9"/>
  <c r="A7" i="9"/>
  <c r="A8" i="9"/>
  <c r="A9" i="9"/>
  <c r="A10" i="9"/>
  <c r="D23" i="57"/>
  <c r="G7" i="57"/>
  <c r="G8" i="57"/>
  <c r="G24" i="57"/>
  <c r="D25" i="57"/>
  <c r="G9" i="57"/>
  <c r="G25" i="57"/>
  <c r="D10" i="57"/>
  <c r="D26" i="57"/>
  <c r="G10" i="57"/>
  <c r="G26" i="57"/>
  <c r="D11" i="57"/>
  <c r="D27" i="57"/>
  <c r="G27" i="57"/>
  <c r="D12" i="57"/>
  <c r="D28" i="57"/>
  <c r="G28" i="57"/>
  <c r="D29" i="57"/>
  <c r="G13" i="57"/>
  <c r="G29" i="57"/>
  <c r="D14" i="57"/>
  <c r="G14" i="57"/>
  <c r="B33" i="57"/>
  <c r="D17" i="57"/>
  <c r="E33" i="57"/>
  <c r="G17" i="57"/>
  <c r="D2" i="57"/>
  <c r="D18" i="57"/>
  <c r="G2" i="57"/>
  <c r="G18" i="57"/>
  <c r="D3" i="57"/>
  <c r="D19" i="57"/>
  <c r="G3" i="57"/>
  <c r="G19" i="57"/>
  <c r="D4" i="57"/>
  <c r="D20" i="57"/>
  <c r="G4" i="57"/>
  <c r="G20" i="57"/>
  <c r="D5" i="57"/>
  <c r="D21" i="57"/>
  <c r="G5" i="57"/>
  <c r="G21" i="57"/>
  <c r="D6" i="57"/>
  <c r="D22" i="57"/>
  <c r="G6" i="57"/>
  <c r="G22" i="57"/>
  <c r="D7" i="57"/>
  <c r="G23" i="57"/>
  <c r="D24" i="57"/>
  <c r="D9" i="57"/>
  <c r="D13" i="57"/>
  <c r="D8" i="57"/>
  <c r="G11" i="57"/>
  <c r="G12" i="57"/>
  <c r="D30" i="57"/>
  <c r="G30" i="57"/>
  <c r="D15" i="57"/>
  <c r="D31" i="57"/>
  <c r="G15" i="57"/>
  <c r="G31" i="57"/>
  <c r="D16" i="57"/>
  <c r="D33" i="57"/>
  <c r="G16" i="57"/>
  <c r="G33" i="57"/>
  <c r="AE2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  <c r="H2" i="38" a="1"/>
  <c r="AF4" i="9" a="1"/>
  <c r="P4" i="9" a="1"/>
  <c r="G18" i="43" a="1"/>
  <c r="G10" i="43" a="1"/>
  <c r="C22" i="43" a="1"/>
  <c r="G2" i="38" a="1"/>
  <c r="AE4" i="9" a="1"/>
  <c r="O4" i="9" a="1"/>
  <c r="H17" i="43" a="1"/>
  <c r="H9" i="43" a="1"/>
  <c r="C21" i="43" a="1"/>
  <c r="C5" i="43" a="1"/>
  <c r="E22" i="42" a="1"/>
  <c r="V2" i="38" a="1"/>
  <c r="F2" i="38" a="1"/>
  <c r="AD4" i="9" a="1"/>
  <c r="N4" i="9" a="1"/>
  <c r="G17" i="43" a="1"/>
  <c r="G9" i="43" a="1"/>
  <c r="C20" i="43" a="1"/>
  <c r="C4" i="43" a="1"/>
  <c r="D22" i="42" a="1"/>
  <c r="U2" i="38" a="1"/>
  <c r="T2" i="38" a="1"/>
  <c r="S2" i="38" a="1"/>
  <c r="R2" i="38" a="1"/>
  <c r="C2" i="38" a="1"/>
  <c r="V4" i="9" a="1"/>
  <c r="B4" i="9" a="1"/>
  <c r="G5" i="43" a="1"/>
  <c r="C8" i="43" a="1"/>
  <c r="G19" i="42" a="1"/>
  <c r="D17" i="42" a="1"/>
  <c r="G12" i="42" a="1"/>
  <c r="C10" i="42" a="1"/>
  <c r="H7" i="42" a="1"/>
  <c r="D3" i="18" a="1"/>
  <c r="F2" i="15" a="1"/>
  <c r="H9" i="52" a="1"/>
  <c r="G7" i="52" a="1"/>
  <c r="F5" i="52" a="1"/>
  <c r="E3" i="52" a="1"/>
  <c r="T22" i="56" a="1"/>
  <c r="S18" i="56" a="1"/>
  <c r="V13" i="56" a="1"/>
  <c r="U9" i="56" a="1"/>
  <c r="P20" i="12" a="1"/>
  <c r="O16" i="12" a="1"/>
  <c r="R11" i="12" a="1"/>
  <c r="Q7" i="12" a="1"/>
  <c r="P3" i="12" a="1"/>
  <c r="M23" i="12" a="1"/>
  <c r="K18" i="12" a="1"/>
  <c r="L12" i="12" a="1"/>
  <c r="H14" i="39" a="1"/>
  <c r="F18" i="39" a="1"/>
  <c r="L18" i="28" a="1"/>
  <c r="L7" i="28" a="1"/>
  <c r="G14" i="28" a="1"/>
  <c r="E19" i="28" a="1"/>
  <c r="D3" i="28" a="1"/>
  <c r="H27" i="1" a="1"/>
  <c r="J19" i="1" a="1"/>
  <c r="L14" i="1" a="1"/>
  <c r="G10" i="1" a="1"/>
  <c r="I5" i="1" a="1"/>
  <c r="C15" i="55" a="1"/>
  <c r="G15" i="43" a="1"/>
  <c r="I21" i="42" a="1"/>
  <c r="I14" i="42" a="1"/>
  <c r="F12" i="42" a="1"/>
  <c r="J9" i="42" a="1"/>
  <c r="E5" i="42" a="1"/>
  <c r="V3" i="18" a="1"/>
  <c r="J2" i="5" a="1"/>
  <c r="O2" i="7" a="1"/>
  <c r="T2" i="47" a="1"/>
  <c r="C2" i="47" a="1"/>
  <c r="H2" i="46" a="1"/>
  <c r="I11" i="52" a="1"/>
  <c r="T9" i="56" a="1"/>
  <c r="S5" i="56" a="1"/>
  <c r="J21" i="56" a="1"/>
  <c r="I17" i="56" a="1"/>
  <c r="H13" i="56" a="1"/>
  <c r="G9" i="56" a="1"/>
  <c r="R34" i="12" a="1"/>
  <c r="Q30" i="12" a="1"/>
  <c r="K12" i="12" a="1"/>
  <c r="L6" i="12" a="1"/>
  <c r="G32" i="12" a="1"/>
  <c r="E21" i="12" a="1"/>
  <c r="F15" i="12" a="1"/>
  <c r="G9" i="12" a="1"/>
  <c r="E4" i="12" a="1"/>
  <c r="J9" i="39" a="1"/>
  <c r="H13" i="39" a="1"/>
  <c r="M23" i="28" a="1"/>
  <c r="M12" i="28" a="1"/>
  <c r="G22" i="28" a="1"/>
  <c r="H5" i="28" a="1"/>
  <c r="D11" i="28" a="1"/>
  <c r="O7" i="1" a="1"/>
  <c r="L21" i="1" a="1"/>
  <c r="G17" i="1" a="1"/>
  <c r="I12" i="1" a="1"/>
  <c r="K7" i="1" a="1"/>
  <c r="F3" i="1" a="1"/>
  <c r="B2" i="38" a="1"/>
  <c r="H4" i="43" a="1"/>
  <c r="F19" i="42" a="1"/>
  <c r="C17" i="42" a="1"/>
  <c r="E12" i="42" a="1"/>
  <c r="G7" i="42" a="1"/>
  <c r="D5" i="42" a="1"/>
  <c r="C3" i="18" a="1"/>
  <c r="E2" i="15" a="1"/>
  <c r="H11" i="52" a="1"/>
  <c r="G9" i="52" a="1"/>
  <c r="F7" i="52" a="1"/>
  <c r="E5" i="52" a="1"/>
  <c r="S22" i="56" a="1"/>
  <c r="V17" i="56" a="1"/>
  <c r="U13" i="56" a="1"/>
  <c r="P30" i="12" a="1"/>
  <c r="O20" i="12" a="1"/>
  <c r="R15" i="12" a="1"/>
  <c r="Q11" i="12" a="1"/>
  <c r="P7" i="12" a="1"/>
  <c r="O3" i="12" a="1"/>
  <c r="L23" i="12" a="1"/>
  <c r="M17" i="12" a="1"/>
  <c r="J8" i="39" a="1"/>
  <c r="F17" i="39" a="1"/>
  <c r="U4" i="9" a="1"/>
  <c r="C7" i="43" a="1"/>
  <c r="Q2" i="38" a="1"/>
  <c r="I4" i="9" a="1"/>
  <c r="H19" i="43" a="1"/>
  <c r="G7" i="43" a="1"/>
  <c r="C10" i="43" a="1"/>
  <c r="J21" i="42" a="1"/>
  <c r="D19" i="42" a="1"/>
  <c r="H16" i="42" a="1"/>
  <c r="J13" i="42" a="1"/>
  <c r="F11" i="42" a="1"/>
  <c r="D6" i="42" a="1"/>
  <c r="G3" i="18" a="1"/>
  <c r="I2" i="15" a="1"/>
  <c r="I2" i="5" a="1"/>
  <c r="S2" i="46" a="1"/>
  <c r="E8" i="52" a="1"/>
  <c r="T8" i="56" a="1"/>
  <c r="H15" i="56" a="1"/>
  <c r="P31" i="12" a="1"/>
  <c r="Q15" i="12" a="1"/>
  <c r="K33" i="12" a="1"/>
  <c r="L8" i="12" a="1"/>
  <c r="G15" i="12" a="1"/>
  <c r="E9" i="12" a="1"/>
  <c r="J22" i="39" a="1"/>
  <c r="M20" i="28" a="1"/>
  <c r="K9" i="28" a="1"/>
  <c r="H6" i="28" a="1"/>
  <c r="E10" i="28" a="1"/>
  <c r="O4" i="1" a="1"/>
  <c r="G21" i="1" a="1"/>
  <c r="G16" i="1" a="1"/>
  <c r="J13" i="1" a="1"/>
  <c r="J8" i="1" a="1"/>
  <c r="J3" i="1" a="1"/>
  <c r="AH4" i="9" a="1"/>
  <c r="H21" i="42" a="1"/>
  <c r="I8" i="42" a="1"/>
  <c r="G3" i="42" a="1"/>
  <c r="H2" i="15" a="1"/>
  <c r="L2" i="7" a="1"/>
  <c r="O2" i="47" a="1"/>
  <c r="J12" i="52" a="1"/>
  <c r="G10" i="52" a="1"/>
  <c r="J5" i="52" a="1"/>
  <c r="G3" i="52" a="1"/>
  <c r="U22" i="56" a="1"/>
  <c r="U17" i="56" a="1"/>
  <c r="V12" i="56" a="1"/>
  <c r="I24" i="56" a="1"/>
  <c r="J19" i="56" a="1"/>
  <c r="N2" i="38" a="1"/>
  <c r="AB4" i="9" a="1"/>
  <c r="F4" i="9" a="1"/>
  <c r="F21" i="42" a="1"/>
  <c r="D16" i="42" a="1"/>
  <c r="C11" i="42" a="1"/>
  <c r="G8" i="42" a="1"/>
  <c r="I5" i="42" a="1"/>
  <c r="E3" i="42" a="1"/>
  <c r="M2" i="47" a="1"/>
  <c r="E10" i="52" a="1"/>
  <c r="D3" i="52" a="1"/>
  <c r="T12" i="56" a="1"/>
  <c r="H19" i="56" a="1"/>
  <c r="H5" i="56" a="1"/>
  <c r="Q19" i="12" a="1"/>
  <c r="Q5" i="12" a="1"/>
  <c r="M13" i="12" a="1"/>
  <c r="L2" i="38" a="1"/>
  <c r="Z4" i="9" a="1"/>
  <c r="D4" i="9" a="1"/>
  <c r="H15" i="43" a="1"/>
  <c r="I23" i="42" a="1"/>
  <c r="I10" i="42" a="1"/>
  <c r="G5" i="42" a="1"/>
  <c r="U3" i="18" a="1"/>
  <c r="D2" i="5" a="1"/>
  <c r="K2" i="47" a="1"/>
  <c r="N2" i="46" a="1"/>
  <c r="C10" i="52" a="1"/>
  <c r="H7" i="52" a="1"/>
  <c r="D5" i="52" a="1"/>
  <c r="V25" i="56" a="1"/>
  <c r="S21" i="56" a="1"/>
  <c r="V11" i="56" a="1"/>
  <c r="S7" i="56" a="1"/>
  <c r="J18" i="56" a="1"/>
  <c r="G14" i="56" a="1"/>
  <c r="P34" i="12" a="1"/>
  <c r="O19" i="12" a="1"/>
  <c r="P14" i="12" a="1"/>
  <c r="O5" i="12" a="1"/>
  <c r="S4" i="9" a="1"/>
  <c r="G23" i="43" a="1"/>
  <c r="G12" i="43" a="1"/>
  <c r="C17" i="43" a="1"/>
  <c r="F20" i="42" a="1"/>
  <c r="D15" i="42" a="1"/>
  <c r="H12" i="42" a="1"/>
  <c r="D7" i="42" a="1"/>
  <c r="H4" i="42" a="1"/>
  <c r="N3" i="18" a="1"/>
  <c r="P2" i="15" a="1"/>
  <c r="R2" i="5" a="1"/>
  <c r="U2" i="7" a="1"/>
  <c r="B2" i="7" a="1"/>
  <c r="I2" i="46" a="1"/>
  <c r="D9" i="52" a="1"/>
  <c r="V19" i="56" a="1"/>
  <c r="S15" i="56" a="1"/>
  <c r="V5" i="56" a="1"/>
  <c r="G22" i="56" a="1"/>
  <c r="G17" i="56" a="1"/>
  <c r="H12" i="56" a="1"/>
  <c r="O33" i="12" a="1"/>
  <c r="P22" i="12" a="1"/>
  <c r="O13" i="12" a="1"/>
  <c r="P8" i="12" a="1"/>
  <c r="M10" i="12" a="1"/>
  <c r="E18" i="12" a="1"/>
  <c r="J12" i="39" a="1"/>
  <c r="H15" i="39" a="1"/>
  <c r="F16" i="39" a="1"/>
  <c r="K17" i="28" a="1"/>
  <c r="L5" i="28" a="1"/>
  <c r="G10" i="28" a="1"/>
  <c r="E14" i="28" a="1"/>
  <c r="E5" i="28" a="1"/>
  <c r="K27" i="1" a="1"/>
  <c r="K19" i="1" a="1"/>
  <c r="J14" i="1" a="1"/>
  <c r="J9" i="1" a="1"/>
  <c r="C24" i="55" a="1"/>
  <c r="A2" i="38" a="1"/>
  <c r="C23" i="42" a="1"/>
  <c r="E20" i="42" a="1"/>
  <c r="H17" i="42" a="1"/>
  <c r="H9" i="42" a="1"/>
  <c r="E2" i="47" a="1"/>
  <c r="G2" i="46" a="1"/>
  <c r="F11" i="52" a="1"/>
  <c r="I6" i="52" a="1"/>
  <c r="F4" i="52" a="1"/>
  <c r="T24" i="56" a="1"/>
  <c r="T10" i="56" a="1"/>
  <c r="I21" i="56" a="1"/>
  <c r="I7" i="56" a="1"/>
  <c r="Q17" i="12" a="1"/>
  <c r="Q3" i="12" a="1"/>
  <c r="K23" i="12" a="1"/>
  <c r="M16" i="12" a="1"/>
  <c r="L4" i="12" a="1"/>
  <c r="E30" i="12" a="1"/>
  <c r="G11" i="12" a="1"/>
  <c r="F5" i="12" a="1"/>
  <c r="M22" i="28" a="1"/>
  <c r="K11" i="28" a="1"/>
  <c r="H18" i="28" a="1"/>
  <c r="D23" i="28" a="1"/>
  <c r="O11" i="1" a="1"/>
  <c r="G22" i="1" a="1"/>
  <c r="F17" i="1" a="1"/>
  <c r="F12" i="1" a="1"/>
  <c r="F7" i="1" a="1"/>
  <c r="I4" i="1" a="1"/>
  <c r="R4" i="9" a="1"/>
  <c r="H22" i="43" a="1"/>
  <c r="H11" i="43" a="1"/>
  <c r="C16" i="43" a="1"/>
  <c r="D20" i="42" a="1"/>
  <c r="C15" i="42" a="1"/>
  <c r="D12" i="42" a="1"/>
  <c r="C7" i="42" a="1"/>
  <c r="G4" i="42" a="1"/>
  <c r="M3" i="18" a="1"/>
  <c r="O2" i="15" a="1"/>
  <c r="Q2" i="5" a="1"/>
  <c r="T2" i="7" a="1"/>
  <c r="A2" i="7" a="1"/>
  <c r="F2" i="46" a="1"/>
  <c r="C9" i="52" a="1"/>
  <c r="H6" i="52" a="1"/>
  <c r="U19" i="56" a="1"/>
  <c r="V14" i="56" a="1"/>
  <c r="U5" i="56" a="1"/>
  <c r="J16" i="56" a="1"/>
  <c r="H23" i="43" a="1"/>
  <c r="H8" i="43" a="1"/>
  <c r="C6" i="43" a="1"/>
  <c r="F7" i="42" a="1"/>
  <c r="C4" i="42" a="1"/>
  <c r="V2" i="5" a="1"/>
  <c r="I8" i="52" a="1"/>
  <c r="U25" i="56" a="1"/>
  <c r="U7" i="56" a="1"/>
  <c r="J22" i="56" a="1"/>
  <c r="H16" i="56" a="1"/>
  <c r="G11" i="56" a="1"/>
  <c r="I5" i="56" a="1"/>
  <c r="Q23" i="12" a="1"/>
  <c r="M19" i="12" a="1"/>
  <c r="L5" i="12" a="1"/>
  <c r="G10" i="12" a="1"/>
  <c r="F3" i="12" a="1"/>
  <c r="J4" i="39" a="1"/>
  <c r="H5" i="39" a="1"/>
  <c r="L12" i="28" a="1"/>
  <c r="P2" i="38" a="1"/>
  <c r="Y4" i="9" a="1"/>
  <c r="G8" i="43" a="1"/>
  <c r="C3" i="43" a="1"/>
  <c r="I20" i="42" a="1"/>
  <c r="F17" i="42" a="1"/>
  <c r="C14" i="42" a="1"/>
  <c r="J3" i="42" a="1"/>
  <c r="E3" i="18" a="1"/>
  <c r="S2" i="7" a="1"/>
  <c r="Q2" i="47" a="1"/>
  <c r="O2" i="46" a="1"/>
  <c r="J11" i="52" a="1"/>
  <c r="H8" i="52" a="1"/>
  <c r="I5" i="52" a="1"/>
  <c r="T25" i="56" a="1"/>
  <c r="T19" i="56" a="1"/>
  <c r="J23" i="42" a="1"/>
  <c r="I13" i="42" a="1"/>
  <c r="H10" i="42" a="1"/>
  <c r="E7" i="42" a="1"/>
  <c r="B3" i="18" a="1"/>
  <c r="U2" i="5" a="1"/>
  <c r="R2" i="7" a="1"/>
  <c r="P2" i="47" a="1"/>
  <c r="H5" i="52" a="1"/>
  <c r="I22" i="56" a="1"/>
  <c r="G16" i="56" a="1"/>
  <c r="J10" i="56" a="1"/>
  <c r="P23" i="12" a="1"/>
  <c r="P12" i="12" a="1"/>
  <c r="L19" i="12" a="1"/>
  <c r="K5" i="12" a="1"/>
  <c r="F10" i="12" a="1"/>
  <c r="E3" i="12" a="1"/>
  <c r="H4" i="39" a="1"/>
  <c r="M18" i="28" a="1"/>
  <c r="K12" i="28" a="1"/>
  <c r="O2" i="38" a="1"/>
  <c r="X4" i="9" a="1"/>
  <c r="G22" i="43" a="1"/>
  <c r="H7" i="43" a="1"/>
  <c r="H20" i="42" a="1"/>
  <c r="E17" i="42" a="1"/>
  <c r="I3" i="42" a="1"/>
  <c r="A3" i="18" a="1"/>
  <c r="T2" i="5" a="1"/>
  <c r="M2" i="46" a="1"/>
  <c r="G11" i="52" a="1"/>
  <c r="G8" i="52" a="1"/>
  <c r="G5" i="52" a="1"/>
  <c r="S25" i="56" a="1"/>
  <c r="S19" i="56" a="1"/>
  <c r="S13" i="56" a="1"/>
  <c r="H22" i="56" a="1"/>
  <c r="I10" i="56" a="1"/>
  <c r="G5" i="56" a="1"/>
  <c r="R17" i="12" a="1"/>
  <c r="Q6" i="12" a="1"/>
  <c r="L32" i="12" a="1"/>
  <c r="M11" i="12" a="1"/>
  <c r="H13" i="42" a="1"/>
  <c r="G10" i="42" a="1"/>
  <c r="J6" i="42" a="1"/>
  <c r="V2" i="15" a="1"/>
  <c r="M2" i="38" a="1"/>
  <c r="W4" i="9" a="1"/>
  <c r="H21" i="43" a="1"/>
  <c r="H6" i="43" a="1"/>
  <c r="H23" i="42" a="1"/>
  <c r="G20" i="42" a="1"/>
  <c r="J16" i="42" a="1"/>
  <c r="G13" i="42" a="1"/>
  <c r="F10" i="42" a="1"/>
  <c r="G21" i="43" a="1"/>
  <c r="E10" i="42" a="1"/>
  <c r="I6" i="42" a="1"/>
  <c r="T2" i="15" a="1"/>
  <c r="P2" i="7" a="1"/>
  <c r="D11" i="52" a="1"/>
  <c r="U6" i="56" a="1"/>
  <c r="I15" i="56" a="1"/>
  <c r="G10" i="56" a="1"/>
  <c r="O34" i="12" a="1"/>
  <c r="R22" i="12" a="1"/>
  <c r="M31" i="12" a="1"/>
  <c r="M18" i="12" a="1"/>
  <c r="F16" i="12" a="1"/>
  <c r="H2" i="39" a="1"/>
  <c r="M17" i="28" a="1"/>
  <c r="L11" i="28" a="1"/>
  <c r="M4" i="28" a="1"/>
  <c r="G17" i="28" a="1"/>
  <c r="D19" i="28" a="1"/>
  <c r="E9" i="28" a="1"/>
  <c r="I28" i="1" a="1"/>
  <c r="I11" i="1" a="1"/>
  <c r="K8" i="1" a="1"/>
  <c r="C5" i="52" a="1"/>
  <c r="U18" i="56" a="1"/>
  <c r="J9" i="56" a="1"/>
  <c r="O17" i="12" a="1"/>
  <c r="R5" i="12" a="1"/>
  <c r="K11" i="12" a="1"/>
  <c r="E23" i="12" a="1"/>
  <c r="G8" i="12" a="1"/>
  <c r="H21" i="39" a="1"/>
  <c r="F3" i="39" a="1"/>
  <c r="L19" i="1" a="1"/>
  <c r="L16" i="1" a="1"/>
  <c r="G14" i="1" a="1"/>
  <c r="L5" i="1" a="1"/>
  <c r="T4" i="9" a="1"/>
  <c r="G6" i="43" a="1"/>
  <c r="G23" i="42" a="1"/>
  <c r="C20" i="42" a="1"/>
  <c r="I16" i="42" a="1"/>
  <c r="F13" i="42" a="1"/>
  <c r="D10" i="42" a="1"/>
  <c r="F3" i="42" a="1"/>
  <c r="N2" i="7" a="1"/>
  <c r="L2" i="47" a="1"/>
  <c r="K2" i="46" a="1"/>
  <c r="D8" i="52" a="1"/>
  <c r="U24" i="56" a="1"/>
  <c r="G21" i="56" a="1"/>
  <c r="P11" i="12" a="1"/>
  <c r="L31" i="12" a="1"/>
  <c r="M3" i="12" a="1"/>
  <c r="J20" i="39" a="1"/>
  <c r="G7" i="28" a="1"/>
  <c r="J22" i="1" a="1"/>
  <c r="K2" i="38" a="1"/>
  <c r="H20" i="43" a="1"/>
  <c r="H5" i="43" a="1"/>
  <c r="J19" i="42" a="1"/>
  <c r="E13" i="42" a="1"/>
  <c r="H6" i="42" a="1"/>
  <c r="S2" i="15" a="1"/>
  <c r="P2" i="5" a="1"/>
  <c r="C11" i="52" a="1"/>
  <c r="S24" i="56" a="1"/>
  <c r="S12" i="56" a="1"/>
  <c r="T6" i="56" a="1"/>
  <c r="R33" i="12" a="1"/>
  <c r="Q22" i="12" a="1"/>
  <c r="L18" i="12" a="1"/>
  <c r="E16" i="12" a="1"/>
  <c r="F22" i="39" a="1"/>
  <c r="F2" i="39" a="1"/>
  <c r="L17" i="28" a="1"/>
  <c r="M10" i="28" a="1"/>
  <c r="L4" i="28" a="1"/>
  <c r="H16" i="28" a="1"/>
  <c r="D9" i="28" a="1"/>
  <c r="O17" i="1" a="1"/>
  <c r="H28" i="1" a="1"/>
  <c r="H11" i="1" a="1"/>
  <c r="D3" i="42" a="1"/>
  <c r="M2" i="7" a="1"/>
  <c r="J2" i="46" a="1"/>
  <c r="F23" i="42" a="1"/>
  <c r="G16" i="42" a="1"/>
  <c r="D13" i="42" a="1"/>
  <c r="I9" i="42" a="1"/>
  <c r="J2" i="38" a="1"/>
  <c r="Q4" i="9" a="1"/>
  <c r="G20" i="43" a="1"/>
  <c r="G4" i="43" a="1"/>
  <c r="I19" i="42" a="1"/>
  <c r="F16" i="42" a="1"/>
  <c r="G9" i="42" a="1"/>
  <c r="G6" i="42" a="1"/>
  <c r="R2" i="15" a="1"/>
  <c r="O2" i="5" a="1"/>
  <c r="J2" i="47" a="1"/>
  <c r="J10" i="52" a="1"/>
  <c r="J7" i="52" a="1"/>
  <c r="V23" i="56" a="1"/>
  <c r="S6" i="56" a="1"/>
  <c r="H9" i="56" a="1"/>
  <c r="Q33" i="12" a="1"/>
  <c r="R10" i="12" a="1"/>
  <c r="P5" i="12" a="1"/>
  <c r="L17" i="12" a="1"/>
  <c r="E15" i="12" a="1"/>
  <c r="F21" i="39" a="1"/>
  <c r="L23" i="28" a="1"/>
  <c r="M16" i="28" a="1"/>
  <c r="L10" i="28" a="1"/>
  <c r="K4" i="28" a="1"/>
  <c r="G16" i="28" a="1"/>
  <c r="G6" i="28" a="1"/>
  <c r="D18" i="28" a="1"/>
  <c r="E8" i="28" a="1"/>
  <c r="G11" i="1" a="1"/>
  <c r="C10" i="55" a="1"/>
  <c r="E23" i="42" a="1"/>
  <c r="E16" i="42" a="1"/>
  <c r="C13" i="42" a="1"/>
  <c r="F6" i="42" a="1"/>
  <c r="C3" i="42" a="1"/>
  <c r="K2" i="7" a="1"/>
  <c r="I4" i="52" a="1"/>
  <c r="T17" i="56" a="1"/>
  <c r="U11" i="56" a="1"/>
  <c r="I20" i="56" a="1"/>
  <c r="J14" i="56" a="1"/>
  <c r="J8" i="56" a="1"/>
  <c r="R21" i="12" a="1"/>
  <c r="Q16" i="12" a="1"/>
  <c r="M30" i="12" a="1"/>
  <c r="K10" i="12" a="1"/>
  <c r="K3" i="12" a="1"/>
  <c r="F22" i="12" a="1"/>
  <c r="E8" i="12" a="1"/>
  <c r="J18" i="39" a="1"/>
  <c r="H19" i="39" a="1"/>
  <c r="H15" i="28" a="1"/>
  <c r="H3" i="43" a="1"/>
  <c r="I2" i="38" a="1"/>
  <c r="M4" i="9" a="1"/>
  <c r="G19" i="43" a="1"/>
  <c r="D23" i="42" a="1"/>
  <c r="H19" i="42" a="1"/>
  <c r="F9" i="42" a="1"/>
  <c r="E6" i="42" a="1"/>
  <c r="Q2" i="15" a="1"/>
  <c r="N2" i="5" a="1"/>
  <c r="J2" i="7" a="1"/>
  <c r="I2" i="47" a="1"/>
  <c r="E2" i="46" a="1"/>
  <c r="I10" i="52" a="1"/>
  <c r="I7" i="52" a="1"/>
  <c r="H4" i="52" a="1"/>
  <c r="U23" i="56" a="1"/>
  <c r="T11" i="56" a="1"/>
  <c r="T5" i="56" a="1"/>
  <c r="H20" i="56" a="1"/>
  <c r="I14" i="56" a="1"/>
  <c r="P33" i="12" a="1"/>
  <c r="P16" i="12" a="1"/>
  <c r="Q10" i="12" a="1"/>
  <c r="K17" i="12" a="1"/>
  <c r="E22" i="12" a="1"/>
  <c r="G14" i="12" a="1"/>
  <c r="F20" i="39" a="1"/>
  <c r="K23" i="28" a="1"/>
  <c r="L16" i="28" a="1"/>
  <c r="K10" i="28" a="1"/>
  <c r="M3" i="28" a="1"/>
  <c r="G15" i="28" a="1"/>
  <c r="G5" i="28" a="1"/>
  <c r="E17" i="28" a="1"/>
  <c r="E2" i="38" a="1"/>
  <c r="L4" i="9" a="1"/>
  <c r="G3" i="43" a="1"/>
  <c r="J22" i="42" a="1"/>
  <c r="C16" i="42" a="1"/>
  <c r="J12" i="42" a="1"/>
  <c r="C6" i="42" a="1"/>
  <c r="T3" i="18" a="1"/>
  <c r="M2" i="5" a="1"/>
  <c r="I2" i="7" a="1"/>
  <c r="H2" i="47" a="1"/>
  <c r="H10" i="52" a="1"/>
  <c r="T23" i="56" a="1"/>
  <c r="S17" i="56" a="1"/>
  <c r="J25" i="56" a="1"/>
  <c r="H14" i="56" a="1"/>
  <c r="I8" i="56" a="1"/>
  <c r="Q21" i="12" a="1"/>
  <c r="P10" i="12" a="1"/>
  <c r="R4" i="12" a="1"/>
  <c r="L30" i="12" a="1"/>
  <c r="M9" i="12" a="1"/>
  <c r="G34" i="12" a="1"/>
  <c r="G21" i="12" a="1"/>
  <c r="G7" i="12" a="1"/>
  <c r="J17" i="39" a="1"/>
  <c r="H18" i="39" a="1"/>
  <c r="L27" i="1" a="1"/>
  <c r="F22" i="1" a="1"/>
  <c r="G19" i="1" a="1"/>
  <c r="I16" i="1" a="1"/>
  <c r="L10" i="1" a="1"/>
  <c r="G8" i="1" a="1"/>
  <c r="H5" i="1" a="1"/>
  <c r="C28" i="55" a="1"/>
  <c r="G14" i="43" a="1"/>
  <c r="F22" i="42" a="1"/>
  <c r="F5" i="42" a="1"/>
  <c r="O3" i="18" a="1"/>
  <c r="K2" i="15" a="1"/>
  <c r="F2" i="5" a="1"/>
  <c r="E2" i="7" a="1"/>
  <c r="A2" i="46" a="1"/>
  <c r="V21" i="56" a="1"/>
  <c r="H7" i="56" a="1"/>
  <c r="Q20" i="12" a="1"/>
  <c r="R3" i="12" a="1"/>
  <c r="L15" i="12" a="1"/>
  <c r="E20" i="12" a="1"/>
  <c r="J13" i="39" a="1"/>
  <c r="F13" i="39" a="1"/>
  <c r="L21" i="28" a="1"/>
  <c r="K15" i="28" a="1"/>
  <c r="H22" i="28" a="1"/>
  <c r="H12" i="28" a="1"/>
  <c r="G3" i="28" a="1"/>
  <c r="E15" i="28" a="1"/>
  <c r="D6" i="28" a="1"/>
  <c r="C23" i="55" a="1"/>
  <c r="AK4" i="9" a="1"/>
  <c r="G4" i="9" a="1"/>
  <c r="C15" i="43" a="1"/>
  <c r="H18" i="42" a="1"/>
  <c r="F15" i="42" a="1"/>
  <c r="I11" i="42" a="1"/>
  <c r="H8" i="42" a="1"/>
  <c r="A2" i="47" a="1"/>
  <c r="J9" i="52" a="1"/>
  <c r="J6" i="52" a="1"/>
  <c r="J3" i="52" a="1"/>
  <c r="U21" i="56" a="1"/>
  <c r="V15" i="56" a="1"/>
  <c r="V9" i="56" a="1"/>
  <c r="J24" i="56" a="1"/>
  <c r="J12" i="56" a="1"/>
  <c r="R31" i="12" a="1"/>
  <c r="Q14" i="12" a="1"/>
  <c r="O9" i="12" a="1"/>
  <c r="K22" i="12" a="1"/>
  <c r="K8" i="12" a="1"/>
  <c r="E33" i="12" a="1"/>
  <c r="E13" i="12" a="1"/>
  <c r="F6" i="12" a="1"/>
  <c r="H11" i="39" a="1"/>
  <c r="M14" i="28" a="1"/>
  <c r="L8" i="28" a="1"/>
  <c r="D5" i="28" a="1"/>
  <c r="F27" i="1" a="1"/>
  <c r="H21" i="1" a="1"/>
  <c r="K15" i="1" a="1"/>
  <c r="F13" i="1" a="1"/>
  <c r="H10" i="1" a="1"/>
  <c r="I7" i="1" a="1"/>
  <c r="K4" i="1" a="1"/>
  <c r="H13" i="43" a="1"/>
  <c r="C22" i="42" a="1"/>
  <c r="G18" i="42" a="1"/>
  <c r="C5" i="42" a="1"/>
  <c r="L3" i="18" a="1"/>
  <c r="J2" i="15" a="1"/>
  <c r="E2" i="5" a="1"/>
  <c r="D2" i="7" a="1"/>
  <c r="V2" i="46" a="1"/>
  <c r="I12" i="52" a="1"/>
  <c r="T21" i="56" a="1"/>
  <c r="H24" i="56" a="1"/>
  <c r="I18" i="56" a="1"/>
  <c r="G7" i="56" a="1"/>
  <c r="R19" i="12" a="1"/>
  <c r="K15" i="12" a="1"/>
  <c r="F32" i="12" a="1"/>
  <c r="G19" i="12" a="1"/>
  <c r="E6" i="12" a="1"/>
  <c r="J11" i="39" a="1"/>
  <c r="F12" i="39" a="1"/>
  <c r="K21" i="28" a="1"/>
  <c r="K8" i="28" a="1"/>
  <c r="H21" i="28" a="1"/>
  <c r="G12" i="28" a="1"/>
  <c r="E26" i="28" a="1"/>
  <c r="D15" i="28" a="1"/>
  <c r="I18" i="1" a="1"/>
  <c r="J4" i="1" a="1"/>
  <c r="C22" i="55" a="1"/>
  <c r="AJ4" i="9" a="1"/>
  <c r="E4" i="9" a="1"/>
  <c r="G13" i="43" a="1"/>
  <c r="C14" i="43" a="1"/>
  <c r="F18" i="42" a="1"/>
  <c r="E15" i="42" a="1"/>
  <c r="H11" i="42" a="1"/>
  <c r="F8" i="42" a="1"/>
  <c r="H12" i="52" a="1"/>
  <c r="I9" i="52" a="1"/>
  <c r="G6" i="52" a="1"/>
  <c r="I3" i="52" a="1"/>
  <c r="U15" i="56" a="1"/>
  <c r="S9" i="56" a="1"/>
  <c r="H18" i="56" a="1"/>
  <c r="I12" i="56" a="1"/>
  <c r="Q31" i="12" a="1"/>
  <c r="O14" i="12" a="1"/>
  <c r="R8" i="12" a="1"/>
  <c r="M34" i="12" a="1"/>
  <c r="M21" i="12" a="1"/>
  <c r="M14" i="12" a="1"/>
  <c r="M7" i="12" a="1"/>
  <c r="F19" i="12" a="1"/>
  <c r="G12" i="12" a="1"/>
  <c r="H10" i="39" a="1"/>
  <c r="L14" i="28" a="1"/>
  <c r="E4" i="28" a="1"/>
  <c r="O8" i="1" a="1"/>
  <c r="L23" i="1" a="1"/>
  <c r="H18" i="1" a="1"/>
  <c r="J15" i="1" a="1"/>
  <c r="L12" i="1" a="1"/>
  <c r="F10" i="1" a="1"/>
  <c r="H7" i="1" a="1"/>
  <c r="G21" i="42" a="1"/>
  <c r="E18" i="42" a="1"/>
  <c r="K3" i="18" a="1"/>
  <c r="C2" i="5" a="1"/>
  <c r="E8" i="42" a="1"/>
  <c r="J4" i="42" a="1"/>
  <c r="G2" i="15" a="1"/>
  <c r="C2" i="7" a="1"/>
  <c r="U2" i="46" a="1"/>
  <c r="G12" i="52" a="1"/>
  <c r="H3" i="52" a="1"/>
  <c r="T15" i="56" a="1"/>
  <c r="G24" i="56" a="1"/>
  <c r="G12" i="56" a="1"/>
  <c r="J6" i="56" a="1"/>
  <c r="L14" i="12" a="1"/>
  <c r="L7" i="12" a="1"/>
  <c r="E32" i="12" a="1"/>
  <c r="G5" i="12" a="1"/>
  <c r="J10" i="39" a="1"/>
  <c r="F11" i="39" a="1"/>
  <c r="M7" i="28" a="1"/>
  <c r="G21" i="28" a="1"/>
  <c r="H11" i="28" a="1"/>
  <c r="D26" i="28" a="1"/>
  <c r="D14" i="28" a="1"/>
  <c r="F21" i="1" a="1"/>
  <c r="H4" i="1" a="1"/>
  <c r="C21" i="55" a="1"/>
  <c r="D2" i="38" a="1"/>
  <c r="H12" i="43" a="1"/>
  <c r="J20" i="42" a="1"/>
  <c r="J11" i="42" a="1"/>
  <c r="E4" i="42" a="1"/>
  <c r="S2" i="5" a="1"/>
  <c r="G2" i="47" a="1"/>
  <c r="U16" i="56" a="1"/>
  <c r="Q18" i="12" a="1"/>
  <c r="R7" i="12" a="1"/>
  <c r="F21" i="12" a="1"/>
  <c r="E10" i="12" a="1"/>
  <c r="J5" i="39" a="1"/>
  <c r="F10" i="39" a="1"/>
  <c r="K5" i="28" a="1"/>
  <c r="H10" i="28" a="1"/>
  <c r="O22" i="1" a="1"/>
  <c r="J27" i="1" a="1"/>
  <c r="I8" i="1" a="1"/>
  <c r="G4" i="1" a="1"/>
  <c r="C14" i="55" a="1"/>
  <c r="I19" i="1" a="1"/>
  <c r="D9" i="42" a="1"/>
  <c r="O32" i="12" a="1"/>
  <c r="F18" i="12" a="1"/>
  <c r="O14" i="1" a="1"/>
  <c r="I11" i="56" a="1"/>
  <c r="G18" i="1" a="1"/>
  <c r="G11" i="42" a="1"/>
  <c r="D4" i="42" a="1"/>
  <c r="L2" i="5" a="1"/>
  <c r="D4" i="52" a="1"/>
  <c r="T16" i="56" a="1"/>
  <c r="I25" i="56" a="1"/>
  <c r="G15" i="56" a="1"/>
  <c r="Q34" i="12" a="1"/>
  <c r="P18" i="12" a="1"/>
  <c r="K21" i="12" a="1"/>
  <c r="G20" i="12" a="1"/>
  <c r="F9" i="12" a="1"/>
  <c r="F9" i="39" a="1"/>
  <c r="L15" i="28" a="1"/>
  <c r="E16" i="28" a="1"/>
  <c r="I20" i="1" a="1"/>
  <c r="H12" i="1" a="1"/>
  <c r="H8" i="1" a="1"/>
  <c r="I23" i="1" a="1"/>
  <c r="J8" i="52" a="1"/>
  <c r="L9" i="28" a="1"/>
  <c r="AN4" i="9" a="1"/>
  <c r="E19" i="42" a="1"/>
  <c r="F2" i="47" a="1"/>
  <c r="D10" i="52" a="1"/>
  <c r="O18" i="12" a="1"/>
  <c r="M20" i="12" a="1"/>
  <c r="K7" i="12" a="1"/>
  <c r="F8" i="12" a="1"/>
  <c r="J3" i="39" a="1"/>
  <c r="H9" i="28" a="1"/>
  <c r="I27" i="1" a="1"/>
  <c r="H16" i="1" a="1"/>
  <c r="F4" i="1" a="1"/>
  <c r="C13" i="55" a="1"/>
  <c r="G11" i="43" a="1"/>
  <c r="C19" i="42" a="1"/>
  <c r="E11" i="42" a="1"/>
  <c r="H3" i="42" a="1"/>
  <c r="K2" i="5" a="1"/>
  <c r="D2" i="47" a="1"/>
  <c r="C4" i="52" a="1"/>
  <c r="S16" i="56" a="1"/>
  <c r="H25" i="56" a="1"/>
  <c r="O7" i="12" a="1"/>
  <c r="M6" i="12" a="1"/>
  <c r="F20" i="12" a="1"/>
  <c r="J2" i="39" a="1"/>
  <c r="F8" i="39" a="1"/>
  <c r="K14" i="28" a="1"/>
  <c r="L3" i="28" a="1"/>
  <c r="D16" i="28" a="1"/>
  <c r="O20" i="1" a="1"/>
  <c r="H20" i="1" a="1"/>
  <c r="G12" i="1" a="1"/>
  <c r="C12" i="55" a="1"/>
  <c r="AM4" i="9" a="1"/>
  <c r="H2" i="5" a="1"/>
  <c r="J13" i="56" a="1"/>
  <c r="F8" i="1" a="1"/>
  <c r="L3" i="1" a="1"/>
  <c r="C11" i="55" a="1"/>
  <c r="B2" i="47" a="1"/>
  <c r="F9" i="52" a="1"/>
  <c r="R32" i="12" a="1"/>
  <c r="P17" i="12" a="1"/>
  <c r="R6" i="12" a="1"/>
  <c r="L20" i="12" a="1"/>
  <c r="K6" i="12" a="1"/>
  <c r="F7" i="12" a="1"/>
  <c r="K3" i="28" a="1"/>
  <c r="G9" i="28" a="1"/>
  <c r="G27" i="1" a="1"/>
  <c r="F16" i="1" a="1"/>
  <c r="D11" i="42" a="1"/>
  <c r="AL4" i="9" a="1"/>
  <c r="H10" i="43" a="1"/>
  <c r="J18" i="42" a="1"/>
  <c r="S3" i="18" a="1"/>
  <c r="F3" i="52" a="1"/>
  <c r="G25" i="56" a="1"/>
  <c r="R16" i="12" a="1"/>
  <c r="P6" i="12" a="1"/>
  <c r="K20" i="12" a="1"/>
  <c r="E19" i="12" a="1"/>
  <c r="H22" i="39" a="1"/>
  <c r="F7" i="39" a="1"/>
  <c r="M13" i="28" a="1"/>
  <c r="H23" i="28" a="1"/>
  <c r="E13" i="28" a="1"/>
  <c r="K23" i="1" a="1"/>
  <c r="G20" i="1" a="1"/>
  <c r="L11" i="1" a="1"/>
  <c r="AI4" i="9" a="1"/>
  <c r="I18" i="42" a="1"/>
  <c r="R3" i="18" a="1"/>
  <c r="G2" i="5" a="1"/>
  <c r="T2" i="46" a="1"/>
  <c r="E9" i="52" a="1"/>
  <c r="U14" i="56" a="1"/>
  <c r="J23" i="56" a="1"/>
  <c r="Q32" i="12" a="1"/>
  <c r="O6" i="12" a="1"/>
  <c r="M5" i="12" a="1"/>
  <c r="E7" i="12" a="1"/>
  <c r="H20" i="39" a="1"/>
  <c r="J23" i="1" a="1"/>
  <c r="L15" i="1" a="1"/>
  <c r="L7" i="1" a="1"/>
  <c r="K3" i="1" a="1"/>
  <c r="C9" i="55" a="1"/>
  <c r="G13" i="56" a="1"/>
  <c r="P32" i="12" a="1"/>
  <c r="K19" i="12" a="1"/>
  <c r="G18" i="12" a="1"/>
  <c r="D13" i="28" a="1"/>
  <c r="F20" i="1" a="1"/>
  <c r="K11" i="1" a="1"/>
  <c r="R2" i="46" a="1"/>
  <c r="I23" i="56" a="1"/>
  <c r="G6" i="12" a="1"/>
  <c r="H17" i="39" a="1"/>
  <c r="H23" i="56" a="1"/>
  <c r="J11" i="56" a="1"/>
  <c r="Q4" i="12" a="1"/>
  <c r="L22" i="28" a="1"/>
  <c r="I13" i="56" a="1"/>
  <c r="F6" i="39" a="1"/>
  <c r="L13" i="28" a="1"/>
  <c r="H8" i="28" a="1"/>
  <c r="D18" i="42" a="1"/>
  <c r="J10" i="42" a="1"/>
  <c r="Q3" i="18" a="1"/>
  <c r="F5" i="39" a="1"/>
  <c r="G23" i="28" a="1"/>
  <c r="I15" i="1" a="1"/>
  <c r="B2" i="5" a="1"/>
  <c r="C3" i="52" a="1"/>
  <c r="T14" i="56" a="1"/>
  <c r="P15" i="12" a="1"/>
  <c r="K13" i="28" a="1"/>
  <c r="G8" i="28" a="1"/>
  <c r="O15" i="1" a="1"/>
  <c r="H7" i="28" a="1"/>
  <c r="I3" i="1" a="1"/>
  <c r="D12" i="28" a="1"/>
  <c r="AG4" i="9" a="1"/>
  <c r="C23" i="43" a="1"/>
  <c r="E9" i="42" a="1"/>
  <c r="P3" i="18" a="1"/>
  <c r="AC4" i="9" a="1"/>
  <c r="C18" i="42" a="1"/>
  <c r="G17" i="12" a="1"/>
  <c r="C19" i="43" a="1"/>
  <c r="J17" i="42" a="1"/>
  <c r="A2" i="5" a="1"/>
  <c r="Q2" i="46" a="1"/>
  <c r="S14" i="56" a="1"/>
  <c r="O15" i="12" a="1"/>
  <c r="P4" i="12" a="1"/>
  <c r="L16" i="12" a="1"/>
  <c r="M4" i="12" a="1"/>
  <c r="E5" i="12" a="1"/>
  <c r="H16" i="39" a="1"/>
  <c r="H20" i="28" a="1"/>
  <c r="O13" i="1" a="1"/>
  <c r="H23" i="1" a="1"/>
  <c r="L6" i="1" a="1"/>
  <c r="C9" i="42" a="1"/>
  <c r="J3" i="18" a="1"/>
  <c r="P2" i="46" a="1"/>
  <c r="AA4" i="9" a="1"/>
  <c r="C18" i="43" a="1"/>
  <c r="I22" i="1" a="1"/>
  <c r="I17" i="42" a="1"/>
  <c r="V2" i="7" a="1"/>
  <c r="F8" i="52" a="1"/>
  <c r="V24" i="56" a="1"/>
  <c r="R13" i="12" a="1"/>
  <c r="O4" i="12" a="1"/>
  <c r="K16" i="12" a="1"/>
  <c r="L3" i="12" a="1"/>
  <c r="F17" i="12" a="1"/>
  <c r="G4" i="12" a="1"/>
  <c r="H12" i="39" a="1"/>
  <c r="M11" i="28" a="1"/>
  <c r="G20" i="28" a="1"/>
  <c r="O12" i="1" a="1"/>
  <c r="G23" i="1" a="1"/>
  <c r="F19" i="1" a="1"/>
  <c r="K6" i="1" a="1"/>
  <c r="G3" i="1" a="1"/>
  <c r="R30" i="12" a="1"/>
  <c r="E17" i="12" a="1"/>
  <c r="H9" i="39" a="1"/>
  <c r="F15" i="1" a="1"/>
  <c r="D31" i="1" a="1"/>
  <c r="C27" i="55" a="1"/>
  <c r="C13" i="43" a="1"/>
  <c r="G17" i="42" a="1"/>
  <c r="J8" i="42" a="1"/>
  <c r="I3" i="18" a="1"/>
  <c r="L2" i="46" a="1"/>
  <c r="C8" i="52" a="1"/>
  <c r="U12" i="56" a="1"/>
  <c r="H11" i="56" a="1"/>
  <c r="K22" i="28" a="1"/>
  <c r="G4" i="28" a="1"/>
  <c r="E11" i="28" a="1"/>
  <c r="L20" i="28" a="1"/>
  <c r="H6" i="39" a="1"/>
  <c r="K4" i="9" a="1"/>
  <c r="C12" i="43" a="1"/>
  <c r="J15" i="42" a="1"/>
  <c r="D8" i="42" a="1"/>
  <c r="H3" i="18" a="1"/>
  <c r="Q2" i="7" a="1"/>
  <c r="D2" i="46" a="1"/>
  <c r="O30" i="12" a="1"/>
  <c r="Q13" i="12" a="1"/>
  <c r="L34" i="12" a="1"/>
  <c r="M15" i="12" a="1"/>
  <c r="F34" i="12" a="1"/>
  <c r="G16" i="12" a="1"/>
  <c r="F4" i="12" a="1"/>
  <c r="H19" i="28" a="1"/>
  <c r="F23" i="1" a="1"/>
  <c r="L18" i="1" a="1"/>
  <c r="K10" i="1" a="1"/>
  <c r="J6" i="1" a="1"/>
  <c r="C29" i="55" a="1"/>
  <c r="J10" i="1" a="1"/>
  <c r="V22" i="56" a="1"/>
  <c r="I15" i="42" a="1"/>
  <c r="C8" i="42" a="1"/>
  <c r="E7" i="52" a="1"/>
  <c r="S23" i="56" a="1"/>
  <c r="S11" i="56" a="1"/>
  <c r="H21" i="56" a="1"/>
  <c r="K34" i="12" a="1"/>
  <c r="E34" i="12" a="1"/>
  <c r="G3" i="12" a="1"/>
  <c r="H8" i="39" a="1"/>
  <c r="M21" i="28" a="1"/>
  <c r="M9" i="28" a="1"/>
  <c r="H3" i="28" a="1"/>
  <c r="L22" i="1" a="1"/>
  <c r="K14" i="1" a="1"/>
  <c r="G19" i="28" a="1"/>
  <c r="D10" i="28" a="1"/>
  <c r="K18" i="1" a="1"/>
  <c r="G20" i="56" a="1"/>
  <c r="F14" i="12" a="1"/>
  <c r="R12" i="12" a="1"/>
  <c r="J4" i="9" a="1"/>
  <c r="C11" i="43" a="1"/>
  <c r="J7" i="42" a="1"/>
  <c r="F3" i="18" a="1"/>
  <c r="C2" i="46" a="1"/>
  <c r="J20" i="56" a="1"/>
  <c r="H10" i="56" a="1"/>
  <c r="R23" i="12" a="1"/>
  <c r="P13" i="12" a="1"/>
  <c r="I6" i="1" a="1"/>
  <c r="V10" i="56" a="1"/>
  <c r="M33" i="12" a="1"/>
  <c r="G33" i="12" a="1"/>
  <c r="H7" i="39" a="1"/>
  <c r="H15" i="42" a="1"/>
  <c r="U2" i="15" a="1"/>
  <c r="H2" i="7" a="1"/>
  <c r="D7" i="52" a="1"/>
  <c r="K14" i="12" a="1"/>
  <c r="H4" i="9" a="1"/>
  <c r="C9" i="43" a="1"/>
  <c r="I7" i="42" a="1"/>
  <c r="N2" i="15" a="1"/>
  <c r="G2" i="7" a="1"/>
  <c r="B2" i="46" a="1"/>
  <c r="I9" i="56" a="1"/>
  <c r="O23" i="12" a="1"/>
  <c r="G15" i="42" a="1"/>
  <c r="C7" i="52" a="1"/>
  <c r="U10" i="56" a="1"/>
  <c r="I19" i="56" a="1"/>
  <c r="H8" i="56" a="1"/>
  <c r="Q12" i="12" a="1"/>
  <c r="L33" i="12" a="1"/>
  <c r="J21" i="39" a="1"/>
  <c r="K20" i="28" a="1"/>
  <c r="D8" i="28" a="1"/>
  <c r="H22" i="1" a="1"/>
  <c r="F18" i="1" a="1"/>
  <c r="H14" i="1" a="1"/>
  <c r="L9" i="1" a="1"/>
  <c r="C26" i="55" a="1"/>
  <c r="C4" i="9" a="1"/>
  <c r="J14" i="42" a="1"/>
  <c r="M2" i="15" a="1"/>
  <c r="F2" i="7" a="1"/>
  <c r="F6" i="52" a="1"/>
  <c r="V20" i="56" a="1"/>
  <c r="S10" i="56" a="1"/>
  <c r="O22" i="12" a="1"/>
  <c r="O12" i="12" a="1"/>
  <c r="L13" i="12" a="1"/>
  <c r="G31" i="12" a="1"/>
  <c r="G13" i="12" a="1"/>
  <c r="J19" i="39" a="1"/>
  <c r="M8" i="28" a="1"/>
  <c r="H17" i="28" a="1"/>
  <c r="E22" i="28" a="1"/>
  <c r="E7" i="28" a="1"/>
  <c r="O3" i="1" a="1"/>
  <c r="F14" i="1" a="1"/>
  <c r="G6" i="1" a="1"/>
  <c r="C25" i="55" a="1"/>
  <c r="I22" i="42" a="1"/>
  <c r="H14" i="42" a="1"/>
  <c r="F12" i="52" a="1"/>
  <c r="V8" i="56" a="1"/>
  <c r="G8" i="56" a="1"/>
  <c r="M32" i="12" a="1"/>
  <c r="J16" i="39" a="1"/>
  <c r="M19" i="28" a="1"/>
  <c r="L17" i="1" a="1"/>
  <c r="L13" i="1" a="1"/>
  <c r="K9" i="1" a="1"/>
  <c r="F6" i="1" a="1"/>
  <c r="J5" i="42" a="1"/>
  <c r="L2" i="15" a="1"/>
  <c r="E12" i="52" a="1"/>
  <c r="E6" i="52" a="1"/>
  <c r="U20" i="56" a="1"/>
  <c r="G19" i="56" a="1"/>
  <c r="P21" i="12" a="1"/>
  <c r="O11" i="12" a="1"/>
  <c r="K32" i="12" a="1"/>
  <c r="K13" i="12" a="1"/>
  <c r="F31" i="12" a="1"/>
  <c r="F13" i="12" a="1"/>
  <c r="H3" i="39" a="1"/>
  <c r="K7" i="28" a="1"/>
  <c r="D22" i="28" a="1"/>
  <c r="D7" i="28" a="1"/>
  <c r="L28" i="1" a="1"/>
  <c r="K21" i="1" a="1"/>
  <c r="K13" i="1" a="1"/>
  <c r="K5" i="1" a="1"/>
  <c r="H22" i="42" a="1"/>
  <c r="G14" i="42" a="1"/>
  <c r="V2" i="47" a="1"/>
  <c r="U8" i="56" a="1"/>
  <c r="G18" i="56" a="1"/>
  <c r="J7" i="56" a="1"/>
  <c r="O10" i="12" a="1"/>
  <c r="M12" i="12" a="1"/>
  <c r="F12" i="12" a="1"/>
  <c r="J15" i="39" a="1"/>
  <c r="L19" i="28" a="1"/>
  <c r="H14" i="28" a="1"/>
  <c r="K17" i="1" a="1"/>
  <c r="I9" i="1" a="1"/>
  <c r="C20" i="55" a="1"/>
  <c r="F14" i="42" a="1"/>
  <c r="D12" i="52" a="1"/>
  <c r="D6" i="52" a="1"/>
  <c r="T20" i="56" a="1"/>
  <c r="O21" i="12" a="1"/>
  <c r="K31" i="12" a="1"/>
  <c r="E31" i="12" a="1"/>
  <c r="K19" i="28" a="1"/>
  <c r="M6" i="28" a="1"/>
  <c r="E6" i="28" a="1"/>
  <c r="K28" i="1" a="1"/>
  <c r="J21" i="1" a="1"/>
  <c r="I13" i="1" a="1"/>
  <c r="G22" i="42" a="1"/>
  <c r="E14" i="42" a="1"/>
  <c r="H5" i="42" a="1"/>
  <c r="D2" i="15" a="1"/>
  <c r="U2" i="47" a="1"/>
  <c r="S8" i="56" a="1"/>
  <c r="J17" i="56" a="1"/>
  <c r="R9" i="12" a="1"/>
  <c r="L11" i="12" a="1"/>
  <c r="G30" i="12" a="1"/>
  <c r="E12" i="12" a="1"/>
  <c r="J14" i="39" a="1"/>
  <c r="F19" i="39" a="1"/>
  <c r="H13" i="28" a="1"/>
  <c r="D21" i="28" a="1"/>
  <c r="J17" i="1" a="1"/>
  <c r="H9" i="1" a="1"/>
  <c r="C19" i="55" a="1"/>
  <c r="H18" i="43" a="1"/>
  <c r="D14" i="42" a="1"/>
  <c r="C2" i="15" a="1"/>
  <c r="S2" i="47" a="1"/>
  <c r="C12" i="52" a="1"/>
  <c r="C6" i="52" a="1"/>
  <c r="S20" i="56" a="1"/>
  <c r="H17" i="56" a="1"/>
  <c r="I6" i="56" a="1"/>
  <c r="R20" i="12" a="1"/>
  <c r="Q9" i="12" a="1"/>
  <c r="K30" i="12" a="1"/>
  <c r="L10" i="12" a="1"/>
  <c r="F30" i="12" a="1"/>
  <c r="F11" i="12" a="1"/>
  <c r="K18" i="28" a="1"/>
  <c r="G9" i="1" a="1"/>
  <c r="E21" i="42" a="1"/>
  <c r="R2" i="47" a="1"/>
  <c r="V18" i="56" a="1"/>
  <c r="T7" i="56" a="1"/>
  <c r="P9" i="12" a="1"/>
  <c r="M22" i="12" a="1"/>
  <c r="E11" i="12" a="1"/>
  <c r="C17" i="55" a="1"/>
  <c r="J5" i="56" a="1"/>
  <c r="L22" i="12" a="1"/>
  <c r="K16" i="1" a="1"/>
  <c r="O31" i="12" a="1"/>
  <c r="L20" i="1" a="1"/>
  <c r="I4" i="42" a="1"/>
  <c r="V6" i="56" a="1"/>
  <c r="D4" i="28" a="1"/>
  <c r="J28" i="1" a="1"/>
  <c r="I21" i="1" a="1"/>
  <c r="H13" i="1" a="1"/>
  <c r="G5" i="1" a="1"/>
  <c r="H16" i="43" a="1"/>
  <c r="E11" i="52" a="1"/>
  <c r="V7" i="56" a="1"/>
  <c r="H6" i="56" a="1"/>
  <c r="P19" i="12" a="1"/>
  <c r="L9" i="12" a="1"/>
  <c r="G23" i="12" a="1"/>
  <c r="G13" i="28" a="1"/>
  <c r="C18" i="55" a="1"/>
  <c r="I12" i="42" a="1"/>
  <c r="B2" i="15" a="1"/>
  <c r="E3" i="28" a="1"/>
  <c r="G13" i="1" a="1"/>
  <c r="A2" i="15" a="1"/>
  <c r="J4" i="52" a="1"/>
  <c r="T18" i="56" a="1"/>
  <c r="G6" i="56" a="1"/>
  <c r="K16" i="28" a="1"/>
  <c r="F28" i="1" a="1"/>
  <c r="H17" i="1" a="1"/>
  <c r="K12" i="1" a="1"/>
  <c r="C21" i="42" a="1"/>
  <c r="O8" i="12" a="1"/>
  <c r="O23" i="1" a="1"/>
  <c r="L8" i="1" a="1"/>
  <c r="L4" i="1" a="1"/>
  <c r="C16" i="55" a="1"/>
  <c r="E4" i="52" a="1"/>
  <c r="L21" i="12" a="1"/>
  <c r="M8" i="12" a="1"/>
  <c r="L6" i="28" a="1"/>
  <c r="E20" i="28" a="1"/>
  <c r="I17" i="1" a="1"/>
  <c r="G16" i="43" a="1"/>
  <c r="H15" i="1" a="1"/>
  <c r="E23" i="28" a="1"/>
  <c r="F15" i="39" a="1"/>
  <c r="J7" i="39" a="1"/>
  <c r="F9" i="1" a="1"/>
  <c r="N2" i="47" a="1"/>
  <c r="R18" i="12" a="1"/>
  <c r="G22" i="12" a="1"/>
  <c r="G11" i="28" a="1"/>
  <c r="J15" i="56" a="1"/>
  <c r="H19" i="1" a="1"/>
  <c r="J11" i="1" a="1"/>
  <c r="T13" i="56" a="1"/>
  <c r="K6" i="28" a="1"/>
  <c r="G28" i="1" a="1"/>
  <c r="F5" i="1" a="1"/>
  <c r="D21" i="42" a="1"/>
  <c r="I16" i="56" a="1"/>
  <c r="V16" i="56" a="1"/>
  <c r="K20" i="1" a="1"/>
  <c r="J16" i="1" a="1"/>
  <c r="F33" i="12" a="1"/>
  <c r="H6" i="1" a="1"/>
  <c r="Q8" i="12" a="1"/>
  <c r="R14" i="12" a="1"/>
  <c r="K4" i="12" a="1"/>
  <c r="K22" i="1" a="1"/>
  <c r="M5" i="28" a="1"/>
  <c r="F4" i="39" a="1"/>
  <c r="F11" i="1" a="1"/>
  <c r="K9" i="12" a="1"/>
  <c r="F23" i="12" a="1"/>
  <c r="D20" i="28" a="1"/>
  <c r="J6" i="39" a="1"/>
  <c r="F10" i="52" a="1"/>
  <c r="D17" i="28" a="1"/>
  <c r="O5" i="1" a="1"/>
  <c r="E14" i="12" a="1"/>
  <c r="G18" i="28" a="1"/>
  <c r="F14" i="39" a="1"/>
  <c r="G4" i="52" a="1"/>
  <c r="F4" i="42" a="1"/>
  <c r="J20" i="1" a="1"/>
  <c r="H4" i="28" a="1"/>
  <c r="I14" i="1" a="1"/>
  <c r="I10" i="1" a="1"/>
  <c r="H14" i="43" a="1"/>
  <c r="J12" i="1" a="1"/>
  <c r="G7" i="1" a="1"/>
  <c r="C12" i="42" a="1"/>
  <c r="M15" i="28" a="1"/>
  <c r="E12" i="28" a="1"/>
  <c r="G23" i="56" a="1"/>
  <c r="G15" i="1" a="1"/>
  <c r="H3" i="1" a="1"/>
  <c r="H3" i="1" l="1"/>
  <c r="G15" i="1"/>
  <c r="G23" i="56"/>
  <c r="E12" i="28"/>
  <c r="M15" i="28"/>
  <c r="C12" i="42"/>
  <c r="G7" i="1"/>
  <c r="J12" i="1"/>
  <c r="H14" i="43"/>
  <c r="I10" i="1"/>
  <c r="I14" i="1"/>
  <c r="H4" i="28"/>
  <c r="J20" i="1"/>
  <c r="F4" i="42"/>
  <c r="G4" i="52"/>
  <c r="F14" i="39"/>
  <c r="G18" i="28"/>
  <c r="E14" i="12"/>
  <c r="O5" i="1"/>
  <c r="D17" i="28"/>
  <c r="F10" i="52"/>
  <c r="J6" i="39"/>
  <c r="D20" i="28"/>
  <c r="F23" i="12"/>
  <c r="K9" i="12"/>
  <c r="F11" i="1"/>
  <c r="F4" i="39"/>
  <c r="M5" i="28"/>
  <c r="K22" i="1"/>
  <c r="K4" i="12"/>
  <c r="R14" i="12"/>
  <c r="Q8" i="12"/>
  <c r="H6" i="1"/>
  <c r="F33" i="12"/>
  <c r="J16" i="1"/>
  <c r="K20" i="1"/>
  <c r="V16" i="56"/>
  <c r="I16" i="56"/>
  <c r="D21" i="42"/>
  <c r="F5" i="1"/>
  <c r="G28" i="1"/>
  <c r="K6" i="28"/>
  <c r="T13" i="56"/>
  <c r="J11" i="1"/>
  <c r="H19" i="1"/>
  <c r="J15" i="56"/>
  <c r="G11" i="28"/>
  <c r="G22" i="12"/>
  <c r="R18" i="12"/>
  <c r="N2" i="47"/>
  <c r="F9" i="1"/>
  <c r="J7" i="39"/>
  <c r="F15" i="39"/>
  <c r="E23" i="28"/>
  <c r="H15" i="1"/>
  <c r="G16" i="43"/>
  <c r="I17" i="1"/>
  <c r="E20" i="28"/>
  <c r="L6" i="28"/>
  <c r="M8" i="12"/>
  <c r="L21" i="12"/>
  <c r="E4" i="52"/>
  <c r="C16" i="55"/>
  <c r="L4" i="1"/>
  <c r="L8" i="1"/>
  <c r="O23" i="1"/>
  <c r="O8" i="12"/>
  <c r="C21" i="42"/>
  <c r="K12" i="1"/>
  <c r="H17" i="1"/>
  <c r="F28" i="1"/>
  <c r="K16" i="28"/>
  <c r="G6" i="56"/>
  <c r="T18" i="56"/>
  <c r="J4" i="52"/>
  <c r="A2" i="15"/>
  <c r="G13" i="1"/>
  <c r="E3" i="28"/>
  <c r="B2" i="15"/>
  <c r="I12" i="42"/>
  <c r="C18" i="55"/>
  <c r="G13" i="28"/>
  <c r="G23" i="12"/>
  <c r="L9" i="12"/>
  <c r="P19" i="12"/>
  <c r="H6" i="56"/>
  <c r="V7" i="56"/>
  <c r="E11" i="52"/>
  <c r="H16" i="43"/>
  <c r="G5" i="1"/>
  <c r="H13" i="1"/>
  <c r="I21" i="1"/>
  <c r="J28" i="1"/>
  <c r="D4" i="28"/>
  <c r="V6" i="56"/>
  <c r="I4" i="42"/>
  <c r="L20" i="1"/>
  <c r="O31" i="12"/>
  <c r="K16" i="1"/>
  <c r="L22" i="12"/>
  <c r="J5" i="56"/>
  <c r="C17" i="55"/>
  <c r="E11" i="12"/>
  <c r="M22" i="12"/>
  <c r="P9" i="12"/>
  <c r="T7" i="56"/>
  <c r="V18" i="56"/>
  <c r="R2" i="47"/>
  <c r="E21" i="42"/>
  <c r="G9" i="1"/>
  <c r="K18" i="28"/>
  <c r="F11" i="12"/>
  <c r="F30" i="12"/>
  <c r="L10" i="12"/>
  <c r="K30" i="12"/>
  <c r="Q9" i="12"/>
  <c r="R20" i="12"/>
  <c r="I6" i="56"/>
  <c r="H17" i="56"/>
  <c r="S20" i="56"/>
  <c r="C6" i="52"/>
  <c r="C12" i="52"/>
  <c r="S2" i="47"/>
  <c r="C2" i="15"/>
  <c r="D14" i="42"/>
  <c r="H18" i="43"/>
  <c r="C19" i="55"/>
  <c r="H9" i="1"/>
  <c r="J17" i="1"/>
  <c r="D21" i="28"/>
  <c r="H13" i="28"/>
  <c r="F19" i="39"/>
  <c r="J14" i="39"/>
  <c r="E12" i="12"/>
  <c r="G30" i="12"/>
  <c r="L11" i="12"/>
  <c r="R9" i="12"/>
  <c r="J17" i="56"/>
  <c r="S8" i="56"/>
  <c r="U2" i="47"/>
  <c r="D2" i="15"/>
  <c r="H5" i="42"/>
  <c r="E14" i="42"/>
  <c r="G22" i="42"/>
  <c r="I13" i="1"/>
  <c r="J21" i="1"/>
  <c r="K28" i="1"/>
  <c r="E6" i="28"/>
  <c r="M6" i="28"/>
  <c r="K19" i="28"/>
  <c r="E31" i="12"/>
  <c r="K31" i="12"/>
  <c r="O21" i="12"/>
  <c r="T20" i="56"/>
  <c r="D6" i="52"/>
  <c r="D12" i="52"/>
  <c r="F14" i="42"/>
  <c r="C20" i="55"/>
  <c r="I9" i="1"/>
  <c r="K17" i="1"/>
  <c r="H14" i="28"/>
  <c r="L19" i="28"/>
  <c r="J15" i="39"/>
  <c r="F12" i="12"/>
  <c r="M12" i="12"/>
  <c r="O10" i="12"/>
  <c r="J7" i="56"/>
  <c r="G18" i="56"/>
  <c r="U8" i="56"/>
  <c r="V2" i="47"/>
  <c r="G14" i="42"/>
  <c r="H22" i="42"/>
  <c r="K5" i="1"/>
  <c r="K13" i="1"/>
  <c r="K21" i="1"/>
  <c r="L28" i="1"/>
  <c r="D7" i="28"/>
  <c r="D22" i="28"/>
  <c r="K7" i="28"/>
  <c r="H3" i="39"/>
  <c r="F13" i="12"/>
  <c r="F31" i="12"/>
  <c r="K13" i="12"/>
  <c r="K32" i="12"/>
  <c r="O11" i="12"/>
  <c r="P21" i="12"/>
  <c r="G19" i="56"/>
  <c r="U20" i="56"/>
  <c r="E6" i="52"/>
  <c r="E12" i="52"/>
  <c r="L2" i="15"/>
  <c r="J5" i="42"/>
  <c r="F6" i="1"/>
  <c r="K9" i="1"/>
  <c r="L13" i="1"/>
  <c r="L17" i="1"/>
  <c r="M19" i="28"/>
  <c r="J16" i="39"/>
  <c r="M32" i="12"/>
  <c r="G8" i="56"/>
  <c r="V8" i="56"/>
  <c r="F12" i="52"/>
  <c r="H14" i="42"/>
  <c r="I22" i="42"/>
  <c r="C25" i="55"/>
  <c r="G6" i="1"/>
  <c r="F14" i="1"/>
  <c r="O3" i="1"/>
  <c r="E7" i="28"/>
  <c r="E22" i="28"/>
  <c r="H17" i="28"/>
  <c r="M8" i="28"/>
  <c r="J19" i="39"/>
  <c r="G13" i="12"/>
  <c r="G31" i="12"/>
  <c r="L13" i="12"/>
  <c r="O12" i="12"/>
  <c r="O22" i="12"/>
  <c r="S10" i="56"/>
  <c r="V20" i="56"/>
  <c r="F6" i="52"/>
  <c r="F2" i="7"/>
  <c r="M2" i="15"/>
  <c r="J14" i="42"/>
  <c r="C4" i="9"/>
  <c r="C26" i="55"/>
  <c r="L9" i="1"/>
  <c r="H14" i="1"/>
  <c r="F18" i="1"/>
  <c r="H22" i="1"/>
  <c r="D8" i="28"/>
  <c r="K20" i="28"/>
  <c r="J21" i="39"/>
  <c r="L33" i="12"/>
  <c r="Q12" i="12"/>
  <c r="H8" i="56"/>
  <c r="I19" i="56"/>
  <c r="U10" i="56"/>
  <c r="C7" i="52"/>
  <c r="G15" i="42"/>
  <c r="O23" i="12"/>
  <c r="I9" i="56"/>
  <c r="B2" i="46"/>
  <c r="G2" i="7"/>
  <c r="N2" i="15"/>
  <c r="I7" i="42"/>
  <c r="C9" i="43"/>
  <c r="H4" i="9"/>
  <c r="K14" i="12"/>
  <c r="D7" i="52"/>
  <c r="H2" i="7"/>
  <c r="U2" i="15"/>
  <c r="H15" i="42"/>
  <c r="H7" i="39"/>
  <c r="G33" i="12"/>
  <c r="M33" i="12"/>
  <c r="V10" i="56"/>
  <c r="I6" i="1"/>
  <c r="P13" i="12"/>
  <c r="R23" i="12"/>
  <c r="H10" i="56"/>
  <c r="J20" i="56"/>
  <c r="C2" i="46"/>
  <c r="F3" i="18"/>
  <c r="J7" i="42"/>
  <c r="C11" i="43"/>
  <c r="J4" i="9"/>
  <c r="R12" i="12"/>
  <c r="F14" i="12"/>
  <c r="G20" i="56"/>
  <c r="K18" i="1"/>
  <c r="D10" i="28"/>
  <c r="G19" i="28"/>
  <c r="K14" i="1"/>
  <c r="L22" i="1"/>
  <c r="H3" i="28"/>
  <c r="M9" i="28"/>
  <c r="M21" i="28"/>
  <c r="H8" i="39"/>
  <c r="G3" i="12"/>
  <c r="E34" i="12"/>
  <c r="K34" i="12"/>
  <c r="H21" i="56"/>
  <c r="S11" i="56"/>
  <c r="S23" i="56"/>
  <c r="E7" i="52"/>
  <c r="C8" i="42"/>
  <c r="I15" i="42"/>
  <c r="V22" i="56"/>
  <c r="J10" i="1"/>
  <c r="C29" i="55"/>
  <c r="J6" i="1"/>
  <c r="K10" i="1"/>
  <c r="L18" i="1"/>
  <c r="F23" i="1"/>
  <c r="H19" i="28"/>
  <c r="F4" i="12"/>
  <c r="G16" i="12"/>
  <c r="F34" i="12"/>
  <c r="M15" i="12"/>
  <c r="L34" i="12"/>
  <c r="Q13" i="12"/>
  <c r="O30" i="12"/>
  <c r="D2" i="46"/>
  <c r="Q2" i="7"/>
  <c r="H3" i="18"/>
  <c r="D8" i="42"/>
  <c r="J15" i="42"/>
  <c r="C12" i="43"/>
  <c r="K4" i="9"/>
  <c r="H6" i="39"/>
  <c r="L20" i="28"/>
  <c r="E11" i="28"/>
  <c r="G4" i="28"/>
  <c r="K22" i="28"/>
  <c r="H11" i="56"/>
  <c r="U12" i="56"/>
  <c r="C8" i="52"/>
  <c r="L2" i="46"/>
  <c r="I3" i="18"/>
  <c r="J8" i="42"/>
  <c r="G17" i="42"/>
  <c r="C13" i="43"/>
  <c r="C27" i="55"/>
  <c r="D31" i="1"/>
  <c r="F15" i="1"/>
  <c r="H9" i="39"/>
  <c r="E17" i="12"/>
  <c r="R30" i="12"/>
  <c r="G3" i="1"/>
  <c r="K6" i="1"/>
  <c r="F19" i="1"/>
  <c r="G23" i="1"/>
  <c r="O12" i="1"/>
  <c r="G20" i="28"/>
  <c r="M11" i="28"/>
  <c r="H12" i="39"/>
  <c r="G4" i="12"/>
  <c r="F17" i="12"/>
  <c r="L3" i="12"/>
  <c r="K16" i="12"/>
  <c r="O4" i="12"/>
  <c r="R13" i="12"/>
  <c r="V24" i="56"/>
  <c r="F8" i="52"/>
  <c r="V2" i="7"/>
  <c r="I17" i="42"/>
  <c r="I22" i="1"/>
  <c r="C18" i="43"/>
  <c r="AA4" i="9"/>
  <c r="P2" i="46"/>
  <c r="J3" i="18"/>
  <c r="C9" i="42"/>
  <c r="L6" i="1"/>
  <c r="H23" i="1"/>
  <c r="O13" i="1"/>
  <c r="H20" i="28"/>
  <c r="H16" i="39"/>
  <c r="E5" i="12"/>
  <c r="M4" i="12"/>
  <c r="L16" i="12"/>
  <c r="P4" i="12"/>
  <c r="O15" i="12"/>
  <c r="S14" i="56"/>
  <c r="Q2" i="46"/>
  <c r="A2" i="5"/>
  <c r="J17" i="42"/>
  <c r="C19" i="43"/>
  <c r="G17" i="12"/>
  <c r="C18" i="42"/>
  <c r="AC4" i="9"/>
  <c r="P3" i="18"/>
  <c r="E9" i="42"/>
  <c r="C23" i="43"/>
  <c r="AG4" i="9"/>
  <c r="D12" i="28"/>
  <c r="I3" i="1"/>
  <c r="H7" i="28"/>
  <c r="O15" i="1"/>
  <c r="G8" i="28"/>
  <c r="K13" i="28"/>
  <c r="P15" i="12"/>
  <c r="T14" i="56"/>
  <c r="C3" i="52"/>
  <c r="B2" i="5"/>
  <c r="I15" i="1"/>
  <c r="G23" i="28"/>
  <c r="F5" i="39"/>
  <c r="Q3" i="18"/>
  <c r="J10" i="42"/>
  <c r="D18" i="42"/>
  <c r="H8" i="28"/>
  <c r="L13" i="28"/>
  <c r="F6" i="39"/>
  <c r="I13" i="56"/>
  <c r="L22" i="28"/>
  <c r="Q4" i="12"/>
  <c r="J11" i="56"/>
  <c r="H23" i="56"/>
  <c r="H17" i="39"/>
  <c r="G6" i="12"/>
  <c r="I23" i="56"/>
  <c r="R2" i="46"/>
  <c r="K11" i="1"/>
  <c r="F20" i="1"/>
  <c r="D13" i="28"/>
  <c r="G18" i="12"/>
  <c r="K19" i="12"/>
  <c r="P32" i="12"/>
  <c r="G13" i="56"/>
  <c r="C9" i="55"/>
  <c r="K3" i="1"/>
  <c r="L7" i="1"/>
  <c r="L15" i="1"/>
  <c r="J23" i="1"/>
  <c r="H20" i="39"/>
  <c r="E7" i="12"/>
  <c r="M5" i="12"/>
  <c r="O6" i="12"/>
  <c r="Q32" i="12"/>
  <c r="J23" i="56"/>
  <c r="U14" i="56"/>
  <c r="E9" i="52"/>
  <c r="T2" i="46"/>
  <c r="G2" i="5"/>
  <c r="R3" i="18"/>
  <c r="I18" i="42"/>
  <c r="AI4" i="9"/>
  <c r="L11" i="1"/>
  <c r="G20" i="1"/>
  <c r="K23" i="1"/>
  <c r="E13" i="28"/>
  <c r="H23" i="28"/>
  <c r="M13" i="28"/>
  <c r="F7" i="39"/>
  <c r="H22" i="39"/>
  <c r="E19" i="12"/>
  <c r="K20" i="12"/>
  <c r="P6" i="12"/>
  <c r="R16" i="12"/>
  <c r="G25" i="56"/>
  <c r="F3" i="52"/>
  <c r="S3" i="18"/>
  <c r="J18" i="42"/>
  <c r="H10" i="43"/>
  <c r="AL4" i="9"/>
  <c r="D11" i="42"/>
  <c r="F16" i="1"/>
  <c r="G27" i="1"/>
  <c r="G9" i="28"/>
  <c r="K3" i="28"/>
  <c r="F7" i="12"/>
  <c r="K6" i="12"/>
  <c r="L20" i="12"/>
  <c r="R6" i="12"/>
  <c r="P17" i="12"/>
  <c r="R32" i="12"/>
  <c r="F9" i="52"/>
  <c r="B2" i="47"/>
  <c r="C11" i="55"/>
  <c r="L3" i="1"/>
  <c r="F8" i="1"/>
  <c r="J13" i="56"/>
  <c r="H2" i="5"/>
  <c r="AM4" i="9"/>
  <c r="C12" i="55"/>
  <c r="G12" i="1"/>
  <c r="H20" i="1"/>
  <c r="O20" i="1"/>
  <c r="D16" i="28"/>
  <c r="L3" i="28"/>
  <c r="K14" i="28"/>
  <c r="F8" i="39"/>
  <c r="J2" i="39"/>
  <c r="F20" i="12"/>
  <c r="M6" i="12"/>
  <c r="O7" i="12"/>
  <c r="H25" i="56"/>
  <c r="S16" i="56"/>
  <c r="C4" i="52"/>
  <c r="D2" i="47"/>
  <c r="K2" i="5"/>
  <c r="H3" i="42"/>
  <c r="E11" i="42"/>
  <c r="C19" i="42"/>
  <c r="G11" i="43"/>
  <c r="C13" i="55"/>
  <c r="F4" i="1"/>
  <c r="H16" i="1"/>
  <c r="I27" i="1"/>
  <c r="H9" i="28"/>
  <c r="J3" i="39"/>
  <c r="F8" i="12"/>
  <c r="K7" i="12"/>
  <c r="M20" i="12"/>
  <c r="O18" i="12"/>
  <c r="D10" i="52"/>
  <c r="F2" i="47"/>
  <c r="E19" i="42"/>
  <c r="AN4" i="9"/>
  <c r="L9" i="28"/>
  <c r="J8" i="52"/>
  <c r="I23" i="1"/>
  <c r="H8" i="1"/>
  <c r="H12" i="1"/>
  <c r="I20" i="1"/>
  <c r="E16" i="28"/>
  <c r="L15" i="28"/>
  <c r="F9" i="39"/>
  <c r="F9" i="12"/>
  <c r="G20" i="12"/>
  <c r="K21" i="12"/>
  <c r="P18" i="12"/>
  <c r="Q34" i="12"/>
  <c r="G15" i="56"/>
  <c r="I25" i="56"/>
  <c r="T16" i="56"/>
  <c r="D4" i="52"/>
  <c r="L2" i="5"/>
  <c r="D4" i="42"/>
  <c r="G11" i="42"/>
  <c r="G18" i="1"/>
  <c r="I11" i="56"/>
  <c r="O14" i="1"/>
  <c r="F18" i="12"/>
  <c r="O32" i="12"/>
  <c r="D9" i="42"/>
  <c r="I19" i="1"/>
  <c r="C14" i="55"/>
  <c r="G4" i="1"/>
  <c r="I8" i="1"/>
  <c r="J27" i="1"/>
  <c r="O22" i="1"/>
  <c r="H10" i="28"/>
  <c r="K5" i="28"/>
  <c r="F10" i="39"/>
  <c r="J5" i="39"/>
  <c r="E10" i="12"/>
  <c r="F21" i="12"/>
  <c r="R7" i="12"/>
  <c r="Q18" i="12"/>
  <c r="U16" i="56"/>
  <c r="G2" i="47"/>
  <c r="S2" i="5"/>
  <c r="E4" i="42"/>
  <c r="J11" i="42"/>
  <c r="J20" i="42"/>
  <c r="H12" i="43"/>
  <c r="D2" i="38"/>
  <c r="C21" i="55"/>
  <c r="H4" i="1"/>
  <c r="F21" i="1"/>
  <c r="D14" i="28"/>
  <c r="D26" i="28"/>
  <c r="H11" i="28"/>
  <c r="G21" i="28"/>
  <c r="M7" i="28"/>
  <c r="F11" i="39"/>
  <c r="J10" i="39"/>
  <c r="G5" i="12"/>
  <c r="E32" i="12"/>
  <c r="L7" i="12"/>
  <c r="L14" i="12"/>
  <c r="J6" i="56"/>
  <c r="G12" i="56"/>
  <c r="G24" i="56"/>
  <c r="T15" i="56"/>
  <c r="H3" i="52"/>
  <c r="G12" i="52"/>
  <c r="U2" i="46"/>
  <c r="C2" i="7"/>
  <c r="G2" i="15"/>
  <c r="J4" i="42"/>
  <c r="E8" i="42"/>
  <c r="C2" i="5"/>
  <c r="K3" i="18"/>
  <c r="E18" i="42"/>
  <c r="G21" i="42"/>
  <c r="H7" i="1"/>
  <c r="F10" i="1"/>
  <c r="L12" i="1"/>
  <c r="J15" i="1"/>
  <c r="H18" i="1"/>
  <c r="L23" i="1"/>
  <c r="O8" i="1"/>
  <c r="E4" i="28"/>
  <c r="L14" i="28"/>
  <c r="H10" i="39"/>
  <c r="G12" i="12"/>
  <c r="F19" i="12"/>
  <c r="M7" i="12"/>
  <c r="M14" i="12"/>
  <c r="M21" i="12"/>
  <c r="M34" i="12"/>
  <c r="R8" i="12"/>
  <c r="O14" i="12"/>
  <c r="Q31" i="12"/>
  <c r="I12" i="56"/>
  <c r="H18" i="56"/>
  <c r="S9" i="56"/>
  <c r="U15" i="56"/>
  <c r="I3" i="52"/>
  <c r="G6" i="52"/>
  <c r="I9" i="52"/>
  <c r="H12" i="52"/>
  <c r="F8" i="42"/>
  <c r="H11" i="42"/>
  <c r="E15" i="42"/>
  <c r="F18" i="42"/>
  <c r="C14" i="43"/>
  <c r="G13" i="43"/>
  <c r="E4" i="9"/>
  <c r="AJ4" i="9"/>
  <c r="C22" i="55"/>
  <c r="J4" i="1"/>
  <c r="I18" i="1"/>
  <c r="D15" i="28"/>
  <c r="E26" i="28"/>
  <c r="G12" i="28"/>
  <c r="H21" i="28"/>
  <c r="K8" i="28"/>
  <c r="K21" i="28"/>
  <c r="F12" i="39"/>
  <c r="J11" i="39"/>
  <c r="E6" i="12"/>
  <c r="G19" i="12"/>
  <c r="F32" i="12"/>
  <c r="K15" i="12"/>
  <c r="R19" i="12"/>
  <c r="G7" i="56"/>
  <c r="I18" i="56"/>
  <c r="H24" i="56"/>
  <c r="T21" i="56"/>
  <c r="I12" i="52"/>
  <c r="V2" i="46"/>
  <c r="D2" i="7"/>
  <c r="E2" i="5"/>
  <c r="J2" i="15"/>
  <c r="L3" i="18"/>
  <c r="C5" i="42"/>
  <c r="G18" i="42"/>
  <c r="C22" i="42"/>
  <c r="H13" i="43"/>
  <c r="K4" i="1"/>
  <c r="I7" i="1"/>
  <c r="H10" i="1"/>
  <c r="F13" i="1"/>
  <c r="K15" i="1"/>
  <c r="H21" i="1"/>
  <c r="F27" i="1"/>
  <c r="D5" i="28"/>
  <c r="L8" i="28"/>
  <c r="M14" i="28"/>
  <c r="H11" i="39"/>
  <c r="F6" i="12"/>
  <c r="E13" i="12"/>
  <c r="E33" i="12"/>
  <c r="K8" i="12"/>
  <c r="K22" i="12"/>
  <c r="O9" i="12"/>
  <c r="Q14" i="12"/>
  <c r="R31" i="12"/>
  <c r="J12" i="56"/>
  <c r="J24" i="56"/>
  <c r="V9" i="56"/>
  <c r="V15" i="56"/>
  <c r="U21" i="56"/>
  <c r="J3" i="52"/>
  <c r="J6" i="52"/>
  <c r="J9" i="52"/>
  <c r="A2" i="47"/>
  <c r="H8" i="42"/>
  <c r="I11" i="42"/>
  <c r="F15" i="42"/>
  <c r="H18" i="42"/>
  <c r="C15" i="43"/>
  <c r="G4" i="9"/>
  <c r="AK4" i="9"/>
  <c r="C23" i="55"/>
  <c r="D6" i="28"/>
  <c r="E15" i="28"/>
  <c r="G3" i="28"/>
  <c r="H12" i="28"/>
  <c r="H22" i="28"/>
  <c r="K15" i="28"/>
  <c r="L21" i="28"/>
  <c r="F13" i="39"/>
  <c r="J13" i="39"/>
  <c r="E20" i="12"/>
  <c r="L15" i="12"/>
  <c r="R3" i="12"/>
  <c r="Q20" i="12"/>
  <c r="H7" i="56"/>
  <c r="V21" i="56"/>
  <c r="A2" i="46"/>
  <c r="E2" i="7"/>
  <c r="F2" i="5"/>
  <c r="K2" i="15"/>
  <c r="O3" i="18"/>
  <c r="F5" i="42"/>
  <c r="F22" i="42"/>
  <c r="G14" i="43"/>
  <c r="C28" i="55"/>
  <c r="H5" i="1"/>
  <c r="G8" i="1"/>
  <c r="L10" i="1"/>
  <c r="I16" i="1"/>
  <c r="G19" i="1"/>
  <c r="F22" i="1"/>
  <c r="L27" i="1"/>
  <c r="H18" i="39"/>
  <c r="J17" i="39"/>
  <c r="G7" i="12"/>
  <c r="G21" i="12"/>
  <c r="G34" i="12"/>
  <c r="M9" i="12"/>
  <c r="L30" i="12"/>
  <c r="R4" i="12"/>
  <c r="P10" i="12"/>
  <c r="Q21" i="12"/>
  <c r="I8" i="56"/>
  <c r="H14" i="56"/>
  <c r="J25" i="56"/>
  <c r="S17" i="56"/>
  <c r="T23" i="56"/>
  <c r="H10" i="52"/>
  <c r="H2" i="47"/>
  <c r="I2" i="7"/>
  <c r="M2" i="5"/>
  <c r="T3" i="18"/>
  <c r="C6" i="42"/>
  <c r="J12" i="42"/>
  <c r="C16" i="42"/>
  <c r="J22" i="42"/>
  <c r="G3" i="43"/>
  <c r="L4" i="9"/>
  <c r="E2" i="38"/>
  <c r="E17" i="28"/>
  <c r="G5" i="28"/>
  <c r="G15" i="28"/>
  <c r="M3" i="28"/>
  <c r="K10" i="28"/>
  <c r="L16" i="28"/>
  <c r="K23" i="28"/>
  <c r="F20" i="39"/>
  <c r="G14" i="12"/>
  <c r="E22" i="12"/>
  <c r="K17" i="12"/>
  <c r="Q10" i="12"/>
  <c r="P16" i="12"/>
  <c r="P33" i="12"/>
  <c r="I14" i="56"/>
  <c r="H20" i="56"/>
  <c r="T5" i="56"/>
  <c r="T11" i="56"/>
  <c r="U23" i="56"/>
  <c r="H4" i="52"/>
  <c r="I7" i="52"/>
  <c r="I10" i="52"/>
  <c r="E2" i="46"/>
  <c r="I2" i="47"/>
  <c r="J2" i="7"/>
  <c r="N2" i="5"/>
  <c r="Q2" i="15"/>
  <c r="E6" i="42"/>
  <c r="F9" i="42"/>
  <c r="H19" i="42"/>
  <c r="D23" i="42"/>
  <c r="G19" i="43"/>
  <c r="M4" i="9"/>
  <c r="I2" i="38"/>
  <c r="H3" i="43"/>
  <c r="H15" i="28"/>
  <c r="H19" i="39"/>
  <c r="J18" i="39"/>
  <c r="E8" i="12"/>
  <c r="F22" i="12"/>
  <c r="K3" i="12"/>
  <c r="K10" i="12"/>
  <c r="M30" i="12"/>
  <c r="Q16" i="12"/>
  <c r="R21" i="12"/>
  <c r="J8" i="56"/>
  <c r="J14" i="56"/>
  <c r="I20" i="56"/>
  <c r="U11" i="56"/>
  <c r="T17" i="56"/>
  <c r="I4" i="52"/>
  <c r="K2" i="7"/>
  <c r="C3" i="42"/>
  <c r="F6" i="42"/>
  <c r="C13" i="42"/>
  <c r="E16" i="42"/>
  <c r="E23" i="42"/>
  <c r="C10" i="55"/>
  <c r="G11" i="1"/>
  <c r="E8" i="28"/>
  <c r="D18" i="28"/>
  <c r="G6" i="28"/>
  <c r="G16" i="28"/>
  <c r="K4" i="28"/>
  <c r="L10" i="28"/>
  <c r="M16" i="28"/>
  <c r="L23" i="28"/>
  <c r="F21" i="39"/>
  <c r="E15" i="12"/>
  <c r="L17" i="12"/>
  <c r="P5" i="12"/>
  <c r="R10" i="12"/>
  <c r="Q33" i="12"/>
  <c r="H9" i="56"/>
  <c r="S6" i="56"/>
  <c r="V23" i="56"/>
  <c r="J7" i="52"/>
  <c r="J10" i="52"/>
  <c r="J2" i="47"/>
  <c r="O2" i="5"/>
  <c r="R2" i="15"/>
  <c r="G6" i="42"/>
  <c r="G9" i="42"/>
  <c r="F16" i="42"/>
  <c r="I19" i="42"/>
  <c r="G4" i="43"/>
  <c r="G20" i="43"/>
  <c r="Q4" i="9"/>
  <c r="J2" i="38"/>
  <c r="I9" i="42"/>
  <c r="D13" i="42"/>
  <c r="G16" i="42"/>
  <c r="F23" i="42"/>
  <c r="J2" i="46"/>
  <c r="M2" i="7"/>
  <c r="D3" i="42"/>
  <c r="H11" i="1"/>
  <c r="H28" i="1"/>
  <c r="O17" i="1"/>
  <c r="D9" i="28"/>
  <c r="H16" i="28"/>
  <c r="L4" i="28"/>
  <c r="M10" i="28"/>
  <c r="L17" i="28"/>
  <c r="F2" i="39"/>
  <c r="F22" i="39"/>
  <c r="E16" i="12"/>
  <c r="L18" i="12"/>
  <c r="Q22" i="12"/>
  <c r="R33" i="12"/>
  <c r="T6" i="56"/>
  <c r="S12" i="56"/>
  <c r="S24" i="56"/>
  <c r="C11" i="52"/>
  <c r="P2" i="5"/>
  <c r="S2" i="15"/>
  <c r="H6" i="42"/>
  <c r="E13" i="42"/>
  <c r="J19" i="42"/>
  <c r="H5" i="43"/>
  <c r="H20" i="43"/>
  <c r="K2" i="38"/>
  <c r="J22" i="1"/>
  <c r="G7" i="28"/>
  <c r="J20" i="39"/>
  <c r="M3" i="12"/>
  <c r="L31" i="12"/>
  <c r="P11" i="12"/>
  <c r="G21" i="56"/>
  <c r="U24" i="56"/>
  <c r="D8" i="52"/>
  <c r="K2" i="46"/>
  <c r="L2" i="47"/>
  <c r="N2" i="7"/>
  <c r="F3" i="42"/>
  <c r="D10" i="42"/>
  <c r="F13" i="42"/>
  <c r="I16" i="42"/>
  <c r="C20" i="42"/>
  <c r="G23" i="42"/>
  <c r="G6" i="43"/>
  <c r="T4" i="9"/>
  <c r="L5" i="1"/>
  <c r="G14" i="1"/>
  <c r="L16" i="1"/>
  <c r="L19" i="1"/>
  <c r="F3" i="39"/>
  <c r="H21" i="39"/>
  <c r="G8" i="12"/>
  <c r="E23" i="12"/>
  <c r="K11" i="12"/>
  <c r="R5" i="12"/>
  <c r="O17" i="12"/>
  <c r="J9" i="56"/>
  <c r="U18" i="56"/>
  <c r="C5" i="52"/>
  <c r="K8" i="1"/>
  <c r="I11" i="1"/>
  <c r="I28" i="1"/>
  <c r="E9" i="28"/>
  <c r="D19" i="28"/>
  <c r="G17" i="28"/>
  <c r="M4" i="28"/>
  <c r="L11" i="28"/>
  <c r="M17" i="28"/>
  <c r="H2" i="39"/>
  <c r="F16" i="12"/>
  <c r="M18" i="12"/>
  <c r="M31" i="12"/>
  <c r="R22" i="12"/>
  <c r="O34" i="12"/>
  <c r="G10" i="56"/>
  <c r="I15" i="56"/>
  <c r="U6" i="56"/>
  <c r="D11" i="52"/>
  <c r="P2" i="7"/>
  <c r="T2" i="15"/>
  <c r="I6" i="42"/>
  <c r="E10" i="42"/>
  <c r="G21" i="43"/>
  <c r="F10" i="42"/>
  <c r="G13" i="42"/>
  <c r="J16" i="42"/>
  <c r="G20" i="42"/>
  <c r="H23" i="42"/>
  <c r="H6" i="43"/>
  <c r="H21" i="43"/>
  <c r="W4" i="9"/>
  <c r="M2" i="38"/>
  <c r="V2" i="15"/>
  <c r="J6" i="42"/>
  <c r="G10" i="42"/>
  <c r="H13" i="42"/>
  <c r="M11" i="12"/>
  <c r="L32" i="12"/>
  <c r="Q6" i="12"/>
  <c r="R17" i="12"/>
  <c r="G5" i="56"/>
  <c r="I10" i="56"/>
  <c r="H22" i="56"/>
  <c r="S13" i="56"/>
  <c r="S19" i="56"/>
  <c r="S25" i="56"/>
  <c r="G5" i="52"/>
  <c r="G8" i="52"/>
  <c r="G11" i="52"/>
  <c r="M2" i="46"/>
  <c r="T2" i="5"/>
  <c r="A3" i="18"/>
  <c r="I3" i="42"/>
  <c r="E17" i="42"/>
  <c r="H20" i="42"/>
  <c r="H7" i="43"/>
  <c r="G22" i="43"/>
  <c r="X4" i="9"/>
  <c r="O2" i="38"/>
  <c r="K12" i="28"/>
  <c r="M18" i="28"/>
  <c r="H4" i="39"/>
  <c r="E3" i="12"/>
  <c r="F10" i="12"/>
  <c r="K5" i="12"/>
  <c r="L19" i="12"/>
  <c r="P12" i="12"/>
  <c r="P23" i="12"/>
  <c r="J10" i="56"/>
  <c r="G16" i="56"/>
  <c r="I22" i="56"/>
  <c r="H5" i="52"/>
  <c r="P2" i="47"/>
  <c r="R2" i="7"/>
  <c r="U2" i="5"/>
  <c r="B3" i="18"/>
  <c r="E7" i="42"/>
  <c r="H10" i="42"/>
  <c r="I13" i="42"/>
  <c r="J23" i="42"/>
  <c r="T19" i="56"/>
  <c r="T25" i="56"/>
  <c r="I5" i="52"/>
  <c r="H8" i="52"/>
  <c r="J11" i="52"/>
  <c r="O2" i="46"/>
  <c r="Q2" i="47"/>
  <c r="S2" i="7"/>
  <c r="E3" i="18"/>
  <c r="J3" i="42"/>
  <c r="C14" i="42"/>
  <c r="F17" i="42"/>
  <c r="I20" i="42"/>
  <c r="C3" i="43"/>
  <c r="G8" i="43"/>
  <c r="Y4" i="9"/>
  <c r="P2" i="38"/>
  <c r="L12" i="28"/>
  <c r="H5" i="39"/>
  <c r="J4" i="39"/>
  <c r="F3" i="12"/>
  <c r="G10" i="12"/>
  <c r="L5" i="12"/>
  <c r="M19" i="12"/>
  <c r="Q23" i="12"/>
  <c r="I5" i="56"/>
  <c r="G11" i="56"/>
  <c r="H16" i="56"/>
  <c r="J22" i="56"/>
  <c r="U7" i="56"/>
  <c r="U25" i="56"/>
  <c r="I8" i="52"/>
  <c r="V2" i="5"/>
  <c r="C4" i="42"/>
  <c r="F7" i="42"/>
  <c r="C6" i="43"/>
  <c r="H8" i="43"/>
  <c r="H23" i="43"/>
  <c r="J16" i="56"/>
  <c r="U5" i="56"/>
  <c r="V14" i="56"/>
  <c r="U19" i="56"/>
  <c r="H6" i="52"/>
  <c r="C9" i="52"/>
  <c r="F2" i="46"/>
  <c r="A2" i="7"/>
  <c r="T2" i="7"/>
  <c r="Q2" i="5"/>
  <c r="O2" i="15"/>
  <c r="M3" i="18"/>
  <c r="G4" i="42"/>
  <c r="C7" i="42"/>
  <c r="D12" i="42"/>
  <c r="C15" i="42"/>
  <c r="D20" i="42"/>
  <c r="C16" i="43"/>
  <c r="H11" i="43"/>
  <c r="H22" i="43"/>
  <c r="R4" i="9"/>
  <c r="I4" i="1"/>
  <c r="F7" i="1"/>
  <c r="F12" i="1"/>
  <c r="F17" i="1"/>
  <c r="G22" i="1"/>
  <c r="O11" i="1"/>
  <c r="D23" i="28"/>
  <c r="H18" i="28"/>
  <c r="K11" i="28"/>
  <c r="M22" i="28"/>
  <c r="F5" i="12"/>
  <c r="G11" i="12"/>
  <c r="E30" i="12"/>
  <c r="L4" i="12"/>
  <c r="M16" i="12"/>
  <c r="K23" i="12"/>
  <c r="Q3" i="12"/>
  <c r="Q17" i="12"/>
  <c r="I7" i="56"/>
  <c r="I21" i="56"/>
  <c r="T10" i="56"/>
  <c r="T24" i="56"/>
  <c r="F4" i="52"/>
  <c r="I6" i="52"/>
  <c r="F11" i="52"/>
  <c r="G2" i="46"/>
  <c r="E2" i="47"/>
  <c r="H9" i="42"/>
  <c r="H17" i="42"/>
  <c r="E20" i="42"/>
  <c r="C23" i="42"/>
  <c r="A2" i="38"/>
  <c r="C24" i="55"/>
  <c r="J9" i="1"/>
  <c r="J14" i="1"/>
  <c r="K19" i="1"/>
  <c r="K27" i="1"/>
  <c r="E5" i="28"/>
  <c r="E14" i="28"/>
  <c r="G10" i="28"/>
  <c r="L5" i="28"/>
  <c r="K17" i="28"/>
  <c r="F16" i="39"/>
  <c r="H15" i="39"/>
  <c r="J12" i="39"/>
  <c r="E18" i="12"/>
  <c r="M10" i="12"/>
  <c r="P8" i="12"/>
  <c r="O13" i="12"/>
  <c r="P22" i="12"/>
  <c r="O33" i="12"/>
  <c r="H12" i="56"/>
  <c r="G17" i="56"/>
  <c r="G22" i="56"/>
  <c r="V5" i="56"/>
  <c r="S15" i="56"/>
  <c r="V19" i="56"/>
  <c r="D9" i="52"/>
  <c r="I2" i="46"/>
  <c r="B2" i="7"/>
  <c r="U2" i="7"/>
  <c r="R2" i="5"/>
  <c r="P2" i="15"/>
  <c r="N3" i="18"/>
  <c r="H4" i="42"/>
  <c r="D7" i="42"/>
  <c r="H12" i="42"/>
  <c r="D15" i="42"/>
  <c r="F20" i="42"/>
  <c r="C17" i="43"/>
  <c r="G12" i="43"/>
  <c r="G23" i="43"/>
  <c r="S4" i="9"/>
  <c r="O5" i="12"/>
  <c r="P14" i="12"/>
  <c r="O19" i="12"/>
  <c r="P34" i="12"/>
  <c r="G14" i="56"/>
  <c r="J18" i="56"/>
  <c r="S7" i="56"/>
  <c r="V11" i="56"/>
  <c r="S21" i="56"/>
  <c r="V25" i="56"/>
  <c r="D5" i="52"/>
  <c r="H7" i="52"/>
  <c r="C10" i="52"/>
  <c r="N2" i="46"/>
  <c r="K2" i="47"/>
  <c r="D2" i="5"/>
  <c r="U3" i="18"/>
  <c r="G5" i="42"/>
  <c r="I10" i="42"/>
  <c r="I23" i="42"/>
  <c r="H15" i="43"/>
  <c r="D4" i="9"/>
  <c r="Z4" i="9"/>
  <c r="L2" i="38"/>
  <c r="M13" i="12"/>
  <c r="Q5" i="12"/>
  <c r="Q19" i="12"/>
  <c r="H5" i="56"/>
  <c r="H19" i="56"/>
  <c r="T12" i="56"/>
  <c r="D3" i="52"/>
  <c r="E10" i="52"/>
  <c r="M2" i="47"/>
  <c r="E3" i="42"/>
  <c r="I5" i="42"/>
  <c r="G8" i="42"/>
  <c r="C11" i="42"/>
  <c r="D16" i="42"/>
  <c r="F21" i="42"/>
  <c r="F4" i="9"/>
  <c r="AB4" i="9"/>
  <c r="N2" i="38"/>
  <c r="J19" i="56"/>
  <c r="I24" i="56"/>
  <c r="V12" i="56"/>
  <c r="U17" i="56"/>
  <c r="U22" i="56"/>
  <c r="G3" i="52"/>
  <c r="J5" i="52"/>
  <c r="G10" i="52"/>
  <c r="J12" i="52"/>
  <c r="O2" i="47"/>
  <c r="L2" i="7"/>
  <c r="H2" i="15"/>
  <c r="G3" i="42"/>
  <c r="I8" i="42"/>
  <c r="H21" i="42"/>
  <c r="AH4" i="9"/>
  <c r="J3" i="1"/>
  <c r="J8" i="1"/>
  <c r="J13" i="1"/>
  <c r="G16" i="1"/>
  <c r="G21" i="1"/>
  <c r="O4" i="1"/>
  <c r="E10" i="28"/>
  <c r="H6" i="28"/>
  <c r="K9" i="28"/>
  <c r="M20" i="28"/>
  <c r="J22" i="39"/>
  <c r="E9" i="12"/>
  <c r="G15" i="12"/>
  <c r="L8" i="12"/>
  <c r="K33" i="12"/>
  <c r="Q15" i="12"/>
  <c r="P31" i="12"/>
  <c r="H15" i="56"/>
  <c r="T8" i="56"/>
  <c r="E8" i="52"/>
  <c r="S2" i="46"/>
  <c r="I2" i="5"/>
  <c r="I2" i="15"/>
  <c r="G3" i="18"/>
  <c r="D6" i="42"/>
  <c r="F11" i="42"/>
  <c r="J13" i="42"/>
  <c r="H16" i="42"/>
  <c r="D19" i="42"/>
  <c r="J21" i="42"/>
  <c r="C10" i="43"/>
  <c r="G7" i="43"/>
  <c r="H19" i="43"/>
  <c r="I4" i="9"/>
  <c r="Q2" i="38"/>
  <c r="C7" i="43"/>
  <c r="U4" i="9"/>
  <c r="F17" i="39"/>
  <c r="J8" i="39"/>
  <c r="M17" i="12"/>
  <c r="L23" i="12"/>
  <c r="O3" i="12"/>
  <c r="P7" i="12"/>
  <c r="Q11" i="12"/>
  <c r="R15" i="12"/>
  <c r="O20" i="12"/>
  <c r="P30" i="12"/>
  <c r="U13" i="56"/>
  <c r="V17" i="56"/>
  <c r="S22" i="56"/>
  <c r="E5" i="52"/>
  <c r="F7" i="52"/>
  <c r="G9" i="52"/>
  <c r="H11" i="52"/>
  <c r="E2" i="15"/>
  <c r="C3" i="18"/>
  <c r="D5" i="42"/>
  <c r="G7" i="42"/>
  <c r="E12" i="42"/>
  <c r="C17" i="42"/>
  <c r="F19" i="42"/>
  <c r="H4" i="43"/>
  <c r="B2" i="38"/>
  <c r="F3" i="1"/>
  <c r="K7" i="1"/>
  <c r="I12" i="1"/>
  <c r="G17" i="1"/>
  <c r="L21" i="1"/>
  <c r="O7" i="1"/>
  <c r="D11" i="28"/>
  <c r="H5" i="28"/>
  <c r="G22" i="28"/>
  <c r="M12" i="28"/>
  <c r="M23" i="28"/>
  <c r="H13" i="39"/>
  <c r="J9" i="39"/>
  <c r="E4" i="12"/>
  <c r="G9" i="12"/>
  <c r="F15" i="12"/>
  <c r="E21" i="12"/>
  <c r="G32" i="12"/>
  <c r="L6" i="12"/>
  <c r="K12" i="12"/>
  <c r="Q30" i="12"/>
  <c r="R34" i="12"/>
  <c r="G9" i="56"/>
  <c r="H13" i="56"/>
  <c r="I17" i="56"/>
  <c r="J21" i="56"/>
  <c r="S5" i="56"/>
  <c r="T9" i="56"/>
  <c r="I11" i="52"/>
  <c r="H2" i="46"/>
  <c r="C2" i="47"/>
  <c r="T2" i="47"/>
  <c r="O2" i="7"/>
  <c r="J2" i="5"/>
  <c r="V3" i="18"/>
  <c r="E5" i="42"/>
  <c r="J9" i="42"/>
  <c r="F12" i="42"/>
  <c r="I14" i="42"/>
  <c r="I21" i="42"/>
  <c r="G15" i="43"/>
  <c r="C15" i="55"/>
  <c r="I5" i="1"/>
  <c r="G10" i="1"/>
  <c r="L14" i="1"/>
  <c r="J19" i="1"/>
  <c r="H27" i="1"/>
  <c r="D3" i="28"/>
  <c r="E19" i="28"/>
  <c r="G14" i="28"/>
  <c r="L7" i="28"/>
  <c r="L18" i="28"/>
  <c r="F18" i="39"/>
  <c r="H14" i="39"/>
  <c r="L12" i="12"/>
  <c r="K18" i="12"/>
  <c r="M23" i="12"/>
  <c r="P3" i="12"/>
  <c r="Q7" i="12"/>
  <c r="R11" i="12"/>
  <c r="O16" i="12"/>
  <c r="P20" i="12"/>
  <c r="U9" i="56"/>
  <c r="V13" i="56"/>
  <c r="S18" i="56"/>
  <c r="T22" i="56"/>
  <c r="E3" i="52"/>
  <c r="F5" i="52"/>
  <c r="G7" i="52"/>
  <c r="H9" i="52"/>
  <c r="F2" i="15"/>
  <c r="D3" i="18"/>
  <c r="H7" i="42"/>
  <c r="C10" i="42"/>
  <c r="G12" i="42"/>
  <c r="D17" i="42"/>
  <c r="G19" i="42"/>
  <c r="C8" i="43"/>
  <c r="G5" i="43"/>
  <c r="B4" i="9"/>
  <c r="V4" i="9"/>
  <c r="C2" i="38"/>
  <c r="R2" i="38"/>
  <c r="S2" i="38"/>
  <c r="T2" i="38"/>
  <c r="U2" i="38"/>
  <c r="D22" i="42"/>
  <c r="C4" i="43"/>
  <c r="C20" i="43"/>
  <c r="G9" i="43"/>
  <c r="G17" i="43"/>
  <c r="N4" i="9"/>
  <c r="AD4" i="9"/>
  <c r="F2" i="38"/>
  <c r="V2" i="38"/>
  <c r="E22" i="42"/>
  <c r="C5" i="43"/>
  <c r="C21" i="43"/>
  <c r="H9" i="43"/>
  <c r="H17" i="43"/>
  <c r="O4" i="9"/>
  <c r="AE4" i="9"/>
  <c r="G2" i="38"/>
  <c r="C22" i="43"/>
  <c r="G10" i="43"/>
  <c r="G18" i="43"/>
  <c r="P4" i="9"/>
  <c r="AF4" i="9"/>
  <c r="H2" i="38"/>
  <c r="AE3" i="12"/>
  <c r="AE13" i="12"/>
  <c r="AE20" i="12"/>
  <c r="AE8" i="12"/>
  <c r="AE4" i="12"/>
  <c r="AE21" i="12"/>
  <c r="AE9" i="12"/>
  <c r="AE16" i="12"/>
  <c r="AE23" i="12"/>
  <c r="AE19" i="12"/>
  <c r="AE15" i="12"/>
  <c r="AE11" i="12"/>
  <c r="AE7" i="12"/>
  <c r="AE17" i="12"/>
  <c r="AE5" i="12"/>
  <c r="AE12" i="12"/>
  <c r="AE22" i="12"/>
  <c r="AE18" i="12"/>
  <c r="AE14" i="12"/>
  <c r="AE10" i="12"/>
  <c r="AE6" i="12"/>
  <c r="F33" i="57"/>
  <c r="J7" i="1" a="1"/>
  <c r="O6" i="1" a="1"/>
  <c r="O10" i="1" a="1"/>
  <c r="O19" i="1" a="1"/>
  <c r="O21" i="1" a="1"/>
  <c r="O9" i="1" a="1"/>
  <c r="O16" i="1" a="1"/>
  <c r="O18" i="1" a="1"/>
  <c r="J18" i="1" a="1"/>
  <c r="E21" i="28" a="1"/>
  <c r="E18" i="28" a="1"/>
  <c r="J5" i="1" a="1"/>
  <c r="J5" i="1" l="1"/>
  <c r="E18" i="28"/>
  <c r="E21" i="28"/>
  <c r="J18" i="1"/>
  <c r="O18" i="1"/>
  <c r="O16" i="1"/>
  <c r="O9" i="1"/>
  <c r="O21" i="1"/>
  <c r="O19" i="1"/>
  <c r="O10" i="1"/>
  <c r="O6" i="1"/>
  <c r="J7" i="1"/>
  <c r="L8" i="56"/>
  <c r="M8" i="56"/>
  <c r="N8" i="56"/>
  <c r="N23" i="1"/>
  <c r="G22" i="39"/>
  <c r="N17" i="1"/>
  <c r="G16" i="39"/>
  <c r="N13" i="1"/>
  <c r="G12" i="39"/>
  <c r="N5" i="1"/>
  <c r="G4" i="39"/>
  <c r="L25" i="56"/>
  <c r="M25" i="56"/>
  <c r="N25" i="56"/>
  <c r="L23" i="56"/>
  <c r="M23" i="56"/>
  <c r="N23" i="56"/>
  <c r="L21" i="56"/>
  <c r="M21" i="56"/>
  <c r="N21" i="56"/>
  <c r="L19" i="56"/>
  <c r="M19" i="56"/>
  <c r="N19" i="56"/>
  <c r="L15" i="56"/>
  <c r="M15" i="56"/>
  <c r="N15" i="56"/>
  <c r="L11" i="56"/>
  <c r="M11" i="56"/>
  <c r="N11" i="56"/>
  <c r="L7" i="56"/>
  <c r="M7" i="56"/>
  <c r="N7" i="56"/>
  <c r="N22" i="1"/>
  <c r="G21" i="39"/>
  <c r="N16" i="1"/>
  <c r="G15" i="39"/>
  <c r="N12" i="1"/>
  <c r="G11" i="39"/>
  <c r="N8" i="1"/>
  <c r="G7" i="39"/>
  <c r="N4" i="1"/>
  <c r="G3" i="39"/>
  <c r="L18" i="56"/>
  <c r="M18" i="56"/>
  <c r="N18" i="56"/>
  <c r="L14" i="56"/>
  <c r="M14" i="56"/>
  <c r="N14" i="56"/>
  <c r="L10" i="56"/>
  <c r="M10" i="56"/>
  <c r="N10" i="56"/>
  <c r="L6" i="56"/>
  <c r="M6" i="56"/>
  <c r="N6" i="56"/>
  <c r="N20" i="1"/>
  <c r="G19" i="39"/>
  <c r="N15" i="1"/>
  <c r="G14" i="39"/>
  <c r="N11" i="1"/>
  <c r="G10" i="39"/>
  <c r="N7" i="1"/>
  <c r="G6" i="39"/>
  <c r="N3" i="1"/>
  <c r="G2" i="39"/>
  <c r="L12" i="56"/>
  <c r="M12" i="56"/>
  <c r="N12" i="56"/>
  <c r="L24" i="56"/>
  <c r="M24" i="56"/>
  <c r="N24" i="56"/>
  <c r="L22" i="56"/>
  <c r="M22" i="56"/>
  <c r="N22" i="56"/>
  <c r="L20" i="56"/>
  <c r="M20" i="56"/>
  <c r="N20" i="56"/>
  <c r="L17" i="56"/>
  <c r="M17" i="56"/>
  <c r="N17" i="56"/>
  <c r="L13" i="56"/>
  <c r="M13" i="56"/>
  <c r="N13" i="56"/>
  <c r="L9" i="56"/>
  <c r="M9" i="56"/>
  <c r="N9" i="56"/>
  <c r="N5" i="56"/>
  <c r="L5" i="56"/>
  <c r="M5" i="56"/>
  <c r="N18" i="1"/>
  <c r="G17" i="39"/>
  <c r="N19" i="1"/>
  <c r="G18" i="39"/>
  <c r="N14" i="1"/>
  <c r="G13" i="39"/>
  <c r="N10" i="1"/>
  <c r="G9" i="39"/>
  <c r="N6" i="1"/>
  <c r="G5" i="39"/>
  <c r="L16" i="56"/>
  <c r="M16" i="56"/>
  <c r="N16" i="56"/>
  <c r="N9" i="1"/>
  <c r="G8" i="39"/>
  <c r="AD21" i="12"/>
  <c r="AC16" i="12"/>
  <c r="AD5" i="12"/>
  <c r="AD14" i="12"/>
  <c r="AC9" i="12"/>
  <c r="W4" i="12" a="1"/>
  <c r="W4" i="12" s="1"/>
  <c r="W7" i="12" a="1"/>
  <c r="W7" i="12" s="1"/>
  <c r="W13" i="12" a="1"/>
  <c r="W13" i="12" s="1"/>
  <c r="W19" i="12" a="1"/>
  <c r="W19" i="12" s="1"/>
  <c r="W22" i="12" a="1"/>
  <c r="W22" i="12" s="1"/>
  <c r="W5" i="12" a="1"/>
  <c r="W5" i="12" s="1"/>
  <c r="W10" i="12" a="1"/>
  <c r="W10" i="12" s="1"/>
  <c r="W16" i="12" a="1"/>
  <c r="W16" i="12" s="1"/>
  <c r="W20" i="12" a="1"/>
  <c r="W20" i="12" s="1"/>
  <c r="W23" i="12" a="1"/>
  <c r="W23" i="12" s="1"/>
  <c r="W8" i="12" a="1"/>
  <c r="W8" i="12" s="1"/>
  <c r="W11" i="12" a="1"/>
  <c r="W11" i="12" s="1"/>
  <c r="W14" i="12" a="1"/>
  <c r="W14" i="12" s="1"/>
  <c r="W17" i="12" a="1"/>
  <c r="W17" i="12" s="1"/>
  <c r="W21" i="12" a="1"/>
  <c r="W21" i="12" s="1"/>
  <c r="W6" i="12" a="1"/>
  <c r="W6" i="12" s="1"/>
  <c r="W9" i="12" a="1"/>
  <c r="W9" i="12" s="1"/>
  <c r="W12" i="12" a="1"/>
  <c r="W12" i="12" s="1"/>
  <c r="W15" i="12" a="1"/>
  <c r="W15" i="12" s="1"/>
  <c r="W18" i="12" a="1"/>
  <c r="W18" i="12" s="1"/>
  <c r="W3" i="12" a="1"/>
  <c r="W3" i="12" s="1"/>
  <c r="AD23" i="12"/>
  <c r="AC18" i="12"/>
  <c r="AD7" i="12"/>
  <c r="AD20" i="12"/>
  <c r="AC15" i="12"/>
  <c r="AD4" i="12"/>
  <c r="AC20" i="12"/>
  <c r="AD9" i="12"/>
  <c r="AC4" i="12"/>
  <c r="V4" i="12" a="1"/>
  <c r="V4" i="12" s="1"/>
  <c r="V7" i="12" a="1"/>
  <c r="V7" i="12" s="1"/>
  <c r="V10" i="12" a="1"/>
  <c r="V10" i="12" s="1"/>
  <c r="V16" i="12" a="1"/>
  <c r="V16" i="12" s="1"/>
  <c r="V19" i="12" a="1"/>
  <c r="V19" i="12" s="1"/>
  <c r="V22" i="12" a="1"/>
  <c r="V22" i="12" s="1"/>
  <c r="V5" i="12" a="1"/>
  <c r="V5" i="12" s="1"/>
  <c r="V11" i="12" a="1"/>
  <c r="V11" i="12" s="1"/>
  <c r="V14" i="12" a="1"/>
  <c r="V14" i="12" s="1"/>
  <c r="V17" i="12" a="1"/>
  <c r="V17" i="12" s="1"/>
  <c r="V20" i="12" a="1"/>
  <c r="V20" i="12" s="1"/>
  <c r="V23" i="12" a="1"/>
  <c r="V23" i="12" s="1"/>
  <c r="V8" i="12" a="1"/>
  <c r="V8" i="12" s="1"/>
  <c r="V12" i="12" a="1"/>
  <c r="V12" i="12" s="1"/>
  <c r="V15" i="12" a="1"/>
  <c r="V15" i="12" s="1"/>
  <c r="V21" i="12" a="1"/>
  <c r="V21" i="12" s="1"/>
  <c r="V3" i="12" a="1"/>
  <c r="V3" i="12" s="1"/>
  <c r="V6" i="12" a="1"/>
  <c r="V6" i="12" s="1"/>
  <c r="V9" i="12" a="1"/>
  <c r="V9" i="12" s="1"/>
  <c r="V13" i="12" a="1"/>
  <c r="V13" i="12" s="1"/>
  <c r="V18" i="12" a="1"/>
  <c r="V18" i="12" s="1"/>
  <c r="AD18" i="12"/>
  <c r="AC13" i="12"/>
  <c r="AC22" i="12"/>
  <c r="AD11" i="12"/>
  <c r="AC6" i="12"/>
  <c r="AC19" i="12"/>
  <c r="AD8" i="12"/>
  <c r="AC3" i="12"/>
  <c r="T5" i="12" a="1"/>
  <c r="T5" i="12" s="1"/>
  <c r="T10" i="12" a="1"/>
  <c r="T10" i="12" s="1"/>
  <c r="T16" i="12" a="1"/>
  <c r="T16" i="12" s="1"/>
  <c r="T19" i="12" a="1"/>
  <c r="T19" i="12" s="1"/>
  <c r="T22" i="12" a="1"/>
  <c r="T22" i="12" s="1"/>
  <c r="T8" i="12" a="1"/>
  <c r="T8" i="12" s="1"/>
  <c r="T11" i="12" a="1"/>
  <c r="T11" i="12" s="1"/>
  <c r="T14" i="12" a="1"/>
  <c r="T14" i="12" s="1"/>
  <c r="T17" i="12" a="1"/>
  <c r="T17" i="12" s="1"/>
  <c r="T20" i="12" a="1"/>
  <c r="T20" i="12" s="1"/>
  <c r="T23" i="12" a="1"/>
  <c r="T23" i="12" s="1"/>
  <c r="T6" i="12" a="1"/>
  <c r="T6" i="12" s="1"/>
  <c r="T9" i="12" a="1"/>
  <c r="T9" i="12" s="1"/>
  <c r="T12" i="12" a="1"/>
  <c r="T12" i="12" s="1"/>
  <c r="T15" i="12" a="1"/>
  <c r="T15" i="12" s="1"/>
  <c r="T21" i="12" a="1"/>
  <c r="T21" i="12" s="1"/>
  <c r="T4" i="12" a="1"/>
  <c r="T4" i="12" s="1"/>
  <c r="T7" i="12" a="1"/>
  <c r="T7" i="12" s="1"/>
  <c r="T13" i="12" a="1"/>
  <c r="T13" i="12" s="1"/>
  <c r="T18" i="12" a="1"/>
  <c r="T18" i="12" s="1"/>
  <c r="T3" i="12" a="1"/>
  <c r="T3" i="12" s="1"/>
  <c r="AD13" i="12"/>
  <c r="AC8" i="12"/>
  <c r="Z6" i="12" a="1"/>
  <c r="Z6" i="12" s="1"/>
  <c r="Z9" i="12" a="1"/>
  <c r="Z9" i="12" s="1"/>
  <c r="Z12" i="12" a="1"/>
  <c r="Z12" i="12" s="1"/>
  <c r="Z15" i="12" a="1"/>
  <c r="Z15" i="12" s="1"/>
  <c r="Z21" i="12" a="1"/>
  <c r="Z21" i="12" s="1"/>
  <c r="Z3" i="12" a="1"/>
  <c r="Z3" i="12" s="1"/>
  <c r="Z4" i="12" a="1"/>
  <c r="Z4" i="12" s="1"/>
  <c r="Z7" i="12" a="1"/>
  <c r="Z7" i="12" s="1"/>
  <c r="Z13" i="12" a="1"/>
  <c r="Z13" i="12" s="1"/>
  <c r="Z18" i="12" a="1"/>
  <c r="Z18" i="12" s="1"/>
  <c r="Z5" i="12" a="1"/>
  <c r="Z5" i="12" s="1"/>
  <c r="Z10" i="12" a="1"/>
  <c r="Z10" i="12" s="1"/>
  <c r="Z16" i="12" a="1"/>
  <c r="Z16" i="12" s="1"/>
  <c r="Z19" i="12" a="1"/>
  <c r="Z19" i="12" s="1"/>
  <c r="Z22" i="12" a="1"/>
  <c r="Z22" i="12" s="1"/>
  <c r="Z8" i="12" a="1"/>
  <c r="Z8" i="12" s="1"/>
  <c r="Z11" i="12" a="1"/>
  <c r="Z11" i="12" s="1"/>
  <c r="Z14" i="12" a="1"/>
  <c r="Z14" i="12" s="1"/>
  <c r="Z17" i="12" a="1"/>
  <c r="Z17" i="12" s="1"/>
  <c r="Z20" i="12" a="1"/>
  <c r="Z20" i="12" s="1"/>
  <c r="Z23" i="12" a="1"/>
  <c r="Z23" i="12" s="1"/>
  <c r="AD22" i="12"/>
  <c r="AC17" i="12"/>
  <c r="AD6" i="12"/>
  <c r="AD15" i="12"/>
  <c r="AC10" i="12"/>
  <c r="AC23" i="12"/>
  <c r="AD12" i="12"/>
  <c r="AC7" i="12"/>
  <c r="X6" i="12" a="1"/>
  <c r="X6" i="12" s="1"/>
  <c r="X9" i="12" a="1"/>
  <c r="X9" i="12" s="1"/>
  <c r="X13" i="12" a="1"/>
  <c r="X13" i="12" s="1"/>
  <c r="X18" i="12" a="1"/>
  <c r="X18" i="12" s="1"/>
  <c r="X4" i="12" a="1"/>
  <c r="X4" i="12" s="1"/>
  <c r="X7" i="12" a="1"/>
  <c r="X7" i="12" s="1"/>
  <c r="X10" i="12" a="1"/>
  <c r="X10" i="12" s="1"/>
  <c r="X16" i="12" a="1"/>
  <c r="X16" i="12" s="1"/>
  <c r="X19" i="12" a="1"/>
  <c r="X19" i="12" s="1"/>
  <c r="X22" i="12" a="1"/>
  <c r="X22" i="12" s="1"/>
  <c r="X5" i="12" a="1"/>
  <c r="X5" i="12" s="1"/>
  <c r="X11" i="12" a="1"/>
  <c r="X11" i="12" s="1"/>
  <c r="X14" i="12" a="1"/>
  <c r="X14" i="12" s="1"/>
  <c r="X17" i="12" a="1"/>
  <c r="X17" i="12" s="1"/>
  <c r="X20" i="12" a="1"/>
  <c r="X20" i="12" s="1"/>
  <c r="X23" i="12" a="1"/>
  <c r="X23" i="12" s="1"/>
  <c r="X8" i="12" a="1"/>
  <c r="X8" i="12" s="1"/>
  <c r="X12" i="12" a="1"/>
  <c r="X12" i="12" s="1"/>
  <c r="X15" i="12" a="1"/>
  <c r="X15" i="12" s="1"/>
  <c r="X21" i="12" a="1"/>
  <c r="X21" i="12" s="1"/>
  <c r="X3" i="12" a="1"/>
  <c r="X3" i="12" s="1"/>
  <c r="AD17" i="12"/>
  <c r="AC12" i="12"/>
  <c r="AC21" i="12"/>
  <c r="AD10" i="12"/>
  <c r="AC5" i="12"/>
  <c r="AD19" i="12"/>
  <c r="AC14" i="12"/>
  <c r="AD3" i="12"/>
  <c r="AD16" i="12"/>
  <c r="AC11" i="12"/>
  <c r="S23" i="52"/>
  <c r="P24" i="56" l="1"/>
  <c r="P7" i="56"/>
  <c r="P11" i="56"/>
  <c r="P14" i="56"/>
  <c r="P21" i="56"/>
  <c r="P10" i="56"/>
  <c r="M27" i="56"/>
  <c r="M28" i="56"/>
  <c r="P13" i="56"/>
  <c r="P18" i="56"/>
  <c r="P23" i="56"/>
  <c r="P16" i="56"/>
  <c r="L28" i="56"/>
  <c r="P5" i="56"/>
  <c r="L27" i="56"/>
  <c r="P9" i="56"/>
  <c r="P22" i="56"/>
  <c r="N27" i="56"/>
  <c r="N28" i="56"/>
  <c r="P20" i="56"/>
  <c r="P12" i="56"/>
  <c r="P19" i="56"/>
  <c r="P8" i="56"/>
  <c r="P17" i="56"/>
  <c r="P6" i="56"/>
  <c r="P15" i="56"/>
  <c r="P25" i="56"/>
  <c r="G20" i="39"/>
  <c r="N21" i="1"/>
  <c r="Q4" i="48" a="1"/>
  <c r="Q4" i="48" s="1"/>
  <c r="Q8" i="48" a="1"/>
  <c r="Q8" i="48" s="1"/>
  <c r="Q11" i="48" a="1"/>
  <c r="Q11" i="48" s="1"/>
  <c r="Q14" i="48" a="1"/>
  <c r="Q14" i="48" s="1"/>
  <c r="Q17" i="48" a="1"/>
  <c r="Q17" i="48" s="1"/>
  <c r="Q24" i="48" a="1"/>
  <c r="Q24" i="48" s="1"/>
  <c r="Q5" i="48" a="1"/>
  <c r="Q5" i="48" s="1"/>
  <c r="Q12" i="48" a="1"/>
  <c r="Q12" i="48" s="1"/>
  <c r="Q15" i="48" a="1"/>
  <c r="Q15" i="48" s="1"/>
  <c r="Q18" i="48" a="1"/>
  <c r="Q18" i="48" s="1"/>
  <c r="Q21" i="48" a="1"/>
  <c r="Q21" i="48" s="1"/>
  <c r="Q6" i="48" a="1"/>
  <c r="Q6" i="48" s="1"/>
  <c r="Q9" i="48" a="1"/>
  <c r="Q9" i="48" s="1"/>
  <c r="Q16" i="48" a="1"/>
  <c r="Q16" i="48" s="1"/>
  <c r="Q19" i="48" a="1"/>
  <c r="Q19" i="48" s="1"/>
  <c r="Q22" i="48" a="1"/>
  <c r="Q22" i="48" s="1"/>
  <c r="Q7" i="48" a="1"/>
  <c r="Q7" i="48" s="1"/>
  <c r="Q10" i="48" a="1"/>
  <c r="Q10" i="48" s="1"/>
  <c r="Q13" i="48" a="1"/>
  <c r="Q13" i="48" s="1"/>
  <c r="Q20" i="48" a="1"/>
  <c r="Q20" i="48" s="1"/>
  <c r="Q23" i="48" a="1"/>
  <c r="Q23" i="48" s="1"/>
  <c r="F31" i="57"/>
  <c r="F30" i="57"/>
  <c r="F29" i="57"/>
  <c r="F28" i="57"/>
  <c r="F27" i="57"/>
  <c r="F26" i="57"/>
  <c r="F25" i="57"/>
  <c r="F24" i="57"/>
  <c r="F23" i="57"/>
  <c r="F22" i="57"/>
  <c r="F20" i="57"/>
  <c r="F19" i="57"/>
  <c r="F17" i="57"/>
  <c r="F16" i="57"/>
  <c r="F15" i="57"/>
  <c r="F14" i="57"/>
  <c r="F13" i="57"/>
  <c r="F12" i="57"/>
  <c r="F11" i="57"/>
  <c r="F10" i="57"/>
  <c r="F9" i="57"/>
  <c r="F8" i="57"/>
  <c r="F7" i="57"/>
  <c r="F6" i="57"/>
  <c r="F5" i="57"/>
  <c r="F4" i="57"/>
  <c r="F3" i="57"/>
  <c r="F2" i="57"/>
  <c r="N30" i="56" l="1"/>
  <c r="D8" i="58" s="1"/>
  <c r="L30" i="56"/>
  <c r="D6" i="58" s="1"/>
  <c r="M30" i="56"/>
  <c r="D7" i="58" s="1"/>
  <c r="C138" i="5"/>
  <c r="C139" i="5" s="1"/>
  <c r="E10" i="55" s="1"/>
  <c r="D138" i="5"/>
  <c r="D139" i="5" s="1"/>
  <c r="E138" i="5"/>
  <c r="E139" i="5" s="1"/>
  <c r="F138" i="5"/>
  <c r="F139" i="5" s="1"/>
  <c r="G138" i="5"/>
  <c r="G139" i="5" s="1"/>
  <c r="E14" i="55" s="1"/>
  <c r="H138" i="5"/>
  <c r="H139" i="5" s="1"/>
  <c r="I138" i="5"/>
  <c r="I139" i="5" s="1"/>
  <c r="J138" i="5"/>
  <c r="J139" i="5" s="1"/>
  <c r="K138" i="5"/>
  <c r="K139" i="5" s="1"/>
  <c r="E18" i="55" s="1"/>
  <c r="L138" i="5"/>
  <c r="L139" i="5" s="1"/>
  <c r="M138" i="5"/>
  <c r="M139" i="5" s="1"/>
  <c r="N138" i="5"/>
  <c r="N139" i="5" s="1"/>
  <c r="O138" i="5"/>
  <c r="O139" i="5" s="1"/>
  <c r="E22" i="55" s="1"/>
  <c r="P138" i="5"/>
  <c r="P139" i="5" s="1"/>
  <c r="Q138" i="5"/>
  <c r="Q139" i="5" s="1"/>
  <c r="R138" i="5"/>
  <c r="R139" i="5" s="1"/>
  <c r="S138" i="5"/>
  <c r="S139" i="5" s="1"/>
  <c r="E26" i="55" s="1"/>
  <c r="T138" i="5"/>
  <c r="T139" i="5" s="1"/>
  <c r="U138" i="5"/>
  <c r="U139" i="5" s="1"/>
  <c r="V138" i="5"/>
  <c r="V139" i="5" s="1"/>
  <c r="B138" i="5"/>
  <c r="B139" i="5" s="1"/>
  <c r="E28" i="55" l="1"/>
  <c r="E24" i="55"/>
  <c r="E20" i="55"/>
  <c r="E16" i="55"/>
  <c r="E12" i="55"/>
  <c r="E9" i="55"/>
  <c r="E27" i="55"/>
  <c r="E23" i="55"/>
  <c r="E29" i="55"/>
  <c r="E25" i="55"/>
  <c r="E21" i="55"/>
  <c r="E17" i="55"/>
  <c r="E13" i="55"/>
  <c r="E19" i="55"/>
  <c r="E15" i="55"/>
  <c r="E11" i="55"/>
  <c r="C33" i="12" l="1"/>
  <c r="C34" i="12"/>
  <c r="L2" i="40"/>
  <c r="J2" i="40"/>
  <c r="I2" i="40"/>
  <c r="F2" i="40"/>
  <c r="E2" i="40"/>
  <c r="D2" i="40"/>
  <c r="D81" i="8"/>
  <c r="S9" i="52" l="1"/>
  <c r="S4" i="52"/>
  <c r="S16" i="52"/>
  <c r="S5" i="52"/>
  <c r="H34" i="12"/>
  <c r="H33" i="12"/>
  <c r="P2" i="40"/>
  <c r="S13" i="52" l="1"/>
  <c r="S3" i="52"/>
  <c r="I33" i="12"/>
  <c r="J33" i="12" s="1"/>
  <c r="I34" i="12"/>
  <c r="J34" i="12" s="1"/>
  <c r="T16" i="52" l="1"/>
  <c r="T4" i="52"/>
  <c r="T9" i="52"/>
  <c r="S14" i="52"/>
  <c r="T14" i="52" s="1"/>
  <c r="T5" i="52"/>
  <c r="T23" i="52"/>
  <c r="T13" i="52" l="1"/>
  <c r="T3" i="52"/>
  <c r="B24" i="18" l="1"/>
  <c r="B26" i="18" s="1" a="1"/>
  <c r="B26" i="18" s="1"/>
  <c r="K2" i="39" s="1"/>
  <c r="C131" i="15"/>
  <c r="D131" i="15"/>
  <c r="E131" i="15"/>
  <c r="F131" i="15"/>
  <c r="G131" i="15"/>
  <c r="H131" i="15"/>
  <c r="I131" i="15"/>
  <c r="J131" i="15"/>
  <c r="K131" i="15"/>
  <c r="L131" i="15"/>
  <c r="M131" i="15"/>
  <c r="N131" i="15"/>
  <c r="O131" i="15"/>
  <c r="P131" i="15"/>
  <c r="Q131" i="15"/>
  <c r="R131" i="15"/>
  <c r="S131" i="15"/>
  <c r="T131" i="15"/>
  <c r="U131" i="15"/>
  <c r="V131" i="15"/>
  <c r="C130" i="15"/>
  <c r="D130" i="15"/>
  <c r="E130" i="15"/>
  <c r="F130" i="15"/>
  <c r="G130" i="15"/>
  <c r="H130" i="15"/>
  <c r="I130" i="15"/>
  <c r="J130" i="15"/>
  <c r="K130" i="15"/>
  <c r="L130" i="15"/>
  <c r="M130" i="15"/>
  <c r="N130" i="15"/>
  <c r="O130" i="15"/>
  <c r="P130" i="15"/>
  <c r="Q130" i="15"/>
  <c r="R130" i="15"/>
  <c r="S130" i="15"/>
  <c r="T130" i="15"/>
  <c r="U130" i="15"/>
  <c r="V130" i="15"/>
  <c r="B131" i="15"/>
  <c r="B130" i="15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K128" i="15" a="1"/>
  <c r="K128" i="15" s="1"/>
  <c r="L128" i="15" a="1"/>
  <c r="L128" i="15" s="1"/>
  <c r="M128" i="15" a="1"/>
  <c r="M128" i="15" s="1"/>
  <c r="N128" i="15" a="1"/>
  <c r="N128" i="15" s="1"/>
  <c r="O128" i="15" a="1"/>
  <c r="O128" i="15" s="1"/>
  <c r="P128" i="15" a="1"/>
  <c r="P128" i="15" s="1"/>
  <c r="Q128" i="15" a="1"/>
  <c r="Q128" i="15" s="1"/>
  <c r="R128" i="15" a="1"/>
  <c r="R128" i="15" s="1"/>
  <c r="S128" i="15" a="1"/>
  <c r="S128" i="15" s="1"/>
  <c r="T128" i="15" a="1"/>
  <c r="T128" i="15" s="1"/>
  <c r="U128" i="15" a="1"/>
  <c r="U128" i="15" s="1"/>
  <c r="V128" i="15" a="1"/>
  <c r="V128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K127" i="15" a="1"/>
  <c r="K127" i="15" s="1"/>
  <c r="L127" i="15" a="1"/>
  <c r="L127" i="15" s="1"/>
  <c r="M127" i="15" a="1"/>
  <c r="M127" i="15" s="1"/>
  <c r="N127" i="15" a="1"/>
  <c r="N127" i="15" s="1"/>
  <c r="O127" i="15" a="1"/>
  <c r="O127" i="15" s="1"/>
  <c r="P127" i="15" a="1"/>
  <c r="P127" i="15" s="1"/>
  <c r="Q127" i="15" a="1"/>
  <c r="Q127" i="15" s="1"/>
  <c r="R127" i="15" a="1"/>
  <c r="R127" i="15" s="1"/>
  <c r="S127" i="15" a="1"/>
  <c r="S127" i="15" s="1"/>
  <c r="T127" i="15" a="1"/>
  <c r="T127" i="15" s="1"/>
  <c r="U127" i="15" a="1"/>
  <c r="U127" i="15" s="1"/>
  <c r="V127" i="15" a="1"/>
  <c r="V127" i="15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K126" i="15" a="1"/>
  <c r="K126" i="15" s="1"/>
  <c r="L11" i="39" s="1"/>
  <c r="L126" i="15" a="1"/>
  <c r="L126" i="15" s="1"/>
  <c r="L12" i="39" s="1"/>
  <c r="M126" i="15" a="1"/>
  <c r="M126" i="15" s="1"/>
  <c r="L13" i="39" s="1"/>
  <c r="N126" i="15" a="1"/>
  <c r="N126" i="15" s="1"/>
  <c r="L14" i="39" s="1"/>
  <c r="O126" i="15" a="1"/>
  <c r="O126" i="15" s="1"/>
  <c r="L15" i="39" s="1"/>
  <c r="P126" i="15" a="1"/>
  <c r="P126" i="15" s="1"/>
  <c r="L16" i="39" s="1"/>
  <c r="Q126" i="15" a="1"/>
  <c r="Q126" i="15" s="1"/>
  <c r="L17" i="39" s="1"/>
  <c r="R126" i="15" a="1"/>
  <c r="R126" i="15" s="1"/>
  <c r="L18" i="39" s="1"/>
  <c r="S126" i="15" a="1"/>
  <c r="S126" i="15" s="1"/>
  <c r="L19" i="39" s="1"/>
  <c r="T126" i="15" a="1"/>
  <c r="T126" i="15" s="1"/>
  <c r="L20" i="39" s="1"/>
  <c r="U126" i="15" a="1"/>
  <c r="U126" i="15" s="1"/>
  <c r="L21" i="39" s="1"/>
  <c r="V126" i="15" a="1"/>
  <c r="V126" i="15" s="1"/>
  <c r="L22" i="39" s="1"/>
  <c r="B128" i="15" a="1"/>
  <c r="B128" i="15" s="1"/>
  <c r="B127" i="15" a="1"/>
  <c r="B127" i="15" s="1"/>
  <c r="B126" i="15" a="1"/>
  <c r="B126" i="15" s="1"/>
  <c r="L2" i="39" s="1"/>
  <c r="C134" i="5" l="1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O134" i="5" a="1"/>
  <c r="O134" i="5" s="1"/>
  <c r="F18" i="56" s="1"/>
  <c r="P134" i="5" a="1"/>
  <c r="P134" i="5" s="1"/>
  <c r="F19" i="56" s="1"/>
  <c r="Q134" i="5" a="1"/>
  <c r="Q134" i="5" s="1"/>
  <c r="F20" i="56" s="1"/>
  <c r="R134" i="5" a="1"/>
  <c r="R134" i="5" s="1"/>
  <c r="F21" i="56" s="1"/>
  <c r="S134" i="5" a="1"/>
  <c r="S134" i="5" s="1"/>
  <c r="F22" i="56" s="1"/>
  <c r="T134" i="5" a="1"/>
  <c r="T134" i="5" s="1"/>
  <c r="F23" i="56" s="1"/>
  <c r="U134" i="5" a="1"/>
  <c r="U134" i="5" s="1"/>
  <c r="F24" i="56" s="1"/>
  <c r="V134" i="5" a="1"/>
  <c r="V134" i="5" s="1"/>
  <c r="F25" i="56" s="1"/>
  <c r="B134" i="5" a="1"/>
  <c r="B134" i="5" s="1"/>
  <c r="F5" i="56" s="1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T129" i="5"/>
  <c r="U129" i="5"/>
  <c r="V129" i="5"/>
  <c r="B130" i="5"/>
  <c r="B129" i="5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O127" i="5" a="1"/>
  <c r="O127" i="5" s="1"/>
  <c r="D17" i="13" s="1"/>
  <c r="P127" i="5" a="1"/>
  <c r="P127" i="5" s="1"/>
  <c r="D18" i="13" s="1"/>
  <c r="Q127" i="5" a="1"/>
  <c r="Q127" i="5" s="1"/>
  <c r="D19" i="13" s="1"/>
  <c r="R127" i="5" a="1"/>
  <c r="R127" i="5" s="1"/>
  <c r="D20" i="13" s="1"/>
  <c r="S127" i="5" a="1"/>
  <c r="S127" i="5" s="1"/>
  <c r="D21" i="13" s="1"/>
  <c r="T127" i="5" a="1"/>
  <c r="T127" i="5" s="1"/>
  <c r="D22" i="13" s="1"/>
  <c r="U127" i="5" a="1"/>
  <c r="U127" i="5" s="1"/>
  <c r="D23" i="13" s="1"/>
  <c r="V127" i="5" a="1"/>
  <c r="V127" i="5" s="1"/>
  <c r="D24" i="13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K126" i="5" a="1"/>
  <c r="K126" i="5" s="1"/>
  <c r="L126" i="5" a="1"/>
  <c r="L126" i="5" s="1"/>
  <c r="M126" i="5" a="1"/>
  <c r="M126" i="5" s="1"/>
  <c r="N126" i="5" a="1"/>
  <c r="N126" i="5" s="1"/>
  <c r="O126" i="5" a="1"/>
  <c r="O126" i="5" s="1"/>
  <c r="P126" i="5" a="1"/>
  <c r="P126" i="5" s="1"/>
  <c r="Q126" i="5" a="1"/>
  <c r="Q126" i="5" s="1"/>
  <c r="R126" i="5" a="1"/>
  <c r="R126" i="5" s="1"/>
  <c r="S126" i="5" a="1"/>
  <c r="S126" i="5" s="1"/>
  <c r="T126" i="5" a="1"/>
  <c r="T126" i="5" s="1"/>
  <c r="U126" i="5" a="1"/>
  <c r="U126" i="5" s="1"/>
  <c r="V126" i="5" a="1"/>
  <c r="V126" i="5" s="1"/>
  <c r="B127" i="5" a="1"/>
  <c r="B127" i="5" s="1"/>
  <c r="D4" i="13" s="1"/>
  <c r="B126" i="5" a="1"/>
  <c r="B126" i="5" s="1"/>
  <c r="C126" i="7" l="1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K126" i="7" a="1"/>
  <c r="K126" i="7" s="1"/>
  <c r="L126" i="7" a="1"/>
  <c r="L126" i="7" s="1"/>
  <c r="M126" i="7" a="1"/>
  <c r="M126" i="7" s="1"/>
  <c r="N126" i="7" a="1"/>
  <c r="N126" i="7" s="1"/>
  <c r="O126" i="7" a="1"/>
  <c r="O126" i="7" s="1"/>
  <c r="P126" i="7" a="1"/>
  <c r="P126" i="7" s="1"/>
  <c r="Q126" i="7" a="1"/>
  <c r="Q126" i="7" s="1"/>
  <c r="R126" i="7" a="1"/>
  <c r="R126" i="7" s="1"/>
  <c r="S126" i="7" a="1"/>
  <c r="S126" i="7" s="1"/>
  <c r="T126" i="7" a="1"/>
  <c r="T126" i="7" s="1"/>
  <c r="U126" i="7" a="1"/>
  <c r="U126" i="7" s="1"/>
  <c r="V126" i="7" a="1"/>
  <c r="V126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K128" i="7" a="1"/>
  <c r="K128" i="7" s="1"/>
  <c r="L128" i="7" a="1"/>
  <c r="L128" i="7" s="1"/>
  <c r="M128" i="7" a="1"/>
  <c r="M128" i="7" s="1"/>
  <c r="N128" i="7" a="1"/>
  <c r="N128" i="7" s="1"/>
  <c r="O128" i="7" a="1"/>
  <c r="O128" i="7" s="1"/>
  <c r="P128" i="7" a="1"/>
  <c r="P128" i="7" s="1"/>
  <c r="Q128" i="7" a="1"/>
  <c r="Q128" i="7" s="1"/>
  <c r="R128" i="7" a="1"/>
  <c r="R128" i="7" s="1"/>
  <c r="S128" i="7" a="1"/>
  <c r="S128" i="7" s="1"/>
  <c r="T128" i="7" a="1"/>
  <c r="T128" i="7" s="1"/>
  <c r="U128" i="7" a="1"/>
  <c r="U128" i="7" s="1"/>
  <c r="V128" i="7" a="1"/>
  <c r="V128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K125" i="7" a="1"/>
  <c r="K125" i="7" s="1"/>
  <c r="L125" i="7" a="1"/>
  <c r="L125" i="7" s="1"/>
  <c r="M125" i="7" a="1"/>
  <c r="M125" i="7" s="1"/>
  <c r="N125" i="7" a="1"/>
  <c r="N125" i="7" s="1"/>
  <c r="O125" i="7" a="1"/>
  <c r="O125" i="7" s="1"/>
  <c r="P125" i="7" a="1"/>
  <c r="P125" i="7" s="1"/>
  <c r="Q125" i="7" a="1"/>
  <c r="Q125" i="7" s="1"/>
  <c r="R125" i="7" a="1"/>
  <c r="R125" i="7" s="1"/>
  <c r="S125" i="7" a="1"/>
  <c r="S125" i="7" s="1"/>
  <c r="T125" i="7" a="1"/>
  <c r="T125" i="7" s="1"/>
  <c r="U125" i="7" a="1"/>
  <c r="U125" i="7" s="1"/>
  <c r="V125" i="7" a="1"/>
  <c r="V125" i="7" s="1"/>
  <c r="B128" i="7" a="1"/>
  <c r="B128" i="7" s="1"/>
  <c r="B126" i="7" a="1"/>
  <c r="B126" i="7" s="1"/>
  <c r="B125" i="7" a="1"/>
  <c r="B125" i="7" s="1"/>
  <c r="C32" i="12" l="1"/>
  <c r="I32" i="12" l="1"/>
  <c r="H32" i="12" l="1"/>
  <c r="J32" i="12" s="1"/>
  <c r="C31" i="12" l="1"/>
  <c r="L39" i="8"/>
  <c r="I31" i="12" l="1"/>
  <c r="H31" i="12"/>
  <c r="J31" i="12" l="1"/>
  <c r="M28" i="48" l="1"/>
  <c r="M27" i="48"/>
  <c r="P14" i="48" l="1"/>
  <c r="P23" i="48"/>
  <c r="P10" i="48"/>
  <c r="P15" i="48"/>
  <c r="P6" i="48"/>
  <c r="P5" i="48"/>
  <c r="P16" i="48"/>
  <c r="P12" i="48"/>
  <c r="P20" i="48"/>
  <c r="P24" i="48"/>
  <c r="P18" i="48"/>
  <c r="P17" i="48"/>
  <c r="P7" i="48"/>
  <c r="P21" i="48"/>
  <c r="P13" i="48"/>
  <c r="P11" i="48"/>
  <c r="P9" i="48"/>
  <c r="P19" i="48"/>
  <c r="P4" i="48"/>
  <c r="P8" i="48"/>
  <c r="P22" i="48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3" i="1"/>
  <c r="AA8" i="1" l="1" a="1"/>
  <c r="AA8" i="1" s="1"/>
  <c r="AA21" i="1" a="1"/>
  <c r="AA21" i="1" s="1"/>
  <c r="AA18" i="1" a="1"/>
  <c r="AA18" i="1" s="1"/>
  <c r="AA13" i="1" a="1"/>
  <c r="AA13" i="1" s="1"/>
  <c r="AA10" i="1" a="1"/>
  <c r="AA10" i="1" s="1"/>
  <c r="AA5" i="1" a="1"/>
  <c r="AA5" i="1" s="1"/>
  <c r="AA23" i="1" a="1"/>
  <c r="AA23" i="1" s="1"/>
  <c r="AA20" i="1" a="1"/>
  <c r="AA20" i="1" s="1"/>
  <c r="AA15" i="1" a="1"/>
  <c r="AA15" i="1" s="1"/>
  <c r="AA12" i="1" a="1"/>
  <c r="AA12" i="1" s="1"/>
  <c r="AA7" i="1" a="1"/>
  <c r="AA7" i="1" s="1"/>
  <c r="AA4" i="1" a="1"/>
  <c r="AA4" i="1" s="1"/>
  <c r="AA22" i="1" a="1"/>
  <c r="AA22" i="1" s="1"/>
  <c r="AA17" i="1" a="1"/>
  <c r="AA17" i="1" s="1"/>
  <c r="AA14" i="1" a="1"/>
  <c r="AA14" i="1" s="1"/>
  <c r="AA9" i="1" a="1"/>
  <c r="AA9" i="1" s="1"/>
  <c r="AA6" i="1" a="1"/>
  <c r="AA6" i="1" s="1"/>
  <c r="AA3" i="1" a="1"/>
  <c r="AA3" i="1" s="1"/>
  <c r="AA19" i="1" a="1"/>
  <c r="AA19" i="1" s="1"/>
  <c r="AA16" i="1" a="1"/>
  <c r="AA16" i="1" s="1"/>
  <c r="AA11" i="1" a="1"/>
  <c r="AA11" i="1" s="1"/>
  <c r="R20" i="48" a="1"/>
  <c r="R20" i="48" s="1"/>
  <c r="S20" i="48" s="1"/>
  <c r="R19" i="48" a="1"/>
  <c r="R19" i="48" s="1"/>
  <c r="S19" i="48" s="1"/>
  <c r="R18" i="48" a="1"/>
  <c r="R18" i="48" s="1"/>
  <c r="S18" i="48" s="1"/>
  <c r="R23" i="48" a="1"/>
  <c r="R23" i="48" s="1"/>
  <c r="S23" i="48" s="1"/>
  <c r="R11" i="48" a="1"/>
  <c r="R11" i="48" s="1"/>
  <c r="S11" i="48" s="1"/>
  <c r="R5" i="48" a="1"/>
  <c r="R5" i="48" s="1"/>
  <c r="S5" i="48" s="1"/>
  <c r="R12" i="48" a="1"/>
  <c r="R12" i="48" s="1"/>
  <c r="S12" i="48" s="1"/>
  <c r="R16" i="48" a="1"/>
  <c r="R16" i="48" s="1"/>
  <c r="S16" i="48" s="1"/>
  <c r="R6" i="48" a="1"/>
  <c r="R6" i="48" s="1"/>
  <c r="S6" i="48" s="1"/>
  <c r="R13" i="48" a="1"/>
  <c r="R13" i="48" s="1"/>
  <c r="S13" i="48" s="1"/>
  <c r="R9" i="48" a="1"/>
  <c r="R9" i="48" s="1"/>
  <c r="S9" i="48" s="1"/>
  <c r="R4" i="48" a="1"/>
  <c r="R4" i="48" s="1"/>
  <c r="S4" i="48" s="1"/>
  <c r="R15" i="48" a="1"/>
  <c r="R15" i="48" s="1"/>
  <c r="S15" i="48" s="1"/>
  <c r="R10" i="48" a="1"/>
  <c r="R10" i="48" s="1"/>
  <c r="S10" i="48" s="1"/>
  <c r="R14" i="48" a="1"/>
  <c r="R14" i="48" s="1"/>
  <c r="S14" i="48" s="1"/>
  <c r="R24" i="48" a="1"/>
  <c r="R24" i="48" s="1"/>
  <c r="S24" i="48" s="1"/>
  <c r="R7" i="48" a="1"/>
  <c r="R7" i="48" s="1"/>
  <c r="S7" i="48" s="1"/>
  <c r="R21" i="48" a="1"/>
  <c r="R21" i="48" s="1"/>
  <c r="S21" i="48" s="1"/>
  <c r="R17" i="48" a="1"/>
  <c r="R17" i="48" s="1"/>
  <c r="S17" i="48" s="1"/>
  <c r="R22" i="48" a="1"/>
  <c r="R22" i="48" s="1"/>
  <c r="S22" i="48" s="1"/>
  <c r="R8" i="48" a="1"/>
  <c r="R8" i="48" s="1"/>
  <c r="S8" i="48" s="1"/>
  <c r="B136" i="5" a="1"/>
  <c r="B136" i="5" s="1"/>
  <c r="R136" i="5" a="1"/>
  <c r="R136" i="5" s="1"/>
  <c r="C136" i="5" a="1"/>
  <c r="C136" i="5" s="1"/>
  <c r="P136" i="5" a="1"/>
  <c r="P136" i="5" s="1"/>
  <c r="M136" i="5" a="1"/>
  <c r="M136" i="5" s="1"/>
  <c r="U136" i="5" a="1"/>
  <c r="U136" i="5" s="1"/>
  <c r="F136" i="5" a="1"/>
  <c r="F136" i="5" s="1"/>
  <c r="V136" i="5" a="1"/>
  <c r="V136" i="5" s="1"/>
  <c r="E136" i="5" a="1"/>
  <c r="E136" i="5" s="1"/>
  <c r="T136" i="5" a="1"/>
  <c r="T136" i="5" s="1"/>
  <c r="G136" i="5" a="1"/>
  <c r="G136" i="5" s="1"/>
  <c r="O136" i="5" a="1"/>
  <c r="O136" i="5" s="1"/>
  <c r="J136" i="5" a="1"/>
  <c r="J136" i="5" s="1"/>
  <c r="D136" i="5" a="1"/>
  <c r="D136" i="5" s="1"/>
  <c r="H136" i="5" a="1"/>
  <c r="H136" i="5" s="1"/>
  <c r="I136" i="5" a="1"/>
  <c r="I136" i="5" s="1"/>
  <c r="Q136" i="5" a="1"/>
  <c r="Q136" i="5" s="1"/>
  <c r="N136" i="5" a="1"/>
  <c r="N136" i="5" s="1"/>
  <c r="L136" i="5" a="1"/>
  <c r="L136" i="5" s="1"/>
  <c r="K136" i="5" a="1"/>
  <c r="K136" i="5" s="1"/>
  <c r="S136" i="5" a="1"/>
  <c r="S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K127" i="47" a="1"/>
  <c r="K127" i="47" s="1"/>
  <c r="L127" i="47" a="1"/>
  <c r="L127" i="47" s="1"/>
  <c r="M127" i="47" a="1"/>
  <c r="M127" i="47" s="1"/>
  <c r="N127" i="47" a="1"/>
  <c r="N127" i="47" s="1"/>
  <c r="O127" i="47" a="1"/>
  <c r="O127" i="47" s="1"/>
  <c r="P127" i="47" a="1"/>
  <c r="P127" i="47" s="1"/>
  <c r="Q127" i="47" a="1"/>
  <c r="Q127" i="47" s="1"/>
  <c r="S127" i="47" a="1"/>
  <c r="S127" i="47" s="1"/>
  <c r="T127" i="47" a="1"/>
  <c r="T127" i="47" s="1"/>
  <c r="U127" i="47" a="1"/>
  <c r="U127" i="47" s="1"/>
  <c r="V127" i="47" a="1"/>
  <c r="V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K125" i="47" a="1"/>
  <c r="K125" i="47" s="1"/>
  <c r="L125" i="47" a="1"/>
  <c r="L125" i="47" s="1"/>
  <c r="M125" i="47" a="1"/>
  <c r="M125" i="47" s="1"/>
  <c r="N125" i="47" a="1"/>
  <c r="N125" i="47" s="1"/>
  <c r="O125" i="47" a="1"/>
  <c r="O125" i="47" s="1"/>
  <c r="P125" i="47" a="1"/>
  <c r="P125" i="47" s="1"/>
  <c r="Q125" i="47" a="1"/>
  <c r="Q125" i="47" s="1"/>
  <c r="S125" i="47" a="1"/>
  <c r="S125" i="47" s="1"/>
  <c r="T125" i="47" a="1"/>
  <c r="T125" i="47" s="1"/>
  <c r="U125" i="47" a="1"/>
  <c r="U125" i="47" s="1"/>
  <c r="V125" i="47" a="1"/>
  <c r="V125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K124" i="47" a="1"/>
  <c r="K124" i="47" s="1"/>
  <c r="L124" i="47" a="1"/>
  <c r="L124" i="47" s="1"/>
  <c r="M124" i="47" a="1"/>
  <c r="M124" i="47" s="1"/>
  <c r="N124" i="47" a="1"/>
  <c r="N124" i="47" s="1"/>
  <c r="O124" i="47" a="1"/>
  <c r="O124" i="47" s="1"/>
  <c r="P124" i="47" a="1"/>
  <c r="P124" i="47" s="1"/>
  <c r="Q124" i="47" a="1"/>
  <c r="Q124" i="47" s="1"/>
  <c r="S124" i="47" a="1"/>
  <c r="S124" i="47" s="1"/>
  <c r="T124" i="47" a="1"/>
  <c r="T124" i="47" s="1"/>
  <c r="U124" i="47" a="1"/>
  <c r="U124" i="47" s="1"/>
  <c r="V124" i="47" a="1"/>
  <c r="V124" i="47" s="1"/>
  <c r="B127" i="47" a="1"/>
  <c r="B127" i="47" s="1"/>
  <c r="B125" i="47" a="1"/>
  <c r="B125" i="47" s="1"/>
  <c r="B124" i="47" a="1"/>
  <c r="B124" i="47" s="1"/>
  <c r="T16" i="48" l="1" a="1"/>
  <c r="T16" i="48" s="1"/>
  <c r="T11" i="48" a="1"/>
  <c r="T11" i="48" s="1"/>
  <c r="T20" i="48" a="1"/>
  <c r="T20" i="48" s="1"/>
  <c r="T17" i="48" a="1"/>
  <c r="T17" i="48" s="1"/>
  <c r="T19" i="48" a="1"/>
  <c r="T19" i="48" s="1"/>
  <c r="T6" i="48" a="1"/>
  <c r="T6" i="48" s="1"/>
  <c r="T5" i="48" a="1"/>
  <c r="T5" i="48" s="1"/>
  <c r="T18" i="48" a="1"/>
  <c r="T18" i="48" s="1"/>
  <c r="T7" i="48" a="1"/>
  <c r="T7" i="48" s="1"/>
  <c r="T8" i="48" a="1"/>
  <c r="T8" i="48" s="1"/>
  <c r="T13" i="48" a="1"/>
  <c r="T13" i="48" s="1"/>
  <c r="T10" i="48" a="1"/>
  <c r="T10" i="48" s="1"/>
  <c r="T21" i="48" a="1"/>
  <c r="T21" i="48" s="1"/>
  <c r="T22" i="48" a="1"/>
  <c r="T22" i="48" s="1"/>
  <c r="T9" i="48" a="1"/>
  <c r="T9" i="48" s="1"/>
  <c r="T15" i="48" a="1"/>
  <c r="T15" i="48" s="1"/>
  <c r="T23" i="48" a="1"/>
  <c r="T23" i="48" s="1"/>
  <c r="T12" i="48" a="1"/>
  <c r="T12" i="48" s="1"/>
  <c r="T4" i="48" a="1"/>
  <c r="T4" i="48" s="1"/>
  <c r="T14" i="48" a="1"/>
  <c r="T14" i="48" s="1"/>
  <c r="T24" i="48" a="1"/>
  <c r="T24" i="48" s="1"/>
  <c r="R124" i="47" a="1"/>
  <c r="R124" i="47" s="1"/>
  <c r="R125" i="47" a="1"/>
  <c r="R125" i="47" s="1"/>
  <c r="R127" i="47" a="1"/>
  <c r="R127" i="47" s="1"/>
  <c r="B127" i="46" l="1" a="1"/>
  <c r="B127" i="46" s="1"/>
  <c r="B125" i="46" a="1"/>
  <c r="B125" i="46" s="1"/>
  <c r="B124" i="46" a="1"/>
  <c r="B124" i="46" s="1"/>
  <c r="U127" i="46" a="1"/>
  <c r="U127" i="46" s="1"/>
  <c r="U125" i="46" a="1"/>
  <c r="U125" i="46" s="1"/>
  <c r="U124" i="46" a="1"/>
  <c r="U124" i="46" s="1"/>
  <c r="E127" i="46" a="1"/>
  <c r="E127" i="46" s="1"/>
  <c r="E125" i="46" a="1"/>
  <c r="E125" i="46" s="1"/>
  <c r="E124" i="46" a="1"/>
  <c r="E124" i="46" s="1"/>
  <c r="P127" i="46" a="1"/>
  <c r="P127" i="46" s="1"/>
  <c r="P125" i="46" a="1"/>
  <c r="P125" i="46" s="1"/>
  <c r="P124" i="46" a="1"/>
  <c r="P124" i="46" s="1"/>
  <c r="H127" i="46" a="1"/>
  <c r="H127" i="46" s="1"/>
  <c r="H125" i="46" a="1"/>
  <c r="H125" i="46" s="1"/>
  <c r="H124" i="46" a="1"/>
  <c r="H124" i="46" s="1"/>
  <c r="S127" i="46" a="1"/>
  <c r="S127" i="46" s="1"/>
  <c r="S124" i="46" a="1"/>
  <c r="S124" i="46" s="1"/>
  <c r="S125" i="46" a="1"/>
  <c r="S125" i="46" s="1"/>
  <c r="K125" i="46" a="1"/>
  <c r="K125" i="46" s="1"/>
  <c r="K127" i="46" a="1"/>
  <c r="K127" i="46" s="1"/>
  <c r="K124" i="46" a="1"/>
  <c r="K124" i="46" s="1"/>
  <c r="C127" i="46" a="1"/>
  <c r="C127" i="46" s="1"/>
  <c r="C124" i="46" a="1"/>
  <c r="C124" i="46" s="1"/>
  <c r="C125" i="46" a="1"/>
  <c r="C125" i="46" s="1"/>
  <c r="R125" i="46" a="1"/>
  <c r="R125" i="46" s="1"/>
  <c r="R124" i="46" a="1"/>
  <c r="R124" i="46" s="1"/>
  <c r="R127" i="46" a="1"/>
  <c r="R127" i="46" s="1"/>
  <c r="V127" i="46" a="1"/>
  <c r="V127" i="46" s="1"/>
  <c r="V124" i="46" a="1"/>
  <c r="V124" i="46" s="1"/>
  <c r="V125" i="46" a="1"/>
  <c r="V125" i="46" s="1"/>
  <c r="N127" i="46" a="1"/>
  <c r="N127" i="46" s="1"/>
  <c r="N124" i="46" a="1"/>
  <c r="N124" i="46" s="1"/>
  <c r="N125" i="46" a="1"/>
  <c r="N125" i="46" s="1"/>
  <c r="F127" i="46" a="1"/>
  <c r="F127" i="46" s="1"/>
  <c r="F124" i="46" a="1"/>
  <c r="F124" i="46" s="1"/>
  <c r="F125" i="46" a="1"/>
  <c r="F125" i="46" s="1"/>
  <c r="Q127" i="46" a="1"/>
  <c r="Q127" i="46" s="1"/>
  <c r="Q125" i="46" a="1"/>
  <c r="Q125" i="46" s="1"/>
  <c r="Q124" i="46" a="1"/>
  <c r="Q124" i="46" s="1"/>
  <c r="I127" i="46" a="1"/>
  <c r="I127" i="46" s="1"/>
  <c r="I124" i="46" a="1"/>
  <c r="I124" i="46" s="1"/>
  <c r="I125" i="46" a="1"/>
  <c r="I125" i="46" s="1"/>
  <c r="J127" i="46" a="1"/>
  <c r="J127" i="46" s="1"/>
  <c r="J124" i="46" a="1"/>
  <c r="J124" i="46" s="1"/>
  <c r="J125" i="46" a="1"/>
  <c r="J125" i="46" s="1"/>
  <c r="M127" i="46" a="1"/>
  <c r="M127" i="46" s="1"/>
  <c r="M125" i="46" a="1"/>
  <c r="M125" i="46" s="1"/>
  <c r="M124" i="46" a="1"/>
  <c r="M124" i="46" s="1"/>
  <c r="T127" i="46" a="1"/>
  <c r="T127" i="46" s="1"/>
  <c r="T124" i="46" a="1"/>
  <c r="T124" i="46" s="1"/>
  <c r="T125" i="46" a="1"/>
  <c r="T125" i="46" s="1"/>
  <c r="L127" i="46" a="1"/>
  <c r="L127" i="46" s="1"/>
  <c r="L125" i="46" a="1"/>
  <c r="L125" i="46" s="1"/>
  <c r="L124" i="46" a="1"/>
  <c r="L124" i="46" s="1"/>
  <c r="D127" i="46" a="1"/>
  <c r="D127" i="46" s="1"/>
  <c r="D124" i="46" a="1"/>
  <c r="D124" i="46" s="1"/>
  <c r="D125" i="46" a="1"/>
  <c r="D125" i="46" s="1"/>
  <c r="O127" i="46" a="1"/>
  <c r="O127" i="46" s="1"/>
  <c r="O125" i="46" a="1"/>
  <c r="O125" i="46" s="1"/>
  <c r="O124" i="46" a="1"/>
  <c r="O124" i="46" s="1"/>
  <c r="G127" i="46" a="1"/>
  <c r="G127" i="46" s="1"/>
  <c r="G124" i="46" a="1"/>
  <c r="G124" i="46" s="1"/>
  <c r="G125" i="46" a="1"/>
  <c r="G125" i="46" s="1"/>
  <c r="B138" i="15" l="1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K138" i="15" a="1"/>
  <c r="K138" i="15" s="1"/>
  <c r="I13" i="13" s="1"/>
  <c r="L138" i="15" a="1"/>
  <c r="L138" i="15" s="1"/>
  <c r="I14" i="13" s="1"/>
  <c r="M138" i="15" a="1"/>
  <c r="M138" i="15" s="1"/>
  <c r="I15" i="13" s="1"/>
  <c r="N138" i="15" a="1"/>
  <c r="N138" i="15" s="1"/>
  <c r="I16" i="13" s="1"/>
  <c r="O138" i="15" a="1"/>
  <c r="O138" i="15" s="1"/>
  <c r="I17" i="13" s="1"/>
  <c r="P138" i="15" a="1"/>
  <c r="P138" i="15" s="1"/>
  <c r="I18" i="13" s="1"/>
  <c r="Q138" i="15" a="1"/>
  <c r="Q138" i="15" s="1"/>
  <c r="I19" i="13" s="1"/>
  <c r="R138" i="15" a="1"/>
  <c r="R138" i="15" s="1"/>
  <c r="I20" i="13" s="1"/>
  <c r="S138" i="15" a="1"/>
  <c r="S138" i="15" s="1"/>
  <c r="I21" i="13" s="1"/>
  <c r="T138" i="15" a="1"/>
  <c r="T138" i="15" s="1"/>
  <c r="I22" i="13" s="1"/>
  <c r="U138" i="15" a="1"/>
  <c r="U138" i="15" s="1"/>
  <c r="I23" i="13" s="1"/>
  <c r="V138" i="15" a="1"/>
  <c r="V138" i="15" s="1"/>
  <c r="I24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K137" i="15" a="1"/>
  <c r="K137" i="15" s="1"/>
  <c r="L137" i="15" a="1"/>
  <c r="L137" i="15" s="1"/>
  <c r="M137" i="15" a="1"/>
  <c r="M137" i="15" s="1"/>
  <c r="N137" i="15" a="1"/>
  <c r="N137" i="15" s="1"/>
  <c r="O137" i="15" a="1"/>
  <c r="O137" i="15" s="1"/>
  <c r="P137" i="15" a="1"/>
  <c r="P137" i="15" s="1"/>
  <c r="Q137" i="15" a="1"/>
  <c r="Q137" i="15" s="1"/>
  <c r="R137" i="15" a="1"/>
  <c r="R137" i="15" s="1"/>
  <c r="S137" i="15" a="1"/>
  <c r="S137" i="15" s="1"/>
  <c r="T137" i="15" a="1"/>
  <c r="T137" i="15" s="1"/>
  <c r="U137" i="15" a="1"/>
  <c r="U137" i="15" s="1"/>
  <c r="V137" i="15" a="1"/>
  <c r="V137" i="15" s="1"/>
  <c r="V136" i="15" a="1"/>
  <c r="V136" i="15" s="1"/>
  <c r="U136" i="15" a="1"/>
  <c r="U136" i="15" s="1"/>
  <c r="T136" i="15" a="1"/>
  <c r="T136" i="15" s="1"/>
  <c r="S136" i="15" a="1"/>
  <c r="S136" i="15" s="1"/>
  <c r="R136" i="15" a="1"/>
  <c r="R136" i="15" s="1"/>
  <c r="Q136" i="15" a="1"/>
  <c r="Q136" i="15" s="1"/>
  <c r="P136" i="15" a="1"/>
  <c r="P136" i="15" s="1"/>
  <c r="O136" i="15" a="1"/>
  <c r="O136" i="15" s="1"/>
  <c r="N136" i="15" a="1"/>
  <c r="N136" i="15" s="1"/>
  <c r="M136" i="15" a="1"/>
  <c r="M136" i="15" s="1"/>
  <c r="L136" i="15" a="1"/>
  <c r="L136" i="15" s="1"/>
  <c r="K136" i="15" a="1"/>
  <c r="K136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F4" i="43" l="1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3" i="43" l="1"/>
  <c r="P4" i="42"/>
  <c r="P5" i="42"/>
  <c r="P6" i="42"/>
  <c r="P7" i="42"/>
  <c r="P8" i="42"/>
  <c r="P9" i="42"/>
  <c r="P10" i="42"/>
  <c r="P11" i="42"/>
  <c r="P12" i="42"/>
  <c r="P13" i="42"/>
  <c r="P14" i="42"/>
  <c r="P15" i="42"/>
  <c r="P16" i="42"/>
  <c r="P17" i="42"/>
  <c r="P18" i="42"/>
  <c r="P19" i="42"/>
  <c r="P20" i="42"/>
  <c r="P21" i="42"/>
  <c r="P22" i="42"/>
  <c r="P23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16" i="42"/>
  <c r="N17" i="42"/>
  <c r="N18" i="42"/>
  <c r="N19" i="42"/>
  <c r="N20" i="42"/>
  <c r="N21" i="42"/>
  <c r="N22" i="42"/>
  <c r="N23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16" i="42"/>
  <c r="L17" i="42"/>
  <c r="L18" i="42"/>
  <c r="L19" i="42"/>
  <c r="L20" i="42"/>
  <c r="L21" i="42"/>
  <c r="L22" i="42"/>
  <c r="L23" i="42"/>
  <c r="L3" i="42"/>
  <c r="J9" i="43" l="1" a="1"/>
  <c r="J9" i="43" s="1"/>
  <c r="Q9" i="42" s="1"/>
  <c r="J12" i="43" a="1"/>
  <c r="J12" i="43" s="1"/>
  <c r="Q12" i="42" s="1"/>
  <c r="J15" i="43" a="1"/>
  <c r="J15" i="43" s="1"/>
  <c r="Q15" i="42" s="1"/>
  <c r="J19" i="43" a="1"/>
  <c r="J19" i="43" s="1"/>
  <c r="Q19" i="42" s="1"/>
  <c r="J13" i="43" a="1"/>
  <c r="J13" i="43" s="1"/>
  <c r="Q13" i="42" s="1"/>
  <c r="J22" i="43" a="1"/>
  <c r="J22" i="43" s="1"/>
  <c r="Q22" i="42" s="1"/>
  <c r="J18" i="43" a="1"/>
  <c r="J18" i="43" s="1"/>
  <c r="Q18" i="42" s="1"/>
  <c r="J6" i="43" a="1"/>
  <c r="J6" i="43" s="1"/>
  <c r="Q6" i="42" s="1"/>
  <c r="J10" i="43" a="1"/>
  <c r="J10" i="43" s="1"/>
  <c r="Q10" i="42" s="1"/>
  <c r="J16" i="43" a="1"/>
  <c r="J16" i="43" s="1"/>
  <c r="Q16" i="42" s="1"/>
  <c r="J3" i="43" a="1"/>
  <c r="J3" i="43" s="1"/>
  <c r="Q3" i="42" s="1"/>
  <c r="J4" i="43" a="1"/>
  <c r="J4" i="43" s="1"/>
  <c r="Q4" i="42" s="1"/>
  <c r="J7" i="43" a="1"/>
  <c r="J7" i="43" s="1"/>
  <c r="Q7" i="42" s="1"/>
  <c r="J11" i="43" a="1"/>
  <c r="J11" i="43" s="1"/>
  <c r="Q11" i="42" s="1"/>
  <c r="J17" i="43" a="1"/>
  <c r="J17" i="43" s="1"/>
  <c r="Q17" i="42" s="1"/>
  <c r="J20" i="43" a="1"/>
  <c r="J20" i="43" s="1"/>
  <c r="Q20" i="42" s="1"/>
  <c r="J23" i="43" a="1"/>
  <c r="J23" i="43" s="1"/>
  <c r="Q23" i="42" s="1"/>
  <c r="J5" i="43" a="1"/>
  <c r="J5" i="43" s="1"/>
  <c r="Q5" i="42" s="1"/>
  <c r="J8" i="43" a="1"/>
  <c r="J8" i="43" s="1"/>
  <c r="Q8" i="42" s="1"/>
  <c r="J14" i="43" a="1"/>
  <c r="J14" i="43" s="1"/>
  <c r="Q14" i="42" s="1"/>
  <c r="J21" i="43" a="1"/>
  <c r="J21" i="43" s="1"/>
  <c r="Q21" i="42" s="1"/>
  <c r="Q1" i="42"/>
  <c r="P1" i="42"/>
  <c r="O1" i="42"/>
  <c r="N1" i="42"/>
  <c r="M1" i="42"/>
  <c r="L1" i="42"/>
  <c r="O21" i="42" l="1"/>
  <c r="S21" i="42" s="1"/>
  <c r="O18" i="42"/>
  <c r="S18" i="42" s="1"/>
  <c r="C30" i="12"/>
  <c r="O23" i="42" l="1"/>
  <c r="S23" i="42" s="1"/>
  <c r="O17" i="42"/>
  <c r="S17" i="42" s="1"/>
  <c r="O13" i="42"/>
  <c r="O10" i="42"/>
  <c r="O7" i="42"/>
  <c r="O15" i="42"/>
  <c r="O22" i="42"/>
  <c r="O14" i="42"/>
  <c r="O5" i="42"/>
  <c r="O16" i="42"/>
  <c r="O11" i="42"/>
  <c r="D28" i="1"/>
  <c r="D27" i="1"/>
  <c r="O20" i="42" l="1"/>
  <c r="O19" i="42"/>
  <c r="O12" i="42"/>
  <c r="O8" i="42"/>
  <c r="O4" i="42"/>
  <c r="O9" i="42"/>
  <c r="O6" i="42"/>
  <c r="O3" i="42"/>
  <c r="I30" i="12"/>
  <c r="Y8" i="1" l="1" a="1"/>
  <c r="Y8" i="1" s="1"/>
  <c r="Y11" i="1" a="1"/>
  <c r="Y11" i="1" s="1"/>
  <c r="Y16" i="1" a="1"/>
  <c r="Y16" i="1" s="1"/>
  <c r="Y19" i="1" a="1"/>
  <c r="Y19" i="1" s="1"/>
  <c r="Y15" i="1" a="1"/>
  <c r="Y15" i="1" s="1"/>
  <c r="Y23" i="1" a="1"/>
  <c r="Y23" i="1" s="1"/>
  <c r="Y6" i="1" a="1"/>
  <c r="Y6" i="1" s="1"/>
  <c r="Y9" i="1" a="1"/>
  <c r="Y9" i="1" s="1"/>
  <c r="Y14" i="1" a="1"/>
  <c r="Y14" i="1" s="1"/>
  <c r="Y17" i="1" a="1"/>
  <c r="Y17" i="1" s="1"/>
  <c r="Y22" i="1" a="1"/>
  <c r="Y22" i="1" s="1"/>
  <c r="Y3" i="1" a="1"/>
  <c r="Y3" i="1" s="1"/>
  <c r="Y4" i="1" a="1"/>
  <c r="Y4" i="1" s="1"/>
  <c r="Y7" i="1" a="1"/>
  <c r="Y7" i="1" s="1"/>
  <c r="Y12" i="1" a="1"/>
  <c r="Y12" i="1" s="1"/>
  <c r="Y20" i="1" a="1"/>
  <c r="Y20" i="1" s="1"/>
  <c r="Y5" i="1" a="1"/>
  <c r="Y5" i="1" s="1"/>
  <c r="Y18" i="1" a="1"/>
  <c r="Y18" i="1" s="1"/>
  <c r="Y21" i="1" a="1"/>
  <c r="Y21" i="1" s="1"/>
  <c r="Y10" i="1" a="1"/>
  <c r="Y10" i="1" s="1"/>
  <c r="Y13" i="1" a="1"/>
  <c r="Y13" i="1" s="1"/>
  <c r="H30" i="12"/>
  <c r="X8" i="1" a="1"/>
  <c r="X8" i="1" s="1"/>
  <c r="X11" i="1" a="1"/>
  <c r="X11" i="1" s="1"/>
  <c r="X16" i="1" a="1"/>
  <c r="X16" i="1" s="1"/>
  <c r="X19" i="1" a="1"/>
  <c r="X19" i="1" s="1"/>
  <c r="X7" i="1" a="1"/>
  <c r="X7" i="1" s="1"/>
  <c r="X15" i="1" a="1"/>
  <c r="X15" i="1" s="1"/>
  <c r="X23" i="1" a="1"/>
  <c r="X23" i="1" s="1"/>
  <c r="X6" i="1" a="1"/>
  <c r="X6" i="1" s="1"/>
  <c r="X9" i="1" a="1"/>
  <c r="X9" i="1" s="1"/>
  <c r="X14" i="1" a="1"/>
  <c r="X14" i="1" s="1"/>
  <c r="X17" i="1" a="1"/>
  <c r="X17" i="1" s="1"/>
  <c r="X22" i="1" a="1"/>
  <c r="X22" i="1" s="1"/>
  <c r="X3" i="1" a="1"/>
  <c r="X3" i="1" s="1"/>
  <c r="X4" i="1" a="1"/>
  <c r="X4" i="1" s="1"/>
  <c r="X12" i="1" a="1"/>
  <c r="X12" i="1" s="1"/>
  <c r="X20" i="1" a="1"/>
  <c r="X20" i="1" s="1"/>
  <c r="X18" i="1" a="1"/>
  <c r="X18" i="1" s="1"/>
  <c r="X10" i="1" a="1"/>
  <c r="X10" i="1" s="1"/>
  <c r="X21" i="1" a="1"/>
  <c r="X21" i="1" s="1"/>
  <c r="X13" i="1" a="1"/>
  <c r="X13" i="1" s="1"/>
  <c r="X5" i="1" a="1"/>
  <c r="X5" i="1" s="1"/>
  <c r="J30" i="12" l="1"/>
  <c r="Q11" i="39" a="1"/>
  <c r="Q11" i="39" s="1"/>
  <c r="Q7" i="39" a="1"/>
  <c r="Q7" i="39" s="1"/>
  <c r="Q16" i="39" a="1"/>
  <c r="Q16" i="39" s="1"/>
  <c r="Q8" i="39" a="1"/>
  <c r="Q8" i="39" s="1"/>
  <c r="Q4" i="39" a="1"/>
  <c r="Q4" i="39" s="1"/>
  <c r="Q12" i="39" a="1"/>
  <c r="Q12" i="39" s="1"/>
  <c r="Q20" i="39" a="1"/>
  <c r="Q20" i="39" s="1"/>
  <c r="Q5" i="39" a="1"/>
  <c r="Q5" i="39" s="1"/>
  <c r="Q9" i="39" a="1"/>
  <c r="Q9" i="39" s="1"/>
  <c r="Q13" i="39" a="1"/>
  <c r="Q13" i="39" s="1"/>
  <c r="Q17" i="39" a="1"/>
  <c r="Q17" i="39" s="1"/>
  <c r="Q21" i="39" a="1"/>
  <c r="Q21" i="39" s="1"/>
  <c r="Q2" i="39" a="1"/>
  <c r="Q2" i="39" s="1"/>
  <c r="Q6" i="39" a="1"/>
  <c r="Q6" i="39" s="1"/>
  <c r="Q10" i="39" a="1"/>
  <c r="Q10" i="39" s="1"/>
  <c r="Q14" i="39" a="1"/>
  <c r="Q14" i="39" s="1"/>
  <c r="Q18" i="39" a="1"/>
  <c r="Q18" i="39" s="1"/>
  <c r="Q22" i="39" a="1"/>
  <c r="Q22" i="39" s="1"/>
  <c r="Q3" i="39" a="1"/>
  <c r="Q3" i="39" s="1"/>
  <c r="Q15" i="39" a="1"/>
  <c r="Q15" i="39" s="1"/>
  <c r="Q19" i="39" a="1"/>
  <c r="Q19" i="39" s="1"/>
  <c r="O7" i="39" a="1"/>
  <c r="O7" i="39" s="1"/>
  <c r="O10" i="39" a="1"/>
  <c r="O10" i="39" s="1"/>
  <c r="O15" i="39" a="1"/>
  <c r="O15" i="39" s="1"/>
  <c r="O18" i="39" a="1"/>
  <c r="O18" i="39" s="1"/>
  <c r="O5" i="39" a="1"/>
  <c r="O5" i="39" s="1"/>
  <c r="O8" i="39" a="1"/>
  <c r="O8" i="39" s="1"/>
  <c r="O13" i="39" a="1"/>
  <c r="O13" i="39" s="1"/>
  <c r="O16" i="39" a="1"/>
  <c r="O16" i="39" s="1"/>
  <c r="O21" i="39" a="1"/>
  <c r="O21" i="39" s="1"/>
  <c r="O2" i="39" a="1"/>
  <c r="O2" i="39" s="1"/>
  <c r="O3" i="39" a="1"/>
  <c r="O3" i="39" s="1"/>
  <c r="O6" i="39" a="1"/>
  <c r="O6" i="39" s="1"/>
  <c r="O11" i="39" a="1"/>
  <c r="O11" i="39" s="1"/>
  <c r="O14" i="39" a="1"/>
  <c r="O14" i="39" s="1"/>
  <c r="O19" i="39" a="1"/>
  <c r="O19" i="39" s="1"/>
  <c r="O22" i="39" a="1"/>
  <c r="O22" i="39" s="1"/>
  <c r="O4" i="39" a="1"/>
  <c r="O4" i="39" s="1"/>
  <c r="O9" i="39" a="1"/>
  <c r="O9" i="39" s="1"/>
  <c r="O12" i="39" a="1"/>
  <c r="O12" i="39" s="1"/>
  <c r="O17" i="39" a="1"/>
  <c r="O17" i="39" s="1"/>
  <c r="O20" i="39" a="1"/>
  <c r="O20" i="39" s="1"/>
  <c r="M2" i="13" l="1"/>
  <c r="N2" i="13"/>
  <c r="L2" i="13"/>
  <c r="V25" i="38" l="1"/>
  <c r="M23" i="1" s="1"/>
  <c r="T23" i="1" s="1"/>
  <c r="U25" i="38"/>
  <c r="M22" i="1" s="1"/>
  <c r="T22" i="1" s="1"/>
  <c r="T25" i="38"/>
  <c r="M21" i="1" s="1"/>
  <c r="T21" i="1" s="1"/>
  <c r="S25" i="38"/>
  <c r="M20" i="1" s="1"/>
  <c r="T20" i="1" s="1"/>
  <c r="R25" i="38"/>
  <c r="M19" i="1" s="1"/>
  <c r="T19" i="1" s="1"/>
  <c r="Q25" i="38"/>
  <c r="M18" i="1" s="1"/>
  <c r="T18" i="1" s="1"/>
  <c r="P25" i="38"/>
  <c r="M17" i="1" s="1"/>
  <c r="T17" i="1" s="1"/>
  <c r="O25" i="38"/>
  <c r="M16" i="1" s="1"/>
  <c r="T16" i="1" s="1"/>
  <c r="N25" i="38"/>
  <c r="M15" i="1" s="1"/>
  <c r="T15" i="1" s="1"/>
  <c r="M25" i="38"/>
  <c r="M14" i="1" s="1"/>
  <c r="T14" i="1" s="1"/>
  <c r="L25" i="38"/>
  <c r="M13" i="1" s="1"/>
  <c r="T13" i="1" s="1"/>
  <c r="K25" i="38"/>
  <c r="M12" i="1" s="1"/>
  <c r="T12" i="1" s="1"/>
  <c r="J25" i="38"/>
  <c r="M11" i="1" s="1"/>
  <c r="T11" i="1" s="1"/>
  <c r="I25" i="38"/>
  <c r="M10" i="1" s="1"/>
  <c r="T10" i="1" s="1"/>
  <c r="H25" i="38"/>
  <c r="M9" i="1" s="1"/>
  <c r="T9" i="1" s="1"/>
  <c r="G25" i="38"/>
  <c r="M8" i="1" s="1"/>
  <c r="T8" i="1" s="1"/>
  <c r="F25" i="38"/>
  <c r="M7" i="1" s="1"/>
  <c r="T7" i="1" s="1"/>
  <c r="E25" i="38"/>
  <c r="M6" i="1" s="1"/>
  <c r="T6" i="1" s="1"/>
  <c r="D25" i="38"/>
  <c r="M5" i="1" s="1"/>
  <c r="T5" i="1" s="1"/>
  <c r="C25" i="38"/>
  <c r="M4" i="1" s="1"/>
  <c r="T4" i="1" s="1"/>
  <c r="B25" i="38"/>
  <c r="M3" i="1" s="1"/>
  <c r="T3" i="1" s="1"/>
  <c r="Z4" i="1" l="1" a="1"/>
  <c r="Z4" i="1" s="1"/>
  <c r="Z7" i="1" a="1"/>
  <c r="Z7" i="1" s="1"/>
  <c r="Z12" i="1" a="1"/>
  <c r="Z12" i="1" s="1"/>
  <c r="Z15" i="1" a="1"/>
  <c r="Z15" i="1" s="1"/>
  <c r="Z20" i="1" a="1"/>
  <c r="Z20" i="1" s="1"/>
  <c r="Z23" i="1" a="1"/>
  <c r="Z23" i="1" s="1"/>
  <c r="Z5" i="1" a="1"/>
  <c r="Z5" i="1" s="1"/>
  <c r="Z10" i="1" a="1"/>
  <c r="Z10" i="1" s="1"/>
  <c r="Z13" i="1" a="1"/>
  <c r="Z13" i="1" s="1"/>
  <c r="Z18" i="1" a="1"/>
  <c r="Z18" i="1" s="1"/>
  <c r="Z21" i="1" a="1"/>
  <c r="Z21" i="1" s="1"/>
  <c r="Z8" i="1" a="1"/>
  <c r="Z8" i="1" s="1"/>
  <c r="Z11" i="1" a="1"/>
  <c r="Z11" i="1" s="1"/>
  <c r="Z16" i="1" a="1"/>
  <c r="Z16" i="1" s="1"/>
  <c r="Z19" i="1" a="1"/>
  <c r="Z19" i="1" s="1"/>
  <c r="Z3" i="1" a="1"/>
  <c r="Z3" i="1" s="1"/>
  <c r="Z6" i="1" a="1"/>
  <c r="Z6" i="1" s="1"/>
  <c r="Z9" i="1" a="1"/>
  <c r="Z9" i="1" s="1"/>
  <c r="Z14" i="1" a="1"/>
  <c r="Z14" i="1" s="1"/>
  <c r="Z17" i="1" a="1"/>
  <c r="Z17" i="1" s="1"/>
  <c r="Z22" i="1" a="1"/>
  <c r="Z2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V4" i="1" l="1" a="1"/>
  <c r="V4" i="1" s="1"/>
  <c r="V7" i="1" a="1"/>
  <c r="V7" i="1" s="1"/>
  <c r="V12" i="1" a="1"/>
  <c r="V12" i="1" s="1"/>
  <c r="V15" i="1" a="1"/>
  <c r="V15" i="1" s="1"/>
  <c r="V20" i="1" a="1"/>
  <c r="V20" i="1" s="1"/>
  <c r="V23" i="1" a="1"/>
  <c r="V23" i="1" s="1"/>
  <c r="V5" i="1" a="1"/>
  <c r="V5" i="1" s="1"/>
  <c r="V10" i="1" a="1"/>
  <c r="V10" i="1" s="1"/>
  <c r="V13" i="1" a="1"/>
  <c r="V13" i="1" s="1"/>
  <c r="V18" i="1" a="1"/>
  <c r="V18" i="1" s="1"/>
  <c r="V21" i="1" a="1"/>
  <c r="V21" i="1" s="1"/>
  <c r="V8" i="1" a="1"/>
  <c r="V8" i="1" s="1"/>
  <c r="V11" i="1" a="1"/>
  <c r="V11" i="1" s="1"/>
  <c r="V16" i="1" a="1"/>
  <c r="V16" i="1" s="1"/>
  <c r="V19" i="1" a="1"/>
  <c r="V19" i="1" s="1"/>
  <c r="V6" i="1" a="1"/>
  <c r="V6" i="1" s="1"/>
  <c r="V9" i="1" a="1"/>
  <c r="V9" i="1" s="1"/>
  <c r="V14" i="1" a="1"/>
  <c r="V14" i="1" s="1"/>
  <c r="V17" i="1" a="1"/>
  <c r="V17" i="1" s="1"/>
  <c r="V22" i="1" a="1"/>
  <c r="V22" i="1" s="1"/>
  <c r="V3" i="1" a="1"/>
  <c r="V3" i="1" s="1"/>
  <c r="V24" i="38"/>
  <c r="I22" i="39" s="1"/>
  <c r="M22" i="39" s="1"/>
  <c r="V23" i="38"/>
  <c r="J24" i="38"/>
  <c r="I10" i="39" s="1"/>
  <c r="M10" i="39" s="1"/>
  <c r="J23" i="38"/>
  <c r="Q23" i="38"/>
  <c r="Q24" i="38"/>
  <c r="I17" i="39" s="1"/>
  <c r="M17" i="39" s="1"/>
  <c r="S23" i="38"/>
  <c r="S24" i="38"/>
  <c r="I19" i="39" s="1"/>
  <c r="M19" i="39" s="1"/>
  <c r="E23" i="38"/>
  <c r="E24" i="38"/>
  <c r="I5" i="39" s="1"/>
  <c r="M5" i="39" s="1"/>
  <c r="T24" i="38"/>
  <c r="I20" i="39" s="1"/>
  <c r="M20" i="39" s="1"/>
  <c r="T23" i="38"/>
  <c r="M23" i="38"/>
  <c r="M24" i="38"/>
  <c r="I13" i="39" s="1"/>
  <c r="M13" i="39" s="1"/>
  <c r="R23" i="38"/>
  <c r="R24" i="38"/>
  <c r="I18" i="39" s="1"/>
  <c r="M18" i="39" s="1"/>
  <c r="O23" i="38"/>
  <c r="O24" i="38"/>
  <c r="I15" i="39" s="1"/>
  <c r="M15" i="39" s="1"/>
  <c r="N23" i="38"/>
  <c r="N24" i="38"/>
  <c r="I14" i="39" s="1"/>
  <c r="M14" i="39" s="1"/>
  <c r="G23" i="38"/>
  <c r="G24" i="38"/>
  <c r="I7" i="39" s="1"/>
  <c r="M7" i="39" s="1"/>
  <c r="L24" i="38"/>
  <c r="I12" i="39" s="1"/>
  <c r="M12" i="39" s="1"/>
  <c r="L23" i="38"/>
  <c r="H24" i="38"/>
  <c r="I8" i="39" s="1"/>
  <c r="M8" i="39" s="1"/>
  <c r="H23" i="38"/>
  <c r="B24" i="38"/>
  <c r="I2" i="39" s="1"/>
  <c r="M2" i="39" s="1"/>
  <c r="B23" i="38"/>
  <c r="F23" i="38"/>
  <c r="F24" i="38"/>
  <c r="I6" i="39" s="1"/>
  <c r="M6" i="39" s="1"/>
  <c r="K24" i="38"/>
  <c r="I11" i="39" s="1"/>
  <c r="M11" i="39" s="1"/>
  <c r="K23" i="38"/>
  <c r="U24" i="38"/>
  <c r="I21" i="39" s="1"/>
  <c r="M21" i="39" s="1"/>
  <c r="U23" i="38"/>
  <c r="P23" i="38"/>
  <c r="P24" i="38"/>
  <c r="I16" i="39" s="1"/>
  <c r="M16" i="39" s="1"/>
  <c r="C23" i="38"/>
  <c r="C24" i="38"/>
  <c r="I3" i="39" s="1"/>
  <c r="M3" i="39" s="1"/>
  <c r="I24" i="38"/>
  <c r="I9" i="39" s="1"/>
  <c r="M9" i="39" s="1"/>
  <c r="I23" i="38"/>
  <c r="D23" i="38"/>
  <c r="D24" i="38"/>
  <c r="I4" i="39" s="1"/>
  <c r="M4" i="39" s="1"/>
  <c r="Q20" i="1"/>
  <c r="Q16" i="1"/>
  <c r="Q12" i="1"/>
  <c r="Q8" i="1"/>
  <c r="Q23" i="1"/>
  <c r="Q19" i="1"/>
  <c r="Q15" i="1"/>
  <c r="Q11" i="1"/>
  <c r="Q7" i="1"/>
  <c r="Q4" i="1"/>
  <c r="Q22" i="1"/>
  <c r="Q18" i="1"/>
  <c r="Q14" i="1"/>
  <c r="Q10" i="1"/>
  <c r="Q6" i="1"/>
  <c r="Q3" i="1"/>
  <c r="Q21" i="1"/>
  <c r="Q17" i="1"/>
  <c r="Q13" i="1"/>
  <c r="Q9" i="1"/>
  <c r="Q5" i="1"/>
  <c r="N5" i="39" l="1" a="1"/>
  <c r="N5" i="39" s="1"/>
  <c r="N8" i="39" a="1"/>
  <c r="N8" i="39" s="1"/>
  <c r="N13" i="39" a="1"/>
  <c r="N13" i="39" s="1"/>
  <c r="N16" i="39" a="1"/>
  <c r="N16" i="39" s="1"/>
  <c r="N21" i="39" a="1"/>
  <c r="N21" i="39" s="1"/>
  <c r="N3" i="39" a="1"/>
  <c r="N3" i="39" s="1"/>
  <c r="N6" i="39" a="1"/>
  <c r="N6" i="39" s="1"/>
  <c r="N11" i="39" a="1"/>
  <c r="N11" i="39" s="1"/>
  <c r="N14" i="39" a="1"/>
  <c r="N14" i="39" s="1"/>
  <c r="N19" i="39" a="1"/>
  <c r="N19" i="39" s="1"/>
  <c r="N22" i="39" a="1"/>
  <c r="N22" i="39" s="1"/>
  <c r="N4" i="39" a="1"/>
  <c r="N4" i="39" s="1"/>
  <c r="N9" i="39" a="1"/>
  <c r="N9" i="39" s="1"/>
  <c r="N12" i="39" a="1"/>
  <c r="N12" i="39" s="1"/>
  <c r="N17" i="39" a="1"/>
  <c r="N17" i="39" s="1"/>
  <c r="N20" i="39" a="1"/>
  <c r="N20" i="39" s="1"/>
  <c r="N7" i="39" a="1"/>
  <c r="N7" i="39" s="1"/>
  <c r="N10" i="39" a="1"/>
  <c r="N10" i="39" s="1"/>
  <c r="N15" i="39" a="1"/>
  <c r="N15" i="39" s="1"/>
  <c r="N18" i="39" a="1"/>
  <c r="N18" i="39" s="1"/>
  <c r="N2" i="39" a="1"/>
  <c r="N2" i="39" s="1"/>
  <c r="N12" i="13"/>
  <c r="N8" i="13"/>
  <c r="N17" i="13"/>
  <c r="N16" i="13"/>
  <c r="N23" i="13"/>
  <c r="N13" i="13"/>
  <c r="N5" i="13"/>
  <c r="N7" i="13"/>
  <c r="N14" i="13"/>
  <c r="N9" i="13"/>
  <c r="N18" i="13"/>
  <c r="N24" i="13"/>
  <c r="N19" i="13"/>
  <c r="N15" i="13"/>
  <c r="N20" i="13"/>
  <c r="N22" i="13"/>
  <c r="N11" i="13"/>
  <c r="N4" i="13"/>
  <c r="N21" i="13"/>
  <c r="N6" i="13"/>
  <c r="N10" i="13"/>
  <c r="U6" i="1" a="1"/>
  <c r="U6" i="1" s="1"/>
  <c r="U9" i="1" a="1"/>
  <c r="U9" i="1" s="1"/>
  <c r="U14" i="1" a="1"/>
  <c r="U14" i="1" s="1"/>
  <c r="U17" i="1" a="1"/>
  <c r="U17" i="1" s="1"/>
  <c r="U22" i="1" a="1"/>
  <c r="U22" i="1" s="1"/>
  <c r="U7" i="1" a="1"/>
  <c r="U7" i="1" s="1"/>
  <c r="U12" i="1" a="1"/>
  <c r="U12" i="1" s="1"/>
  <c r="U15" i="1" a="1"/>
  <c r="U15" i="1" s="1"/>
  <c r="U20" i="1" a="1"/>
  <c r="U20" i="1" s="1"/>
  <c r="U23" i="1" a="1"/>
  <c r="U23" i="1" s="1"/>
  <c r="U3" i="1" a="1"/>
  <c r="U3" i="1" s="1"/>
  <c r="U5" i="1" a="1"/>
  <c r="U5" i="1" s="1"/>
  <c r="U10" i="1" a="1"/>
  <c r="U10" i="1" s="1"/>
  <c r="U13" i="1" a="1"/>
  <c r="U13" i="1" s="1"/>
  <c r="U18" i="1" a="1"/>
  <c r="U18" i="1" s="1"/>
  <c r="U21" i="1" a="1"/>
  <c r="U21" i="1" s="1"/>
  <c r="U4" i="1" a="1"/>
  <c r="U4" i="1" s="1"/>
  <c r="U8" i="1" a="1"/>
  <c r="U8" i="1" s="1"/>
  <c r="U11" i="1" a="1"/>
  <c r="U11" i="1" s="1"/>
  <c r="U16" i="1" a="1"/>
  <c r="U16" i="1" s="1"/>
  <c r="U19" i="1" a="1"/>
  <c r="U19" i="1" s="1"/>
  <c r="E24" i="8" l="1"/>
  <c r="U2" i="12" s="1"/>
  <c r="U20" i="12" l="1"/>
  <c r="U8" i="12"/>
  <c r="U18" i="12"/>
  <c r="U6" i="12"/>
  <c r="U17" i="12"/>
  <c r="U3" i="12"/>
  <c r="U11" i="12"/>
  <c r="U21" i="12"/>
  <c r="U19" i="12"/>
  <c r="U7" i="12"/>
  <c r="U5" i="12"/>
  <c r="U16" i="12"/>
  <c r="U4" i="12"/>
  <c r="U13" i="12"/>
  <c r="U12" i="12"/>
  <c r="U10" i="12"/>
  <c r="U22" i="12"/>
  <c r="U14" i="12"/>
  <c r="U15" i="12"/>
  <c r="U9" i="12"/>
  <c r="U23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7" i="1"/>
  <c r="S17" i="1"/>
  <c r="S6" i="1"/>
  <c r="S16" i="1"/>
  <c r="S9" i="1"/>
  <c r="S21" i="1"/>
  <c r="S5" i="1"/>
  <c r="S13" i="1"/>
  <c r="S20" i="1" l="1"/>
  <c r="S11" i="1"/>
  <c r="S23" i="1"/>
  <c r="S8" i="1"/>
  <c r="S4" i="1"/>
  <c r="S12" i="1"/>
  <c r="S15" i="1"/>
  <c r="S3" i="1"/>
  <c r="S22" i="1"/>
  <c r="S18" i="1"/>
  <c r="S19" i="1"/>
  <c r="S10" i="1"/>
  <c r="S14" i="1"/>
  <c r="W4" i="1" l="1" a="1"/>
  <c r="W4" i="1" s="1"/>
  <c r="AB4" i="1" s="1"/>
  <c r="W8" i="1" a="1"/>
  <c r="W8" i="1" s="1"/>
  <c r="AB8" i="1" s="1"/>
  <c r="W11" i="1" a="1"/>
  <c r="W11" i="1" s="1"/>
  <c r="AB11" i="1" s="1"/>
  <c r="W16" i="1" a="1"/>
  <c r="W16" i="1" s="1"/>
  <c r="AB16" i="1" s="1"/>
  <c r="W19" i="1" a="1"/>
  <c r="W19" i="1" s="1"/>
  <c r="AB19" i="1" s="1"/>
  <c r="W6" i="1" a="1"/>
  <c r="W6" i="1" s="1"/>
  <c r="AB6" i="1" s="1"/>
  <c r="W9" i="1" a="1"/>
  <c r="W9" i="1" s="1"/>
  <c r="AB9" i="1" s="1"/>
  <c r="W14" i="1" a="1"/>
  <c r="W14" i="1" s="1"/>
  <c r="AB14" i="1" s="1"/>
  <c r="W17" i="1" a="1"/>
  <c r="W17" i="1" s="1"/>
  <c r="AB17" i="1" s="1"/>
  <c r="W22" i="1" a="1"/>
  <c r="W22" i="1" s="1"/>
  <c r="AB22" i="1" s="1"/>
  <c r="W7" i="1" a="1"/>
  <c r="W7" i="1" s="1"/>
  <c r="AB7" i="1" s="1"/>
  <c r="W12" i="1" a="1"/>
  <c r="W12" i="1" s="1"/>
  <c r="AB12" i="1" s="1"/>
  <c r="W15" i="1" a="1"/>
  <c r="W15" i="1" s="1"/>
  <c r="AB15" i="1" s="1"/>
  <c r="W20" i="1" a="1"/>
  <c r="W20" i="1" s="1"/>
  <c r="AB20" i="1" s="1"/>
  <c r="W23" i="1" a="1"/>
  <c r="W23" i="1" s="1"/>
  <c r="AB23" i="1" s="1"/>
  <c r="W3" i="1" a="1"/>
  <c r="W3" i="1" s="1"/>
  <c r="AB3" i="1" s="1"/>
  <c r="W5" i="1" a="1"/>
  <c r="W5" i="1" s="1"/>
  <c r="AB5" i="1" s="1"/>
  <c r="W10" i="1" a="1"/>
  <c r="W10" i="1" s="1"/>
  <c r="AB10" i="1" s="1"/>
  <c r="W13" i="1" a="1"/>
  <c r="W13" i="1" s="1"/>
  <c r="AB13" i="1" s="1"/>
  <c r="W18" i="1" a="1"/>
  <c r="W18" i="1" s="1"/>
  <c r="AB18" i="1" s="1"/>
  <c r="W21" i="1" a="1"/>
  <c r="W21" i="1" s="1"/>
  <c r="AB21" i="1" s="1"/>
  <c r="AC6" i="1" l="1" a="1"/>
  <c r="AC6" i="1" s="1"/>
  <c r="AC9" i="1" a="1"/>
  <c r="AC9" i="1" s="1"/>
  <c r="AC14" i="1" a="1"/>
  <c r="AC14" i="1" s="1"/>
  <c r="AC17" i="1" a="1"/>
  <c r="AC17" i="1" s="1"/>
  <c r="AC22" i="1" a="1"/>
  <c r="AC22" i="1" s="1"/>
  <c r="AC3" i="1" a="1"/>
  <c r="AC3" i="1" s="1"/>
  <c r="AC4" i="1" a="1"/>
  <c r="AC4" i="1" s="1"/>
  <c r="AC7" i="1" a="1"/>
  <c r="AC7" i="1" s="1"/>
  <c r="AC12" i="1" a="1"/>
  <c r="AC12" i="1" s="1"/>
  <c r="AC15" i="1" a="1"/>
  <c r="AC15" i="1" s="1"/>
  <c r="AC20" i="1" a="1"/>
  <c r="AC20" i="1" s="1"/>
  <c r="AC23" i="1" a="1"/>
  <c r="AC23" i="1" s="1"/>
  <c r="AC5" i="1" a="1"/>
  <c r="AC5" i="1" s="1"/>
  <c r="AC10" i="1" a="1"/>
  <c r="AC10" i="1" s="1"/>
  <c r="AC13" i="1" a="1"/>
  <c r="AC13" i="1" s="1"/>
  <c r="AC18" i="1" a="1"/>
  <c r="AC18" i="1" s="1"/>
  <c r="D26" i="40" s="1"/>
  <c r="AC21" i="1" a="1"/>
  <c r="AC21" i="1" s="1"/>
  <c r="AC8" i="1" a="1"/>
  <c r="AC8" i="1" s="1"/>
  <c r="AC11" i="1" a="1"/>
  <c r="AC11" i="1" s="1"/>
  <c r="AC16" i="1" a="1"/>
  <c r="AC16" i="1" s="1"/>
  <c r="AC19" i="1" a="1"/>
  <c r="AC19" i="1" s="1"/>
  <c r="D27" i="40" l="1"/>
  <c r="D20" i="40"/>
  <c r="D15" i="40"/>
  <c r="E13" i="49" s="1"/>
  <c r="D14" i="40"/>
  <c r="D13" i="40"/>
  <c r="D19" i="40"/>
  <c r="D22" i="40"/>
  <c r="E24" i="49" s="1"/>
  <c r="D21" i="40"/>
  <c r="E7" i="49" s="1"/>
  <c r="E21" i="49"/>
  <c r="D7" i="40"/>
  <c r="E18" i="49" s="1"/>
  <c r="D9" i="40"/>
  <c r="D11" i="40"/>
  <c r="D10" i="40"/>
  <c r="E4" i="49" s="1"/>
  <c r="D18" i="40"/>
  <c r="D8" i="40"/>
  <c r="E10" i="49" s="1"/>
  <c r="D17" i="40"/>
  <c r="E20" i="49" s="1"/>
  <c r="D12" i="40"/>
  <c r="E23" i="49" s="1"/>
  <c r="D24" i="40"/>
  <c r="D25" i="40"/>
  <c r="D23" i="40"/>
  <c r="D16" i="40"/>
  <c r="E19" i="49" l="1"/>
  <c r="E14" i="49"/>
  <c r="E8" i="49"/>
  <c r="E9" i="49"/>
  <c r="E16" i="49"/>
  <c r="E11" i="49"/>
  <c r="E12" i="49"/>
  <c r="E5" i="49"/>
  <c r="E22" i="49"/>
  <c r="E6" i="49"/>
  <c r="E15" i="49"/>
  <c r="E17" i="49"/>
  <c r="S7" i="42"/>
  <c r="S14" i="42"/>
  <c r="S13" i="42"/>
  <c r="S5" i="42" l="1"/>
  <c r="S4" i="42"/>
  <c r="S22" i="42"/>
  <c r="S16" i="42"/>
  <c r="S9" i="42"/>
  <c r="S11" i="42"/>
  <c r="S15" i="42"/>
  <c r="S19" i="42"/>
  <c r="S6" i="42"/>
  <c r="S8" i="42"/>
  <c r="S10" i="42"/>
  <c r="S20" i="42"/>
  <c r="S3" i="42"/>
  <c r="S12" i="42"/>
  <c r="U5" i="42" l="1" a="1"/>
  <c r="U5" i="42" s="1"/>
  <c r="L27" i="40" s="1"/>
  <c r="U10" i="42" a="1"/>
  <c r="U10" i="42" s="1"/>
  <c r="L10" i="40" s="1"/>
  <c r="U13" i="42" a="1"/>
  <c r="U13" i="42" s="1"/>
  <c r="L7" i="40" s="1"/>
  <c r="U18" i="42" a="1"/>
  <c r="U18" i="42" s="1"/>
  <c r="L26" i="40" s="1"/>
  <c r="U21" i="42" a="1"/>
  <c r="U21" i="42" s="1"/>
  <c r="L12" i="40" s="1"/>
  <c r="U12" i="42" a="1"/>
  <c r="U12" i="42" s="1"/>
  <c r="L9" i="40" s="1"/>
  <c r="U23" i="42" a="1"/>
  <c r="U23" i="42" s="1"/>
  <c r="L18" i="40" s="1"/>
  <c r="U8" i="42" a="1"/>
  <c r="U8" i="42" s="1"/>
  <c r="L20" i="40" s="1"/>
  <c r="U11" i="42" a="1"/>
  <c r="U11" i="42" s="1"/>
  <c r="L19" i="40" s="1"/>
  <c r="U16" i="42" a="1"/>
  <c r="U16" i="42" s="1"/>
  <c r="L11" i="40" s="1"/>
  <c r="U19" i="42" a="1"/>
  <c r="U19" i="42" s="1"/>
  <c r="U7" i="42" a="1"/>
  <c r="U7" i="42" s="1"/>
  <c r="U15" i="42" a="1"/>
  <c r="U15" i="42" s="1"/>
  <c r="U6" i="42" a="1"/>
  <c r="U6" i="42" s="1"/>
  <c r="L16" i="40" s="1"/>
  <c r="U9" i="42" a="1"/>
  <c r="U9" i="42" s="1"/>
  <c r="U14" i="42" a="1"/>
  <c r="U14" i="42" s="1"/>
  <c r="U17" i="42" a="1"/>
  <c r="U17" i="42" s="1"/>
  <c r="L13" i="40" s="1"/>
  <c r="U22" i="42" a="1"/>
  <c r="U22" i="42" s="1"/>
  <c r="U3" i="42" a="1"/>
  <c r="U3" i="42" s="1"/>
  <c r="U4" i="42" a="1"/>
  <c r="U4" i="42" s="1"/>
  <c r="U20" i="42" a="1"/>
  <c r="U20" i="42" s="1"/>
  <c r="K14" i="49" l="1"/>
  <c r="I23" i="55"/>
  <c r="I14" i="55"/>
  <c r="K19" i="49"/>
  <c r="K21" i="49"/>
  <c r="I24" i="55"/>
  <c r="P24" i="55" s="1"/>
  <c r="I29" i="55"/>
  <c r="K6" i="49"/>
  <c r="K18" i="49"/>
  <c r="I19" i="55"/>
  <c r="K22" i="49"/>
  <c r="I12" i="55"/>
  <c r="I22" i="55"/>
  <c r="K15" i="49"/>
  <c r="K12" i="49"/>
  <c r="I18" i="55"/>
  <c r="K4" i="49"/>
  <c r="I16" i="55"/>
  <c r="K8" i="49"/>
  <c r="I17" i="55"/>
  <c r="I27" i="55"/>
  <c r="K23" i="49"/>
  <c r="K9" i="49"/>
  <c r="I11" i="55"/>
  <c r="L24" i="40"/>
  <c r="L25" i="40"/>
  <c r="L23" i="40"/>
  <c r="L22" i="40"/>
  <c r="L15" i="40"/>
  <c r="L14" i="40"/>
  <c r="L17" i="40"/>
  <c r="L8" i="40"/>
  <c r="L21" i="40"/>
  <c r="K17" i="49" l="1"/>
  <c r="I26" i="55"/>
  <c r="K24" i="49"/>
  <c r="I20" i="55"/>
  <c r="K20" i="49"/>
  <c r="I15" i="55"/>
  <c r="K5" i="49"/>
  <c r="I28" i="55"/>
  <c r="I13" i="55"/>
  <c r="K11" i="49"/>
  <c r="I9" i="55"/>
  <c r="K10" i="49"/>
  <c r="K16" i="49"/>
  <c r="I10" i="55"/>
  <c r="I25" i="55"/>
  <c r="K7" i="49"/>
  <c r="I21" i="55"/>
  <c r="K13" i="49"/>
  <c r="U1" i="28"/>
  <c r="T1" i="28"/>
  <c r="S1" i="28"/>
  <c r="U23" i="28" l="1"/>
  <c r="T23" i="28" l="1"/>
  <c r="U22" i="28" l="1"/>
  <c r="T22" i="28" l="1"/>
  <c r="U21" i="28" l="1"/>
  <c r="T21" i="28" l="1"/>
  <c r="U20" i="28" l="1"/>
  <c r="T20" i="28" l="1"/>
  <c r="U19" i="28" l="1"/>
  <c r="T19" i="28" l="1"/>
  <c r="U18" i="28" l="1"/>
  <c r="T18" i="28" l="1"/>
  <c r="U17" i="28" l="1"/>
  <c r="T17" i="28" l="1"/>
  <c r="U16" i="28" l="1"/>
  <c r="T16" i="28" l="1"/>
  <c r="U15" i="28" l="1"/>
  <c r="T15" i="28" l="1"/>
  <c r="V15" i="28" s="1"/>
  <c r="U14" i="28" l="1"/>
  <c r="T14" i="28" l="1"/>
  <c r="U13" i="28" l="1"/>
  <c r="T13" i="28" l="1"/>
  <c r="U12" i="28" l="1"/>
  <c r="T12" i="28" l="1"/>
  <c r="U11" i="28" l="1"/>
  <c r="T11" i="28" l="1"/>
  <c r="U10" i="28" l="1"/>
  <c r="T10" i="28" l="1"/>
  <c r="U9" i="28" l="1"/>
  <c r="T9" i="28" l="1"/>
  <c r="U8" i="28" l="1"/>
  <c r="T8" i="28" l="1"/>
  <c r="U7" i="28" l="1"/>
  <c r="T7" i="28" l="1"/>
  <c r="U6" i="28" l="1"/>
  <c r="T6" i="28" l="1"/>
  <c r="U5" i="28" l="1"/>
  <c r="T5" i="28" l="1"/>
  <c r="U4" i="28" l="1"/>
  <c r="T4" i="28" l="1"/>
  <c r="U3" i="28" l="1"/>
  <c r="N17" i="8" l="1"/>
  <c r="J23" i="28" l="1"/>
  <c r="J22" i="28"/>
  <c r="J21" i="28"/>
  <c r="J20" i="28"/>
  <c r="J19" i="28"/>
  <c r="J18" i="28"/>
  <c r="J17" i="28"/>
  <c r="J16" i="28"/>
  <c r="J15" i="28"/>
  <c r="J14" i="28"/>
  <c r="J13" i="28"/>
  <c r="J12" i="28"/>
  <c r="J11" i="28"/>
  <c r="J10" i="28"/>
  <c r="J9" i="28"/>
  <c r="J8" i="28"/>
  <c r="J7" i="28"/>
  <c r="J6" i="28"/>
  <c r="J5" i="28"/>
  <c r="J4" i="28"/>
  <c r="J3" i="28"/>
  <c r="N12" i="28" l="1"/>
  <c r="N16" i="28"/>
  <c r="N20" i="28"/>
  <c r="N5" i="28"/>
  <c r="N9" i="28"/>
  <c r="N13" i="28"/>
  <c r="N17" i="28"/>
  <c r="N21" i="28"/>
  <c r="N4" i="28"/>
  <c r="N10" i="28"/>
  <c r="N18" i="28"/>
  <c r="N22" i="28"/>
  <c r="N8" i="28"/>
  <c r="N6" i="28"/>
  <c r="N14" i="28"/>
  <c r="N7" i="28"/>
  <c r="N11" i="28"/>
  <c r="N15" i="28"/>
  <c r="N19" i="28"/>
  <c r="N23" i="28"/>
  <c r="S5" i="28"/>
  <c r="V5" i="28" s="1"/>
  <c r="S9" i="28"/>
  <c r="V9" i="28" s="1"/>
  <c r="S13" i="28"/>
  <c r="V13" i="28" s="1"/>
  <c r="S10" i="28"/>
  <c r="V10" i="28" s="1"/>
  <c r="S14" i="28"/>
  <c r="V14" i="28" s="1"/>
  <c r="S11" i="28"/>
  <c r="V11" i="28" s="1"/>
  <c r="S4" i="28"/>
  <c r="V4" i="28" s="1"/>
  <c r="S8" i="28"/>
  <c r="V8" i="28" s="1"/>
  <c r="S12" i="28"/>
  <c r="V12" i="28" s="1"/>
  <c r="N16" i="8"/>
  <c r="S19" i="28"/>
  <c r="V19" i="28" s="1"/>
  <c r="S23" i="28"/>
  <c r="V23" i="28" s="1"/>
  <c r="S16" i="28"/>
  <c r="V16" i="28" s="1"/>
  <c r="S17" i="28"/>
  <c r="V17" i="28" s="1"/>
  <c r="S6" i="28"/>
  <c r="V6" i="28" s="1"/>
  <c r="S18" i="28"/>
  <c r="V18" i="28" s="1"/>
  <c r="S20" i="28"/>
  <c r="V20" i="28" s="1"/>
  <c r="O13" i="8"/>
  <c r="O21" i="8" s="1"/>
  <c r="T3" i="28"/>
  <c r="S21" i="28" l="1"/>
  <c r="V21" i="28" s="1"/>
  <c r="S7" i="28"/>
  <c r="V7" i="28" s="1"/>
  <c r="S22" i="28"/>
  <c r="V22" i="28" s="1"/>
  <c r="N22" i="8"/>
  <c r="N21" i="8"/>
  <c r="S3" i="28"/>
  <c r="V3" i="28" s="1"/>
  <c r="X13" i="28" s="1"/>
  <c r="I7" i="40" s="1"/>
  <c r="N3" i="28"/>
  <c r="I18" i="49" l="1"/>
  <c r="H19" i="55"/>
  <c r="X4" i="28"/>
  <c r="I25" i="40" s="1"/>
  <c r="X18" i="28"/>
  <c r="I26" i="40" s="1"/>
  <c r="X6" i="28"/>
  <c r="I16" i="40" s="1"/>
  <c r="X23" i="28"/>
  <c r="I18" i="40" s="1"/>
  <c r="X5" i="28"/>
  <c r="I27" i="40" s="1"/>
  <c r="X8" i="28"/>
  <c r="I20" i="40" s="1"/>
  <c r="X10" i="28"/>
  <c r="X7" i="28"/>
  <c r="I8" i="40" s="1"/>
  <c r="X17" i="28"/>
  <c r="I13" i="40" s="1"/>
  <c r="X9" i="28"/>
  <c r="I17" i="40" s="1"/>
  <c r="X12" i="28"/>
  <c r="X20" i="28"/>
  <c r="X21" i="28"/>
  <c r="I12" i="40" s="1"/>
  <c r="X22" i="28"/>
  <c r="X16" i="28"/>
  <c r="X3" i="28"/>
  <c r="X15" i="28"/>
  <c r="X19" i="28"/>
  <c r="I21" i="40" s="1"/>
  <c r="X11" i="28"/>
  <c r="X14" i="28"/>
  <c r="I7" i="49" l="1"/>
  <c r="H25" i="55"/>
  <c r="I20" i="49"/>
  <c r="H15" i="55"/>
  <c r="I19" i="49"/>
  <c r="H14" i="55"/>
  <c r="H24" i="55"/>
  <c r="I21" i="49"/>
  <c r="I23" i="49"/>
  <c r="H27" i="55"/>
  <c r="I14" i="49"/>
  <c r="H23" i="55"/>
  <c r="I9" i="49"/>
  <c r="H11" i="55"/>
  <c r="I16" i="49"/>
  <c r="H10" i="55"/>
  <c r="I11" i="49"/>
  <c r="H13" i="55"/>
  <c r="H29" i="55"/>
  <c r="I6" i="49"/>
  <c r="H12" i="55"/>
  <c r="I22" i="49"/>
  <c r="I11" i="40"/>
  <c r="I15" i="40"/>
  <c r="I24" i="40"/>
  <c r="I22" i="40"/>
  <c r="I19" i="40"/>
  <c r="I14" i="40"/>
  <c r="I23" i="40"/>
  <c r="I9" i="40"/>
  <c r="I10" i="40"/>
  <c r="H16" i="55" l="1"/>
  <c r="I4" i="49"/>
  <c r="H28" i="55"/>
  <c r="I5" i="49"/>
  <c r="H9" i="55"/>
  <c r="I10" i="49"/>
  <c r="H21" i="55"/>
  <c r="I13" i="49"/>
  <c r="I15" i="49"/>
  <c r="H22" i="55"/>
  <c r="I12" i="49"/>
  <c r="H18" i="55"/>
  <c r="H20" i="55"/>
  <c r="I24" i="49"/>
  <c r="I8" i="49"/>
  <c r="H17" i="55"/>
  <c r="I17" i="49"/>
  <c r="H26" i="55"/>
  <c r="F140" i="15"/>
  <c r="S140" i="15"/>
  <c r="P140" i="15"/>
  <c r="R140" i="15"/>
  <c r="B140" i="15"/>
  <c r="G140" i="15"/>
  <c r="Q140" i="15"/>
  <c r="H140" i="15"/>
  <c r="M140" i="15"/>
  <c r="J140" i="15"/>
  <c r="D140" i="15"/>
  <c r="I140" i="15"/>
  <c r="K140" i="15"/>
  <c r="V140" i="15"/>
  <c r="O140" i="15"/>
  <c r="U140" i="15"/>
  <c r="T140" i="15"/>
  <c r="C140" i="15"/>
  <c r="N140" i="15"/>
  <c r="L140" i="15"/>
  <c r="E140" i="15"/>
  <c r="E16" i="8" l="1"/>
  <c r="AC2" i="12" s="1"/>
  <c r="F16" i="8"/>
  <c r="AD2" i="12" s="1"/>
  <c r="C24" i="18" l="1"/>
  <c r="D24" i="18"/>
  <c r="J24" i="18"/>
  <c r="J26" i="18" s="1" a="1"/>
  <c r="J26" i="18" s="1"/>
  <c r="K10" i="39" s="1"/>
  <c r="P24" i="18"/>
  <c r="P26" i="18" s="1" a="1"/>
  <c r="P26" i="18" s="1"/>
  <c r="K16" i="39" s="1"/>
  <c r="V24" i="18"/>
  <c r="V26" i="18" s="1" a="1"/>
  <c r="V26" i="18" s="1"/>
  <c r="K22" i="39" s="1"/>
  <c r="H24" i="18"/>
  <c r="H26" i="18" s="1" a="1"/>
  <c r="H26" i="18" s="1"/>
  <c r="K8" i="39" s="1"/>
  <c r="K24" i="18"/>
  <c r="K26" i="18" s="1" a="1"/>
  <c r="K26" i="18" s="1"/>
  <c r="K11" i="39" s="1"/>
  <c r="Q24" i="18"/>
  <c r="Q26" i="18" s="1" a="1"/>
  <c r="Q26" i="18" s="1"/>
  <c r="K17" i="39" s="1"/>
  <c r="E24" i="18"/>
  <c r="E26" i="18" s="1" a="1"/>
  <c r="E26" i="18" s="1"/>
  <c r="K5" i="39" s="1"/>
  <c r="L24" i="18"/>
  <c r="L26" i="18" s="1" a="1"/>
  <c r="L26" i="18" s="1"/>
  <c r="K12" i="39" s="1"/>
  <c r="N24" i="18"/>
  <c r="F24" i="18"/>
  <c r="R24" i="18"/>
  <c r="R26" i="18" s="1" a="1"/>
  <c r="R26" i="18" s="1"/>
  <c r="K18" i="39" s="1"/>
  <c r="G24" i="18"/>
  <c r="M24" i="18"/>
  <c r="S24" i="18"/>
  <c r="T24" i="18"/>
  <c r="T26" i="18" s="1" a="1"/>
  <c r="T26" i="18" s="1"/>
  <c r="K20" i="39" s="1"/>
  <c r="I24" i="18"/>
  <c r="O24" i="18"/>
  <c r="O26" i="18" s="1" a="1"/>
  <c r="O26" i="18" s="1"/>
  <c r="K15" i="39" s="1"/>
  <c r="U24" i="18"/>
  <c r="U26" i="18" s="1" a="1"/>
  <c r="U26" i="18" s="1"/>
  <c r="K21" i="39" s="1"/>
  <c r="F26" i="18" l="1" a="1"/>
  <c r="F26" i="18" s="1"/>
  <c r="K6" i="39" s="1"/>
  <c r="I26" i="18" a="1"/>
  <c r="I26" i="18" s="1"/>
  <c r="K9" i="39" s="1"/>
  <c r="N26" i="18" a="1"/>
  <c r="N26" i="18" s="1"/>
  <c r="K14" i="39" s="1"/>
  <c r="S26" i="18" a="1"/>
  <c r="S26" i="18" s="1"/>
  <c r="K19" i="39" s="1"/>
  <c r="M26" i="18" a="1"/>
  <c r="M26" i="18" s="1"/>
  <c r="K13" i="39" s="1"/>
  <c r="D26" i="18" a="1"/>
  <c r="D26" i="18" s="1"/>
  <c r="K4" i="39" s="1"/>
  <c r="K7" i="39"/>
  <c r="C26" i="18" a="1"/>
  <c r="C26" i="18" s="1"/>
  <c r="K3" i="39" s="1"/>
  <c r="P2" i="39" l="1" a="1"/>
  <c r="P2" i="39" s="1"/>
  <c r="R2" i="39" s="1"/>
  <c r="P22" i="39" a="1"/>
  <c r="P22" i="39" s="1"/>
  <c r="R22" i="39" s="1"/>
  <c r="P18" i="39" a="1"/>
  <c r="P18" i="39" s="1"/>
  <c r="R18" i="39" s="1"/>
  <c r="P14" i="39" a="1"/>
  <c r="P14" i="39" s="1"/>
  <c r="R14" i="39" s="1"/>
  <c r="P10" i="39" a="1"/>
  <c r="P10" i="39" s="1"/>
  <c r="R10" i="39" s="1"/>
  <c r="P6" i="39" a="1"/>
  <c r="P6" i="39" s="1"/>
  <c r="R6" i="39" s="1"/>
  <c r="P15" i="39" a="1"/>
  <c r="P15" i="39" s="1"/>
  <c r="R15" i="39" s="1"/>
  <c r="P7" i="39" a="1"/>
  <c r="P7" i="39" s="1"/>
  <c r="R7" i="39" s="1"/>
  <c r="P21" i="39" a="1"/>
  <c r="P21" i="39" s="1"/>
  <c r="R21" i="39" s="1"/>
  <c r="P17" i="39" a="1"/>
  <c r="P17" i="39" s="1"/>
  <c r="R17" i="39" s="1"/>
  <c r="P13" i="39" a="1"/>
  <c r="P13" i="39" s="1"/>
  <c r="R13" i="39" s="1"/>
  <c r="P9" i="39" a="1"/>
  <c r="P9" i="39" s="1"/>
  <c r="R9" i="39" s="1"/>
  <c r="P5" i="39" a="1"/>
  <c r="P5" i="39" s="1"/>
  <c r="R5" i="39" s="1"/>
  <c r="P20" i="39" a="1"/>
  <c r="P20" i="39" s="1"/>
  <c r="R20" i="39" s="1"/>
  <c r="P16" i="39" a="1"/>
  <c r="P16" i="39" s="1"/>
  <c r="R16" i="39" s="1"/>
  <c r="P12" i="39" a="1"/>
  <c r="P12" i="39" s="1"/>
  <c r="R12" i="39" s="1"/>
  <c r="P8" i="39" a="1"/>
  <c r="P8" i="39" s="1"/>
  <c r="R8" i="39" s="1"/>
  <c r="P4" i="39" a="1"/>
  <c r="P4" i="39" s="1"/>
  <c r="R4" i="39" s="1"/>
  <c r="P19" i="39" a="1"/>
  <c r="P19" i="39" s="1"/>
  <c r="R19" i="39" s="1"/>
  <c r="P11" i="39" a="1"/>
  <c r="P11" i="39" s="1"/>
  <c r="R11" i="39" s="1"/>
  <c r="P3" i="39" a="1"/>
  <c r="P3" i="39" s="1"/>
  <c r="R3" i="39" s="1"/>
  <c r="D133" i="15"/>
  <c r="H6" i="13" s="1"/>
  <c r="E133" i="15"/>
  <c r="H7" i="13" s="1"/>
  <c r="F133" i="15"/>
  <c r="H8" i="13" s="1"/>
  <c r="G133" i="15"/>
  <c r="H9" i="13" s="1"/>
  <c r="J133" i="15"/>
  <c r="H12" i="13" s="1"/>
  <c r="K133" i="15"/>
  <c r="H13" i="13" s="1"/>
  <c r="N133" i="15"/>
  <c r="H16" i="13" s="1"/>
  <c r="O133" i="15"/>
  <c r="H17" i="13" s="1"/>
  <c r="Q133" i="15"/>
  <c r="H19" i="13" s="1"/>
  <c r="R133" i="15"/>
  <c r="H20" i="13" s="1"/>
  <c r="S133" i="15"/>
  <c r="H21" i="13" s="1"/>
  <c r="S3" i="39" l="1" a="1"/>
  <c r="S3" i="39" s="1"/>
  <c r="E25" i="40" s="1"/>
  <c r="F16" i="49" s="1"/>
  <c r="S6" i="39" a="1"/>
  <c r="S6" i="39" s="1"/>
  <c r="E8" i="40" s="1"/>
  <c r="S11" i="39" a="1"/>
  <c r="S11" i="39" s="1"/>
  <c r="E9" i="40" s="1"/>
  <c r="S14" i="39" a="1"/>
  <c r="S14" i="39" s="1"/>
  <c r="E15" i="40" s="1"/>
  <c r="S19" i="39" a="1"/>
  <c r="S19" i="39" s="1"/>
  <c r="E24" i="40" s="1"/>
  <c r="S22" i="39" a="1"/>
  <c r="S22" i="39" s="1"/>
  <c r="E18" i="40" s="1"/>
  <c r="S4" i="39" a="1"/>
  <c r="S4" i="39" s="1"/>
  <c r="E27" i="40" s="1"/>
  <c r="F9" i="49" s="1"/>
  <c r="S9" i="39" a="1"/>
  <c r="S9" i="39" s="1"/>
  <c r="E10" i="40" s="1"/>
  <c r="S12" i="39" a="1"/>
  <c r="S12" i="39" s="1"/>
  <c r="E7" i="40" s="1"/>
  <c r="S17" i="39" a="1"/>
  <c r="S17" i="39" s="1"/>
  <c r="E26" i="40" s="1"/>
  <c r="S20" i="39" a="1"/>
  <c r="S20" i="39" s="1"/>
  <c r="E12" i="40" s="1"/>
  <c r="S7" i="39" a="1"/>
  <c r="S7" i="39" s="1"/>
  <c r="E20" i="40" s="1"/>
  <c r="S10" i="39" a="1"/>
  <c r="S10" i="39" s="1"/>
  <c r="E19" i="40" s="1"/>
  <c r="F8" i="49" s="1"/>
  <c r="S15" i="39" a="1"/>
  <c r="S15" i="39" s="1"/>
  <c r="E11" i="40" s="1"/>
  <c r="S18" i="39" a="1"/>
  <c r="S18" i="39" s="1"/>
  <c r="E21" i="40" s="1"/>
  <c r="S2" i="39" a="1"/>
  <c r="S2" i="39" s="1"/>
  <c r="E14" i="40" s="1"/>
  <c r="S5" i="39" a="1"/>
  <c r="S5" i="39" s="1"/>
  <c r="E16" i="40" s="1"/>
  <c r="S8" i="39" a="1"/>
  <c r="S8" i="39" s="1"/>
  <c r="E17" i="40" s="1"/>
  <c r="S13" i="39" a="1"/>
  <c r="S13" i="39" s="1"/>
  <c r="E22" i="40" s="1"/>
  <c r="S16" i="39" a="1"/>
  <c r="S16" i="39" s="1"/>
  <c r="E13" i="40" s="1"/>
  <c r="F14" i="49" s="1"/>
  <c r="S21" i="39" a="1"/>
  <c r="S21" i="39" s="1"/>
  <c r="E23" i="40" s="1"/>
  <c r="F12" i="49"/>
  <c r="T133" i="15"/>
  <c r="H22" i="13" s="1"/>
  <c r="M133" i="15"/>
  <c r="H15" i="13" s="1"/>
  <c r="P133" i="15"/>
  <c r="H18" i="13" s="1"/>
  <c r="V133" i="15"/>
  <c r="H24" i="13" s="1"/>
  <c r="H133" i="15"/>
  <c r="H10" i="13" s="1"/>
  <c r="U133" i="15"/>
  <c r="H23" i="13" s="1"/>
  <c r="I133" i="15"/>
  <c r="H11" i="13" s="1"/>
  <c r="L133" i="15"/>
  <c r="H14" i="13" s="1"/>
  <c r="F18" i="49" l="1"/>
  <c r="F5" i="49"/>
  <c r="F15" i="49"/>
  <c r="F22" i="49"/>
  <c r="F17" i="49"/>
  <c r="F4" i="49"/>
  <c r="F20" i="49"/>
  <c r="F13" i="49"/>
  <c r="F11" i="49"/>
  <c r="F6" i="49"/>
  <c r="F24" i="49"/>
  <c r="F21" i="49"/>
  <c r="F10" i="49"/>
  <c r="F7" i="49"/>
  <c r="F19" i="49"/>
  <c r="F23" i="49"/>
  <c r="N24" i="55" l="1"/>
  <c r="C133" i="15"/>
  <c r="H5" i="13" s="1"/>
  <c r="B133" i="15"/>
  <c r="H4" i="13" s="1"/>
  <c r="M13" i="13" l="1"/>
  <c r="M17" i="13"/>
  <c r="M22" i="13"/>
  <c r="M14" i="13"/>
  <c r="M6" i="13"/>
  <c r="M9" i="13"/>
  <c r="M18" i="13"/>
  <c r="M8" i="13"/>
  <c r="M19" i="13"/>
  <c r="M24" i="13"/>
  <c r="M11" i="13"/>
  <c r="M21" i="13"/>
  <c r="M16" i="13"/>
  <c r="M10" i="13"/>
  <c r="M5" i="13"/>
  <c r="M15" i="13"/>
  <c r="M7" i="13"/>
  <c r="M20" i="13"/>
  <c r="M23" i="13"/>
  <c r="M12" i="13"/>
  <c r="M4" i="13"/>
  <c r="R132" i="5" l="1"/>
  <c r="E20" i="13" s="1"/>
  <c r="T132" i="5"/>
  <c r="E22" i="13" s="1"/>
  <c r="M132" i="5" l="1"/>
  <c r="E15" i="13" s="1"/>
  <c r="Q132" i="5"/>
  <c r="E19" i="13" s="1"/>
  <c r="F132" i="5"/>
  <c r="E8" i="13" s="1"/>
  <c r="N132" i="5"/>
  <c r="E16" i="13" s="1"/>
  <c r="S132" i="5"/>
  <c r="E21" i="13" s="1"/>
  <c r="O132" i="5"/>
  <c r="E17" i="13" s="1"/>
  <c r="U132" i="5"/>
  <c r="E23" i="13" s="1"/>
  <c r="P132" i="5"/>
  <c r="E18" i="13" s="1"/>
  <c r="G132" i="5"/>
  <c r="E9" i="13" s="1"/>
  <c r="E132" i="5"/>
  <c r="E7" i="13" s="1"/>
  <c r="D132" i="5"/>
  <c r="E6" i="13" s="1"/>
  <c r="I132" i="5"/>
  <c r="E11" i="13" s="1"/>
  <c r="H132" i="5"/>
  <c r="E10" i="13" s="1"/>
  <c r="V132" i="5"/>
  <c r="E24" i="13" s="1"/>
  <c r="J132" i="5"/>
  <c r="E12" i="13" s="1"/>
  <c r="C132" i="5"/>
  <c r="E5" i="13" s="1"/>
  <c r="B132" i="5"/>
  <c r="E4" i="13" s="1"/>
  <c r="L132" i="5"/>
  <c r="E14" i="13" s="1"/>
  <c r="K132" i="5"/>
  <c r="E13" i="13" s="1"/>
  <c r="E20" i="8" l="1"/>
  <c r="Z2" i="12" s="1"/>
  <c r="H16" i="8"/>
  <c r="AB2" i="12" s="1"/>
  <c r="G16" i="8"/>
  <c r="AA2" i="12" s="1"/>
  <c r="F12" i="8"/>
  <c r="W2" i="12" s="1"/>
  <c r="G12" i="8"/>
  <c r="X2" i="12" s="1"/>
  <c r="E12" i="8"/>
  <c r="V2" i="12" s="1"/>
  <c r="L13" i="13" l="1"/>
  <c r="P13" i="13" s="1"/>
  <c r="L15" i="13"/>
  <c r="P15" i="13" s="1"/>
  <c r="L8" i="13"/>
  <c r="P8" i="13" s="1"/>
  <c r="L21" i="13"/>
  <c r="P21" i="13" s="1"/>
  <c r="L16" i="13"/>
  <c r="P16" i="13" s="1"/>
  <c r="L22" i="13"/>
  <c r="P22" i="13" s="1"/>
  <c r="L23" i="13"/>
  <c r="P23" i="13" s="1"/>
  <c r="L17" i="13"/>
  <c r="P17" i="13" s="1"/>
  <c r="L18" i="13"/>
  <c r="P18" i="13" s="1"/>
  <c r="L4" i="13"/>
  <c r="P4" i="13" s="1"/>
  <c r="L6" i="13"/>
  <c r="P6" i="13" s="1"/>
  <c r="L9" i="13"/>
  <c r="P9" i="13" s="1"/>
  <c r="L14" i="13"/>
  <c r="P14" i="13" s="1"/>
  <c r="L5" i="13"/>
  <c r="P5" i="13" s="1"/>
  <c r="L12" i="13"/>
  <c r="P12" i="13" s="1"/>
  <c r="L7" i="13"/>
  <c r="P7" i="13" s="1"/>
  <c r="L20" i="13"/>
  <c r="P20" i="13" s="1"/>
  <c r="L19" i="13"/>
  <c r="P19" i="13" s="1"/>
  <c r="L24" i="13"/>
  <c r="P24" i="13" s="1"/>
  <c r="L11" i="13"/>
  <c r="P11" i="13" s="1"/>
  <c r="L10" i="13"/>
  <c r="P10" i="13" s="1"/>
  <c r="AF2" i="12"/>
  <c r="R5" i="13" l="1" a="1"/>
  <c r="R5" i="13" s="1"/>
  <c r="F25" i="40" s="1"/>
  <c r="G25" i="40" s="1"/>
  <c r="R8" i="13" a="1"/>
  <c r="R8" i="13" s="1"/>
  <c r="F8" i="40" s="1"/>
  <c r="G8" i="40" s="1"/>
  <c r="R13" i="13" a="1"/>
  <c r="R13" i="13" s="1"/>
  <c r="F9" i="40" s="1"/>
  <c r="G9" i="40" s="1"/>
  <c r="R16" i="13" a="1"/>
  <c r="R16" i="13" s="1"/>
  <c r="F15" i="40" s="1"/>
  <c r="G15" i="40" s="1"/>
  <c r="R21" i="13" a="1"/>
  <c r="R21" i="13" s="1"/>
  <c r="F24" i="40" s="1"/>
  <c r="G24" i="40" s="1"/>
  <c r="R24" i="13" a="1"/>
  <c r="R24" i="13" s="1"/>
  <c r="F18" i="40" s="1"/>
  <c r="G18" i="40" s="1"/>
  <c r="R6" i="13" a="1"/>
  <c r="R6" i="13" s="1"/>
  <c r="F27" i="40" s="1"/>
  <c r="G27" i="40" s="1"/>
  <c r="R11" i="13" a="1"/>
  <c r="R11" i="13" s="1"/>
  <c r="F10" i="40" s="1"/>
  <c r="G10" i="40" s="1"/>
  <c r="R14" i="13" a="1"/>
  <c r="R14" i="13" s="1"/>
  <c r="F7" i="40" s="1"/>
  <c r="G7" i="40" s="1"/>
  <c r="R19" i="13" a="1"/>
  <c r="R19" i="13" s="1"/>
  <c r="F26" i="40" s="1"/>
  <c r="G26" i="40" s="1"/>
  <c r="R22" i="13" a="1"/>
  <c r="R22" i="13" s="1"/>
  <c r="F12" i="40" s="1"/>
  <c r="G12" i="40" s="1"/>
  <c r="R9" i="13" a="1"/>
  <c r="R9" i="13" s="1"/>
  <c r="F20" i="40" s="1"/>
  <c r="G20" i="40" s="1"/>
  <c r="R12" i="13" a="1"/>
  <c r="R12" i="13" s="1"/>
  <c r="F19" i="40" s="1"/>
  <c r="G19" i="40" s="1"/>
  <c r="R17" i="13" a="1"/>
  <c r="R17" i="13" s="1"/>
  <c r="F11" i="40" s="1"/>
  <c r="G11" i="40" s="1"/>
  <c r="R20" i="13" a="1"/>
  <c r="R20" i="13" s="1"/>
  <c r="F21" i="40" s="1"/>
  <c r="G21" i="40" s="1"/>
  <c r="R7" i="13" a="1"/>
  <c r="R7" i="13" s="1"/>
  <c r="F16" i="40" s="1"/>
  <c r="G16" i="40" s="1"/>
  <c r="R10" i="13" a="1"/>
  <c r="R10" i="13" s="1"/>
  <c r="F17" i="40" s="1"/>
  <c r="G17" i="40" s="1"/>
  <c r="R15" i="13" a="1"/>
  <c r="R15" i="13" s="1"/>
  <c r="F22" i="40" s="1"/>
  <c r="G22" i="40" s="1"/>
  <c r="R18" i="13" a="1"/>
  <c r="R18" i="13" s="1"/>
  <c r="F13" i="40" s="1"/>
  <c r="G13" i="40" s="1"/>
  <c r="R23" i="13" a="1"/>
  <c r="R23" i="13" s="1"/>
  <c r="F23" i="40" s="1"/>
  <c r="G23" i="40" s="1"/>
  <c r="R4" i="13" a="1"/>
  <c r="R4" i="13" s="1"/>
  <c r="F14" i="40" s="1"/>
  <c r="G14" i="40" s="1"/>
  <c r="G11" i="49"/>
  <c r="I21" i="12"/>
  <c r="I13" i="12"/>
  <c r="H5" i="12"/>
  <c r="K27" i="40" s="1"/>
  <c r="I5" i="12"/>
  <c r="I23" i="12"/>
  <c r="I3" i="12"/>
  <c r="H10" i="12"/>
  <c r="K10" i="40" s="1"/>
  <c r="G23" i="49" l="1"/>
  <c r="G9" i="49"/>
  <c r="H23" i="40" a="1"/>
  <c r="H23" i="40" s="1"/>
  <c r="H19" i="40" a="1"/>
  <c r="H19" i="40" s="1"/>
  <c r="H15" i="40" a="1"/>
  <c r="H15" i="40" s="1"/>
  <c r="H25" i="40" a="1"/>
  <c r="H25" i="40" s="1"/>
  <c r="H26" i="40" a="1"/>
  <c r="H26" i="40" s="1"/>
  <c r="H22" i="40" a="1"/>
  <c r="H22" i="40" s="1"/>
  <c r="H18" i="40" a="1"/>
  <c r="H18" i="40" s="1"/>
  <c r="H8" i="40" a="1"/>
  <c r="H8" i="40" s="1"/>
  <c r="H13" i="40" a="1"/>
  <c r="H13" i="40" s="1"/>
  <c r="H20" i="40" a="1"/>
  <c r="H20" i="40" s="1"/>
  <c r="H16" i="40" a="1"/>
  <c r="H16" i="40" s="1"/>
  <c r="H27" i="40" a="1"/>
  <c r="H27" i="40" s="1"/>
  <c r="H9" i="40" a="1"/>
  <c r="H9" i="40" s="1"/>
  <c r="H24" i="40" a="1"/>
  <c r="H24" i="40" s="1"/>
  <c r="H17" i="40" a="1"/>
  <c r="H17" i="40" s="1"/>
  <c r="H10" i="40" a="1"/>
  <c r="H10" i="40" s="1"/>
  <c r="H21" i="40" a="1"/>
  <c r="H21" i="40" s="1"/>
  <c r="H14" i="40" a="1"/>
  <c r="H14" i="40" s="1"/>
  <c r="H11" i="40" a="1"/>
  <c r="H11" i="40" s="1"/>
  <c r="H7" i="40" a="1"/>
  <c r="H7" i="40" s="1"/>
  <c r="H12" i="40" a="1"/>
  <c r="H12" i="40" s="1"/>
  <c r="G18" i="49"/>
  <c r="P16" i="55"/>
  <c r="N28" i="55"/>
  <c r="N12" i="55"/>
  <c r="N14" i="55"/>
  <c r="N16" i="55"/>
  <c r="N21" i="55"/>
  <c r="N23" i="55"/>
  <c r="N25" i="55"/>
  <c r="N27" i="55"/>
  <c r="N11" i="55"/>
  <c r="N18" i="55"/>
  <c r="P11" i="55"/>
  <c r="N20" i="55"/>
  <c r="N22" i="55"/>
  <c r="N29" i="55"/>
  <c r="N13" i="55"/>
  <c r="N9" i="55"/>
  <c r="N15" i="55"/>
  <c r="N17" i="55"/>
  <c r="N19" i="55"/>
  <c r="N26" i="55"/>
  <c r="N10" i="55"/>
  <c r="G17" i="49"/>
  <c r="G15" i="49"/>
  <c r="G16" i="49"/>
  <c r="G6" i="49"/>
  <c r="G22" i="49"/>
  <c r="G13" i="49"/>
  <c r="G7" i="49"/>
  <c r="G4" i="49"/>
  <c r="G8" i="49"/>
  <c r="G19" i="49"/>
  <c r="G21" i="49"/>
  <c r="G20" i="49"/>
  <c r="G24" i="49"/>
  <c r="G5" i="49"/>
  <c r="G14" i="49"/>
  <c r="G12" i="49"/>
  <c r="G10" i="49"/>
  <c r="J5" i="12"/>
  <c r="H3" i="12"/>
  <c r="K14" i="40" s="1"/>
  <c r="H21" i="12"/>
  <c r="K12" i="40" s="1"/>
  <c r="I16" i="12"/>
  <c r="H19" i="12"/>
  <c r="K21" i="40" s="1"/>
  <c r="I8" i="12"/>
  <c r="I18" i="12"/>
  <c r="I19" i="12"/>
  <c r="H13" i="12"/>
  <c r="K7" i="40" s="1"/>
  <c r="H8" i="12"/>
  <c r="K20" i="40" s="1"/>
  <c r="I22" i="12"/>
  <c r="H12" i="12"/>
  <c r="K9" i="40" s="1"/>
  <c r="I9" i="12"/>
  <c r="H18" i="12"/>
  <c r="K26" i="40" s="1"/>
  <c r="I4" i="12"/>
  <c r="I7" i="12"/>
  <c r="I12" i="12"/>
  <c r="I11" i="12"/>
  <c r="H4" i="12"/>
  <c r="K25" i="40" s="1"/>
  <c r="I14" i="12"/>
  <c r="H14" i="12"/>
  <c r="K22" i="40" s="1"/>
  <c r="I10" i="12"/>
  <c r="J10" i="12" s="1"/>
  <c r="I20" i="12"/>
  <c r="I6" i="12"/>
  <c r="I17" i="12"/>
  <c r="I15" i="12"/>
  <c r="H7" i="12"/>
  <c r="K8" i="40" s="1"/>
  <c r="H9" i="12"/>
  <c r="K17" i="40" s="1"/>
  <c r="H20" i="12"/>
  <c r="K24" i="40" s="1"/>
  <c r="H23" i="12"/>
  <c r="K18" i="40" s="1"/>
  <c r="H17" i="12"/>
  <c r="K13" i="40" s="1"/>
  <c r="H11" i="12"/>
  <c r="K19" i="40" s="1"/>
  <c r="H6" i="12"/>
  <c r="K16" i="40" s="1"/>
  <c r="H16" i="12"/>
  <c r="K11" i="40" s="1"/>
  <c r="H22" i="12"/>
  <c r="K23" i="40" s="1"/>
  <c r="H15" i="12"/>
  <c r="K15" i="40" s="1"/>
  <c r="H18" i="49" l="1"/>
  <c r="G19" i="55"/>
  <c r="L19" i="55" s="1"/>
  <c r="G16" i="55"/>
  <c r="L16" i="55" s="1"/>
  <c r="H4" i="49"/>
  <c r="G11" i="55"/>
  <c r="L11" i="55" s="1"/>
  <c r="H9" i="49"/>
  <c r="H11" i="49"/>
  <c r="G13" i="55"/>
  <c r="L13" i="55" s="1"/>
  <c r="H16" i="49"/>
  <c r="G10" i="55"/>
  <c r="L10" i="55" s="1"/>
  <c r="H15" i="49"/>
  <c r="G22" i="55"/>
  <c r="L22" i="55" s="1"/>
  <c r="G15" i="55"/>
  <c r="L15" i="55" s="1"/>
  <c r="H20" i="49"/>
  <c r="H22" i="49"/>
  <c r="G12" i="55"/>
  <c r="L12" i="55" s="1"/>
  <c r="H6" i="49"/>
  <c r="G29" i="55"/>
  <c r="L29" i="55" s="1"/>
  <c r="G21" i="55"/>
  <c r="L21" i="55" s="1"/>
  <c r="H13" i="49"/>
  <c r="H10" i="49"/>
  <c r="G9" i="55"/>
  <c r="L9" i="55" s="1"/>
  <c r="H17" i="49"/>
  <c r="G26" i="55"/>
  <c r="L26" i="55" s="1"/>
  <c r="H19" i="49"/>
  <c r="G14" i="55"/>
  <c r="L14" i="55" s="1"/>
  <c r="G20" i="55"/>
  <c r="L20" i="55" s="1"/>
  <c r="H24" i="49"/>
  <c r="H8" i="49"/>
  <c r="G17" i="55"/>
  <c r="L17" i="55" s="1"/>
  <c r="G27" i="55"/>
  <c r="L27" i="55" s="1"/>
  <c r="H23" i="49"/>
  <c r="H7" i="49"/>
  <c r="G25" i="55"/>
  <c r="L25" i="55" s="1"/>
  <c r="H12" i="49"/>
  <c r="G18" i="55"/>
  <c r="L18" i="55" s="1"/>
  <c r="H14" i="49"/>
  <c r="G23" i="55"/>
  <c r="L23" i="55" s="1"/>
  <c r="G24" i="55"/>
  <c r="L24" i="55" s="1"/>
  <c r="H21" i="49"/>
  <c r="G28" i="55"/>
  <c r="L28" i="55" s="1"/>
  <c r="H5" i="49"/>
  <c r="P12" i="55"/>
  <c r="P21" i="55"/>
  <c r="P17" i="55"/>
  <c r="P15" i="55"/>
  <c r="P18" i="55"/>
  <c r="P23" i="55"/>
  <c r="P10" i="55"/>
  <c r="P27" i="55"/>
  <c r="P28" i="55"/>
  <c r="P13" i="55"/>
  <c r="P22" i="55"/>
  <c r="P29" i="55"/>
  <c r="P14" i="55"/>
  <c r="P9" i="55"/>
  <c r="N30" i="55"/>
  <c r="O19" i="55" s="1"/>
  <c r="P26" i="55"/>
  <c r="P20" i="55"/>
  <c r="P19" i="55"/>
  <c r="P25" i="55"/>
  <c r="AA6" i="12" a="1"/>
  <c r="AA6" i="12" s="1"/>
  <c r="AA9" i="12" a="1"/>
  <c r="AA9" i="12" s="1"/>
  <c r="AA14" i="12" a="1"/>
  <c r="AA14" i="12" s="1"/>
  <c r="AA17" i="12" a="1"/>
  <c r="AA17" i="12" s="1"/>
  <c r="AA22" i="12" a="1"/>
  <c r="AA22" i="12" s="1"/>
  <c r="AA3" i="12" a="1"/>
  <c r="AA3" i="12" s="1"/>
  <c r="AA4" i="12" a="1"/>
  <c r="AA4" i="12" s="1"/>
  <c r="AA7" i="12" a="1"/>
  <c r="AA7" i="12" s="1"/>
  <c r="AA12" i="12" a="1"/>
  <c r="AA12" i="12" s="1"/>
  <c r="AA15" i="12" a="1"/>
  <c r="AA15" i="12" s="1"/>
  <c r="AA20" i="12" a="1"/>
  <c r="AA20" i="12" s="1"/>
  <c r="AA23" i="12" a="1"/>
  <c r="AA23" i="12" s="1"/>
  <c r="AA5" i="12" a="1"/>
  <c r="AA5" i="12" s="1"/>
  <c r="AA10" i="12" a="1"/>
  <c r="AA10" i="12" s="1"/>
  <c r="AA13" i="12" a="1"/>
  <c r="AA13" i="12" s="1"/>
  <c r="AA18" i="12" a="1"/>
  <c r="AA18" i="12" s="1"/>
  <c r="AA21" i="12" a="1"/>
  <c r="AA21" i="12" s="1"/>
  <c r="AA8" i="12" a="1"/>
  <c r="AA8" i="12" s="1"/>
  <c r="AA11" i="12" a="1"/>
  <c r="AA11" i="12" s="1"/>
  <c r="AA16" i="12" a="1"/>
  <c r="AA16" i="12" s="1"/>
  <c r="AA19" i="12" a="1"/>
  <c r="AA19" i="12" s="1"/>
  <c r="J15" i="12"/>
  <c r="J23" i="12"/>
  <c r="J21" i="12"/>
  <c r="J9" i="12"/>
  <c r="J13" i="12"/>
  <c r="J11" i="12"/>
  <c r="J3" i="12"/>
  <c r="J22" i="12"/>
  <c r="J16" i="12"/>
  <c r="J14" i="12"/>
  <c r="J8" i="12"/>
  <c r="J6" i="12"/>
  <c r="J12" i="12"/>
  <c r="J7" i="12"/>
  <c r="J20" i="12"/>
  <c r="J4" i="12"/>
  <c r="J18" i="12"/>
  <c r="J19" i="12"/>
  <c r="J17" i="12"/>
  <c r="L30" i="55" l="1"/>
  <c r="M11" i="55" s="1"/>
  <c r="O12" i="55"/>
  <c r="O18" i="55"/>
  <c r="O21" i="55"/>
  <c r="O13" i="55"/>
  <c r="O16" i="55"/>
  <c r="O20" i="55"/>
  <c r="O17" i="55"/>
  <c r="O25" i="55"/>
  <c r="O15" i="55"/>
  <c r="O24" i="55"/>
  <c r="O23" i="55"/>
  <c r="O29" i="55"/>
  <c r="O26" i="55"/>
  <c r="O28" i="55"/>
  <c r="O11" i="55"/>
  <c r="O10" i="55"/>
  <c r="O27" i="55"/>
  <c r="O9" i="55"/>
  <c r="P30" i="55"/>
  <c r="Q22" i="55" s="1"/>
  <c r="O14" i="55"/>
  <c r="O22" i="55"/>
  <c r="AB6" i="12" a="1"/>
  <c r="AB6" i="12" s="1"/>
  <c r="AF6" i="12" s="1"/>
  <c r="AB9" i="12" a="1"/>
  <c r="AB9" i="12" s="1"/>
  <c r="AF9" i="12" s="1"/>
  <c r="AB14" i="12" a="1"/>
  <c r="AB14" i="12" s="1"/>
  <c r="AF14" i="12" s="1"/>
  <c r="AB17" i="12" a="1"/>
  <c r="AB17" i="12" s="1"/>
  <c r="AF17" i="12" s="1"/>
  <c r="AB22" i="12" a="1"/>
  <c r="AB22" i="12" s="1"/>
  <c r="AF22" i="12" s="1"/>
  <c r="AB3" i="12" a="1"/>
  <c r="AB3" i="12" s="1"/>
  <c r="AF3" i="12" s="1"/>
  <c r="AB4" i="12" a="1"/>
  <c r="AB4" i="12" s="1"/>
  <c r="AF4" i="12" s="1"/>
  <c r="AB7" i="12" a="1"/>
  <c r="AB7" i="12" s="1"/>
  <c r="AF7" i="12" s="1"/>
  <c r="AB12" i="12" a="1"/>
  <c r="AB12" i="12" s="1"/>
  <c r="AF12" i="12" s="1"/>
  <c r="AB15" i="12" a="1"/>
  <c r="AB15" i="12" s="1"/>
  <c r="AF15" i="12" s="1"/>
  <c r="AB20" i="12" a="1"/>
  <c r="AB20" i="12" s="1"/>
  <c r="AF20" i="12" s="1"/>
  <c r="AB23" i="12" a="1"/>
  <c r="AB23" i="12" s="1"/>
  <c r="AF23" i="12" s="1"/>
  <c r="AB5" i="12" a="1"/>
  <c r="AB5" i="12" s="1"/>
  <c r="AF5" i="12" s="1"/>
  <c r="AB10" i="12" a="1"/>
  <c r="AB10" i="12" s="1"/>
  <c r="AF10" i="12" s="1"/>
  <c r="AB13" i="12" a="1"/>
  <c r="AB13" i="12" s="1"/>
  <c r="AF13" i="12" s="1"/>
  <c r="AB18" i="12" a="1"/>
  <c r="AB18" i="12" s="1"/>
  <c r="AF18" i="12" s="1"/>
  <c r="AB21" i="12" a="1"/>
  <c r="AB21" i="12" s="1"/>
  <c r="AF21" i="12" s="1"/>
  <c r="AB8" i="12" a="1"/>
  <c r="AB8" i="12" s="1"/>
  <c r="AI8" i="12" s="1"/>
  <c r="AB11" i="12" a="1"/>
  <c r="AB11" i="12" s="1"/>
  <c r="AF11" i="12" s="1"/>
  <c r="AB16" i="12" a="1"/>
  <c r="AB16" i="12" s="1"/>
  <c r="AF16" i="12" s="1"/>
  <c r="AB19" i="12" a="1"/>
  <c r="AB19" i="12" s="1"/>
  <c r="AF19" i="12" s="1"/>
  <c r="M27" i="55"/>
  <c r="M18" i="55"/>
  <c r="M10" i="55"/>
  <c r="M14" i="55"/>
  <c r="M23" i="55"/>
  <c r="M9" i="55"/>
  <c r="M22" i="55"/>
  <c r="M24" i="55"/>
  <c r="M29" i="55"/>
  <c r="M15" i="55"/>
  <c r="M16" i="55"/>
  <c r="M21" i="55"/>
  <c r="M13" i="55"/>
  <c r="M12" i="55"/>
  <c r="M28" i="55"/>
  <c r="M20" i="55"/>
  <c r="M25" i="55"/>
  <c r="M17" i="55"/>
  <c r="M26" i="55"/>
  <c r="M19" i="55"/>
  <c r="AF8" i="12" l="1"/>
  <c r="AI17" i="12"/>
  <c r="AI18" i="12"/>
  <c r="Q18" i="55"/>
  <c r="Q12" i="55"/>
  <c r="Q29" i="55"/>
  <c r="Q28" i="55"/>
  <c r="Q9" i="55"/>
  <c r="Q20" i="55"/>
  <c r="Q21" i="55"/>
  <c r="Q24" i="55"/>
  <c r="Q11" i="55"/>
  <c r="Q16" i="55"/>
  <c r="Q25" i="55"/>
  <c r="Q10" i="55"/>
  <c r="Q15" i="55"/>
  <c r="Q14" i="55"/>
  <c r="Q26" i="55"/>
  <c r="Q23" i="55"/>
  <c r="Q17" i="55"/>
  <c r="Q13" i="55"/>
  <c r="Q19" i="55"/>
  <c r="Q27" i="55"/>
  <c r="AI14" i="12"/>
  <c r="AI21" i="12"/>
  <c r="AI23" i="12"/>
  <c r="AI20" i="12"/>
  <c r="AI7" i="12"/>
  <c r="AI22" i="12"/>
  <c r="AI3" i="12"/>
  <c r="AI19" i="12"/>
  <c r="AI5" i="12"/>
  <c r="AI12" i="12"/>
  <c r="AI11" i="12"/>
  <c r="AI6" i="12"/>
  <c r="AI15" i="12"/>
  <c r="AI16" i="12"/>
  <c r="AI9" i="12"/>
  <c r="AI13" i="12"/>
  <c r="AI4" i="12"/>
  <c r="AI10" i="12"/>
  <c r="AH4" i="12" l="1" a="1"/>
  <c r="AH4" i="12" s="1"/>
  <c r="J25" i="40" s="1"/>
  <c r="M25" i="40" s="1"/>
  <c r="AH8" i="12" a="1"/>
  <c r="AH8" i="12" s="1"/>
  <c r="AH15" i="12" a="1"/>
  <c r="AH15" i="12" s="1"/>
  <c r="J15" i="40" s="1"/>
  <c r="AH22" i="12" a="1"/>
  <c r="AH22" i="12" s="1"/>
  <c r="J23" i="40" s="1"/>
  <c r="AH6" i="12" a="1"/>
  <c r="AH6" i="12" s="1"/>
  <c r="J16" i="40" s="1"/>
  <c r="M16" i="40" s="1"/>
  <c r="AH19" i="12" a="1"/>
  <c r="AH19" i="12" s="1"/>
  <c r="AH13" i="12" a="1"/>
  <c r="AH13" i="12" s="1"/>
  <c r="J7" i="40" s="1"/>
  <c r="AH12" i="12" a="1"/>
  <c r="AH12" i="12" s="1"/>
  <c r="J9" i="40" s="1"/>
  <c r="AH9" i="12" a="1"/>
  <c r="AH9" i="12" s="1"/>
  <c r="AH18" i="12" a="1"/>
  <c r="AH18" i="12" s="1"/>
  <c r="J26" i="40" s="1"/>
  <c r="AH3" i="12" a="1"/>
  <c r="AH3" i="12" s="1"/>
  <c r="AH17" i="12" a="1"/>
  <c r="AH17" i="12" s="1"/>
  <c r="J13" i="40" s="1"/>
  <c r="AH16" i="12" a="1"/>
  <c r="AH16" i="12" s="1"/>
  <c r="J11" i="40" s="1"/>
  <c r="AH10" i="12" a="1"/>
  <c r="AH10" i="12" s="1"/>
  <c r="AH23" i="12" a="1"/>
  <c r="AH23" i="12" s="1"/>
  <c r="J18" i="40" s="1"/>
  <c r="AH7" i="12" a="1"/>
  <c r="AH7" i="12" s="1"/>
  <c r="J8" i="40" s="1"/>
  <c r="AH14" i="12" a="1"/>
  <c r="AH14" i="12" s="1"/>
  <c r="J22" i="40" s="1"/>
  <c r="AH11" i="12" a="1"/>
  <c r="AH11" i="12" s="1"/>
  <c r="J19" i="40" s="1"/>
  <c r="AH21" i="12" a="1"/>
  <c r="AH21" i="12" s="1"/>
  <c r="J12" i="40" s="1"/>
  <c r="AH5" i="12" a="1"/>
  <c r="AH5" i="12" s="1"/>
  <c r="J27" i="40" s="1"/>
  <c r="AH20" i="12" a="1"/>
  <c r="AH20" i="12" s="1"/>
  <c r="J24" i="40" s="1"/>
  <c r="J11" i="49" l="1"/>
  <c r="F13" i="55"/>
  <c r="F18" i="55"/>
  <c r="J12" i="49"/>
  <c r="J23" i="49"/>
  <c r="F27" i="55"/>
  <c r="J27" i="55" s="1"/>
  <c r="F29" i="55"/>
  <c r="J29" i="55" s="1"/>
  <c r="J6" i="49"/>
  <c r="F19" i="55"/>
  <c r="J19" i="55" s="1"/>
  <c r="J18" i="49"/>
  <c r="M15" i="40"/>
  <c r="F21" i="55"/>
  <c r="J21" i="55" s="1"/>
  <c r="J13" i="49"/>
  <c r="F11" i="55"/>
  <c r="J11" i="55" s="1"/>
  <c r="J9" i="49"/>
  <c r="M13" i="40"/>
  <c r="F23" i="55"/>
  <c r="J23" i="55" s="1"/>
  <c r="J14" i="49"/>
  <c r="F28" i="55"/>
  <c r="J28" i="55" s="1"/>
  <c r="J5" i="49"/>
  <c r="F17" i="55"/>
  <c r="J17" i="55" s="1"/>
  <c r="J8" i="49"/>
  <c r="J21" i="49"/>
  <c r="F24" i="55"/>
  <c r="J24" i="55" s="1"/>
  <c r="M26" i="40"/>
  <c r="F26" i="55"/>
  <c r="J26" i="55" s="1"/>
  <c r="J17" i="49"/>
  <c r="J24" i="49"/>
  <c r="F20" i="55"/>
  <c r="J20" i="55" s="1"/>
  <c r="J15" i="49"/>
  <c r="F22" i="55"/>
  <c r="J22" i="55" s="1"/>
  <c r="J22" i="49"/>
  <c r="F12" i="55"/>
  <c r="J12" i="55" s="1"/>
  <c r="J16" i="49"/>
  <c r="F10" i="55"/>
  <c r="J10" i="55" s="1"/>
  <c r="J10" i="40"/>
  <c r="J14" i="40"/>
  <c r="J17" i="40"/>
  <c r="J21" i="40"/>
  <c r="J20" i="40"/>
  <c r="J18" i="55"/>
  <c r="J13" i="55"/>
  <c r="M18" i="40"/>
  <c r="M9" i="40"/>
  <c r="M12" i="40"/>
  <c r="M19" i="40"/>
  <c r="M22" i="40"/>
  <c r="M8" i="40"/>
  <c r="M7" i="40"/>
  <c r="M24" i="40"/>
  <c r="M11" i="40"/>
  <c r="M23" i="40"/>
  <c r="M27" i="40"/>
  <c r="M20" i="40" l="1"/>
  <c r="J19" i="49"/>
  <c r="F14" i="55"/>
  <c r="M21" i="40"/>
  <c r="J7" i="49"/>
  <c r="F25" i="55"/>
  <c r="J25" i="55" s="1"/>
  <c r="M17" i="40"/>
  <c r="J20" i="49"/>
  <c r="F15" i="55"/>
  <c r="J15" i="55" s="1"/>
  <c r="M10" i="40"/>
  <c r="F16" i="55"/>
  <c r="J16" i="55" s="1"/>
  <c r="J4" i="49"/>
  <c r="M14" i="40"/>
  <c r="F9" i="55"/>
  <c r="J9" i="55" s="1"/>
  <c r="J10" i="49"/>
  <c r="J14" i="55"/>
  <c r="N19" i="40" l="1" a="1"/>
  <c r="N19" i="40" s="1"/>
  <c r="L8" i="49" s="1"/>
  <c r="N14" i="40" a="1"/>
  <c r="N14" i="40" s="1"/>
  <c r="L10" i="49" s="1"/>
  <c r="N21" i="40" a="1"/>
  <c r="N21" i="40" s="1"/>
  <c r="L7" i="49" s="1"/>
  <c r="N9" i="40" a="1"/>
  <c r="N9" i="40" s="1"/>
  <c r="L12" i="49" s="1"/>
  <c r="N17" i="40" a="1"/>
  <c r="N17" i="40" s="1"/>
  <c r="L20" i="49" s="1"/>
  <c r="N7" i="40" a="1"/>
  <c r="N7" i="40" s="1"/>
  <c r="L18" i="49" s="1"/>
  <c r="N13" i="40" a="1"/>
  <c r="N13" i="40" s="1"/>
  <c r="L14" i="49" s="1"/>
  <c r="N26" i="40" a="1"/>
  <c r="N26" i="40" s="1"/>
  <c r="L21" i="49" s="1"/>
  <c r="N27" i="40" a="1"/>
  <c r="N27" i="40" s="1"/>
  <c r="L9" i="49" s="1"/>
  <c r="N24" i="40" a="1"/>
  <c r="N24" i="40" s="1"/>
  <c r="L17" i="49" s="1"/>
  <c r="N20" i="40" a="1"/>
  <c r="N20" i="40" s="1"/>
  <c r="L19" i="49" s="1"/>
  <c r="N10" i="40" a="1"/>
  <c r="N10" i="40" s="1"/>
  <c r="L4" i="49" s="1"/>
  <c r="N15" i="40" a="1"/>
  <c r="N15" i="40" s="1"/>
  <c r="L13" i="49" s="1"/>
  <c r="N22" i="40" a="1"/>
  <c r="N22" i="40" s="1"/>
  <c r="L24" i="49" s="1"/>
  <c r="N8" i="40" a="1"/>
  <c r="N8" i="40" s="1"/>
  <c r="L11" i="49" s="1"/>
  <c r="N12" i="40" a="1"/>
  <c r="N12" i="40" s="1"/>
  <c r="L23" i="49" s="1"/>
  <c r="N18" i="40" a="1"/>
  <c r="N18" i="40" s="1"/>
  <c r="L6" i="49" s="1"/>
  <c r="N16" i="40" a="1"/>
  <c r="N16" i="40" s="1"/>
  <c r="L22" i="49" s="1"/>
  <c r="N25" i="40" a="1"/>
  <c r="N25" i="40" s="1"/>
  <c r="L16" i="49" s="1"/>
  <c r="N23" i="40" a="1"/>
  <c r="N23" i="40" s="1"/>
  <c r="L5" i="49" s="1"/>
  <c r="N11" i="40" a="1"/>
  <c r="N11" i="40" s="1"/>
  <c r="L15" i="49" s="1"/>
  <c r="J30" i="55"/>
  <c r="K27" i="55" l="1"/>
  <c r="R27" i="55" s="1"/>
  <c r="K12" i="55"/>
  <c r="R12" i="55" s="1"/>
  <c r="K18" i="55"/>
  <c r="R18" i="55" s="1"/>
  <c r="K20" i="55"/>
  <c r="R20" i="55" s="1"/>
  <c r="K23" i="55"/>
  <c r="R23" i="55" s="1"/>
  <c r="K9" i="55"/>
  <c r="R9" i="55" s="1"/>
  <c r="K21" i="55"/>
  <c r="R21" i="55" s="1"/>
  <c r="K17" i="55"/>
  <c r="R17" i="55" s="1"/>
  <c r="K10" i="55"/>
  <c r="R10" i="55" s="1"/>
  <c r="K26" i="55"/>
  <c r="R26" i="55" s="1"/>
  <c r="K28" i="55"/>
  <c r="R28" i="55" s="1"/>
  <c r="K24" i="55"/>
  <c r="R24" i="55" s="1"/>
  <c r="K13" i="55"/>
  <c r="R13" i="55" s="1"/>
  <c r="K14" i="55"/>
  <c r="R14" i="55" s="1"/>
  <c r="K29" i="55"/>
  <c r="R29" i="55" s="1"/>
  <c r="K25" i="55"/>
  <c r="R25" i="55" s="1"/>
  <c r="K16" i="55"/>
  <c r="R16" i="55" s="1"/>
  <c r="K11" i="55"/>
  <c r="R11" i="55" s="1"/>
  <c r="S11" i="55" s="1"/>
  <c r="K15" i="55"/>
  <c r="R15" i="55" s="1"/>
  <c r="K19" i="55"/>
  <c r="R19" i="55" s="1"/>
  <c r="K22" i="55"/>
  <c r="R22" i="55" s="1"/>
  <c r="S24" i="55" l="1"/>
  <c r="S18" i="55"/>
  <c r="S22" i="55"/>
  <c r="S16" i="55"/>
  <c r="S17" i="55"/>
  <c r="S25" i="55"/>
  <c r="S20" i="55"/>
  <c r="S19" i="55"/>
  <c r="S15" i="55"/>
  <c r="S29" i="55"/>
  <c r="S28" i="55"/>
  <c r="S21" i="55"/>
  <c r="S14" i="55"/>
  <c r="S26" i="55"/>
  <c r="S9" i="55"/>
  <c r="S12" i="55"/>
  <c r="S13" i="55"/>
  <c r="S10" i="55"/>
  <c r="S23" i="55"/>
  <c r="S27" i="55"/>
  <c r="R3" i="55"/>
  <c r="S3" i="5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14052AE6-D128-488A-B684-F792AAE09E87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Timestamp="1709708362"&gt;&lt;FQL&gt;&lt;Q&gt;FC0000ZA^FG_MCAP_IDX(0,,,USD)&lt;/Q&gt;&lt;R&gt;1&lt;/R&gt;&lt;C&gt;1&lt;/C&gt;&lt;D xsi:type="xsd:double"&gt;292423.8&lt;/D&gt;&lt;/FQL&gt;&lt;FQL&gt;&lt;Q&gt;FC0000CN^FMA_MCAP(0,,,USD,"PORTAGG")&lt;/Q&gt;&lt;R&gt;1&lt;/R&gt;&lt;C&gt;1&lt;/C&gt;&lt;D xsi:type="xsd:double"&gt;7607175&lt;/D&gt;&lt;/FQL&gt;&lt;FQL&gt;&lt;Q&gt;NQG00809^FMA_MCAP(0,,,USD,"PORTAGG")&lt;/Q&gt;&lt;R&gt;0&lt;/R&gt;&lt;C&gt;0&lt;/C&gt;&lt;/FQL&gt;&lt;FQL&gt;&lt;Q&gt;MCHI^FREF_MARKET_VALUE_COMPANY(0,,,USD,,0,,"LEGACY")&lt;/Q&gt;&lt;R&gt;1&lt;/R&gt;&lt;C&gt;1&lt;/C&gt;&lt;D xsi:type="xsd:double"&gt;5175.03&lt;/D&gt;&lt;/FQL&gt;&lt;FQL&gt;&lt;Q&gt;FC0000US^FMA_MCAP(0,,,USD,"PORTAGG")&lt;/Q&gt;&lt;R&gt;1&lt;/R&gt;&lt;C&gt;1&lt;/C&gt;&lt;D xsi:type="xsd:double"&gt;53679290&lt;/D&gt;&lt;/FQL&gt;&lt;FQL&gt;&lt;Q&gt;FC0000IN^FMA_MCAP(0,,,USD,"PORTAGG")&lt;/Q&gt;&lt;R&gt;1&lt;/R&gt;&lt;C&gt;1&lt;/C&gt;&lt;D xsi:type="xsd:double"&gt;4675079&lt;/D&gt;&lt;/FQL&gt;&lt;FQL&gt;&lt;Q&gt;SPY^FREF_MARKET_VALUE_COMPANY(0,,,USD,,0,,"LEGACY")&lt;/Q&gt;&lt;R&gt;1&lt;/R&gt;&lt;C&gt;1&lt;/C&gt;&lt;D xsi:type="xsd:double"&gt;506424.99483&lt;/D&gt;&lt;/FQL&gt;&lt;FQL&gt;&lt;Q&gt;INDA^FREF_MARKET_VALUE_COMPANY(0,,,USD,,0,,"LEGACY")&lt;/Q&gt;&lt;R&gt;1&lt;/R&gt;&lt;C&gt;1&lt;/C&gt;&lt;D xsi:type="xsd:double"&gt;9011.576&lt;/D&gt;&lt;/FQL&gt;&lt;FQL&gt;&lt;Q&gt;QQQ^FREF_MARKET_VALUE_COMPANY(0,,,USD,,0,,"LEGACY")&lt;/Q&gt;&lt;R&gt;1&lt;/R&gt;&lt;C&gt;1&lt;/C&gt;&lt;D xsi:type="xsd:double"&gt;257331.791&lt;/D&gt;&lt;/FQL&gt;&lt;FQL&gt;&lt;Q&gt;FC0000BR^FMA_MCAP(0,,,USD,"PORTAGG")&lt;/Q&gt;&lt;R&gt;1&lt;/R&gt;&lt;C&gt;1&lt;/C&gt;&lt;D xsi:type="xsd:double"&gt;785275.4&lt;/D&gt;&lt;/FQL&gt;&lt;FQL&gt;&lt;Q&gt;FC0000KR^FMA_MCAP(0,,,USD,"PORTAGG")&lt;/Q&gt;&lt;R&gt;1&lt;/R&gt;&lt;C&gt;1&lt;/C&gt;&lt;D xsi:type="xsd:double"&gt;1910312.3&lt;/D&gt;&lt;/FQL&gt;&lt;FQL&gt;&lt;Q&gt;EWM^FREF_MARKET_VALUE_COMPANY(0,,,USD,,0,,"LEGACY")&lt;/Q&gt;&lt;R&gt;1&lt;/R&gt;&lt;C&gt;1&lt;/C&gt;&lt;D xsi:type="xsd:double"&gt;243&lt;/D&gt;&lt;/FQL&gt;&lt;FQL&gt;&lt;Q&gt;EZA^FREF_MARKET_VALUE_COMPANY(0,,,USD,,0,,"LEGACY")&lt;/Q&gt;&lt;R&gt;1&lt;/R&gt;&lt;C&gt;1&lt;/C&gt;&lt;D xsi:type="xsd:double"&gt;258.264&lt;/D&gt;&lt;/FQL&gt;&lt;FQL&gt;&lt;Q&gt;EWT^FREF_MARKET_VALUE_COMPANY(0,,,USD,,0,,"LEGACY")&lt;/Q&gt;&lt;R&gt;1&lt;/R&gt;&lt;C&gt;1&lt;/C&gt;&lt;D xsi:type="xsd:double"&gt;3858.048&lt;/D&gt;&lt;/FQL&gt;&lt;FQL&gt;&lt;Q&gt;EWA^FREF_MARKET_VALUE_COMPANY(0,,,USD,,0,,"LEGACY")&lt;/Q&gt;&lt;R&gt;1&lt;/R&gt;&lt;C&gt;1&lt;/C&gt;&lt;D xsi:type="xsd:double"&gt;1955.228&lt;/D&gt;&lt;/FQL&gt;&lt;FQL&gt;&lt;Q&gt;FC0000NZ^FMA_MCAP(0,,,USD,"PORTAGG")&lt;/Q&gt;&lt;R&gt;1&lt;/R&gt;&lt;C&gt;1&lt;/C&gt;&lt;D xsi:type="xsd:double"&gt;91122.24&lt;/D&gt;&lt;/FQL&gt;&lt;FQL&gt;&lt;Q&gt;EPU^FREF_MARKET_VALUE_COMPANY(0,,,USD,,0,,"LEGACY")&lt;/Q&gt;&lt;R&gt;1&lt;/R&gt;&lt;C&gt;1&lt;/C&gt;&lt;D xsi:type="xsd:double"&gt;98.024575&lt;/D&gt;&lt;/FQL&gt;&lt;FQL&gt;&lt;Q&gt;FC0000SA^FMA_MCAP(0,,,USD,"PORTAGG")&lt;/Q&gt;&lt;R&gt;1&lt;/R&gt;&lt;C&gt;1&lt;/C&gt;&lt;D xsi:type="xsd:double"&gt;2947699.8&lt;/D&gt;&lt;/FQL&gt;&lt;FQL&gt;&lt;Q&gt;FC0000PL^FMA_MCAP(0,,,USD,"PORTAGG")&lt;/Q&gt;&lt;R&gt;1&lt;/R&gt;&lt;C&gt;1&lt;/C&gt;&lt;D xsi:type="xsd:double"&gt;202093.47&lt;/D&gt;&lt;/FQL&gt;&lt;FQL&gt;&lt;Q&gt;KSA^FREF_MARKET_VALUE_COMPANY(0,,,USD,,0,,"LEGACY")&lt;/Q&gt;&lt;R&gt;1&lt;/R&gt;&lt;C&gt;1&lt;/C&gt;&lt;D xsi:type="xsd:double"&gt;843.648&lt;/D&gt;&lt;/FQL&gt;&lt;FQL&gt;&lt;Q&gt;EPOL^FREF_MARKET_VALUE_COMPANY(0,,,USD,,0,,"LEGACY")&lt;/Q&gt;&lt;R&gt;1&lt;/R&gt;&lt;C&gt;1&lt;/C&gt;&lt;D xsi:type="xsd:double"&gt;258.1225&lt;/D&gt;&lt;/FQL&gt;&lt;FQL&gt;&lt;Q&gt;FTSEWIVNXXXX^FMA_MCAP(0,,,USD,"PORTAGG")&lt;/Q&gt;&lt;R&gt;1&lt;/R&gt;&lt;C&gt;1&lt;/C&gt;&lt;D xsi:type="xsd:double"&gt;25172.493287&lt;/D&gt;&lt;/FQL&gt;&lt;FQL&gt;&lt;Q&gt;FC0000PH^FMA_MCAP(0,,,USD,"PORTAGG")&lt;/Q&gt;&lt;R&gt;1&lt;/R&gt;&lt;C&gt;1&lt;/C&gt;&lt;D xsi:type="xsd:double"&gt;219848.69&lt;/D&gt;&lt;/FQL&gt;&lt;FQL&gt;&lt;Q&gt;VNM^FREF_MARKET_VALUE_COMPANY(0,,,USD,,0,,"LEGACY")&lt;/Q&gt;&lt;R&gt;1&lt;/R&gt;&lt;C&gt;1&lt;/C&gt;&lt;D xsi:type="xsd:double"&gt;552.706&lt;/D&gt;&lt;/FQL&gt;&lt;FQL&gt;&lt;Q&gt;EPHE^FREF_MARKET_VALUE_COMPANY(0,,,USD,,0,,"LEGACY")&lt;/Q&gt;&lt;R&gt;1&lt;/R&gt;&lt;C&gt;1&lt;/C&gt;&lt;D xsi:type="xsd:double"&gt;124.65&lt;/D&gt;&lt;/FQL&gt;&lt;FQL&gt;&lt;Q&gt;FC0000AE^FMA_MCAP(0,,,USD,"PORTAGG")&lt;/Q&gt;&lt;R&gt;1&lt;/R&gt;&lt;C&gt;1&lt;/C&gt;&lt;D xsi:type="xsd:double"&gt;876853.6&lt;/D&gt;&lt;/FQL&gt;&lt;FQL&gt;&lt;Q&gt;FC0000ID^FMA_MCAP(0,,,USD,"PORTAGG")&lt;/Q&gt;&lt;R&gt;1&lt;/R&gt;&lt;C&gt;1&lt;/C&gt;&lt;D xsi:type="xsd:double"&gt;645292.8&lt;/D&gt;&lt;/FQL&gt;&lt;FQL&gt;&lt;Q&gt;UAE^FREF_MARKET_VALUE_COMPANY(0,,,USD,,0,,"LEGACY")&lt;/Q&gt;&lt;R&gt;1&lt;/R&gt;&lt;C&gt;1&lt;/C&gt;&lt;D xsi:type="xsd:double"&gt;39.5145&lt;/D&gt;&lt;/FQL&gt;&lt;FQL&gt;&lt;Q&gt;EIDO^FREF_MARKET_VALUE_COMPANY(0,,,USD,,0,,"LEGACY")&lt;/Q&gt;&lt;R&gt;1&lt;/R&gt;&lt;C&gt;1&lt;/C&gt;&lt;D xsi:type="xsd:double"&gt;496.832&lt;/D&gt;&lt;/FQL&gt;&lt;FQL&gt;&lt;Q&gt;FC0000TR^FMA_MCAP(0,,,USD,"PORTAGG")&lt;/Q&gt;&lt;R&gt;1&lt;/R&gt;&lt;C&gt;1&lt;/C&gt;&lt;D xsi:type="xsd:double"&gt;373369.53&lt;/D&gt;&lt;/FQL&gt;&lt;FQL&gt;&lt;Q&gt;FC0000CL^FMA_MCAP(0,,,USD,"PORTAGG")&lt;/Q&gt;&lt;R&gt;1&lt;/R&gt;&lt;C&gt;1&lt;/C&gt;&lt;D xsi:type="xsd:double"&gt;138242.16&lt;/D&gt;&lt;/FQL&gt;&lt;FQL&gt;&lt;Q&gt;TUR^FREF_MARKET_VALUE_COMPANY(0,,,USD,,0,,"LEGACY")&lt;/Q&gt;&lt;R&gt;1&lt;/R&gt;&lt;C&gt;1&lt;/C&gt;&lt;D xsi:type="xsd:double"&gt;200.91&lt;/D&gt;&lt;/FQL&gt;&lt;FQL&gt;&lt;Q&gt;ECH^FREF_MARKET_VALUE_COMPANY(0,,,USD,,0,,"LEGACY")&lt;/Q&gt;&lt;R&gt;1&lt;/R&gt;&lt;C&gt;1&lt;/C&gt;&lt;D xsi:type="xsd:double"&gt;546.56&lt;/D&gt;&lt;/FQL&gt;&lt;FQL&gt;&lt;Q&gt;SET-BKK^FMA_MCAP(0,,,USD,"PORTAGG")&lt;/Q&gt;&lt;R&gt;1&lt;/R&gt;&lt;C&gt;1&lt;/C&gt;&lt;D xsi:type="xsd:double"&gt;469323.701813745&lt;/D&gt;&lt;/FQL&gt;&lt;FQL&gt;&lt;Q&gt;SET-BKK^FG_MCAP_IDX(0,,,USD)&lt;/Q&gt;&lt;R&gt;1&lt;/R&gt;&lt;C&gt;1&lt;/C&gt;&lt;D xsi:type="xsd:double"&gt;469323.701813745&lt;/D&gt;&lt;/FQL&gt;&lt;FQL&gt;&lt;Q&gt;CNYA^FREF_MARKET_VALUE_COMPANY(0,,,USD,,0,,"LEGACY")&lt;/Q&gt;&lt;R&gt;1&lt;/R&gt;&lt;C&gt;1&lt;/C&gt;&lt;D xsi:type="xsd:double"&gt;186.8295&lt;/D&gt;&lt;/FQL&gt;&lt;FQL&gt;&lt;Q&gt;FC0000QA^FMA_MCAP(0,,,USD,"PORTAGG")&lt;/Q&gt;&lt;R&gt;1&lt;/R&gt;&lt;C&gt;1&lt;/C&gt;&lt;D xsi:type="xsd:double"&gt;165065.75&lt;/D&gt;&lt;/FQL&gt;&lt;FQL&gt;&lt;Q&gt;CC_ZA^FG_COMPANY_NAME&lt;/Q&gt;&lt;R&gt;1&lt;/R&gt;&lt;C&gt;1&lt;/C&gt;&lt;D xsi:type="xsd:string"&gt;South Africa&lt;/D&gt;&lt;/FQL&gt;&lt;FQL&gt;&lt;Q&gt;QAT^FREF_MARKET_VALUE_COMPANY(0,,,USD,,0,,"LEGACY")&lt;/Q&gt;&lt;R&gt;1&lt;/R&gt;&lt;C&gt;1&lt;/C&gt;&lt;D xsi:type="xsd:double"&gt;82.3095&lt;/D&gt;&lt;/FQL&gt;&lt;FQL&gt;&lt;Q&gt;NQG00809^FG_COMPANY_NAME&lt;/Q&gt;&lt;R&gt;1&lt;/R&gt;&lt;C&gt;1&lt;/C&gt;&lt;D xsi:type="xsd:string"&gt;Nasdaq South Africa&lt;/D&gt;&lt;/FQL&gt;&lt;FQL&gt;&lt;Q&gt;FC0000GR^FMA_MCAP(0,,,USD,"PORTAGG")&lt;/Q&gt;&lt;R&gt;1&lt;/R&gt;&lt;C&gt;1&lt;/C&gt;&lt;D xsi:type="xsd:double"&gt;83983.57&lt;/D&gt;&lt;/FQL&gt;&lt;FQL&gt;&lt;Q&gt;GREK^FREF_MARKET_VALUE_COMPANY(0,,,USD,,0,,"LEGACY")&lt;/Q&gt;&lt;R&gt;1&lt;/R&gt;&lt;C&gt;1&lt;/C&gt;&lt;D xsi:type="xsd:double"&gt;197.80012694&lt;/D&gt;&lt;/FQL&gt;&lt;FQL&gt;&lt;Q&gt;FC0000GB^FMA_MCAP(0,,,USD,"PORTAGG")&lt;/Q&gt;&lt;R&gt;1&lt;/R&gt;&lt;C&gt;1&lt;/C&gt;&lt;D xsi:type="xsd:double"&gt;3041917&lt;/D&gt;&lt;/FQL&gt;&lt;FQL&gt;&lt;Q&gt;FC0000ZA^FMA_MCAP(0,,,USD,"PORTAGG")&lt;/Q&gt;&lt;R&gt;1&lt;/R&gt;&lt;C&gt;1&lt;/C&gt;&lt;D xsi:type="xsd:double"&gt;292423.8&lt;/D&gt;&lt;/FQL&gt;&lt;FQL&gt;&lt;Q&gt;EWU^FREF_MARKET_VALUE_COMPANY(0,,,USD,,0,,"LEGACY")&lt;/Q&gt;&lt;R&gt;1&lt;/R&gt;&lt;C&gt;1&lt;/C&gt;&lt;D xsi:type="xsd:double"&gt;2576.37&lt;/D&gt;&lt;/FQL&gt;&lt;FQL&gt;&lt;Q&gt;FC0000CH^FMA_MCAP(0,,,USD,"PORTAGG")&lt;/Q&gt;&lt;R&gt;1&lt;/R&gt;&lt;C&gt;1&lt;/C&gt;&lt;D xsi:type="xsd:double"&gt;2133620.3&lt;/D&gt;&lt;/FQL&gt;&lt;FQL&gt;&lt;Q&gt;EWL^FREF_MARKET_VALUE_COMPANY(0,,,USD,,0,,"LEGACY")&lt;/Q&gt;&lt;R&gt;1&lt;/R&gt;&lt;C&gt;1&lt;/C&gt;&lt;D xsi:type="xsd:double"&gt;1201.55625&lt;/D&gt;&lt;/FQL&gt;&lt;FQL&gt;&lt;Q&gt;EWZ^FREF_MARKET_VALUE_COMPANY(0,,,USD,,0,,"LEGACY")&lt;/Q&gt;&lt;R&gt;1&lt;/R&gt;&lt;C&gt;1&lt;/C&gt;&lt;D xsi:type="xsd:double"&gt;5265.204&lt;/D&gt;&lt;/FQL&gt;&lt;FQL&gt;&lt;Q&gt;FC0000JP^FMA_MCAP(0,,,USD,"PORTAGG")&lt;/Q&gt;&lt;R&gt;1&lt;/R&gt;&lt;C&gt;1&lt;/C&gt;&lt;D xsi:type="xsd:double"&gt;6661200&lt;/D&gt;&lt;/FQL&gt;&lt;FQL&gt;&lt;Q&gt;EWJ^FREF_MARKET_VALUE_COMPANY(0,,,USD,,0,,"LEGACY")&lt;/Q&gt;&lt;R&gt;1&lt;/R&gt;&lt;C&gt;1&lt;/C&gt;&lt;D xsi:type="xsd:double"&gt;16560.552&lt;/D&gt;&lt;/FQL&gt;&lt;FQL&gt;&lt;Q&gt;EWY^FREF_MARKET_VALUE_COMPANY(0,,,USD,,0,,"LEGACY")&lt;/Q&gt;&lt;R&gt;1&lt;/R&gt;&lt;C&gt;1&lt;/C&gt;&lt;D xsi:type="xsd:double"&gt;4736.32&lt;/D&gt;&lt;/FQL&gt;&lt;FQL&gt;&lt;Q&gt;FC0000DE^FMA_MCAP(0,,,USD,"PORTAGG")&lt;/Q&gt;&lt;R&gt;1&lt;/R&gt;&lt;C&gt;1&lt;/C&gt;&lt;D xsi:type="xsd:double"&gt;2313505.3&lt;/D&gt;&lt;/FQL&gt;&lt;FQL&gt;&lt;Q&gt;FC0000MX^FMA_MCAP(0,,,USD,"PORTAGG")&lt;/Q&gt;&lt;R&gt;1&lt;/R&gt;&lt;C&gt;1&lt;/C&gt;&lt;D xsi:type="xsd:double"&gt;524663.44&lt;/D&gt;&lt;/FQL&gt;&lt;FQL&gt;&lt;Q&gt;EWG^FREF_MARKET_VALUE_COMPANY(0,,,USD,,0,,"LEGACY")&lt;/Q&gt;&lt;R&gt;1&lt;/R&gt;&lt;C&gt;1&lt;/C&gt;&lt;D xsi:type="xsd:double"&gt;1014.09&lt;/D&gt;&lt;/FQL&gt;&lt;FQL&gt;&lt;Q&gt;EWW^FREF_MARKET_VALUE_COMPANY(0,,,USD,,0,,"LEGACY")&lt;/Q&gt;&lt;R&gt;1&lt;/R&gt;&lt;C&gt;1&lt;/C&gt;&lt;D xsi:type="xsd:double"&gt;1916.396&lt;/D&gt;&lt;/FQL&gt;&lt;FQL&gt;&lt;Q&gt;FC0000CA^FMA_MCAP(0,,,USD,"PORTAGG")&lt;/Q&gt;&lt;R&gt;1&lt;/R&gt;&lt;C&gt;1&lt;/C&gt;&lt;D xsi:type="xsd:double"&gt;2662035.5&lt;/D&gt;&lt;/FQL&gt;&lt;FQL&gt;&lt;Q&gt;FC0000TW^FMA_MCAP(0,,,USD,"PORTAGG")&lt;/Q&gt;&lt;R&gt;1&lt;/R&gt;&lt;C&gt;1&lt;/C&gt;&lt;D xsi:type="xsd:double"&gt;2130373.5&lt;/D&gt;&lt;/FQL&gt;&lt;FQL&gt;&lt;Q&gt;EWC^FREF_MARKET_VALUE_COMPANY(0,,,USD,,0,,"LEGACY")&lt;/Q&gt;&lt;R&gt;1&lt;/R&gt;&lt;C&gt;1&lt;/C&gt;&lt;D xsi:type="xsd:double"&gt;2809.818&lt;/D&gt;&lt;/FQL&gt;&lt;FQL&gt;&lt;Q&gt;FC0000AU^FMA_MCAP(0,,,USD,"PORTAGG")&lt;/Q&gt;&lt;R&gt;1&lt;/R&gt;&lt;C&gt;1&lt;/C&gt;&lt;D xsi:type="xsd:double"&gt;1654518.5&lt;/D&gt;&lt;/FQL&gt;&lt;FQL&gt;&lt;Q&gt;FC0000MY^FMA_MCAP(0,,,USD,"PORTAGG")&lt;/Q&gt;&lt;R&gt;1&lt;/R&gt;&lt;C&gt;1&lt;/C&gt;&lt;D xsi:type="xsd:double"&gt;365703.44&lt;/D&gt;&lt;/FQL&gt;&lt;FQL&gt;&lt;Q&gt;FC0000PE^FMA_MCAP(0,,,USD,"PORTAGG")&lt;/Q&gt;&lt;R&gt;1&lt;/R&gt;&lt;C&gt;1&lt;/C&gt;&lt;D xsi:type="xsd:double"&gt;39537.266&lt;/D&gt;&lt;/FQL&gt;&lt;FQL&gt;&lt;Q&gt;ENZL^FREF_MARKET_VALUE_COMPANY(0,,,USD,,0,,"LEGACY")&lt;/Q&gt;&lt;R&gt;1&lt;/R&gt;&lt;C&gt;1&lt;/C&gt;&lt;D xsi:type="xsd:double"&gt;99.176&lt;/D&gt;&lt;/FQL&gt;&lt;FQL&gt;&lt;Q&gt;DUMMY^ECON_EXPR_DATA('FDS_ECON[NTCPMIMFGSA@GR]',11/2023,,Q)&lt;/Q&gt;&lt;R&gt;1&lt;/R&gt;&lt;C&gt;1&lt;/C&gt;&lt;D xsi:type="xsd:double"&gt;52.236584&lt;/D&gt;&lt;/FQL&gt;&lt;FQL&gt;&lt;Q&gt;DUMMY^ECON_EXPR_DATA('FDS_ECON[PMIQAWHEHE]',11/2023,,Q)&lt;/Q&gt;&lt;R&gt;1&lt;/R&gt;&lt;C&gt;1&lt;/C&gt;&lt;D xsi:type="xsd:double"&gt;53.860752&lt;/D&gt;&lt;/FQL&gt;&lt;FQL&gt;&lt;Q&gt;DUMMY^ECON_EXPR_DATA('FDS_ECON[NTCPMIMFGSA@TR]',02/2024,,Q)&lt;/Q&gt;&lt;R&gt;1&lt;/R&gt;&lt;C&gt;1&lt;/C&gt;&lt;D xsi:type="xsd:double"&gt;47.664864&lt;/D&gt;&lt;/FQL&gt;&lt;FQL&gt;&lt;Q&gt;DUMMY^ECON_EXPR_DATA('FDS_ECON[NTCPMIMFGSA@BR]',11/2023,,Q)&lt;/Q&gt;&lt;R&gt;1&lt;/R&gt;&lt;C&gt;1&lt;/C&gt;&lt;D xsi:type="xsd:double"&gt;48.99601&lt;/D&gt;&lt;/FQL&gt;&lt;FQL&gt;&lt;Q&gt;DUMMY^ECON_EXPR_DATA('FDS_ECON[NTCPMIMFGSA@MX]',11/2023,,Q)&lt;/Q&gt;&lt;R&gt;1&lt;/R&gt;&lt;C&gt;1&lt;/C&gt;&lt;D xsi:type="xsd:double"&gt;51.404537&lt;/D&gt;&lt;/FQL&gt;&lt;FQL&gt;&lt;Q&gt;DUMMY^ECON_EXPR_DATA('FDS_ECON[NTCPMIMFGSA@CL]',11/2023,,Q)&lt;/Q&gt;&lt;R&gt;0&lt;/R&gt;&lt;C&gt;0&lt;/C&gt;&lt;/FQL&gt;&lt;FQL&gt;&lt;Q&gt;DUMMY^ECON_EXPR_DATA('FDS_ECON[NTCPMIMFGSA@PE]',11/2023,,Q)&lt;/Q&gt;&lt;R&gt;0&lt;/R&gt;&lt;C&gt;0&lt;/C&gt;&lt;/FQL&gt;&lt;FQL&gt;&lt;Q&gt;DUMMY^ECON_EXPR_DATA('FDS_ECON[PMIMYMANHE]',11/2023,,Q)&lt;/Q&gt;&lt;R&gt;1&lt;/R&gt;&lt;C&gt;1&lt;/C&gt;&lt;D xsi:type="xsd:double"&gt;47.470974&lt;/D&gt;&lt;/FQL&gt;&lt;FQL&gt;&lt;Q&gt;DUMMY^ECON_EXPR_DATA('FDS_ECON[NTCPMIMFGSA@KR]',11/2023,,Q)&lt;/Q&gt;&lt;R&gt;1&lt;/R&gt;&lt;C&gt;1&lt;/C&gt;&lt;D xsi:type="xsd:double"&gt;49.420246&lt;/D&gt;&lt;/FQL&gt;&lt;FQL&gt;&lt;Q&gt;DUMMY^ECON_EXPR_DATA('FDS_ECON[NTCPMIINDEXSA@SA]',02/2024,,Q)&lt;/Q&gt;&lt;R&gt;1&lt;/R&gt;&lt;C&gt;1&lt;/C&gt;&lt;D xsi:type="xsd:double"&gt;57.793106&lt;/D&gt;&lt;/FQL&gt;&lt;FQL&gt;&lt;Q&gt;DUMMY^ECON_EXPR_DATA('FDS_ECON[NTCPMIMFGSA@VN]',02/2024,,Q)&lt;/Q&gt;&lt;R&gt;1&lt;/R&gt;&lt;C&gt;1&lt;/C&gt;&lt;D xsi:type="xsd:double"&gt;48.59743&lt;/D&gt;&lt;/FQL&gt;&lt;FQL&gt;&lt;Q&gt;DUMMY^ECON_EXPR_DATA('FDS_ECON[NTCPMIMFGSA@ID]',11/2023,,Q)&lt;/Q&gt;&lt;R&gt;1&lt;/R&gt;&lt;C&gt;1&lt;/C&gt;&lt;D xsi:type="xsd:double"&gt;53.156506&lt;/D&gt;&lt;/FQL&gt;&lt;FQL&gt;&lt;Q&gt;DUMMY^ECON_EXPR_DATA('FDS_ECON[NTCPMIMFGSA@TW]',11/2023,,Q)&lt;/Q&gt;&lt;R&gt;1&lt;/R&gt;&lt;C&gt;1&lt;/C&gt;&lt;D xsi:type="xsd:double"&gt;44.970745&lt;/D&gt;&lt;/FQL&gt;&lt;FQL&gt;&lt;Q&gt;DUMMY^ECON_EXPR_DATA('FDS_ECON[NTCPMITHMANHE]',11/2023,,Q)&lt;/Q&gt;&lt;R&gt;1&lt;/R&gt;&lt;C&gt;1&lt;/C&gt;&lt;D xsi:type="xsd:double"&gt;49.120174&lt;/D&gt;&lt;/FQL&gt;&lt;FQL&gt;&lt;Q&gt;DUMMY^ECON_EXPR_DATA('FDS_ECON[NTCPMIMFGSA@CN]',11/2023,,Q)&lt;/Q&gt;&lt;R&gt;1&lt;/R&gt;&lt;C&gt;1&lt;/C&gt;&lt;D xsi:type="xsd:double"&gt;50.266373&lt;/D&gt;&lt;/FQL&gt;&lt;FQL&gt;&lt;Q&gt;DUMMY^ECON_EXPR_DATA('FDS_ECON[NTCPMIPHMANHE]',11/2023,,Q)&lt;/Q&gt;&lt;R&gt;1&lt;/R&gt;&lt;C&gt;1&lt;/C&gt;&lt;D xsi:type="xsd:double"&gt;50.747215&lt;/D&gt;&lt;/FQL&gt;&lt;FQL&gt;&lt;Q&gt;DUMMY^ECON_EXPR_DATA('FDS_ECON[NTCPMIMFGSA@PL]',11/2023,,Q)&lt;/Q&gt;&lt;R&gt;1&lt;/R&gt;&lt;C&gt;1&lt;/C&gt;&lt;D xsi:type="xsd:double"&gt;43.504345&lt;/D&gt;&lt;/FQL&gt;&lt;FQL&gt;&lt;Q&gt;DUMMY^ECON_EXPR_DATA('FDS_ECON[PMIMFGSA@ZA]',11/2023,,Q)&lt;/Q&gt;&lt;R&gt;1&lt;/R&gt;&lt;C&gt;1&lt;/C&gt;&lt;D xsi:type="xsd:double"&gt;49.704178&lt;/D&gt;&lt;/FQL&gt;&lt;FQL&gt;&lt;Q&gt;DUMMY^ECON_EXPR_DATA('FDS_ECON[NTCPMIMFGSA@AE]',02/2024,,Q)&lt;/Q&gt;&lt;R&gt;0&lt;/R&gt;&lt;C&gt;0&lt;/C&gt;&lt;/FQL&gt;&lt;FQL&gt;&lt;Q&gt;DUMMY^ECON_EXPR_DATA('FDS_ECON[NTCPMIMFGSA@IN]',11/2023,,Q)&lt;/Q&gt;&lt;R&gt;1&lt;/R&gt;&lt;C&gt;1&lt;/C&gt;&lt;D xsi:type="xsd:double"&gt;57.930668&lt;/D&gt;&lt;/FQL&gt;&lt;FQL&gt;&lt;Q&gt;DUMMY^ECON_EXPR_DATA('FDS_ECON[NTCPMIMFGSA@EME]',MCHI,,Q)&lt;/Q&gt;&lt;R&gt;1&lt;/R&gt;&lt;C&gt;1&lt;/C&gt;&lt;D xsi:type="xsd:string"&gt;#NUM&lt;/D&gt;&lt;/FQL&gt;&lt;FQL&gt;&lt;Q&gt;EWM^FMA_ROE(NTMA,-20AY,NOW,FY,"PORTAGG","MEANR")&lt;/Q&gt;&lt;R&gt;20&lt;/R&gt;&lt;C&gt;1&lt;/C&gt;&lt;D xsi:type="xsd:double"&gt;13.3764235591454&lt;/D&gt;&lt;D xsi:type="xsd:double"&gt;13.2591008782889&lt;/D&gt;&lt;D xsi:type="xsd:double"&gt;13.5343642097079&lt;/D&gt;&lt;D xsi:type="xsd:double"&gt;14.6672633006441&lt;/D&gt;&lt;D xsi:type="xsd:double"&gt;11.7899739556718&lt;/D&gt;&lt;D xsi:type="xsd:double"&gt;12.6973987236168&lt;/D&gt;&lt;D xsi:type="xsd:double"&gt;14.629974764894&lt;/D&gt;&lt;D xsi:type="xsd:double"&gt;13.8590428625605&lt;/D&gt;&lt;D xsi:type="xsd:double"&gt;13.2332711485965&lt;/D&gt;&lt;D xsi:type="xsd:double"&gt;13.0689929250701&lt;/D&gt;&lt;D xsi:type="xsd:double"&gt;12.0884430441681&lt;/D&gt;&lt;D xsi:type="xsd:double"&gt;10.6772868053956&lt;/D&gt;&lt;D xsi:type="xsd:double"&gt;9.6001106335988&lt;/D&gt;&lt;D xsi:type="xsd:double"&gt;9.81766059257374&lt;/D&gt;&lt;D xsi:type="xsd:double"&gt;9.62847705365634&lt;/D&gt;&lt;D xsi:type="xsd:double"&gt;9.33280715475934&lt;/D&gt;&lt;D xsi:type="xsd:double"&gt;10.6153952262209&lt;/D&gt;&lt;D xsi:type="xsd:double"&gt;9.47363114651143&lt;/D&gt;&lt;D xsi:type="xsd:double"&gt;10.1683466984571&lt;/D&gt;&lt;D xsi:type="xsd:double"&gt;9.55887744824477&lt;/D&gt;&lt;/FQL&gt;&lt;FQL&gt;&lt;Q&gt;TRYMX10Y-FDS^FG_YIELD(-10AY,0,Y,,"YTM")&lt;/Q&gt;&lt;R&gt;10&lt;/R&gt;&lt;C&gt;1&lt;/C&gt;&lt;D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xsi:type="xsd:double"&gt;6.6087&lt;/D&gt;&lt;/FQL&gt;&lt;FQL&gt;&lt;Q&gt;CAGDPY@QA^EE_ACTUAL_ANNUAL(MED,0)&lt;/Q&gt;&lt;R&gt;1&lt;/R&gt;&lt;C&gt;1&lt;/C&gt;&lt;D xsi:type="xsd:double"&gt;16.4&lt;/D&gt;&lt;/FQL&gt;&lt;FQL&gt;&lt;Q&gt;CAGDPY@TW^EE_ACTUAL_ANNUAL(MED,0)&lt;/Q&gt;&lt;R&gt;1&lt;/R&gt;&lt;C&gt;1&lt;/C&gt;&lt;D xsi:type="xsd:double"&gt;13.7260418671641&lt;/D&gt;&lt;/FQL&gt;&lt;FQL&gt;&lt;Q&gt;CC_VN^FG_COMPANY_NAME&lt;/Q&gt;&lt;R&gt;1&lt;/R&gt;&lt;C&gt;1&lt;/C&gt;&lt;D xsi:type="xsd:string"&gt;Vietnam&lt;/D&gt;&lt;/FQL&gt;&lt;FQL&gt;&lt;Q&gt;DUMMY^ECON_EXPR_DATA('FDS_ECON[NTCPMIMFGSA@EME]',EM,,Q)&lt;/Q&gt;&lt;R&gt;1&lt;/R&gt;&lt;C&gt;1&lt;/C&gt;&lt;D xsi:type="xsd:string"&gt;#NUM&lt;/D&gt;&lt;/FQL&gt;&lt;FQL&gt;&lt;Q&gt;EPU^FMA_ROE(NTMA,-20AY,NOW,FY,"PORTAGG","MEANR")&lt;/Q&gt;&lt;R&gt;20&lt;/R&gt;&lt;C&gt;1&lt;/C&gt;&lt;D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xsi:type="xsd:double"&gt;21.6487924933022&lt;/D&gt;&lt;D xsi:type="xsd:double"&gt;26.674075406927&lt;/D&gt;&lt;D xsi:type="xsd:double"&gt;23.3940784657959&lt;/D&gt;&lt;D xsi:type="xsd:double"&gt;19.9442083003203&lt;/D&gt;&lt;D xsi:type="xsd:double"&gt;14.2295976118279&lt;/D&gt;&lt;D xsi:type="xsd:double"&gt;12.7121203643147&lt;/D&gt;&lt;D xsi:type="xsd:double"&gt;8.83035011509517&lt;/D&gt;&lt;D xsi:type="xsd:double"&gt;12.5824807721625&lt;/D&gt;&lt;D xsi:type="xsd:double"&gt;12.1461987185301&lt;/D&gt;&lt;D xsi:type="xsd:double"&gt;10.92253300719&lt;/D&gt;&lt;D xsi:type="xsd:double"&gt;11.9146021102361&lt;/D&gt;&lt;D xsi:type="xsd:double"&gt;12.086026376397&lt;/D&gt;&lt;D xsi:type="xsd:double"&gt;15.0555655388878&lt;/D&gt;&lt;D xsi:type="xsd:double"&gt;13.6225814185959&lt;/D&gt;&lt;D xsi:type="xsd:double"&gt;12.9324473673683&lt;/D&gt;&lt;/FQL&gt;&lt;FQL&gt;&lt;Q&gt;TRYIN10Y-FDS^FG_YIELD(-10AY,0,Y,,"YTM")&lt;/Q&gt;&lt;R&gt;10&lt;/R&gt;&lt;C&gt;1&lt;/C&gt;&lt;D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xsi:type="xsd:double"&gt;7.4903&lt;/D&gt;&lt;D xsi:type="xsd:double"&gt;7.35&lt;/D&gt;&lt;D xsi:type="xsd:double"&gt;6.55&lt;/D&gt;&lt;D xsi:type="xsd:double"&gt;5.9&lt;/D&gt;&lt;D xsi:type="xsd:double"&gt;6.4688&lt;/D&gt;&lt;D xsi:type="xsd:double"&gt;7.3388&lt;/D&gt;&lt;D xsi:type="xsd:double"&gt;7.2&lt;/D&gt;&lt;/FQL&gt;&lt;FQL&gt;&lt;Q&gt;TRYGR10Y-FDS^FG_YIELD(-10AY,0,Y,,"YTM")&lt;/Q&gt;&lt;R&gt;10&lt;/R&gt;&lt;C&gt;1&lt;/C&gt;&lt;D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xsi:type="xsd:double"&gt;3.099&lt;/D&gt;&lt;/FQL&gt;&lt;FQL&gt;&lt;Q&gt;CAGDPY@CN^EE_ACTUAL_ANNUAL(MED,+1)&lt;/Q&gt;&lt;R&gt;1&lt;/R&gt;&lt;C&gt;1&lt;/C&gt;&lt;D xsi:type="xsd:double"&gt;1.25&lt;/D&gt;&lt;/FQL&gt;&lt;FQL&gt;&lt;Q&gt;CAGDPY@MY^EE_ACTUAL_ANNUAL(MED,+1)&lt;/Q&gt;&lt;R&gt;1&lt;/R&gt;&lt;C&gt;1&lt;/C&gt;&lt;D xsi:type="xsd:double"&gt;2.5&lt;/D&gt;&lt;/FQL&gt;&lt;FQL&gt;&lt;Q&gt;CC_AE^FG_COMPANY_NAME&lt;/Q&gt;&lt;R&gt;1&lt;/R&gt;&lt;C&gt;1&lt;/C&gt;&lt;D xsi:type="xsd:string"&gt;United Arab Emirates&lt;/D&gt;&lt;/FQL&gt;&lt;FQL&gt;&lt;Q&gt;CC_ID^FG_COMPANY_NAME&lt;/Q&gt;&lt;R&gt;1&lt;/R&gt;&lt;C&gt;1&lt;/C&gt;&lt;D xsi:type="xsd:string"&gt;Indonesia&lt;/D&gt;&lt;/FQL&gt;&lt;FQL&gt;&lt;Q&gt;USDVND^FG_PRICE_CHANGE(0,-1AY)&lt;/Q&gt;&lt;R&gt;1&lt;/R&gt;&lt;C&gt;1&lt;/C&gt;&lt;D xsi:type="xsd:double"&gt;4.0505767&lt;/D&gt;&lt;/FQL&gt;&lt;FQL&gt;&lt;Q&gt;KSA^FMA_ROE(NTMA,-20AY,NOW,FY,"PORTAGG","MEANR")&lt;/Q&gt;&lt;R&gt;20&lt;/R&gt;&lt;C&gt;1&lt;/C&gt;&lt;D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xsi:type="xsd:double"&gt;12.9007124779981&lt;/D&gt;&lt;D xsi:type="xsd:double"&gt;11.3294751772354&lt;/D&gt;&lt;D xsi:type="xsd:double"&gt;11.9967853551854&lt;/D&gt;&lt;D xsi:type="xsd:double"&gt;12.1701096511068&lt;/D&gt;&lt;D xsi:type="xsd:double"&gt;11.2305559814687&lt;/D&gt;&lt;D xsi:type="xsd:double"&gt;10.146987054615&lt;/D&gt;&lt;D xsi:type="xsd:double"&gt;12.7997878012912&lt;/D&gt;&lt;D xsi:type="xsd:double"&gt;13.7729696546777&lt;/D&gt;&lt;D xsi:type="xsd:double"&gt;11.7570018859186&lt;/D&gt;&lt;/FQL&gt;&lt;FQL&gt;&lt;Q&gt;EPOL^FMA_ROE(NTMA,-20AY,NOW,FY,"PORTAGG","MEANR")&lt;/Q&gt;&lt;R&gt;20&lt;/R&gt;&lt;C&gt;1&lt;/C&gt;&lt;D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xsi:type="xsd:double"&gt;12.9136409385463&lt;/D&gt;&lt;D xsi:type="xsd:double"&gt;11.6682069956937&lt;/D&gt;&lt;D xsi:type="xsd:double"&gt;9.88095297355163&lt;/D&gt;&lt;D xsi:type="xsd:double"&gt;9.32819662687838&lt;/D&gt;&lt;D xsi:type="xsd:double"&gt;9.08400416739547&lt;/D&gt;&lt;D xsi:type="xsd:double"&gt;8.19593899535384&lt;/D&gt;&lt;D xsi:type="xsd:double"&gt;8.81992527720217&lt;/D&gt;&lt;D xsi:type="xsd:double"&gt;10.5838129179285&lt;/D&gt;&lt;D xsi:type="xsd:double"&gt;10.2657999868947&lt;/D&gt;&lt;D xsi:type="xsd:double"&gt;9.4389843194853&lt;/D&gt;&lt;D xsi:type="xsd:double"&gt;7.20768650788903&lt;/D&gt;&lt;D xsi:type="xsd:double"&gt;10.1460102201106&lt;/D&gt;&lt;D xsi:type="xsd:double"&gt;10.9641857238333&lt;/D&gt;&lt;D xsi:type="xsd:double"&gt;12.3945793275799&lt;/D&gt;&lt;/FQL&gt;&lt;FQL&gt;&lt;Q&gt;TRYQA10Y-FDS^FG_YIELD(-10AY,0,Y,,"YTM")&lt;/Q&gt;&lt;R&gt;10&lt;/R&gt;&lt;C&gt;1&lt;/C&gt;&lt;D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xsi:type="xsd:double"&gt;0.703&lt;/D&gt;&lt;/FQL&gt;&lt;FQL&gt;&lt;Q&gt;CAGDPY@CN^EE_ACTUAL_ANNUAL(MED,0)&lt;/Q&gt;&lt;R&gt;1&lt;/R&gt;&lt;C&gt;1&lt;/C&gt;&lt;D xsi:type="xsd:double"&gt;1.7&lt;/D&gt;&lt;/FQL&gt;&lt;FQL&gt;&lt;Q&gt;CAGDPY@MY^EE_ACTUAL_ANNUAL(MED,0)&lt;/Q&gt;&lt;R&gt;1&lt;/R&gt;&lt;C&gt;1&lt;/C&gt;&lt;D xsi:type="xsd:double"&gt;1.24988666555076&lt;/D&gt;&lt;/FQL&gt;&lt;FQL&gt;&lt;Q&gt;CC_TR^FG_COMPANY_NAME&lt;/Q&gt;&lt;R&gt;1&lt;/R&gt;&lt;C&gt;1&lt;/C&gt;&lt;D xsi:type="xsd:string"&gt;Turkey&lt;/D&gt;&lt;/FQL&gt;&lt;FQL&gt;&lt;Q&gt;CC_CL^FG_COMPANY_NAME&lt;/Q&gt;&lt;R&gt;1&lt;/R&gt;&lt;C&gt;1&lt;/C&gt;&lt;D xsi:type="xsd:string"&gt;Chile&lt;/D&gt;&lt;/FQL&gt;&lt;FQL&gt;&lt;Q&gt;USDVND^FG_PRICE(0)&lt;/Q&gt;&lt;R&gt;1&lt;/R&gt;&lt;C&gt;1&lt;/C&gt;&lt;D xsi:type="xsd:double"&gt;24686&lt;/D&gt;&lt;/FQL&gt;&lt;FQL&gt;&lt;Q&gt;VNM^FMA_ROE(NTMA,-20AY,NOW,FY,"PORTAGG","MEANR")&lt;/Q&gt;&lt;R&gt;20&lt;/R&gt;&lt;C&gt;1&lt;/C&gt;&lt;D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xsi:type="xsd:double"&gt;12.2007678582522&lt;/D&gt;&lt;D xsi:type="xsd:double"&gt;16.4162915324944&lt;/D&gt;&lt;D xsi:type="xsd:double"&gt;16.394053839446&lt;/D&gt;&lt;D xsi:type="xsd:double"&gt;15.4303491131499&lt;/D&gt;&lt;D xsi:type="xsd:double"&gt;15.2759317822094&lt;/D&gt;&lt;D xsi:type="xsd:double"&gt;10.9403666714676&lt;/D&gt;&lt;D xsi:type="xsd:double"&gt;8.5756546844961&lt;/D&gt;&lt;D xsi:type="xsd:double"&gt;13.4991404349356&lt;/D&gt;&lt;D xsi:type="xsd:double"&gt;12.1231419211942&lt;/D&gt;&lt;D xsi:type="xsd:double"&gt;15.1097267855615&lt;/D&gt;&lt;D xsi:type="xsd:double"&gt;15.4807939433741&lt;/D&gt;&lt;D xsi:type="xsd:double"&gt;17.0889112010564&lt;/D&gt;&lt;D xsi:type="xsd:double"&gt;18.3844906020794&lt;/D&gt;&lt;D xsi:type="xsd:double"&gt;14.7334622550631&lt;/D&gt;&lt;D xsi:type="xsd:double"&gt;10.7325513465194&lt;/D&gt;&lt;/FQL&gt;&lt;FQL&gt;&lt;Q&gt;UAE^FMA_ROE(NTMA,-20AY,NOW,FY,"PORTAGG","MEANR")&lt;/Q&gt;&lt;R&gt;20&lt;/R&gt;&lt;C&gt;1&lt;/C&gt;&lt;D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xsi:type="xsd:double"&gt;11.0777984350957&lt;/D&gt;&lt;D xsi:type="xsd:double"&gt;12.3046871114493&lt;/D&gt;&lt;D xsi:type="xsd:double"&gt;11.0383578639711&lt;/D&gt;&lt;D xsi:type="xsd:double"&gt;12.0257898837902&lt;/D&gt;&lt;D xsi:type="xsd:double"&gt;10.3907544258318&lt;/D&gt;&lt;D xsi:type="xsd:double"&gt;8.12845515854192&lt;/D&gt;&lt;D xsi:type="xsd:double"&gt;6.7620176250091&lt;/D&gt;&lt;D xsi:type="xsd:double"&gt;11.2349425542518&lt;/D&gt;&lt;D xsi:type="xsd:double"&gt;12.9338493780006&lt;/D&gt;&lt;D xsi:type="xsd:double"&gt;13.2251182283574&lt;/D&gt;&lt;/FQL&gt;&lt;FQL&gt;&lt;Q&gt;TUR^FMA_ROE(NTMA,-20AY,NOW,FY,"PORTAGG","MEANR")&lt;/Q&gt;&lt;R&gt;20&lt;/R&gt;&lt;C&gt;1&lt;/C&gt;&lt;D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xsi:type="xsd:double"&gt;14.5323662756041&lt;/D&gt;&lt;D xsi:type="xsd:double"&gt;15.0832531129689&lt;/D&gt;&lt;D xsi:type="xsd:double"&gt;15.8676026141806&lt;/D&gt;&lt;D xsi:type="xsd:double"&gt;14.4769185864537&lt;/D&gt;&lt;D xsi:type="xsd:double"&gt;15.0590425800443&lt;/D&gt;&lt;D xsi:type="xsd:double"&gt;13.6524897976729&lt;/D&gt;&lt;D xsi:type="xsd:double"&gt;12.866544620472&lt;/D&gt;&lt;D xsi:type="xsd:double"&gt;12.7726870869254&lt;/D&gt;&lt;D xsi:type="xsd:double"&gt;12.8458107179109&lt;/D&gt;&lt;D xsi:type="xsd:double"&gt;15.2051271731034&lt;/D&gt;&lt;D xsi:type="xsd:double"&gt;14.7086929252537&lt;/D&gt;&lt;D xsi:type="xsd:double"&gt;14.9602850761367&lt;/D&gt;&lt;D xsi:type="xsd:double"&gt;12.998128179313&lt;/D&gt;&lt;D xsi:type="xsd:double"&gt;18.7994603339493&lt;/D&gt;&lt;D xsi:type="xsd:double"&gt;24.2938213733918&lt;/D&gt;&lt;D xsi:type="xsd:double"&gt;26.0567977573337&lt;/D&gt;&lt;/FQL&gt;&lt;FQL&gt;&lt;Q&gt;SET-BKK^FMA_ROE(NTMA,-20AY,NOW,FY,"PORTAGG","MEANR")&lt;/Q&gt;&lt;R&gt;20&lt;/R&gt;&lt;C&gt;1&lt;/C&gt;&lt;D xsi:type="xsd:double"&gt;19.4775253074283&lt;/D&gt;&lt;D xsi:type="xsd:double"&gt;16.7129326073384&lt;/D&gt;&lt;D xsi:type="xsd:double"&gt;14.8656028990892&lt;/D&gt;&lt;D xsi:type="xsd:double"&gt;14.4266077076695&lt;/D&gt;&lt;D xsi:type="xsd:double"&gt;11.0560385715565&lt;/D&gt;&lt;D xsi:type="xsd:double"&gt;13.1789961604636&lt;/D&gt;&lt;D xsi:type="xsd:double"&gt;14.9486867959632&lt;/D&gt;&lt;D xsi:type="xsd:double"&gt;14.3192952203821&lt;/D&gt;&lt;D xsi:type="xsd:double"&gt;15.3579090829836&lt;/D&gt;&lt;D xsi:type="xsd:double"&gt;14.4834347566328&lt;/D&gt;&lt;D xsi:type="xsd:double"&gt;13.1977119976914&lt;/D&gt;&lt;D xsi:type="xsd:double"&gt;12.8261347373446&lt;/D&gt;&lt;D xsi:type="xsd:double"&gt;12.4445057567564&lt;/D&gt;&lt;D xsi:type="xsd:double"&gt;12.4919200136172&lt;/D&gt;&lt;D xsi:type="xsd:double"&gt;12.5523899281401&lt;/D&gt;&lt;D xsi:type="xsd:double"&gt;10.9395949225821&lt;/D&gt;&lt;D xsi:type="xsd:double"&gt;8.38849749993249&lt;/D&gt;&lt;D xsi:type="xsd:double"&gt;9.94747027345842&lt;/D&gt;&lt;D xsi:type="xsd:double"&gt;10.1243577102345&lt;/D&gt;&lt;D xsi:type="xsd:double"&gt;9.34892363526725&lt;/D&gt;&lt;/FQL&gt;&lt;FQL&gt;&lt;Q&gt;ECH^FMA_ROE(NTMA,-20AY,NOW,FY,"PORTAGG","MEANR")&lt;/Q&gt;&lt;R&gt;20&lt;/R&gt;&lt;C&gt;1&lt;/C&gt;&lt;D xsi:type="xsd:string"&gt;@NA&lt;/D&gt;&lt;D xsi:type="xsd:string"&gt;@NA&lt;/D&gt;&lt;D xsi:type="xsd:string"&gt;@NA&lt;/D&gt;&lt;D xsi:type="xsd:double"&gt;14.1776881603624&lt;/D&gt;&lt;D xsi:type="xsd:double"&gt;11.2798802315493&lt;/D&gt;&lt;D xsi:type="xsd:double"&gt;14.2628883913247&lt;/D&gt;&lt;D xsi:type="xsd:double"&gt;14.4661394368492&lt;/D&gt;&lt;D xsi:type="xsd:double"&gt;14.0754868016221&lt;/D&gt;&lt;D xsi:type="xsd:double"&gt;12.4952890187187&lt;/D&gt;&lt;D xsi:type="xsd:double"&gt;10.8480668279512&lt;/D&gt;&lt;D xsi:type="xsd:double"&gt;9.37758339699264&lt;/D&gt;&lt;D xsi:type="xsd:double"&gt;9.57060991333475&lt;/D&gt;&lt;D xsi:type="xsd:double"&gt;8.68386650455443&lt;/D&gt;&lt;D xsi:type="xsd:double"&gt;9.38392046774864&lt;/D&gt;&lt;D xsi:type="xsd:double"&gt;11.2778516938703&lt;/D&gt;&lt;D xsi:type="xsd:double"&gt;9.83590954451218&lt;/D&gt;&lt;D xsi:type="xsd:double"&gt;8.75463942854793&lt;/D&gt;&lt;D xsi:type="xsd:double"&gt;10.6038911838351&lt;/D&gt;&lt;D xsi:type="xsd:double"&gt;12.7874449833902&lt;/D&gt;&lt;D xsi:type="xsd:double"&gt;13.7800684317394&lt;/D&gt;&lt;/FQL&gt;&lt;FQL&gt;&lt;Q&gt;TRY10Y-FDS^FG_YIELD(-10AY,0,Y,,"YTM")&lt;/Q&gt;&lt;R&gt;10&lt;/R&gt;&lt;C&gt;1&lt;/C&gt;&lt;D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xsi:type="xsd:double"&gt;11.358896&lt;/D&gt;&lt;/FQL&gt;&lt;FQL&gt;&lt;Q&gt;CAGDPY@ID^EE_ACTUAL_ANNUAL(MED,0)&lt;/Q&gt;&lt;R&gt;1&lt;/R&gt;&lt;C&gt;1&lt;/C&gt;&lt;D xsi:type="xsd:double"&gt;-0.11&lt;/D&gt;&lt;/FQL&gt;&lt;FQL&gt;&lt;Q&gt;CC_PE^FG_COMPANY_NAME&lt;/Q&gt;&lt;R&gt;1&lt;/R&gt;&lt;C&gt;1&lt;/C&gt;&lt;D xsi:type="xsd:string"&gt;Peru&lt;/D&gt;&lt;/FQL&gt;&lt;FQL&gt;&lt;Q&gt;USDTHB^FG_PRICE_CHANGE(0,-3AM)&lt;/Q&gt;&lt;R&gt;1&lt;/R&gt;&lt;C&gt;1&lt;/C&gt;&lt;D xsi:type="xsd:double"&gt;2.4824739&lt;/D&gt;&lt;/FQL&gt;&lt;FQL&gt;&lt;Q&gt;USDCNH^FG_PRICE(0)&lt;/Q&gt;&lt;R&gt;1&lt;/R&gt;&lt;C&gt;1&lt;/C&gt;&lt;D xsi:type="xsd:double"&gt;7.2089&lt;/D&gt;&lt;/FQL&gt;&lt;FQL&gt;&lt;Q&gt;USDKRW^FG_PRICE_CHANGE(0,-3AM)&lt;/Q&gt;&lt;R&gt;1&lt;/R&gt;&lt;C&gt;1&lt;/C&gt;&lt;D xsi:type="xsd:double"&gt;2.085805&lt;/D&gt;&lt;/FQL&gt;&lt;FQL&gt;&lt;Q&gt;USDTWD^FG_COMPANY_NAME&lt;/Q&gt;&lt;R&gt;1&lt;/R&gt;&lt;C&gt;1&lt;/C&gt;&lt;D xsi:type="xsd:string"&gt;Taiwan Dollar per U.S. Dollar&lt;/D&gt;&lt;/FQL&gt;&lt;FQL&gt;&lt;Q&gt;USDPLN^FG_PRICE_CHANGE(0,-6AM)&lt;/Q&gt;&lt;R&gt;1&lt;/R&gt;&lt;C&gt;1&lt;/C&gt;&lt;D xsi:type="xsd:double"&gt;-4.1523933&lt;/D&gt;&lt;/FQL&gt;&lt;FQL&gt;&lt;Q&gt;FC0000ID^FMA_EPS(NTMA,-20AY,0,CY,,"PORTAGG","MEANR")&lt;/Q&gt;&lt;R&gt;20&lt;/R&gt;&lt;C&gt;1&lt;/C&gt;&lt;D xsi:type="xsd:double"&gt;29.3284073880372&lt;/D&gt;&lt;D xsi:type="xsd:double"&gt;28.5023046220539&lt;/D&gt;&lt;D xsi:type="xsd:double"&gt;34.6859014024765&lt;/D&gt;&lt;D xsi:type="xsd:double"&gt;3676.24176737639&lt;/D&gt;&lt;D xsi:type="xsd:double"&gt;35.3597916554534&lt;/D&gt;&lt;D xsi:type="xsd:double"&gt;47.7361447001776&lt;/D&gt;&lt;D xsi:type="xsd:double"&gt;65.769342621642&lt;/D&gt;&lt;D xsi:type="xsd:double"&gt;77.3469090906142&lt;/D&gt;&lt;D xsi:type="xsd:double"&gt;77.3051891445901&lt;/D&gt;&lt;D xsi:type="xsd:double"&gt;63.4414356734006&lt;/D&gt;&lt;D xsi:type="xsd:double"&gt;63.874105605238&lt;/D&gt;&lt;D xsi:type="xsd:double"&gt;48.7526184920652&lt;/D&gt;&lt;D xsi:type="xsd:double"&gt;55.9889041636352&lt;/D&gt;&lt;D xsi:type="xsd:double"&gt;62.060562018712&lt;/D&gt;&lt;D xsi:type="xsd:double"&gt;62.7205184660321&lt;/D&gt;&lt;D xsi:type="xsd:double"&gt;63.7324766927396&lt;/D&gt;&lt;D xsi:type="xsd:double"&gt;51.5269225985592&lt;/D&gt;&lt;D xsi:type="xsd:double"&gt;58.7717055822565&lt;/D&gt;&lt;D xsi:type="xsd:double"&gt;64.97279420912&lt;/D&gt;&lt;D xsi:type="xsd:double"&gt;68.0109937628599&lt;/D&gt;&lt;/FQL&gt;&lt;FQL&gt;&lt;Q&gt;EPOL^P_PRICE_RETURNS_PR('52W',2,-10AY,0,AM)&lt;/Q&gt;&lt;R&gt;121&lt;/R&gt;&lt;C&gt;1&lt;/C&gt;&lt;D xsi:type="xsd:double"&gt;13.876128&lt;/D&gt;&lt;D xsi:type="xsd:double"&gt;21.491777&lt;/D&gt;&lt;D xsi:type="xsd:double"&gt;21.479774&lt;/D&gt;&lt;D xsi:type="xsd:double"&gt;16.794968&lt;/D&gt;&lt;D xsi:type="xsd:double"&gt;20.417618&lt;/D&gt;&lt;D xsi:type="xsd:double"&gt;6.5289736&lt;/D&gt;&lt;D xsi:type="xsd:double"&gt;11.696696&lt;/D&gt;&lt;D xsi:type="xsd:double"&gt;-2.233702&lt;/D&gt;&lt;D xsi:type="xsd:double"&gt;-9.067512&lt;/D&gt;&lt;D xsi:type="xsd:double"&gt;-7.659668&lt;/D&gt;&lt;D xsi:type="xsd:double"&gt;-16.142935&lt;/D&gt;&lt;D xsi:type="xsd:double"&gt;-15.006232&lt;/D&gt;&lt;D xsi:type="xsd:double"&gt;-19.48765&lt;/D&gt;&lt;D xsi:type="xsd:double"&gt;-19.41495&lt;/D&gt;&lt;D xsi:type="xsd:double"&gt;-11.356979&lt;/D&gt;&lt;D xsi:type="xsd:double"&gt;-19.34799&lt;/D&gt;&lt;D xsi:type="xsd:double"&gt;-19.709862&lt;/D&gt;&lt;D xsi:type="xsd:double"&gt;-20.739872&lt;/D&gt;&lt;D xsi:type="xsd:double"&gt;-24.254126&lt;/D&gt;&lt;D xsi:type="xsd:double"&gt;-22.478199&lt;/D&gt;&lt;D xsi:type="xsd:double"&gt;-23.65179&lt;/D&gt;&lt;D xsi:type="xsd:double"&gt;-30.213911&lt;/D&gt;&lt;D xsi:type="xsd:double"&gt;-24.183321&lt;/D&gt;&lt;D xsi:type="xsd:double"&gt;-24.162823&lt;/D&gt;&lt;D xsi:type="xsd:double"&gt;-19.882423&lt;/D&gt;&lt;D xsi:type="xsd:double"&gt;-13.657731&lt;/D&gt;&lt;D xsi:type="xsd:double"&gt;-27.249014&lt;/D&gt;&lt;D xsi:type="xsd:double"&gt;-24.888361&lt;/D&gt;&lt;D xsi:type="xsd:double"&gt;-24.68676&lt;/D&gt;&lt;D xsi:type="xsd:double"&gt;-15.419065&lt;/D&gt;&lt;D xsi:type="xsd:double"&gt;-14.314795&lt;/D&gt;&lt;D xsi:type="xsd:double"&gt;-11.928338&lt;/D&gt;&lt;D xsi:type="xsd:double"&gt;-9.767795&lt;/D&gt;&lt;D xsi:type="xsd:double"&gt;-3.9500713&lt;/D&gt;&lt;D xsi:type="xsd:double"&gt;8.48062&lt;/D&gt;&lt;D xsi:type="xsd:double"&gt;21.494793&lt;/D&gt;&lt;D xsi:type="xsd:double"&gt;21.718634&lt;/D&gt;&lt;D xsi:type="xsd:double"&gt;11.380529&lt;/D&gt;&lt;D xsi:type="xsd:double"&gt;32.565735&lt;/D&gt;&lt;D xsi:type="xsd:double"&gt;45.175945&lt;/D&gt;&lt;D xsi:type="xsd:double"&gt;47.806156&lt;/D&gt;&lt;D xsi:type="xsd:double"&gt;44.63463&lt;/D&gt;&lt;D xsi:type="xsd:double"&gt;56.20576&lt;/D&gt;&lt;D xsi:type="xsd:double"&gt;46.960735&lt;/D&gt;&lt;D xsi:type="xsd:double"&gt;49.87861&lt;/D&gt;&lt;D xsi:type="xsd:double"&gt;58.511555&lt;/D&gt;&lt;D xsi:type="xsd:double"&gt;54.550053&lt;/D&gt;&lt;D xsi:type="xsd:double"&gt;43.70563&lt;/D&gt;&lt;D xsi:type="xsd:double"&gt;25.232971&lt;/D&gt;&lt;D xsi:type="xsd:double"&gt;17.013622&lt;/D&gt;&lt;D xsi:type="xsd:double"&gt;4.010749&lt;/D&gt;&lt;D xsi:type="xsd:double"&gt;-2.121216&lt;/D&gt;&lt;D xsi:type="xsd:double"&gt;-8.2393055&lt;/D&gt;&lt;D xsi:type="xsd:double"&gt;-6.6029787&lt;/D&gt;&lt;D xsi:type="xsd:double"&gt;-12.032098&lt;/D&gt;&lt;D xsi:type="xsd:double"&gt;-9.642828&lt;/D&gt;&lt;D xsi:type="xsd:double"&gt;-15.762788&lt;/D&gt;&lt;D xsi:type="xsd:double"&gt;-9.082222&lt;/D&gt;&lt;D xsi:type="xsd:double"&gt;-16.861397&lt;/D&gt;&lt;D xsi:type="xsd:double"&gt;-14.058882&lt;/D&gt;&lt;D xsi:type="xsd:double"&gt;-10.184455&lt;/D&gt;&lt;D xsi:type="xsd:double"&gt;-4.381609&lt;/D&gt;&lt;D xsi:type="xsd:double"&gt;-4.2481956&lt;/D&gt;&lt;D xsi:type="xsd:double"&gt;-2.7203083&lt;/D&gt;&lt;D xsi:type="xsd:double"&gt;10.325766&lt;/D&gt;&lt;D xsi:type="xsd:double"&gt;-7.2242856&lt;/D&gt;&lt;D xsi:type="xsd:double"&gt;-11.415613&lt;/D&gt;&lt;D xsi:type="xsd:double"&gt;-9.915132&lt;/D&gt;&lt;D xsi:type="xsd:double"&gt;1.9689441&lt;/D&gt;&lt;D xsi:type="xsd:double"&gt;-11.292982&lt;/D&gt;&lt;D xsi:type="xsd:double"&gt;-3.9749682&lt;/D&gt;&lt;D xsi:type="xsd:double"&gt;-13.553554&lt;/D&gt;&lt;D xsi:type="xsd:double"&gt;-19.947344&lt;/D&gt;&lt;D xsi:type="xsd:double"&gt;-43.252163&lt;/D&gt;&lt;D xsi:type="xsd:double"&gt;-34.93166&lt;/D&gt;&lt;D xsi:type="xsd:double"&gt;-20.37319&lt;/D&gt;&lt;D xsi:type="xsd:double"&gt;-25.864262&lt;/D&gt;&lt;D xsi:type="xsd:double"&gt;-14.2702465&lt;/D&gt;&lt;D xsi:type="xsd:double"&gt;-12.979639&lt;/D&gt;&lt;D xsi:type="xsd:double"&gt;-15.859842&lt;/D&gt;&lt;D xsi:type="xsd:double"&gt;-28.936905&lt;/D&gt;&lt;D xsi:type="xsd:double"&gt;-4.4014573&lt;/D&gt;&lt;D xsi:type="xsd:double"&gt;-7.4419317&lt;/D&gt;&lt;D xsi:type="xsd:double"&gt;-6.5550623&lt;/D&gt;&lt;D xsi:type="xsd:double"&gt;3.9003134&lt;/D&gt;&lt;D xsi:type="xsd:double"&gt;42.43841&lt;/D&gt;&lt;D xsi:type="xsd:double"&gt;35.4303&lt;/D&gt;&lt;D xsi:type="xsd:double"&gt;33.884502&lt;/D&gt;&lt;D xsi:type="xsd:double"&gt;30.09832&lt;/D&gt;&lt;D xsi:type="xsd:double"&gt;22.195805&lt;/D&gt;&lt;D xsi:type="xsd:double"&gt;35.799812&lt;/D&gt;&lt;D xsi:type="xsd:double"&gt;38.59682&lt;/D&gt;&lt;D xsi:type="xsd:double"&gt;53.606606&lt;/D&gt;&lt;D xsi:type="xsd:double"&gt;13.350164&lt;/D&gt;&lt;D xsi:type="xsd:double"&gt;12.666702&lt;/D&gt;&lt;D xsi:type="xsd:double"&gt;12.3566265&lt;/D&gt;&lt;D xsi:type="xsd:double"&gt;-12.049216&lt;/D&gt;&lt;D xsi:type="xsd:double"&gt;5.167961&lt;/D&gt;&lt;D xsi:type="xsd:double"&gt;-16.345524&lt;/D&gt;&lt;D xsi:type="xsd:double"&gt;-27.2376&lt;/D&gt;&lt;D xsi:type="xsd:double"&gt;-32.09719&lt;/D&gt;&lt;D xsi:type="xsd:double"&gt;-34.24673&lt;/D&gt;&lt;D xsi:type="xsd:double"&gt;-47.1481&lt;/D&gt;&lt;D xsi:type="xsd:double"&gt;-46.714752&lt;/D&gt;&lt;D xsi:type="xsd:double"&gt;-42.362476&lt;/D&gt;&lt;D xsi:type="xsd:double"&gt;-26.74482&lt;/D&gt;&lt;D xsi:type="xsd:double"&gt;-22.535992&lt;/D&gt;&lt;D xsi:type="xsd:double"&gt;-20.557028&lt;/D&gt;&lt;D xsi:type="xsd:double"&gt;-4.91448&lt;/D&gt;&lt;D xsi:type="xsd:double"&gt;-16.022665&lt;/D&gt;&lt;D xsi:type="xsd:double"&gt;9.411454&lt;/D&gt;&lt;D xsi:type="xsd:double"&gt;12.249195&lt;/D&gt;&lt;D xsi:type="xsd:double"&gt;35.50949&lt;/D&gt;&lt;D xsi:type="xsd:double"&gt;46.56372&lt;/D&gt;&lt;D xsi:type="xsd:double"&gt;61.11815&lt;/D&gt;&lt;D xsi:type="xsd:double"&gt;45.709576&lt;/D&gt;&lt;D xsi:type="xsd:double"&gt;65.66561&lt;/D&gt;&lt;D xsi:type="xsd:double"&gt;51.38415&lt;/D&gt;&lt;D xsi:type="xsd:double"&gt;38.77498&lt;/D&gt;&lt;D xsi:type="xsd:double"&gt;39.234577&lt;/D&gt;&lt;D xsi:type="xsd:double"&gt;49.85356&lt;/D&gt;&lt;/FQL&gt;&lt;FQL&gt;&lt;Q&gt;NI-FDS^FG_PRICE_CHANGE(0,-1AY)&lt;/Q&gt;&lt;R&gt;1&lt;/R&gt;&lt;C&gt;1&lt;/C&gt;&lt;D xsi:type="xsd:double"&gt;-27.9860684286007&lt;/D&gt;&lt;/FQL&gt;&lt;FQL&gt;&lt;Q&gt;CPALM-FDS^FG_PRICE_CHANGE(0,-6AM)&lt;/Q&gt;&lt;R&gt;1&lt;/R&gt;&lt;C&gt;1&lt;/C&gt;&lt;D xsi:type="xsd:double"&gt;2.73657289002558&lt;/D&gt;&lt;/FQL&gt;&lt;FQL&gt;&lt;Q&gt;BRENT-FDS^FG_PRICE_CHANGE(0,-3AM)&lt;/Q&gt;&lt;R&gt;1&lt;/R&gt;&lt;C&gt;1&lt;/C&gt;&lt;D xsi:type="xsd:double"&gt;0&lt;/D&gt;&lt;/FQL&gt;&lt;FQL&gt;&lt;Q&gt;TIOS-FDS^FG_PRICE_CHANGE(0,-1AM)&lt;/Q&gt;&lt;R&gt;1&lt;/R&gt;&lt;C&gt;1&lt;/C&gt;&lt;D xsi:type="xsd:double"&gt;-9.08808209593407&lt;/D&gt;&lt;/FQL&gt;&lt;FQL&gt;&lt;Q&gt;FC0000TR^FG_PRICE(0)&lt;/Q&gt;&lt;R&gt;1&lt;/R&gt;&lt;C&gt;1&lt;/C&gt;&lt;D xsi:type="xsd:double"&gt;234.8252&lt;/D&gt;&lt;/FQL&gt;&lt;FQL&gt;&lt;Q&gt;FC0000IN^FG_PRICE(0)&lt;/Q&gt;&lt;R&gt;1&lt;/R&gt;&lt;C&gt;1&lt;/C&gt;&lt;D xsi:type="xsd:double"&gt;1292.7876&lt;/D&gt;&lt;/FQL&gt;&lt;FQL&gt;&lt;Q&gt;FC0000MX^FG_PRICE(0)&lt;/Q&gt;&lt;R&gt;1&lt;/R&gt;&lt;C&gt;1&lt;/C&gt;&lt;D xsi:type="xsd:double"&gt;517.5995&lt;/D&gt;&lt;/FQL&gt;&lt;FQL&gt;&lt;Q&gt;FC0000PL^FG_PRICE(0)&lt;/Q&gt;&lt;R&gt;1&lt;/R&gt;&lt;C&gt;1&lt;/C&gt;&lt;D xsi:type="xsd:double"&gt;210.10811&lt;/D&gt;&lt;/FQL&gt;&lt;FQL&gt;&lt;Q&gt;TUR^FG_TOTAL_RETURNC(0,-6AM)&lt;/Q&gt;&lt;R&gt;1&lt;/R&gt;&lt;C&gt;1&lt;/C&gt;&lt;D xsi:type="xsd:double"&gt;-4.0553093&lt;/D&gt;&lt;/FQL&gt;&lt;FQL&gt;&lt;Q&gt;INDA^FG_TOTAL_RETURNC(0,-3AM)&lt;/Q&gt;&lt;R&gt;1&lt;/R&gt;&lt;C&gt;1&lt;/C&gt;&lt;D xsi:type="xsd:double"&gt;10.824084&lt;/D&gt;&lt;/FQL&gt;&lt;FQL&gt;&lt;Q&gt;EWW^P_PRICE(0)/P_PRICE_LOW_PR(0,,,USD,,,"PRICE","INTRA","52W")-1&lt;/Q&gt;&lt;R&gt;1&lt;/R&gt;&lt;C&gt;1&lt;/C&gt;&lt;D xsi:type="xsd:double"&gt;0.25175703&lt;/D&gt;&lt;/FQL&gt;&lt;FQL&gt;&lt;Q&gt;EPOL^P_PRICE(0)/P_PRICE_HIGH_PR(0,,,USD,,,"PRICE","INTRA","52W")&lt;/Q&gt;&lt;R&gt;1&lt;/R&gt;&lt;C&gt;1&lt;/C&gt;&lt;D xsi:type="xsd:double"&gt;0.9655891&lt;/D&gt;&lt;/FQL&gt;&lt;FQL&gt;&lt;Q&gt;CNYA^FG_TOTAL_RETURNC(0,-6AM)&lt;/Q&gt;&lt;R&gt;1&lt;/R&gt;&lt;C&gt;1&lt;/C&gt;&lt;D xsi:type="xsd:double"&gt;-6.0119987&lt;/D&gt;&lt;/FQL&gt;&lt;FQL&gt;&lt;Q&gt;KSA^PERCENT_CHANGE(FMA_EPS(+1,0,,,,"PORTAGG","MEAN"),FMA_EPS(+1,-3AM,,,,"PORTAGG","MEAN"))&lt;/Q&gt;&lt;R&gt;1&lt;/R&gt;&lt;C&gt;1&lt;/C&gt;&lt;D xsi:type="xsd:double"&gt;-18.7858979345625&lt;/D&gt;&lt;/FQL&gt;&lt;FQL&gt;&lt;Q&gt;QAT^FMA_PCT_ABOVE_MAVG(200,0,,,,"PORTAGG")&lt;/Q&gt;&lt;R&gt;1&lt;/R&gt;&lt;C&gt;1&lt;/C&gt;&lt;D xsi:type="xsd:double"&gt;41.1764705882353&lt;/D&gt;&lt;/FQL&gt;&lt;FQL&gt;&lt;Q&gt;EWY^PERCENT_CHANGE(FMA_EPS(+1,0,,,,"PORTAGG","MEAN"),FMA_EPS(+1,-1AM,,,,"PORTAGG","MEAN"))&lt;/Q&gt;&lt;R&gt;1&lt;/R&gt;&lt;C&gt;1&lt;/C&gt;&lt;D xsi:type="xsd:double"&gt;-37.5095113863797&lt;/D&gt;&lt;/FQL&gt;&lt;FQL&gt;&lt;Q&gt;GREK^FG_ROE(0)&lt;/Q&gt;&lt;R&gt;1&lt;/R&gt;&lt;C&gt;1&lt;/C&gt;&lt;D xsi:type="xsd:double"&gt;14.2009773030181&lt;/D&gt;&lt;/FQL&gt;&lt;FQL&gt;&lt;Q&gt;TRYTH10Y-FDS^FG_YIELD_NAME&lt;/Q&gt;&lt;R&gt;1&lt;/R&gt;&lt;C&gt;1&lt;/C&gt;&lt;D xsi:type="xsd:string"&gt;Thailand Benchmark Bond - 10 Year&lt;/D&gt;&lt;/FQL&gt;&lt;FQL&gt;&lt;Q&gt;REFQALEND-FDS^FG_YIELD(NOW,,,0)&lt;/Q&gt;&lt;R&gt;1&lt;/R&gt;&lt;C&gt;1&lt;/C&gt;&lt;D xsi:type="xsd:double"&gt;6.25&lt;/D&gt;&lt;/FQL&gt;&lt;FQL&gt;&lt;Q&gt;REFPL7D-FDS^FG_YIELD(NOW,,,0)&lt;/Q&gt;&lt;R&gt;1&lt;/R&gt;&lt;C&gt;1&lt;/C&gt;&lt;D xsi:type="xsd:double"&gt;5.75&lt;/D&gt;&lt;/FQL&gt;&lt;FQL&gt;&lt;Q&gt;TRYZA10Y-FDS^PCTCHG(FG_YIELD(0,,,,"YTM"),FG_YIELD(-1AM,,,,"YTM"))&lt;/Q&gt;&lt;R&gt;1&lt;/R&gt;&lt;C&gt;1&lt;/C&gt;&lt;D xsi:type="xsd:double"&gt;2.315288&lt;/D&gt;&lt;/FQL&gt;&lt;FQL&gt;&lt;Q&gt;TRYTH10Y-FDS^FG_YIELD(0,,,,"YTM")&lt;/Q&gt;&lt;R&gt;1&lt;/R&gt;&lt;C&gt;1&lt;/C&gt;&lt;D xsi:type="xsd:double"&gt;2.549184&lt;/D&gt;&lt;/FQL&gt;&lt;FQL&gt;&lt;Q&gt;TRYCN10Y-FDS^FG_YIELD_NAME&lt;/Q&gt;&lt;R&gt;1&lt;/R&gt;&lt;C&gt;1&lt;/C&gt;&lt;D xsi:type="xsd:string"&gt;Treasury - China Benchmark Bond 10Y&lt;/D&gt;&lt;/FQL&gt;&lt;FQL&gt;&lt;Q&gt;VGK^FG_PE_NTM(0,,,90,0)&lt;/Q&gt;&lt;R&gt;1&lt;/R&gt;&lt;C&gt;1&lt;/C&gt;&lt;D xsi:type="xsd:double"&gt;13.6247659469135&lt;/D&gt;&lt;/FQL&gt;&lt;FQL&gt;&lt;Q&gt;SET-BKK^FG_FCF_YIELD_NTM(0)&lt;/Q&gt;&lt;R&gt;1&lt;/R&gt;&lt;C&gt;1&lt;/C&gt;&lt;D xsi:type="xsd:double"&gt;5.16048458964706&lt;/D&gt;&lt;/FQL&gt;&lt;FQL&gt;&lt;Q&gt;EZA^FMA_EVAL_EBIT(LTMA,NOW,NOW,M,"PORTAGG","MEANR")&lt;/Q&gt;&lt;R&gt;1&lt;/R&gt;&lt;C&gt;1&lt;/C&gt;&lt;D xsi:type="xsd:double"&gt;11.8073404650797&lt;/D&gt;&lt;/FQL&gt;&lt;FQL&gt;&lt;Q&gt;EWT^FMA_PE(LTM,0,,,"PORTAGG","MEANR")&lt;/Q&gt;&lt;R&gt;1&lt;/R&gt;&lt;C&gt;1&lt;/C&gt;&lt;D xsi:type="xsd:double"&gt;21.6665475135788&lt;/D&gt;&lt;/FQL&gt;&lt;FQL&gt;&lt;Q&gt;EIDO^FMA_DIV_YLD(NTMA,NOW,NOW,M,"PORTAGG","MEANR")&lt;/Q&gt;&lt;R&gt;1&lt;/R&gt;&lt;C&gt;1&lt;/C&gt;&lt;D xsi:type="xsd:double"&gt;4.10625930553773&lt;/D&gt;&lt;/FQL&gt;&lt;FQL&gt;&lt;Q&gt;EWM^FG_COMPANY_NAME&lt;/Q&gt;&lt;R&gt;1&lt;/R&gt;&lt;C&gt;1&lt;/C&gt;&lt;D xsi:type="xsd:string"&gt;iShares MSCI Malaysia ETF&lt;/D&gt;&lt;/FQL&gt;&lt;FQL&gt;&lt;Q&gt;CAGDPY@GR^EE_ACTUAL_ANNUAL(MED,0)&lt;/Q&gt;&lt;R&gt;1&lt;/R&gt;&lt;C&gt;1&lt;/C&gt;&lt;D xsi:type="xsd:double"&gt;-7.4&lt;/D&gt;&lt;/FQL&gt;&lt;FQL&gt;&lt;Q&gt;USDAED^STD(FG_PRICE_CHANGE(0,-1AY,AM))&lt;/Q&gt;&lt;R&gt;1&lt;/R&gt;&lt;C&gt;1&lt;/C&gt;&lt;D xsi:type="xsd:double"&gt;0.00824224871712513&lt;/D&gt;&lt;/FQL&gt;&lt;FQL&gt;&lt;Q&gt;USDZAR^STD(FG_PRICE_CHANGE(0,-1AY,AM))</t>
        </r>
      </text>
    </comment>
    <comment ref="A2" authorId="0" shapeId="0" xr:uid="{F5563985-5D18-4E1A-B97B-3F506A2033BC}">
      <text>
        <r>
          <rPr>
            <b/>
            <sz val="9"/>
            <color indexed="81"/>
            <rFont val="Tahoma"/>
            <family val="2"/>
          </rPr>
          <t>&lt;/Q&gt;&lt;R&gt;1&lt;/R&gt;&lt;C&gt;1&lt;/C&gt;&lt;D xsi:type="xsd:double"&gt;3.51054907756455&lt;/D&gt;&lt;/FQL&gt;&lt;FQL&gt;&lt;Q&gt;USDKRW^FG_PRICE_CHANGE(0,-1AM)&lt;/Q&gt;&lt;R&gt;1&lt;/R&gt;&lt;C&gt;1&lt;/C&gt;&lt;D xsi:type="xsd:double"&gt;0.6540179&lt;/D&gt;&lt;/FQL&gt;&lt;FQL&gt;&lt;Q&gt;USDMYR^STD(FG_PRICE_CHANGE(0,-3AY,M))&lt;/Q&gt;&lt;R&gt;1&lt;/R&gt;&lt;C&gt;1&lt;/C&gt;&lt;D xsi:type="xsd:double"&gt;2.21991720891639&lt;/D&gt;&lt;/FQL&gt;&lt;FQL&gt;&lt;Q&gt;USDIDR^FG_PRICE_CHANGE(0,-1AY)&lt;/Q&gt;&lt;R&gt;1&lt;/R&gt;&lt;C&gt;1&lt;/C&gt;&lt;D xsi:type="xsd:double"&gt;2.8758168&lt;/D&gt;&lt;/FQL&gt;&lt;FQL&gt;&lt;Q&gt;FC0000SA^FMA_EPS(NTMA,-20AY,0,CY,,"PORTAGG","MEANR")&lt;/Q&gt;&lt;R&gt;20&lt;/R&gt;&lt;C&gt;1&lt;/C&gt;&lt;D xsi:type="xsd:string"&gt;@NA&lt;/D&gt;&lt;D xsi:type="xsd:string"&gt;@NA&lt;/D&gt;&lt;D xsi:type="xsd:string"&gt;@NA&lt;/D&gt;&lt;D xsi:type="xsd:double"&gt;3.96336847567451&lt;/D&gt;&lt;D xsi:type="xsd:double"&gt;3.26626042393583&lt;/D&gt;&lt;D xsi:type="xsd:double"&gt;2.53989246401814&lt;/D&gt;&lt;D xsi:type="xsd:double"&gt;2.77600916912685&lt;/D&gt;&lt;D xsi:type="xsd:double"&gt;3.29521282805116&lt;/D&gt;&lt;D xsi:type="xsd:double"&gt;3.61051444681354&lt;/D&gt;&lt;D xsi:type="xsd:double"&gt;3.7978958686548&lt;/D&gt;&lt;D xsi:type="xsd:double"&gt;3.75005115904989&lt;/D&gt;&lt;D xsi:type="xsd:double"&gt;3.29103190766382&lt;/D&gt;&lt;D xsi:type="xsd:double"&gt;2.82016085211551&lt;/D&gt;&lt;D xsi:type="xsd:double"&gt;3.21155371352054&lt;/D&gt;&lt;D xsi:type="xsd:double"&gt;3.27157784678448&lt;/D&gt;&lt;D xsi:type="xsd:double"&gt;2.35319343646412&lt;/D&gt;&lt;D xsi:type="xsd:double"&gt;1.93303150117598&lt;/D&gt;&lt;D xsi:type="xsd:double"&gt;3.07367882715563&lt;/D&gt;&lt;D xsi:type="xsd:double"&gt;3.62877879573559&lt;/D&gt;&lt;D xsi:type="xsd:double"&gt;3.01151809254719&lt;/D&gt;&lt;/FQL&gt;&lt;FQL&gt;&lt;Q&gt;EWW^FG_TOTAL_RETURNC(-10AY,0,AM)&lt;/Q&gt;&lt;R&gt;121&lt;/R&gt;&lt;C&gt;1&lt;/C&gt;&lt;D xsi:type="xsd:double"&gt;-2.0404816&lt;/D&gt;&lt;D xsi:type="xsd:double"&gt;6.4308047&lt;/D&gt;&lt;D xsi:type="xsd:double"&gt;0.29512644&lt;/D&gt;&lt;D xsi:type="xsd:double"&gt;2.927053&lt;/D&gt;&lt;D xsi:type="xsd:double"&gt;4.3863177&lt;/D&gt;&lt;D xsi:type="xsd:double"&gt;0.8242965&lt;/D&gt;&lt;D xsi:type="xsd:double"&gt;3.8295984&lt;/D&gt;&lt;D xsi:type="xsd:double"&gt;-6.368285&lt;/D&gt;&lt;D xsi:type="xsd:double"&gt;0.04426241&lt;/D&gt;&lt;D xsi:type="xsd:double"&gt;-8.627045&lt;/D&gt;&lt;D xsi:type="xsd:double"&gt;-5.7444515&lt;/D&gt;&lt;D xsi:type="xsd:double"&gt;-0.6392598&lt;/D&gt;&lt;D xsi:type="xsd:double"&gt;1.4606118&lt;/D&gt;&lt;D xsi:type="xsd:double"&gt;2.4507284&lt;/D&gt;&lt;D xsi:type="xsd:double"&gt;-1.2713253&lt;/D&gt;&lt;D xsi:type="xsd:double"&gt;-2.2365272&lt;/D&gt;&lt;D xsi:type="xsd:double"&gt;0.6430268&lt;/D&gt;&lt;D xsi:type="xsd:double"&gt;-2.1331966&lt;/D&gt;&lt;D xsi:type="xsd:double"&gt;-9.179515&lt;/D&gt;&lt;D xsi:type="xsd:double"&gt;1.5804887&lt;/D&gt;&lt;D xsi:type="xsd:double"&gt;6.991935&lt;/D&gt;&lt;D xsi:type="xsd:double"&gt;-5.2064657&lt;/D&gt;&lt;D xsi:type="xsd:double"&gt;-5.6898236&lt;/D&gt;&lt;D xsi:type="xsd:double"&gt;-1.5691876&lt;/D&gt;&lt;D xsi:type="xsd:double"&gt;5.5693626&lt;/D&gt;&lt;D xsi:type="xsd:double"&gt;3.8635015&lt;/D&gt;&lt;D xsi:type="xsd:double"&gt;-2.4358034&lt;/D&gt;&lt;D xsi:type="xsd:double"&gt;-3.5804093&lt;/D&gt;&lt;D xsi:type="xsd:double"&gt;2.5695086&lt;/D&gt;&lt;D xsi:type="xsd:double"&gt;-1.7818213&lt;/D&gt;&lt;D xsi:type="xsd:double"&gt;3.7693977&lt;/D&gt;&lt;D xsi:type="xsd:double"&gt;-4.0404024&lt;/D&gt;&lt;D xsi:type="xsd:double"&gt;-0.10122061&lt;/D&gt;&lt;D xsi:type="xsd:double"&gt;-12.421476&lt;/D&gt;&lt;D xsi:type="xsd:double"&gt;0.17764568&lt;/D&gt;&lt;D xsi:type="xsd:double"&gt;6.77495&lt;/D&gt;&lt;D xsi:type="xsd:double"&gt;4.2155504&lt;/D&gt;&lt;D xsi:type="xsd:double"&gt;7.73561&lt;/D&gt;&lt;D xsi:type="xsd:double"&gt;-1.6450524&lt;/D&gt;&lt;D xsi:type="xsd:double"&gt;2.3219228&lt;/D&gt;&lt;D xsi:type="xsd:double"&gt;4.7986627&lt;/D&gt;&lt;D xsi:type="xsd:double"&gt;4.7680855&lt;/D&gt;&lt;D xsi:type="xsd:double"&gt;0.5135417&lt;/D&gt;&lt;D xsi:type="xsd:double"&gt;-3.7350237&lt;/D&gt;&lt;D xsi:type="xsd:double"&gt;-8.254022&lt;/D&gt;&lt;D xsi:type="xsd:double"&gt;0.4588008&lt;/D&gt;&lt;D xsi:type="xsd:double"&gt;1.2083411&lt;/D&gt;&lt;D xsi:type="xsd:double"&gt;4.8166513&lt;/D&gt;&lt;D xsi:type="xsd:double"&gt;-5.2382765&lt;/D&gt;&lt;D xsi:type="xsd:double"&gt;5.0089717&lt;/D&gt;&lt;D xsi:type="xsd:double"&gt;-7.2785974&lt;/D&gt;&lt;D xsi:type="xsd:double"&gt;-7.8294754&lt;/D&gt;&lt;D xsi:type="xsd:double"&gt;6.6759706&lt;/D&gt;&lt;D xsi:type="xsd:double"&gt;9.565031&lt;/D&gt;&lt;D xsi:type="xsd:double"&gt;-5.5116596&lt;/D&gt;&lt;D xsi:type="xsd:double"&gt;0.59148073&lt;/D&gt;&lt;D xsi:type="xsd:double"&gt;-10.421735&lt;/D&gt;&lt;D xsi:type="xsd:double"&gt;-9.710276&lt;/D&gt;&lt;D xsi:type="xsd:double"&gt;7.913053&lt;/D&gt;&lt;D xsi:type="xsd:double"&gt;5.720985&lt;/D&gt;&lt;D xsi:type="xsd:double"&gt;-4.5021057&lt;/D&gt;&lt;D xsi:type="xsd:double"&gt;4.3195486&lt;/D&gt;&lt;D xsi:type="xsd:double"&gt;2.4042726&lt;/D&gt;&lt;D xsi:type="xsd:double"&gt;-5.5217385&lt;/D&gt;&lt;D xsi:type="xsd:double"&gt;3.2590508&lt;/D&gt;&lt;D xsi:type="xsd:double"&gt;-8.526606&lt;/D&gt;&lt;D xsi:type="xsd:double"&gt;4.051709&lt;/D&gt;&lt;D xsi:type="xsd:double"&gt;4.252267&lt;/D&gt;&lt;D xsi:type="xsd:double"&gt;3.185153&lt;/D&gt;&lt;D xsi:type="xsd:double"&gt;-4.352653&lt;/D&gt;&lt;D xsi:type="xsd:double"&gt;7.6300383&lt;/D&gt;&lt;D xsi:type="xsd:double"&gt;2.874577&lt;/D&gt;&lt;D xsi:type="xsd:double"&gt;-7.0914507&lt;/D&gt;&lt;D xsi:type="xsd:double"&gt;-41.67236&lt;/D&gt;&lt;D xsi:type="xsd:double"&gt;14.453125&lt;/D&gt;&lt;D xsi:type="xsd:double"&gt;15.017069&lt;/D&gt;&lt;D xsi:type="xsd:double"&gt;-2.5996923&lt;/D&gt;&lt;D xsi:type="xsd:double"&gt;-1.2232482&lt;/D&gt;&lt;D xsi:type="xsd:double"&gt;2.7244568&lt;/D&gt;&lt;D xsi:type="xsd:double"&gt;0.24110079&lt;/D&gt;&lt;D xsi:type="xsd:double"&gt;5.051112&lt;/D&gt;&lt;D xsi:type="xsd:double"&gt;23.354328&lt;/D&gt;&lt;D xsi:type="xsd:double"&gt;1.7026663&lt;/D&gt;&lt;D xsi:type="xsd:double"&gt;-4.2003335999999996&lt;/D&gt;&lt;D xsi:type="xsd:double"&gt;0.4577279&lt;/D&gt;&lt;D xsi:type="xsd:double"&gt;6.8824887&lt;/D&gt;&lt;D xsi:type="xsd:double"&gt;2.8270125&lt;/D&gt;&lt;D xsi:type="xsd:double"&gt;5.738592&lt;/D&gt;&lt;D xsi:type="xsd:double"&gt;0.6587863&lt;/D&gt;&lt;D xsi:type="xsd:double"&gt;1.3429761&lt;/D&gt;&lt;D xsi:type="xsd:double"&gt;2.58919&lt;/D&gt;&lt;D xsi:type="xsd:double"&gt;-4.411769&lt;/D&gt;&lt;D xsi:type="xsd:double"&gt;1.8918872&lt;/D&gt;&lt;D xsi:type="xsd:double"&gt;-4.7133207&lt;/D&gt;&lt;D xsi:type="xsd:double"&gt;9.755695&lt;/D&gt;&lt;D xsi:type="xsd:double"&gt;-4.4914904&lt;/D&gt;&lt;D xsi:type="xsd:double"&gt;1.6573429&lt;/D&gt;&lt;D xsi:type="xsd:double"&gt;12.227428&lt;/D&gt;&lt;D xsi:type="xsd:double"&gt;-8.316684&lt;/D&gt;&lt;D xsi:type="xsd:double"&gt;1.4656305&lt;/D&gt;&lt;D xsi:type="xsd:double"&gt;-7.91986&lt;/D&gt;&lt;D xsi:type="xsd:double"&gt;-1.3559997&lt;/D&gt;&lt;D xsi:type="xsd:double"&gt;-0.54549575&lt;/D&gt;&lt;D xsi:type="xsd:double"&gt;0.92145205&lt;/D&gt;&lt;D xsi:type="xsd:double"&gt;14.826083&lt;/D&gt;&lt;D xsi:type="xsd:double"&gt;0.7004857&lt;/D&gt;&lt;D xsi:type="xsd:double"&gt;-1.0791421&lt;/D&gt;&lt;D xsi:type="xsd:double"&gt;10.4732275&lt;/D&gt;&lt;D xsi:type="xsd:double"&gt;5.8813214&lt;/D&gt;&lt;D xsi:type="xsd:double"&gt;-1.3596416&lt;/D&gt;&lt;D xsi:type="xsd:double"&gt;1.8154263&lt;/D&gt;&lt;D xsi:type="xsd:double"&gt;0.14859438&lt;/D&gt;&lt;D xsi:type="xsd:double"&gt;4.7757983&lt;/D&gt;&lt;D xsi:type="xsd:double"&gt;-0.5230665&lt;/D&gt;&lt;D xsi:type="xsd:double"&gt;-2.0713806&lt;/D&gt;&lt;D xsi:type="xsd:double"&gt;-8.590955&lt;/D&gt;&lt;D xsi:type="xsd:double"&gt;5.962968&lt;/D&gt;&lt;D xsi:type="xsd:double"&gt;5.694604&lt;/D&gt;&lt;D xsi:type="xsd:double"&gt;5.448854&lt;/D&gt;&lt;D xsi:type="xsd:double"&gt;3.9791942&lt;/D&gt;&lt;D xsi:type="xsd:double"&gt;-3.4000635&lt;/D&gt;&lt;/FQL&gt;&lt;FQL&gt;&lt;Q&gt;INDA^FMA_DIV_YLD(NTMA,-10AY,0,AM,"PORTAGG","MEANR")&lt;/Q&gt;&lt;R&gt;121&lt;/R&gt;&lt;C&gt;1&lt;/C&gt;&lt;D xsi:type="xsd:double"&gt;1.69102810629932&lt;/D&gt;&lt;D xsi:type="xsd:double"&gt;1.63667101739715&lt;/D&gt;&lt;D xsi:type="xsd:double"&gt;1.7008215048965&lt;/D&gt;&lt;D xsi:type="xsd:double"&gt;1.58990791958375&lt;/D&gt;&lt;D xsi:type="xsd:double"&gt;1.53243978078847&lt;/D&gt;&lt;D xsi:type="xsd:double"&gt;1.62352855882253&lt;/D&gt;&lt;D xsi:type="xsd:double"&gt;1.5343326490728&lt;/D&gt;&lt;D xsi:type="xsd:double"&gt;1.57094333358246&lt;/D&gt;&lt;D xsi:type="xsd:double"&gt;1.54952037918063&lt;/D&gt;&lt;D xsi:type="xsd:double"&gt;1.51730819531465&lt;/D&gt;&lt;D xsi:type="xsd:double"&gt;1.56013850064751&lt;/D&gt;&lt;D xsi:type="xsd:double"&gt;1.49788543409605&lt;/D&gt;&lt;D xsi:type="xsd:double"&gt;1.45936273407361&lt;/D&gt;&lt;D xsi:type="xsd:double"&gt;1.54476225292706&lt;/D&gt;&lt;D xsi:type="xsd:double"&gt;1.65236206734465&lt;/D&gt;&lt;D xsi:type="xsd:double"&gt;1.69370500102658&lt;/D&gt;&lt;D xsi:type="xsd:double"&gt;1.55600391161892&lt;/D&gt;&lt;D xsi:type="xsd:double"&gt;1.54719934270099&lt;/D&gt;&lt;D xsi:type="xsd:double"&gt;1.70162504673475&lt;/D&gt;&lt;D xsi:type="xsd:double"&gt;1.67417879131839&lt;/D&gt;&lt;D xsi:type="xsd:double"&gt;1.67640308583558&lt;/D&gt;&lt;D xsi:type="xsd:double"&gt;1.74008022285964&lt;/D&gt;&lt;D xsi:type="xsd:double"&gt;1.71079423251326&lt;/D&gt;&lt;D xsi:type="xsd:double"&gt;1.79322701463524&lt;/D&gt;&lt;D xsi:type="xsd:double"&gt;1.75910845512022&lt;/D&gt;&lt;D xsi:type="xsd:double"&gt;1.7334075212101&lt;/D&gt;&lt;D xsi:type="xsd:double"&gt;1.72383885285009&lt;/D&gt;&lt;D xsi:type="xsd:double"&gt;1.59225982199575&lt;/D&gt;&lt;D xsi:type="xsd:double"&gt;1.58503288594082&lt;/D&gt;&lt;D xsi:type="xsd:double"&gt;1.54917813942692&lt;/D&gt;&lt;D xsi:type="xsd:double"&gt;1.51345491637727&lt;/D&gt;&lt;D xsi:type="xsd:double"&gt;1.52080003517958&lt;/D&gt;&lt;D xsi:type="xsd:double"&gt;1.61649908585476&lt;/D&gt;&lt;D xsi:type="xsd:double"&gt;1.6897252698966&lt;/D&gt;&lt;D xsi:type="xsd:double"&gt;1.6868095664783&lt;/D&gt;&lt;D xsi:type="xsd:double"&gt;1.610615662511&lt;/D&gt;&lt;D xsi:type="xsd:double"&gt;1.58058751126972&lt;/D&gt;&lt;D xsi:type="xsd:double"&gt;1.54467264722721&lt;/D&gt;&lt;D xsi:type="xsd:double"&gt;1.5611811723823&lt;/D&gt;&lt;D xsi:type="xsd:double"&gt;1.59920354794413&lt;/D&gt;&lt;D xsi:type="xsd:double"&gt;1.62201244219418&lt;/D&gt;&lt;D xsi:type="xsd:double"&gt;1.51567674211271&lt;/D&gt;&lt;D xsi:type="xsd:double"&gt;1.52777470617748&lt;/D&gt;&lt;D xsi:type="xsd:double"&gt;1.56227713406614&lt;/D&gt;&lt;D xsi:type="xsd:double"&gt;1.49430970879299&lt;/D&gt;&lt;D xsi:type="xsd:double"&gt;1.54960029285284&lt;/D&gt;&lt;D xsi:type="xsd:double"&gt;1.506780689185&lt;/D&gt;&lt;D xsi:type="xsd:double"&gt;1.50605762289811&lt;/D&gt;&lt;D xsi:type="xsd:double"&gt;1.55659939597319&lt;/D&gt;&lt;D xsi:type="xsd:double"&gt;1.61818024501763&lt;/D&gt;&lt;D xsi:type="xsd:double"&gt;1.61523137533765&lt;/D&gt;&lt;D xsi:type="xsd:double"&gt;1.61973166357871&lt;/D&gt;&lt;D xsi:type="xsd:double"&gt;1.62095968781963&lt;/D&gt;&lt;D xsi:type="xsd:double"&gt;1.51532722574266&lt;/D&gt;&lt;D xsi:type="xsd:double"&gt;1.49613265441473&lt;/D&gt;&lt;D xsi:type="xsd:double"&gt;1.63844839148982&lt;/D&gt;&lt;D xsi:type="xsd:double"&gt;1.65782612972723&lt;/D&gt;&lt;D xsi:type="xsd:double"&gt;1.62686386646365&lt;/D&gt;&lt;D xsi:type="xsd:double"&gt;1.66610800562286&lt;/D&gt;&lt;D xsi:type="xsd:double"&gt;1.63464423722938&lt;/D&gt;&lt;D xsi:type="xsd:double"&gt;1.64913084865792&lt;/D&gt;&lt;D xsi:type="xsd:double"&gt;1.5758474789393&lt;/D&gt;&lt;D xsi:type="xsd:double"&gt;1.63497281257778&lt;/D&gt;&lt;D xsi:type="xsd:double"&gt;1.64052235968141&lt;/D&gt;&lt;D xsi:type="xsd:double"&gt;1.68641735580842&lt;/D&gt;&lt;D xsi:type="xsd:double"&gt;1.83514913691347&lt;/D&gt;&lt;D xsi:type="xsd:double"&gt;1.83766942515588&lt;/D&gt;&lt;D xsi:type="xsd:double"&gt;1.81643609591845&lt;/D&gt;&lt;D xsi:type="xsd:double"&gt;1.74227210964026&lt;/D&gt;&lt;D xsi:type="xsd:double"&gt;1.66941089475984&lt;/D&gt;&lt;D xsi:type="xsd:double"&gt;1.66038111403765&lt;/D&gt;&lt;D xsi:type="xsd:double"&gt;1.67520392338465&lt;/D&gt;&lt;D xsi:type="xsd:double"&gt;1.78803343326495&lt;/D&gt;&lt;D xsi:type="xsd:double"&gt;2.41581469192692&lt;/D&gt;&lt;D xsi:type="xsd:double"&gt;1.99820288125192&lt;/D&gt;&lt;D xsi:type="xsd:double"&gt;1.71578998380496&lt;/D&gt;&lt;D xsi:type="xsd:double"&gt;1.61380547347235&lt;/D&gt;&lt;D xsi:type="xsd:double"&gt;1.5433896626086&lt;/D&gt;&lt;D xsi:type="xsd:double"&gt;1.5554258892866&lt;/D&gt;&lt;D xsi:type="xsd:double"&gt;1.55122789056089&lt;/D&gt;&lt;D xsi:type="xsd:double"&gt;1.55374515191174&lt;/D&gt;&lt;D xsi:type="xsd:double"&gt;1.36875984493452&lt;/D&gt;&lt;D xsi:type="xsd:double"&gt;1.32082567151721&lt;/D&gt;&lt;D xsi:type="xsd:double"&gt;1.32167237496571&lt;/D&gt;&lt;D xsi:type="xsd:double"&gt;1.32954823328669&lt;/D&gt;&lt;D xsi:type="xsd:double"&gt;1.36936358393601&lt;/D&gt;&lt;D xsi:type="xsd:double"&gt;1.43015675626751&lt;/D&gt;&lt;D xsi:type="xsd:double"&gt;1.39531156204176&lt;/D&gt;&lt;D xsi:type="xsd:double"&gt;1.40000907301192&lt;/D&gt;&lt;D xsi:type="xsd:double"&gt;1.35735220818044&lt;/D&gt;&lt;D xsi:type="xsd:double"&gt;1.28371391583229&lt;/D&gt;&lt;D xsi:type="xsd:double"&gt;1.30157980127367&lt;/D&gt;&lt;D xsi:type="xsd:double"&gt;1.33313733501235&lt;/D&gt;&lt;D xsi:type="xsd:double"&gt;1.36669550591166&lt;/D&gt;&lt;D xsi:type="xsd:double"&gt;1.33893681006267&lt;/D&gt;&lt;D xsi:type="xsd:double"&gt;1.39940126154143&lt;/D&gt;&lt;D xsi:type="xsd:double"&gt;1.54832048101086&lt;/D&gt;&lt;D xsi:type="xsd:double"&gt;1.41986492329277&lt;/D&gt;&lt;D xsi:type="xsd:double"&gt;1.59103819599962&lt;/D&gt;&lt;D xsi:type="xsd:double"&gt;1.59759048367178&lt;/D&gt;&lt;D xsi:type="xsd:double"&gt;1.683908144684&lt;/D&gt;&lt;D xsi:type="xsd:double"&gt;1.4913103859373&lt;/D&gt;&lt;D xsi:type="xsd:double"&gt;1.49576832473624&lt;/D&gt;&lt;D xsi:type="xsd:double"&gt;1.54190879879182&lt;/D&gt;&lt;D xsi:type="xsd:double"&gt;1.49563197613783&lt;/D&gt;&lt;D xsi:type="xsd:double"&gt;1.43010653648159&lt;/D&gt;&lt;D xsi:type="xsd:double"&gt;1.50060878912647&lt;/D&gt;&lt;D xsi:type="xsd:double"&gt;1.54278010157217&lt;/D&gt;&lt;D xsi:type="xsd:double"&gt;1.58298456880016&lt;/D&gt;&lt;D xsi:type="xsd:double"&gt;1.61764432913294&lt;/D&gt;&lt;D xsi:type="xsd:double"&gt;1.60126976305317&lt;/D&gt;&lt;D xsi:type="xsd:double"&gt;1.56226945006763&lt;/D&gt;&lt;D xsi:type="xsd:double"&gt;1.51197842838404&lt;/D&gt;&lt;D xsi:type="xsd:double"&gt;1.49320391766235&lt;/D&gt;&lt;D xsi:type="xsd:double"&gt;1.527895108094&lt;/D&gt;&lt;D xsi:type="xsd:double"&gt;1.5381686285347&lt;/D&gt;&lt;D xsi:type="xsd:double"&gt;1.53857388679165&lt;/D&gt;&lt;D xsi:type="xsd:double"&gt;1.4304417515314&lt;/D&gt;&lt;D xsi:type="xsd:double"&gt;1.37636918057188&lt;/D&gt;&lt;D xsi:type="xsd:double"&gt;1.37049476763983&lt;/D&gt;&lt;D xsi:type="xsd:double"&gt;1.23286264470808&lt;/D&gt;&lt;/FQL&gt;&lt;FQL&gt;&lt;Q&gt;UAE^FMA_PE(NTMA,-10AY,0,AM,"PORTAGG","MEANR")&lt;/Q&gt;&lt;R&gt;121&lt;/R&gt;&lt;C&gt;1&lt;/C&gt;&lt;D xsi:type="xsd:string"&gt;@NA&lt;/D&gt;&lt;D xsi:type="xsd:string"&gt;@NA&lt;/D&gt;&lt;D xsi:type="xsd:string"&gt;@NA&lt;/D&gt;&lt;D xsi:type="xsd:double"&gt;17.7236078268824&lt;/D&gt;&lt;D xsi:type="xsd:double"&gt;14.2093325331685&lt;/D&gt;&lt;D xsi:type="xsd:double"&gt;14.6252983727288&lt;/D&gt;&lt;D xsi:type="xsd:double"&gt;15.5211808667411&lt;/D&gt;&lt;D xsi:type="xsd:double"&gt;14.8009086323599&lt;/D&gt;&lt;D xsi:type="xsd:double"&gt;14.1345543157834&lt;/D&gt;&lt;D xsi:type="xsd:double"&gt;13.2361301624016&lt;/D&gt;&lt;D xsi:type="xsd:double"&gt;12.0228587640456&lt;/D&gt;&lt;D xsi:type="xsd:double"&gt;12.6251562110724&lt;/D&gt;&lt;D xsi:type="xsd:double"&gt;12.8807072588032&lt;/D&gt;&lt;D xsi:type="xsd:double"&gt;12.2833039917793&lt;/D&gt;&lt;D xsi:type="xsd:double"&gt;13.8958060381364&lt;/D&gt;&lt;D xsi:type="xsd:double"&gt;12.9643325146311&lt;/D&gt;&lt;D xsi:type="xsd:double"&gt;12.9013251175112&lt;/D&gt;&lt;D xsi:type="xsd:double"&gt;12.6448610077375&lt;/D&gt;&lt;D xsi:type="xsd:double"&gt;11.8188127976228&lt;/D&gt;&lt;D xsi:type="xsd:double"&gt;12.067323782202&lt;/D&gt;&lt;D xsi:type="xsd:double"&gt;11.2683119175943&lt;/D&gt;&lt;D xsi:type="xsd:double"&gt;10.5444173313492&lt;/D&gt;&lt;D xsi:type="xsd:double"&gt;11.5330885154171&lt;/D&gt;&lt;D xsi:type="xsd:double"&gt;10.9670476885469&lt;/D&gt;&lt;D xsi:type="xsd:double"&gt;12.2808567996963&lt;/D&gt;&lt;D xsi:type="xsd:double"&gt;12.4098520627745&lt;/D&gt;&lt;D xsi:type="xsd:double"&gt;12.6656795435833&lt;/D&gt;&lt;D xsi:type="xsd:double"&gt;12.3878913354281&lt;/D&gt;&lt;D xsi:type="xsd:double"&gt;12.5410289126565&lt;/D&gt;&lt;D xsi:type="xsd:double"&gt;12.4202149955983&lt;/D&gt;&lt;D xsi:type="xsd:double"&gt;12.2659017230623&lt;/D&gt;&lt;D xsi:type="xsd:double"&gt;12.6712024556353&lt;/D&gt;&lt;D xsi:type="xsd:double"&gt;11.720949386575&lt;/D&gt;&lt;D xsi:type="xsd:double"&gt;11.2748401039742&lt;/D&gt;&lt;D xsi:type="xsd:double"&gt;11.9926311289989&lt;/D&gt;&lt;D xsi:type="xsd:double"&gt;11.9195063009381&lt;/D&gt;&lt;D xsi:type="xsd:double"&gt;12.0860175197882&lt;/D&gt;&lt;D xsi:type="xsd:double"&gt;12.1148365489311&lt;/D&gt;&lt;D xsi:type="xsd:double"&gt;12.0544266557871&lt;/D&gt;&lt;D xsi:type="xsd:double"&gt;11.0928527308532&lt;/D&gt;&lt;D xsi:type="xsd:double"&gt;11.1215941280298&lt;/D&gt;&lt;D xsi:type="xsd:double"&gt;11.9555221256365&lt;/D&gt;&lt;D xsi:type="xsd:double"&gt;11.404510203833&lt;/D&gt;&lt;D xsi:type="xsd:double"&gt;11.1392687926325&lt;/D&gt;&lt;D xsi:type="xsd:double"&gt;11.3464688947697&lt;/D&gt;&lt;D xsi:type="xsd:double"&gt;10.8721008448869&lt;/D&gt;&lt;D xsi:type="xsd:double"&gt;11.3040495484397&lt;/D&gt;&lt;D xsi:type="xsd:double"&gt;11.4966957035643&lt;/D&gt;&lt;D xsi:type="xsd:double"&gt;11.2855100040864&lt;/D&gt;&lt;D xsi:type="xsd:double"&gt;10.9888296089633&lt;/D&gt;&lt;D xsi:type="xsd:double"&gt;10.8124516536212&lt;/D&gt;&lt;D xsi:type="xsd:double"&gt;10.7913322091897&lt;/D&gt;&lt;D xsi:type="xsd:double"&gt;10.7447326493558&lt;/D&gt;&lt;D xsi:type="xsd:double"&gt;11.307459787993&lt;/D&gt;&lt;D xsi:type="xsd:double"&gt;12.2983446854885&lt;/D&gt;&lt;D xsi:type="xsd:double"&gt;11.9130015486027&lt;/D&gt;&lt;D xsi:type="xsd:double"&gt;11.5498275554137&lt;/D&gt;&lt;D xsi:type="xsd:double"&gt;11.3520886872742&lt;/D&gt;&lt;D xsi:type="xsd:double"&gt;10.909295281479&lt;/D&gt;&lt;D xsi:type="xsd:double"&gt;11.0987783609591&lt;/D&gt;&lt;D xsi:type="xsd:double"&gt;12.0439269583303&lt;/D&gt;&lt;D xsi:type="xsd:double"&gt;11.7039687360685&lt;/D&gt;&lt;D xsi:type="xsd:double"&gt;12.0928078115361&lt;/D&gt;&lt;D xsi:type="xsd:double"&gt;11.5797959863917&lt;/D&gt;&lt;D xsi:type="xsd:double"&gt;11.9819339172523&lt;/D&gt;&lt;D xsi:type="xsd:double"&gt;12.7726312015148&lt;/D&gt;&lt;D xsi:type="xsd:double"&gt;12.7592435523502&lt;/D&gt;&lt;D xsi:type="xsd:double"&gt;12.7276719373767&lt;/D&gt;&lt;D xsi:type="xsd:double"&gt;13.2407457055779&lt;/D&gt;&lt;D xsi:type="xsd:double"&gt;12.8331611603442&lt;/D&gt;&lt;D xsi:type="xsd:double"&gt;13.6758971176178&lt;/D&gt;&lt;D xsi:type="xsd:double"&gt;12.8248459948081&lt;/D&gt;&lt;D xsi:type="xsd:double"&gt;11.9184197466814&lt;/D&gt;&lt;D xsi:type="xsd:double"&gt;10.1334081074023&lt;/D&gt;&lt;D xsi:type="xsd:double"&gt;14.9296381975581&lt;/D&gt;&lt;D xsi:type="xsd:double"&gt;14.8297708333644&lt;/D&gt;&lt;D xsi:type="xsd:double"&gt;16.8592821973982&lt;/D&gt;&lt;D xsi:type="xsd:double"&gt;13.0166538797621&lt;/D&gt;&lt;D xsi:type="xsd:double"&gt;13.6066823985597&lt;/D&gt;&lt;D xsi:type="xsd:double"&gt;12.6728799903031&lt;/D&gt;&lt;D xsi:type="xsd:double"&gt;14.589398079411&lt;/D&gt;&lt;D xsi:type="xsd:double"&gt;15.691869107822&lt;/D&gt;&lt;D xsi:type="xsd:double"&gt;14.9977206288283&lt;/D&gt;&lt;D xsi:type="xsd:double"&gt;15.4778768587904&lt;/D&gt;&lt;D xsi:type="xsd:double"&gt;14.8868245494161&lt;/D&gt;&lt;D xsi:type="xsd:double"&gt;14.2653668429766&lt;/D&gt;&lt;D xsi:type="xsd:double"&gt;14.0470430423307&lt;/D&gt;&lt;D xsi:type="xsd:double"&gt;15.0821303078179&lt;/D&gt;&lt;D xsi:type="xsd:double"&gt;14.5894081486075&lt;/D&gt;&lt;D xsi:type="xsd:double"&gt;14.4961705007977&lt;/D&gt;&lt;D xsi:type="xsd:double"&gt;14.5699511717787&lt;/D&gt;&lt;D xsi:type="xsd:double"&gt;14.5077510420157&lt;/D&gt;&lt;D xsi:type="xsd:double"&gt;15.1371209277967&lt;/D&gt;&lt;D xsi:type="xsd:double"&gt;15.8256683257224&lt;/D&gt;&lt;D xsi:type="xsd:double"&gt;15.4817329338323&lt;/D&gt;&lt;D xsi:type="xsd:double"&gt;15.7764928602393&lt;/D&gt;&lt;D xsi:type="xsd:double"&gt;16.5105331289634&lt;/D&gt;&lt;D xsi:type="xsd:double"&gt;16.663453599435&lt;/D&gt;&lt;D xsi:type="xsd:double"&gt;16.1702935371815&lt;/D&gt;&lt;D xsi:type="xsd:double"&gt;14.5115283192813&lt;/D&gt;&lt;D xsi:type="xsd:double"&gt;12.8570206970496&lt;/D&gt;&lt;D xsi:type="xsd:double"&gt;13.3599590918903&lt;/D&gt;&lt;D xsi:type="xsd:double"&gt;13.026620925282&lt;/D&gt;&lt;D xsi:type="xsd:double"&gt;12.7260158173047&lt;/D&gt;&lt;D xsi:type="xsd:double"&gt;12.5058622486699&lt;/D&gt;&lt;D xsi:type="xsd:double"&gt;12.434171417124&lt;/D&gt;&lt;D xsi:type="xsd:double"&gt;12.119876057672&lt;/D&gt;&lt;D xsi:type="xsd:double"&gt;12.1073635039878&lt;/D&gt;&lt;D xsi:type="xsd:double"&gt;11.3225457696245&lt;/D&gt;&lt;D xsi:type="xsd:double"&gt;10.9503719079511&lt;/D&gt;&lt;D xsi:type="xsd:double"&gt;11.3827965383296&lt;/D&gt;&lt;D xsi:type="xsd:double"&gt;11.0309217370401&lt;/D&gt;&lt;D xsi:type="xsd:double"&gt;11.3245711412492&lt;/D&gt;&lt;D xsi:type="xsd:double"&gt;11.6429418407374&lt;/D&gt;&lt;D xsi:type="xsd:double"&gt;11.0282302286601&lt;/D&gt;&lt;D xsi:type="xsd:double"&gt;11.1710190920128&lt;/D&gt;&lt;D xsi:type="xsd:double"&gt;10.1980779158871&lt;/D&gt;&lt;D xsi:type="xsd:double"&gt;10.3900921884894&lt;/D&gt;&lt;D xsi:type="xsd:double"&gt;10.4742244986375&lt;/D&gt;&lt;D xsi:type="xsd:double"&gt;10.3583086875839&lt;/D&gt;&lt;D xsi:type="xsd:double"&gt;9.50010995017441&lt;/D&gt;&lt;/FQL&gt;&lt;FQL&gt;&lt;Q&gt;ECH^FMA_PE(NTMA,-10AY,0,AM,"PORTAGG","MEANR")&lt;/Q&gt;&lt;R&gt;121&lt;/R&gt;&lt;C&gt;1&lt;/C&gt;&lt;D xsi:type="xsd:double"&gt;13.0219042650303&lt;/D&gt;&lt;D xsi:type="xsd:double"&gt;13.5829205218821&lt;/D&gt;&lt;D xsi:type="xsd:double"&gt;14.0714607447896&lt;/D&gt;&lt;D xsi:type="xsd:double"&gt;14.2240616390887&lt;/D&gt;&lt;D xsi:type="xsd:double"&gt;14.5485735408158&lt;/D&gt;&lt;D xsi:type="xsd:double"&gt;14.5303903410335&lt;/D&gt;&lt;D xsi:type="xsd:double"&gt;14.9001205691331&lt;/D&gt;&lt;D xsi:type="xsd:double"&gt;14.140680147208&lt;/D&gt;&lt;D xsi:type="xsd:double"&gt;14.0373276366022&lt;/D&gt;&lt;D xsi:type="xsd:double"&gt;14.0981664051361&lt;/D&gt;&lt;D xsi:type="xsd:double"&gt;13.6425295415782&lt;/D&gt;&lt;D xsi:type="xsd:double"&gt;13.2509899677514&lt;/D&gt;&lt;D xsi:type="xsd:double"&gt;13.4592660789098&lt;/D&gt;&lt;D xsi:type="xsd:double"&gt;13.5951187994793&lt;/D&gt;&lt;D xsi:type="xsd:double"&gt;14.083745790272&lt;/D&gt;&lt;D xsi:type="xsd:double"&gt;13.6836860365952&lt;/D&gt;&lt;D xsi:type="xsd:double"&gt;12.8985912635183&lt;/D&gt;&lt;D xsi:type="xsd:double"&gt;12.4822941607561&lt;/D&gt;&lt;D xsi:type="xsd:double"&gt;12.6777606144809&lt;/D&gt;&lt;D xsi:type="xsd:double"&gt;12.2979420333579&lt;/D&gt;&lt;D xsi:type="xsd:double"&gt;13.7971703554905&lt;/D&gt;&lt;D xsi:type="xsd:double"&gt;12.8880524971538&lt;/D&gt;&lt;D xsi:type="xsd:double"&gt;12.014982672994&lt;/D&gt;&lt;D xsi:type="xsd:double"&gt;12.1507507737711&lt;/D&gt;&lt;D xsi:type="xsd:double"&gt;12.833940293382&lt;/D&gt;&lt;D xsi:type="xsd:double"&gt;13.3841359749028&lt;/D&gt;&lt;D xsi:type="xsd:double"&gt;13.833915958055&lt;/D&gt;&lt;D xsi:type="xsd:double"&gt;13.7392052771142&lt;/D&gt;&lt;D xsi:type="xsd:double"&gt;14.6844560589951&lt;/D&gt;&lt;D xsi:type="xsd:double"&gt;15.598780850424&lt;/D&gt;&lt;D xsi:type="xsd:double"&gt;15.6038822646544&lt;/D&gt;&lt;D xsi:type="xsd:double"&gt;15.4273399307238&lt;/D&gt;&lt;D xsi:type="xsd:double"&gt;16.4676140182651&lt;/D&gt;&lt;D xsi:type="xsd:double"&gt;15.8070977813658&lt;/D&gt;&lt;D xsi:type="xsd:double"&gt;15.8777344284227&lt;/D&gt;&lt;D xsi:type="xsd:double"&gt;15.8655942833833&lt;/D&gt;&lt;D xsi:type="xsd:double"&gt;16.1413426761538&lt;/D&gt;&lt;D xsi:type="xsd:double"&gt;17.1538489906532&lt;/D&gt;&lt;D xsi:type="xsd:double"&gt;17.1997644328628&lt;/D&gt;&lt;D xsi:type="xsd:double"&gt;17.0962420133734&lt;/D&gt;&lt;D xsi:type="xsd:double"&gt;17.0428778123287&lt;/D&gt;&lt;D xsi:type="xsd:double"&gt;17.8563958580212&lt;/D&gt;&lt;D xsi:type="xsd:double"&gt;18.9969561066947&lt;/D&gt;&lt;D xsi:type="xsd:double"&gt;12.7583754379283&lt;/D&gt;&lt;D xsi:type="xsd:double"&gt;14.8443348068945&lt;/D&gt;&lt;D xsi:type="xsd:double"&gt;12.9170445493116&lt;/D&gt;&lt;D xsi:type="xsd:double"&gt;14.3825176847129&lt;/D&gt;&lt;D xsi:type="xsd:double"&gt;14.7693505055789&lt;/D&gt;&lt;D xsi:type="xsd:double"&gt;14.0275164349759&lt;/D&gt;&lt;D xsi:type="xsd:double"&gt;13.5973416711292&lt;/D&gt;&lt;D xsi:type="xsd:double"&gt;13.6112868136095&lt;/D&gt;&lt;D xsi:type="xsd:double"&gt;12.4395379413269&lt;/D&gt;&lt;D xsi:type="xsd:double"&gt;11.5958764245639&lt;/D&gt;&lt;D xsi:type="xsd:double"&gt;12.0473668647443&lt;/D&gt;&lt;D xsi:type="xsd:double"&gt;11.5516829231403&lt;/D&gt;&lt;D xsi:type="xsd:double"&gt;12.3746870761024&lt;/D&gt;&lt;D xsi:type="xsd:double"&gt;14.9006850384383&lt;/D&gt;&lt;D xsi:type="xsd:double"&gt;14.9731977348048&lt;/D&gt;&lt;D xsi:type="xsd:double"&gt;14.830010055628&lt;/D&gt;&lt;D xsi:type="xsd:double"&gt;16.025716416187&lt;/D&gt;&lt;D xsi:type="xsd:double"&gt;15.0518541793722&lt;/D&gt;&lt;D xsi:type="xsd:double"&gt;14.945571168971&lt;/D&gt;&lt;D xsi:type="xsd:double"&gt;15.0846773438458&lt;/D&gt;&lt;D xsi:type="xsd:double"&gt;14.5232282014539&lt;/D&gt;&lt;D xsi:type="xsd:double"&gt;15.0145216255296&lt;/D&gt;&lt;D xsi:type="xsd:double"&gt;14.2825163446556&lt;/D&gt;&lt;D xsi:type="xsd:double"&gt;13.9884392246544&lt;/D&gt;&lt;D xsi:type="xsd:double"&gt;15.2241474229313&lt;/D&gt;&lt;D xsi:type="xsd:double"&gt;14.2158506444819&lt;/D&gt;&lt;D xsi:type="xsd:double"&gt;13.2843118248388&lt;/D&gt;&lt;D xsi:type="xsd:double"&gt;13.7996485063358&lt;/D&gt;&lt;D xsi:type="xsd:double"&gt;13.3709832874895&lt;/D&gt;&lt;D xsi:type="xsd:double"&gt;12.3687771824857&lt;/D&gt;&lt;D xsi:type="xsd:double"&gt;10.5474076036794&lt;/D&gt;&lt;D xsi:type="xsd:double"&gt;11.8775234544039&lt;/D&gt;&lt;D xsi:type="xsd:double"&gt;13.7839993330785&lt;/D&gt;&lt;D xsi:type="xsd:double"&gt;15.3911499675053&lt;/D&gt;&lt;D xsi:type="xsd:double"&gt;15.6331674902879&lt;/D&gt;&lt;D xsi:type="xsd:double"&gt;15.1247468476863&lt;/D&gt;&lt;D xsi:type="xsd:double"&gt;14.0914866982682&lt;/D&gt;&lt;D xsi:type="xsd:double"&gt;13.1874822264109&lt;/D&gt;&lt;D xsi:type="xsd:double"&gt;14.9549555164582&lt;/D&gt;&lt;D xsi:type="xsd:double"&gt;14.1585450972839&lt;/D&gt;&lt;D xsi:type="xsd:double"&gt;14.0970640669905&lt;/D&gt;&lt;D xsi:type="xsd:double"&gt;14.6799497200649&lt;/D&gt;&lt;D xsi:type="xsd:double"&gt;14.2276588385717&lt;/D&gt;&lt;D xsi:type="xsd:double"&gt;12.9615647643161&lt;/D&gt;&lt;D xsi:type="xsd:double"&gt;11.2745752300522&lt;/D&gt;&lt;D xsi:type="xsd:double"&gt;11.2180512623548&lt;/D&gt;&lt;D xsi:type="xsd:double"&gt;10.2000996080411&lt;/D&gt;&lt;D xsi:type="xsd:double"&gt;10.2492414331318&lt;/D&gt;&lt;D xsi:type="xsd:double"&gt;9.65123559967653&lt;/D&gt;&lt;D xsi:type="xsd:double"&gt;9.51428131404218&lt;/D&gt;&lt;D xsi:type="xsd:double"&gt;9.55212558289534&lt;/D&gt;&lt;D xsi:type="xsd:double"&gt;9.22655809387961&lt;/D&gt;&lt;D xsi:type="xsd:double"&gt;9.54154537056158&lt;/D&gt;&lt;D xsi:type="xsd:double"&gt;9.64748717406352&lt;/D&gt;&lt;D xsi:type="xsd:double"&gt;9.66744086029347&lt;/D&gt;&lt;D xsi:type="xsd:double"&gt;8.87809107800681&lt;/D&gt;&lt;D xsi:type="xsd:double"&gt;7.28374488496126&lt;/D&gt;&lt;D xsi:type="xsd:double"&gt;6.31327500940425&lt;/D&gt;&lt;D xsi:type="xsd:double"&gt;6.42328321212286&lt;/D&gt;&lt;D xsi:type="xsd:double"&gt;6.90161526160921&lt;/D&gt;&lt;D xsi:type="xsd:double"&gt;7.38308966965204&lt;/D&gt;&lt;D xsi:type="xsd:double"&gt;7.51316358035801&lt;/D&gt;&lt;D xsi:type="xsd:double"&gt;7.29340570949401&lt;/D&gt;&lt;D xsi:type="xsd:double"&gt;7.07999078417133&lt;/D&gt;&lt;D xsi:type="xsd:double"&gt;7.85560850430661&lt;/D&gt;&lt;D xsi:type="xsd:double"&gt;7.92957505108748&lt;/D&gt;&lt;D xsi:type="xsd:double"&gt;7.25408745788163&lt;/D&gt;&lt;D xsi:type="xsd:double"&gt;7.70993792738522&lt;/D&gt;&lt;D xsi:type="xsd:double"&gt;8.21226026403421&lt;/D&gt;&lt;D xsi:type="xsd:double"&gt;8.6511165730829&lt;/D&gt;&lt;D xsi:type="xsd:double"&gt;9.24366355027475&lt;/D&gt;&lt;D xsi:type="xsd:double"&gt;8.95672380850822&lt;/D&gt;&lt;D xsi:type="xsd:double"&gt;8.46405901309366&lt;/D&gt;&lt;D xsi:type="xsd:double"&gt;8.4927728769294&lt;/D&gt;&lt;D xsi:type="xsd:double"&gt;7.54851805931543&lt;/D&gt;&lt;D xsi:type="xsd:double"&gt;7.40679529166136&lt;/D&gt;&lt;D xsi:type="xsd:double"&gt;7.96115774302391&lt;/D&gt;&lt;D xsi:type="xsd:double"&gt;7.11105670256571&lt;/D&gt;&lt;/FQL&gt;&lt;FQL&gt;&lt;Q&gt;EWM^FMA_PE(LTMA,-10AY,0,AM,"PORTAGG","MEANR")&lt;/Q&gt;&lt;R&gt;121&lt;/R&gt;&lt;C&gt;1&lt;/C&gt;&lt;D xsi:type="xsd:double"&gt;16.8072017920807&lt;/D&gt;&lt;D xsi:type="xsd:double"&gt;16.7458910886018&lt;/D&gt;&lt;D xsi:type="xsd:double"&gt;16.7214063965027&lt;/D&gt;&lt;D xsi:type="xsd:double"&gt;16.6902759445879&lt;/D&gt;&lt;D xsi:type="xsd:double"&gt;16.7620453963989&lt;/D&gt;&lt;D xsi:type="xsd:double"&gt;16.7198147988224&lt;/D&gt;&lt;D xsi:type="xsd:double"&gt;16.8771560239545&lt;/D&gt;&lt;D xsi:type="xsd:double"&gt;16.7188357623039&lt;/D&gt;&lt;D xsi:type="xsd:double"&gt;16.6735006932963&lt;/D&gt;&lt;D xsi:type="xsd:double"&gt;16.1809303685665&lt;/D&gt;&lt;D xsi:type="xsd:double"&gt;16.2516335907868&lt;/D&gt;&lt;D xsi:type="xsd:double"&gt;16.5440146676615&lt;/D&gt;&lt;D xsi:type="xsd:double"&gt;17.099051735263&lt;/D&gt;&lt;D xsi:type="xsd:double"&gt;17.0375130082945&lt;/D&gt;&lt;D xsi:type="xsd:double"&gt;16.9248248897087&lt;/D&gt;&lt;D xsi:type="xsd:double"&gt;16.7206228562542&lt;/D&gt;&lt;D xsi:type="xsd:double"&gt;16.656335356023&lt;/D&gt;&lt;D xsi:type="xsd:double"&gt;16.5905222643586&lt;/D&gt;&lt;D xsi:type="xsd:double"&gt;15.8900076128399&lt;/D&gt;&lt;D xsi:type="xsd:double"&gt;16.177625811256&lt;/D&gt;&lt;D xsi:type="xsd:double"&gt;16.6590964958126&lt;/D&gt;&lt;D xsi:type="xsd:double"&gt;16.6752436496855&lt;/D&gt;&lt;D xsi:type="xsd:double"&gt;16.3614425713237&lt;/D&gt;&lt;D xsi:type="xsd:double"&gt;16.4734148664707&lt;/D&gt;&lt;D xsi:type="xsd:double"&gt;16.6464413763541&lt;/D&gt;&lt;D xsi:type="xsd:double"&gt;16.7151971748928&lt;/D&gt;&lt;D xsi:type="xsd:double"&gt;16.4818762398456&lt;/D&gt;&lt;D xsi:type="xsd:double"&gt;16.5935463386591&lt;/D&gt;&lt;D xsi:type="xsd:double"&gt;16.67363379471&lt;/D&gt;&lt;D xsi:type="xsd:double"&gt;16.784354414371&lt;/D&gt;&lt;D xsi:type="xsd:double"&gt;17.161386066035&lt;/D&gt;&lt;D xsi:type="xsd:double"&gt;17.1882020394069&lt;/D&gt;&lt;D xsi:type="xsd:double"&gt;17.1957236015754&lt;/D&gt;&lt;D xsi:type="xsd:double"&gt;16.9922141650758&lt;/D&gt;&lt;D xsi:type="xsd:double"&gt;17.0631129027997&lt;/D&gt;&lt;D xsi:type="xsd:double"&gt;17.1572294081406&lt;/D&gt;&lt;D xsi:type="xsd:double"&gt;17.0617237119603&lt;/D&gt;&lt;D xsi:type="xsd:double"&gt;17.1481774723621&lt;/D&gt;&lt;D xsi:type="xsd:double"&gt;17.2242781234348&lt;/D&gt;&lt;D xsi:type="xsd:double"&gt;17.2005352589974&lt;/D&gt;&lt;D xsi:type="xsd:double"&gt;17.2448558521033&lt;/D&gt;&lt;D xsi:type="xsd:double"&gt;17.2723645019374&lt;/D&gt;&lt;D xsi:type="xsd:double"&gt;17.4489690311956&lt;/D&gt;&lt;D xsi:type="xsd:double"&gt;17.429634094122&lt;/D&gt;&lt;D xsi:type="xsd:double"&gt;17.3661762952293&lt;/D&gt;&lt;D xsi:type="xsd:double"&gt;17.4003029588596&lt;/D&gt;&lt;D xsi:type="xsd:double"&gt;18.4418283836601&lt;/D&gt;&lt;D xsi:type="xsd:double"&gt;18.9098347416561&lt;/D&gt;&lt;D xsi:type="xsd:double"&gt;18.5780269948128&lt;/D&gt;&lt;D xsi:type="xsd:double"&gt;18.2803480058154&lt;/D&gt;&lt;D xsi:type="xsd:double"&gt;18.144913814461&lt;/D&gt;&lt;D xsi:type="xsd:double"&gt;17.8940746488529&lt;/D&gt;&lt;D xsi:type="xsd:double"&gt;17.4525248255035&lt;/D&gt;&lt;D xsi:type="xsd:double"&gt;17.8148409490224&lt;/D&gt;&lt;D xsi:type="xsd:double"&gt;17.9046615274053&lt;/D&gt;&lt;D xsi:type="xsd:double"&gt;17.5969152264906&lt;/D&gt;&lt;D xsi:type="xsd:double"&gt;16.8015093774047&lt;/D&gt;&lt;D xsi:type="xsd:double"&gt;16.8525099360905&lt;/D&gt;&lt;D xsi:type="xsd:double"&gt;16.6464781924237&lt;/D&gt;&lt;D xsi:type="xsd:double"&gt;16.8939934056886&lt;/D&gt;&lt;D xsi:type="xsd:double"&gt;17.078893753173&lt;/D&gt;&lt;D xsi:type="xsd:double"&gt;16.962676696899&lt;/D&gt;&lt;D xsi:type="xsd:double"&gt;16.8915307738423&lt;/D&gt;&lt;D xsi:type="xsd:double"&gt;17.0695162878064&lt;/D&gt;&lt;D xsi:type="xsd:double"&gt;17.2817243091426&lt;/D&gt;&lt;D xsi:type="xsd:double"&gt;16.9760008095674&lt;/D&gt;&lt;D xsi:type="xsd:double"&gt;16.8580036375159&lt;/D&gt;&lt;D xsi:type="xsd:double"&gt;16.5483361102189&lt;/D&gt;&lt;D xsi:type="xsd:double"&gt;16.8737040336636&lt;/D&gt;&lt;D xsi:type="xsd:double"&gt;16.6820746870976&lt;/D&gt;&lt;D xsi:type="xsd:double"&gt;17.2509349334332&lt;/D&gt;&lt;D xsi:type="xsd:double"&gt;16.3203128679681&lt;/D&gt;&lt;D xsi:type="xsd:double"&gt;16.4306381741638&lt;/D&gt;&lt;D xsi:type="xsd:double"&gt;16.1714833240087&lt;/D&gt;&lt;D xsi:type="xsd:double"&gt;16.5587112611545&lt;/D&gt;&lt;D xsi:type="xsd:double"&gt;18.6037689797613&lt;/D&gt;&lt;D xsi:type="xsd:double"&gt;19.0761971886691&lt;/D&gt;&lt;D xsi:type="xsd:double"&gt;19.5806666314135&lt;/D&gt;&lt;D xsi:type="xsd:double"&gt;20.3570479286196&lt;/D&gt;&lt;D xsi:type="xsd:double"&gt;20.1992788241593&lt;/D&gt;&lt;D xsi:type="xsd:double"&gt;19.703402752803&lt;/D&gt;&lt;D xsi:type="xsd:double"&gt;21.4850801034224&lt;/D&gt;&lt;D xsi:type="xsd:double"&gt;20.7189884117656&lt;/D&gt;&lt;D xsi:type="xsd:double"&gt;19.6682856043941&lt;/D&gt;&lt;D xsi:type="xsd:double"&gt;19.7375354985554&lt;/D&gt;&lt;D xsi:type="xsd:double"&gt;19.1836099329359&lt;/D&gt;&lt;D xsi:type="xsd:double"&gt;18.5424815428563&lt;/D&gt;&lt;D xsi:type="xsd:double"&gt;17.8470075721319&lt;/D&gt;&lt;D xsi:type="xsd:double"&gt;17.1646873842285&lt;/D&gt;&lt;D xsi:type="xsd:double"&gt;16.3174309288544&lt;/D&gt;&lt;D xsi:type="xsd:double"&gt;16.1873108416394&lt;/D&gt;&lt;D xsi:type="xsd:double"&gt;15.4085170051951&lt;/D&gt;&lt;D xsi:type="xsd:double"&gt;14.9606483084426&lt;/D&gt;&lt;D xsi:type="xsd:double"&gt;15.2539570970095&lt;/D&gt;&lt;D xsi:type="xsd:double"&gt;15.2589654386395&lt;/D&gt;&lt;D xsi:type="xsd:double"&gt;15.0943435823382&lt;/D&gt;&lt;D xsi:type="xsd:double"&gt;15.9237402266663&lt;/D&gt;&lt;D xsi:type="xsd:double"&gt;15.9210840857436&lt;/D&gt;&lt;D xsi:type="xsd:double"&gt;15.8492559823915&lt;/D&gt;&lt;D xsi:type="xsd:double"&gt;15.5801678801368&lt;/D&gt;&lt;D xsi:type="xsd:double"&gt;15.1248462461333&lt;/D&gt;&lt;D xsi:type="xsd:double"&gt;15.3335640385477&lt;/D&gt;&lt;D xsi:type="xsd:double"&gt;15.2200604185175&lt;/D&gt;&lt;D xsi:type="xsd:double"&gt;14.530095940153&lt;/D&gt;&lt;D xsi:type="xsd:double"&gt;14.6188289631757&lt;/D&gt;&lt;D xsi:type="xsd:double"&gt;14.9102085903782&lt;/D&gt;&lt;D xsi:type="xsd:double"&gt;14.7429442675559&lt;/D&gt;&lt;D xsi:type="xsd:double"&gt;14.8563437334089&lt;/D&gt;&lt;D xsi:type="xsd:double"&gt;14.8639236334665&lt;/D&gt;&lt;D xsi:type="xsd:double"&gt;14.6944040101562&lt;/D&gt;&lt;D xsi:type="xsd:double"&gt;14.5644499000814&lt;/D&gt;&lt;D xsi:type="xsd:double"&gt;14.5312000850452&lt;/D&gt;&lt;D xsi:type="xsd:double"&gt;14.5533547278994&lt;/D&gt;&lt;D xsi:type="xsd:double"&gt;14.7309411962262&lt;/D&gt;&lt;D xsi:type="xsd:double"&gt;14.9872394162357&lt;/D&gt;&lt;D xsi:type="xsd:double"&gt;14.6555068904678&lt;/D&gt;&lt;D xsi:type="xsd:double"&gt;14.9194024569919&lt;/D&gt;&lt;D xsi:type="xsd:double"&gt;15.0699159873728&lt;/D&gt;&lt;D xsi:type="xsd:double"&gt;15.2805484982636&lt;/D&gt;&lt;D xsi:type="xsd:double"&gt;15.4006434371458&lt;/D&gt;&lt;D xsi:type="xsd:double"&gt;16.1475605488485&lt;/D&gt;&lt;/FQL&gt;&lt;FQL&gt;&lt;Q&gt;WL-FDS^FG_PRICE(0)/MAX(FG_PRICE(0,-1AY))&lt;/Q&gt;&lt;R&gt;1&lt;/R&gt;&lt;C&gt;1&lt;/C&gt;&lt;D xsi:type="xsd:double"&gt;0.776788053445114&lt;/D&gt;&lt;/FQL&gt;&lt;FQL&gt;&lt;Q&gt;FC0000CN^FG_PRICE(0)&lt;/Q&gt;&lt;R&gt;1&lt;/R&gt;&lt;C&gt;1&lt;/C&gt;&lt;D xsi:type="xsd:double"&gt;253.75961&lt;/D&gt;&lt;/FQL&gt;&lt;FQL&gt;&lt;Q&gt;SET-BKK^FG_PRICE_MAVG(0,,,,200)&lt;/Q&gt;&lt;R&gt;1&lt;/R&gt;&lt;C&gt;1&lt;/C&gt;&lt;D xsi:type="xsd:double"&gt;1461.8118&lt;/D&gt;&lt;/FQL&gt;&lt;FQL&gt;&lt;Q&gt;GREK^FG_PRICE_MAVG(0,,,,60)&lt;/Q&gt;&lt;R&gt;1&lt;/R&gt;&lt;C&gt;1&lt;/C&gt;&lt;D xsi:type="xsd:double"&gt;38.6982&lt;/D&gt;&lt;/FQL&gt;&lt;FQL&gt;&lt;Q&gt;EWW^FG_PRICE_MAVG(0,,,,30)&lt;/Q&gt;&lt;R&gt;1&lt;/R&gt;&lt;C&gt;1&lt;/C&gt;&lt;D xsi:type="xsd:double"&gt;66.62867&lt;/D&gt;&lt;/FQL&gt;&lt;FQL&gt;&lt;Q&gt;EPOL^FG_PRICE(0)&lt;/Q&gt;&lt;R&gt;1&lt;/R&gt;&lt;C&gt;1&lt;/C&gt;&lt;D xsi:type="xsd:double"&gt;23.15&lt;/D&gt;&lt;/FQL&gt;&lt;FQL&gt;&lt;Q&gt;SPY^P_PRICE(0)/P_PRICE_LOW_PR(0,,,USD,,,"PRICE","INTRA","52W")-1&lt;/Q&gt;&lt;R&gt;1&lt;/R&gt;&lt;C&gt;1&lt;/C&gt;&lt;D xsi:type="xsd:double"&gt;0.3458557&lt;/D&gt;&lt;/FQL&gt;&lt;FQL&gt;&lt;Q&gt;VGK^P_PRICE(0)/P_PRICE_HIGH_PR(0,,,USD,,,"PRICE","INTRA","52W")&lt;/Q&gt;&lt;R&gt;1&lt;/R&gt;&lt;C&gt;1&lt;/C&gt;&lt;D xsi:type="xsd:double"&gt;0.99820817&lt;/D&gt;&lt;/FQL&gt;&lt;FQL&gt;&lt;Q&gt;EWY^FMA_PCT_ABOVE_MAVG(200,0,,,,"PORTAGG")&lt;/Q&gt;&lt;R&gt;1&lt;/R&gt;&lt;C&gt;1&lt;/C&gt;&lt;D xsi:type="xsd:double"&gt;57.6923076923077&lt;/D&gt;&lt;/FQL&gt;&lt;FQL&gt;&lt;Q&gt;EPHE^PERCENT_CHANGE(FMA_EPS(+1,0,,,,"PORTAGG","MEAN"),FMA_EPS(+1,-1AM,,,,"PORTAGG","MEAN"))&lt;/Q&gt;&lt;R&gt;1&lt;/R&gt;&lt;C&gt;1&lt;/C&gt;&lt;D xsi:type="xsd:double"&gt;-7.23854330087571&lt;/D&gt;&lt;/FQL&gt;&lt;FQL&gt;&lt;Q&gt;URTH^SIZE(FG_CONSTITUENTS)&lt;/Q&gt;&lt;R&gt;1&lt;/R&gt;&lt;C&gt;1&lt;/C&gt;&lt;D xsi:type="xsd:long"&gt;1469&lt;/D&gt;&lt;/FQL&gt;&lt;FQL&gt;&lt;Q&gt;UAE^FMA_COS_UP("EPS","1M",+1,NOW,,,"PORTAGG","MEANR")&lt;/Q&gt;&lt;R&gt;1&lt;/R&gt;&lt;C&gt;1&lt;/C&gt;&lt;D xsi:type="xsd:double"&gt;11&lt;/D&gt;&lt;/FQL&gt;&lt;FQL&gt;&lt;Q&gt;GREK^FMA_COS_DOWN("EPS","1M",+1,NOW,,,"PORTAGG","MEANR")&lt;/Q&gt;&lt;R&gt;1&lt;/R&gt;&lt;C&gt;1&lt;/C&gt;&lt;D xsi:type="xsd:double"&gt;5&lt;/D&gt;&lt;/FQL&gt;&lt;FQL&gt;&lt;Q&gt;EWM^SIZE(FG_CONSTITUENTS)&lt;/Q&gt;&lt;R&gt;1&lt;/R&gt;&lt;C&gt;1&lt;/C&gt;&lt;D xsi:type="xsd:long"&gt;33&lt;/D&gt;&lt;/FQL&gt;&lt;FQL&gt;&lt;Q&gt;ECH^FMA_COS_UP("EPS","1M",+1,NOW,,,"PORTAGG","MEANR")&lt;/Q&gt;&lt;R&gt;1&lt;/R&gt;&lt;C&gt;1&lt;/C&gt;&lt;D xsi:type="xsd:double"&gt;13&lt;/D&gt;&lt;/FQL&gt;&lt;FQL&gt;&lt;Q&gt;EWT^FMA_RBICS_REV_CURRENT(30, LOC, "PORTAGG")&lt;/Q&gt;&lt;R&gt;1&lt;/R&gt;&lt;C&gt;1&lt;/C&gt;&lt;D xsi:type="xsd:double"&gt;18.2563488397056&lt;/D&gt;&lt;/FQL&gt;&lt;FQL&gt;&lt;Q&gt;EZA^FG_ROE(0)&lt;/Q&gt;&lt;R&gt;1&lt;/R&gt;&lt;C&gt;1&lt;/C&gt;&lt;D xsi:type="xsd:double"&gt;16.1615742028116&lt;/D&gt;&lt;/FQL&gt;&lt;FQL&gt;&lt;Q&gt;REFSAREPO-FDS^(SUBARRAY(NOT_NA(NO_REPEAT_F(FG_YIELD(NOW,-10AY,D))),0,1)-SUBARRAY(NOT_NA(NO_REPEAT_F(FG_YIELD(NOW,-10AY,D))),1,1))*100&lt;/Q&gt;&lt;R&gt;1&lt;/R&gt;&lt;C&gt;1&lt;/C&gt;&lt;D xsi:type="xsd:double"&gt;25&lt;/D&gt;&lt;/FQL&gt;&lt;FQL&gt;&lt;Q&gt;REFKRBASE-FDS^(SUBARRAY(NOT_NA(NO_REPEAT_F(FG_YIELD(NOW,-10AY,D))),0,1)-SUBARRAY(NOT_NA(NO_REPEAT_F(FG_YIELD(NOW,-10AY,D))),1,1))*100&lt;/Q&gt;&lt;R&gt;1&lt;/R&gt;&lt;C&gt;1&lt;/C&gt;&lt;D xsi:type="xsd:double"&gt;25&lt;/D&gt;&lt;/FQL&gt;&lt;FQL&gt;&lt;Q&gt;TRYVN10Y-FDS^PCTCHG(FG_YIELD(0,,,,"YTM"),FG_YIELD(-1AM,,,,"YTM"))&lt;/Q&gt;&lt;R&gt;1&lt;/R&gt;&lt;C&gt;1&lt;/C&gt;&lt;D xsi:type="xsd:double"&gt;-1.3607517&lt;/D&gt;&lt;/FQL&gt;&lt;FQL&gt;&lt;Q&gt;TRYID10Y-FDS^PCTCHG(FG_YIELD(0,,,,"YTM"),FG_YIELD(-3AM,,,,"YTM"))&lt;/Q&gt;&lt;R&gt;1&lt;/R&gt;&lt;C&gt;1&lt;/C&gt;&lt;D xsi:type="xsd:double"&gt;0.36172345&lt;/D&gt;&lt;/FQL&gt;&lt;FQL&gt;&lt;Q&gt;TRYMX10Y-FDS^FG_YIELD_NAME&lt;/Q&gt;&lt;R&gt;1&lt;/R&gt;&lt;C&gt;1&lt;/C&gt;&lt;D xsi:type="xsd:string"&gt;Treasury - Mexico Benchmark Bond 10Y&lt;/D&gt;&lt;/FQL&gt;&lt;FQL&gt;&lt;Q&gt;CC_PL^IMF_IFS_RCPI_Q(0)&lt;/Q&gt;&lt;R&gt;1&lt;/R&gt;&lt;C&gt;1&lt;/C&gt;&lt;D xsi:type="xsd:double"&gt;6.202308&lt;/D&gt;&lt;/FQL&gt;&lt;FQL&gt;&lt;Q&gt;UAE^FMA_EVAL_EBIT(LTMA,NOW,NOW,M,"PORTAGG","MEANR")&lt;/Q&gt;&lt;R&gt;1&lt;/R&gt;&lt;C&gt;1&lt;/C&gt;&lt;D xsi:type="xsd:double"&gt;10.207961038626&lt;/D&gt;&lt;/FQL&gt;&lt;FQL&gt;&lt;Q&gt;MCHI^FMA_PE(LTM,0,,,"PORTAGG","MEANR")&lt;/Q&gt;&lt;R&gt;1&lt;/R&gt;&lt;C&gt;1&lt;/C&gt;&lt;D xsi:type="xsd:double"&gt;11.5722370607142&lt;/D&gt;&lt;/FQL&gt;&lt;FQL&gt;&lt;Q&gt;EWY^FMA_DIV_YLD(NTMA,NOW,NOW,M,"PORTAGG","MEANR")&lt;/Q&gt;&lt;R&gt;1&lt;/R&gt;&lt;C&gt;1&lt;/C&gt;&lt;D xsi:type="xsd:double"&gt;2.25723903265232&lt;/D&gt;&lt;/FQL&gt;&lt;FQL&gt;&lt;Q&gt;EPOL^FMA_EVAL_EBITDA(NTMA,0,,,"PORTAGG","MEANR")&lt;/Q&gt;&lt;R&gt;1&lt;/R&gt;&lt;C&gt;1&lt;/C&gt;&lt;D xsi:type="xsd:double"&gt;4.32299273740311&lt;/D&gt;&lt;/FQL&gt;&lt;FQL&gt;&lt;Q&gt;CNYA^JULIAN(FMA_DIV_YLD(NTMA,NOW,NOW,M,"PORTAGG","MEANR").DATES)&lt;/Q&gt;&lt;R&gt;1&lt;/R&gt;&lt;C&gt;1&lt;/C&gt;&lt;D xsi:type="xsd:long"&gt;45350&lt;/D&gt;&lt;/FQL&gt;&lt;FQL&gt;&lt;Q&gt;CNYA^FMA_ROE(NTMA,-20AY,NOW,FY,"PORTAGG","MEANR")&lt;/Q&gt;&lt;R&gt;20&lt;/R&gt;&lt;C&gt;1&lt;/C&gt;&lt;D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xsi:type="xsd:double"&gt;12.0357109832906&lt;/D&gt;&lt;D xsi:type="xsd:double"&gt;13.2280587166858&lt;/D&gt;&lt;D xsi:type="xsd:double"&gt;12.9587909941324&lt;/D&gt;&lt;D xsi:type="xsd:double"&gt;13.4756717155871&lt;/D&gt;&lt;D xsi:type="xsd:double"&gt;12.9923016393566&lt;/D&gt;&lt;D xsi:type="xsd:double"&gt;13.7666448363476&lt;/D&gt;&lt;D xsi:type="xsd:double"&gt;13.371191955749&lt;/D&gt;&lt;D xsi:type="xsd:double"&gt;12.0461400615377&lt;/D&gt;&lt;/FQL&gt;&lt;FQL&gt;&lt;Q&gt;CAGDPY@CL^EE_ACTUAL_ANNUAL(MED,+1)&lt;/Q&gt;&lt;R&gt;1&lt;/R&gt;&lt;C&gt;1&lt;/C&gt;&lt;D xsi:type="xsd:double"&gt;-3.7&lt;/D&gt;&lt;/FQL&gt;&lt;FQL&gt;&lt;Q&gt;USDTHB^FG_PRICE_CHANGE(0,-1AM)&lt;/Q&gt;&lt;R&gt;1&lt;/R&gt;&lt;C&gt;1&lt;/C&gt;&lt;D xsi:type="xsd:double"&gt;1.5957475&lt;/D&gt;&lt;/FQL&gt;&lt;FQL&gt;&lt;Q&gt;USDCNH^FG_COMPANY_NAME&lt;/Q&gt;&lt;R&gt;1&lt;/R&gt;&lt;C&gt;1&lt;/C&gt;&lt;D xsi:type="xsd:string"&gt;Chinese Offshore Renminbi per U.S. Dollar&lt;/D&gt;&lt;/FQL&gt;&lt;FQL&gt;&lt;Q&gt;USDKRW^FG_PRICE_CHANGE(0,-1AY)&lt;/Q&gt;&lt;R&gt;1&lt;/R&gt;&lt;C&gt;1&lt;/C&gt;&lt;D xsi:type="xsd:double"&gt;2.2740364&lt;/D&gt;&lt;/FQL&gt;&lt;FQL&gt;&lt;Q&gt;USDPLN^FG_PRICE_</t>
        </r>
      </text>
    </comment>
    <comment ref="A3" authorId="0" shapeId="0" xr:uid="{AB3BD5A6-2012-4411-9EF2-27CA00498960}">
      <text>
        <r>
          <rPr>
            <b/>
            <sz val="9"/>
            <color indexed="81"/>
            <rFont val="Tahoma"/>
            <family val="2"/>
          </rPr>
          <t>CHANGE(0,-3AM)&lt;/Q&gt;&lt;R&gt;1&lt;/R&gt;&lt;C&gt;1&lt;/C&gt;&lt;D xsi:type="xsd:double"&gt;-0.82587004&lt;/D&gt;&lt;/FQL&gt;&lt;FQL&gt;&lt;Q&gt;USDIDR^FG_PRICE(0)&lt;/Q&gt;&lt;R&gt;1&lt;/R&gt;&lt;C&gt;1&lt;/C&gt;&lt;D xsi:type="xsd:double"&gt;15740&lt;/D&gt;&lt;/FQL&gt;&lt;FQL&gt;&lt;Q&gt;FC0000CL^FMA_EPS(NTMA,-20AY,0,CY,,"PORTAGG","MEANR")&lt;/Q&gt;&lt;R&gt;20&lt;/R&gt;&lt;C&gt;1&lt;/C&gt;&lt;D xsi:type="xsd:double"&gt;13.4345645762327&lt;/D&gt;&lt;D xsi:type="xsd:double"&gt;13.9377456000386&lt;/D&gt;&lt;D xsi:type="xsd:double"&gt;16.9673771165975&lt;/D&gt;&lt;D xsi:type="xsd:double"&gt;22.3266043070326&lt;/D&gt;&lt;D xsi:type="xsd:double"&gt;16.9726142999547&lt;/D&gt;&lt;D xsi:type="xsd:double"&gt;22.0450374886443&lt;/D&gt;&lt;D xsi:type="xsd:double"&gt;30.8805428396108&lt;/D&gt;&lt;D xsi:type="xsd:double"&gt;24.5524085371812&lt;/D&gt;&lt;D xsi:type="xsd:double"&gt;26.1691360625743&lt;/D&gt;&lt;D xsi:type="xsd:double"&gt;23.6838683927762&lt;/D&gt;&lt;D xsi:type="xsd:double"&gt;20.4877824093345&lt;/D&gt;&lt;D xsi:type="xsd:double"&gt;18.4268311165022&lt;/D&gt;&lt;D xsi:type="xsd:double"&gt;17.2536219467367&lt;/D&gt;&lt;D xsi:type="xsd:double"&gt;26.3633049059602&lt;/D&gt;&lt;D xsi:type="xsd:double"&gt;21.6808239098782&lt;/D&gt;&lt;D xsi:type="xsd:double"&gt;17.3861921503202&lt;/D&gt;&lt;D xsi:type="xsd:double"&gt;15.4747210424778&lt;/D&gt;&lt;D xsi:type="xsd:double"&gt;18.6856862684859&lt;/D&gt;&lt;D xsi:type="xsd:double"&gt;25.9091620891167&lt;/D&gt;&lt;D xsi:type="xsd:double"&gt;28.7106028961196&lt;/D&gt;&lt;/FQL&gt;&lt;FQL&gt;&lt;Q&gt;EPHE^P_PRICE_RETURNS_PR('52W',2,-10AY,0,AM)&lt;/Q&gt;&lt;R&gt;121&lt;/R&gt;&lt;C&gt;1&lt;/C&gt;&lt;D xsi:type="xsd:double"&gt;-12.472391&lt;/D&gt;&lt;D xsi:type="xsd:double"&gt;-13.174618&lt;/D&gt;&lt;D xsi:type="xsd:double"&gt;-14.53436&lt;/D&gt;&lt;D xsi:type="xsd:double"&gt;-1.3528228&lt;/D&gt;&lt;D xsi:type="xsd:double"&gt;8.064461&lt;/D&gt;&lt;D xsi:type="xsd:double"&gt;7.0625663&lt;/D&gt;&lt;D xsi:type="xsd:double"&gt;25.284576&lt;/D&gt;&lt;D xsi:type="xsd:double"&gt;12.7213955&lt;/D&gt;&lt;D xsi:type="xsd:double"&gt;8.518195&lt;/D&gt;&lt;D xsi:type="xsd:double"&gt;21.902287&lt;/D&gt;&lt;D xsi:type="xsd:double"&gt;23.999655&lt;/D&gt;&lt;D xsi:type="xsd:double"&gt;34.049545&lt;/D&gt;&lt;D xsi:type="xsd:double"&gt;24.000395&lt;/D&gt;&lt;D xsi:type="xsd:double"&gt;23.740757&lt;/D&gt;&lt;D xsi:type="xsd:double"&gt;15.74831&lt;/D&gt;&lt;D xsi:type="xsd:double"&gt;7.4493647&lt;/D&gt;&lt;D xsi:type="xsd:double"&gt;6.766844&lt;/D&gt;&lt;D xsi:type="xsd:double"&gt;3.0817986&lt;/D&gt;&lt;D xsi:type="xsd:double"&gt;-11.763578&lt;/D&gt;&lt;D xsi:type="xsd:double"&gt;-6.536084&lt;/D&gt;&lt;D xsi:type="xsd:double"&gt;-5.8495703&lt;/D&gt;&lt;D xsi:type="xsd:double"&gt;-9.904444&lt;/D&gt;&lt;D xsi:type="xsd:double"&gt;-11.58874&lt;/D&gt;&lt;D xsi:type="xsd:double"&gt;-20.496744&lt;/D&gt;&lt;D xsi:type="xsd:double"&gt;-17.498552&lt;/D&gt;&lt;D xsi:type="xsd:double"&gt;-14.953894&lt;/D&gt;&lt;D xsi:type="xsd:double"&gt;-16.597301&lt;/D&gt;&lt;D xsi:type="xsd:double"&gt;-1.0656178&lt;/D&gt;&lt;D xsi:type="xsd:double"&gt;2.372086&lt;/D&gt;&lt;D xsi:type="xsd:double"&gt;2.5924206&lt;/D&gt;&lt;D xsi:type="xsd:double"&gt;12.794209&lt;/D&gt;&lt;D xsi:type="xsd:double"&gt;6.431806&lt;/D&gt;&lt;D xsi:type="xsd:double"&gt;-2.2233784&lt;/D&gt;&lt;D xsi:type="xsd:double"&gt;-5.441922&lt;/D&gt;&lt;D xsi:type="xsd:double"&gt;1.0975957&lt;/D&gt;&lt;D xsi:type="xsd:double"&gt;9.214937&lt;/D&gt;&lt;D xsi:type="xsd:double"&gt;-0.9694636&lt;/D&gt;&lt;D xsi:type="xsd:double"&gt;-2.586919&lt;/D&gt;&lt;D xsi:type="xsd:double"&gt;6.7843914&lt;/D&gt;&lt;D xsi:type="xsd:double"&gt;-0.78490376&lt;/D&gt;&lt;D xsi:type="xsd:double"&gt;-8.138954&lt;/D&gt;&lt;D xsi:type="xsd:double"&gt;-7.5193825&lt;/D&gt;&lt;D xsi:type="xsd:double"&gt;-6.645626&lt;/D&gt;&lt;D xsi:type="xsd:double"&gt;2.0773292&lt;/D&gt;&lt;D xsi:type="xsd:double"&gt;8.42483&lt;/D&gt;&lt;D xsi:type="xsd:double"&gt;10.567009&lt;/D&gt;&lt;D xsi:type="xsd:double"&gt;19.068157&lt;/D&gt;&lt;D xsi:type="xsd:double"&gt;8.557057&lt;/D&gt;&lt;D xsi:type="xsd:double"&gt;8.975113&lt;/D&gt;&lt;D xsi:type="xsd:double"&gt;-0.27433634&lt;/D&gt;&lt;D xsi:type="xsd:double"&gt;-8.298492&lt;/D&gt;&lt;D xsi:type="xsd:double"&gt;-12.289453&lt;/D&gt;&lt;D xsi:type="xsd:double"&gt;-15.730786&lt;/D&gt;&lt;D xsi:type="xsd:double"&gt;-7.7501416&lt;/D&gt;&lt;D xsi:type="xsd:double"&gt;-8.262199&lt;/D&gt;&lt;D xsi:type="xsd:double"&gt;-22.57961&lt;/D&gt;&lt;D xsi:type="xsd:double"&gt;-18.570662&lt;/D&gt;&lt;D xsi:type="xsd:double"&gt;-9.514874&lt;/D&gt;&lt;D xsi:type="xsd:double"&gt;-14.239025&lt;/D&gt;&lt;D xsi:type="xsd:double"&gt;-5.289459&lt;/D&gt;&lt;D xsi:type="xsd:double"&gt;-7.6775193&lt;/D&gt;&lt;D xsi:type="xsd:double"&gt;-0.31816363&lt;/D&gt;&lt;D xsi:type="xsd:double"&gt;7.9861045&lt;/D&gt;&lt;D xsi:type="xsd:double"&gt;8.197856&lt;/D&gt;&lt;D xsi:type="xsd:double"&gt;20.789623&lt;/D&gt;&lt;D xsi:type="xsd:double"&gt;7.2547555&lt;/D&gt;&lt;D xsi:type="xsd:double"&gt;4.6594977&lt;/D&gt;&lt;D xsi:type="xsd:double"&gt;16.643476&lt;/D&gt;&lt;D xsi:type="xsd:double"&gt;18.324268&lt;/D&gt;&lt;D xsi:type="xsd:double"&gt;7.644427&lt;/D&gt;&lt;D xsi:type="xsd:double"&gt;4.3842673&lt;/D&gt;&lt;D xsi:type="xsd:double"&gt;-8.584797&lt;/D&gt;&lt;D xsi:type="xsd:double"&gt;-9.224862&lt;/D&gt;&lt;D xsi:type="xsd:double"&gt;-34.271465&lt;/D&gt;&lt;D xsi:type="xsd:double"&gt;-31.783306&lt;/D&gt;&lt;D xsi:type="xsd:double"&gt;-18.743992&lt;/D&gt;&lt;D xsi:type="xsd:double"&gt;-20.896524&lt;/D&gt;&lt;D xsi:type="xsd:double"&gt;-25.949806&lt;/D&gt;&lt;D xsi:type="xsd:double"&gt;-23.692047&lt;/D&gt;&lt;D xsi:type="xsd:double"&gt;-16.617191&lt;/D&gt;&lt;D xsi:type="xsd:double"&gt;-16.77761&lt;/D&gt;&lt;D xsi:type="xsd:double"&gt;-3.9654791&lt;/D&gt;&lt;D xsi:type="xsd:double"&gt;-2.5999367&lt;/D&gt;&lt;D xsi:type="xsd:double"&gt;-1.0201275&lt;/D&gt;&lt;D xsi:type="xsd:double"&gt;2.4686694&lt;/D&gt;&lt;D xsi:type="xsd:double"&gt;32.758236&lt;/D&gt;&lt;D xsi:type="xsd:double"&gt;22.036325&lt;/D&gt;&lt;D xsi:type="xsd:double"&gt;12.063492&lt;/D&gt;&lt;D xsi:type="xsd:double"&gt;11.920845&lt;/D&gt;&lt;D xsi:type="xsd:double"&gt;13.287067&lt;/D&gt;&lt;D xsi:type="xsd:double"&gt;20.431541&lt;/D&gt;&lt;D xsi:type="xsd:double"&gt;11.932409&lt;/D&gt;&lt;D xsi:type="xsd:double"&gt;8.468318&lt;/D&gt;&lt;D xsi:type="xsd:double"&gt;-3.5096169&lt;/D&gt;&lt;D xsi:type="xsd:double"&gt;-3.3901691&lt;/D&gt;&lt;D xsi:type="xsd:double"&gt;3.9299965&lt;/D&gt;&lt;D xsi:type="xsd:double"&gt;6.4316273&lt;/D&gt;&lt;D xsi:type="xsd:double"&gt;9.004235&lt;/D&gt;&lt;D xsi:type="xsd:double"&gt;1.6789794&lt;/D&gt;&lt;D xsi:type="xsd:double"&gt;-8.823222&lt;/D&gt;&lt;D xsi:type="xsd:double"&gt;-16.482365&lt;/D&gt;&lt;D xsi:type="xsd:double"&gt;-7.2347345&lt;/D&gt;&lt;D xsi:type="xsd:double"&gt;-12.419086&lt;/D&gt;&lt;D xsi:type="xsd:double"&gt;-21.08087&lt;/D&gt;&lt;D xsi:type="xsd:double"&gt;-24.218899&lt;/D&gt;&lt;D xsi:type="xsd:double"&gt;-15.083874&lt;/D&gt;&lt;D xsi:type="xsd:double"&gt;-11.199707&lt;/D&gt;&lt;D xsi:type="xsd:double"&gt;-8.47556&lt;/D&gt;&lt;D xsi:type="xsd:double"&gt;-15.198988&lt;/D&gt;&lt;D xsi:type="xsd:double"&gt;-13.540924&lt;/D&gt;&lt;D xsi:type="xsd:double"&gt;-5.2307186&lt;/D&gt;&lt;D xsi:type="xsd:double"&gt;-7.955188&lt;/D&gt;&lt;D xsi:type="xsd:double"&gt;4.3491483&lt;/D&gt;&lt;D xsi:type="xsd:double"&gt;0.4760623&lt;/D&gt;&lt;D xsi:type="xsd:double"&gt;-4.1864815&lt;/D&gt;&lt;D xsi:type="xsd:double"&gt;9.111107&lt;/D&gt;&lt;D xsi:type="xsd:double"&gt;5.086243&lt;/D&gt;&lt;D xsi:type="xsd:double"&gt;-1.8078268&lt;/D&gt;&lt;D xsi:type="xsd:double"&gt;-1.6134739&lt;/D&gt;&lt;D xsi:type="xsd:double"&gt;-7.2964134&lt;/D&gt;&lt;D xsi:type="xsd:double"&gt;4.569435&lt;/D&gt;&lt;/FQL&gt;&lt;FQL&gt;&lt;Q&gt;WL-FDS^FG_PRICE_CHANGE(0,-1AY)&lt;/Q&gt;&lt;R&gt;1&lt;/R&gt;&lt;C&gt;1&lt;/C&gt;&lt;D xsi:type="xsd:double"&gt;0.781781101291634&lt;/D&gt;&lt;/FQL&gt;&lt;FQL&gt;&lt;Q&gt;NI-FDS^FG_PRICE_CHANGE(0,-6AM)&lt;/Q&gt;&lt;R&gt;1&lt;/R&gt;&lt;C&gt;1&lt;/C&gt;&lt;D xsi:type="xsd:double"&gt;-14.1636141636142&lt;/D&gt;&lt;/FQL&gt;&lt;FQL&gt;&lt;Q&gt;CPALM-FDS^FG_PRICE_CHANGE(0,-3AM)&lt;/Q&gt;&lt;R&gt;1&lt;/R&gt;&lt;C&gt;1&lt;/C&gt;&lt;D xsi:type="xsd:double"&gt;9.21696574225122&lt;/D&gt;&lt;/FQL&gt;&lt;FQL&gt;&lt;Q&gt;BRENT-FDS^FG_PRICE_CHANGE(0,-1AM)&lt;/Q&gt;&lt;R&gt;1&lt;/R&gt;&lt;C&gt;1&lt;/C&gt;&lt;D xsi:type="xsd:double"&gt;0&lt;/D&gt;&lt;/FQL&gt;&lt;FQL&gt;&lt;Q&gt;FC0000GR^FG_PRICE(0)&lt;/Q&gt;&lt;R&gt;1&lt;/R&gt;&lt;C&gt;1&lt;/C&gt;&lt;D xsi:type="xsd:double"&gt;9.824128&lt;/D&gt;&lt;/FQL&gt;&lt;FQL&gt;&lt;Q&gt;VGK^FG_TOTAL_RETURNC(0,-6AM)&lt;/Q&gt;&lt;R&gt;1&lt;/R&gt;&lt;C&gt;1&lt;/C&gt;&lt;D xsi:type="xsd:double"&gt;9.44599&lt;/D&gt;&lt;/FQL&gt;&lt;FQL&gt;&lt;Q&gt;TUR^FG_TOTAL_RETURNC(0,-3AM)&lt;/Q&gt;&lt;R&gt;1&lt;/R&gt;&lt;C&gt;1&lt;/C&gt;&lt;D xsi:type="xsd:double"&gt;2.2176862&lt;/D&gt;&lt;/FQL&gt;&lt;FQL&gt;&lt;Q&gt;GREK^P_PRICE(0)/P_PRICE_LOW_PR(0,,,USD,,,"PRICE","INTRA","52W")-1&lt;/Q&gt;&lt;R&gt;1&lt;/R&gt;&lt;C&gt;1&lt;/C&gt;&lt;D xsi:type="xsd:double"&gt;0.41982603&lt;/D&gt;&lt;/FQL&gt;&lt;FQL&gt;&lt;Q&gt;EWW^P_PRICE(0)/P_PRICE_HIGH_PR(0,,,USD,,,"PRICE","INTRA","52W")&lt;/Q&gt;&lt;R&gt;1&lt;/R&gt;&lt;C&gt;1&lt;/C&gt;&lt;D xsi:type="xsd:double"&gt;0.9413367&lt;/D&gt;&lt;/FQL&gt;&lt;FQL&gt;&lt;Q&gt;EPOL^FG_TOTAL_RETURNC(0,-6AM)&lt;/Q&gt;&lt;R&gt;1&lt;/R&gt;&lt;C&gt;1&lt;/C&gt;&lt;D xsi:type="xsd:double"&gt;23.646677&lt;/D&gt;&lt;/FQL&gt;&lt;FQL&gt;&lt;Q&gt;CNYA^FG_TOTAL_RETURNC(0,-3AM)&lt;/Q&gt;&lt;R&gt;1&lt;/R&gt;&lt;C&gt;1&lt;/C&gt;&lt;D xsi:type="xsd:double"&gt;0.6244898&lt;/D&gt;&lt;/FQL&gt;&lt;FQL&gt;&lt;Q&gt;KSA^PERCENT_CHANGE(FMA_EPS(+1,0,,,,"PORTAGG","MEAN"),FMA_EPS(+1,-1AM,,,,"PORTAGG","MEAN"))&lt;/Q&gt;&lt;R&gt;1&lt;/R&gt;&lt;C&gt;1&lt;/C&gt;&lt;D xsi:type="xsd:double"&gt;-12.788374045949&lt;/D&gt;&lt;/FQL&gt;&lt;FQL&gt;&lt;Q&gt;MCHI^PERCENT_CHANGE(FMA_EPS(+1,0,,,,"PORTAGG","MEAN"),FMA_EPS(+1,-3AM,,,,"PORTAGG","MEAN"))&lt;/Q&gt;&lt;R&gt;1&lt;/R&gt;&lt;C&gt;1&lt;/C&gt;&lt;D xsi:type="xsd:double"&gt;-19.2634507149347&lt;/D&gt;&lt;/FQL&gt;&lt;FQL&gt;&lt;Q&gt;EWM^FMA_RBICS_REV_CURRENT(30, LOC, "PORTAGG")&lt;/Q&gt;&lt;R&gt;1&lt;/R&gt;&lt;C&gt;1&lt;/C&gt;&lt;D xsi:type="xsd:double"&gt;41.739834751553&lt;/D&gt;&lt;/FQL&gt;&lt;FQL&gt;&lt;Q&gt;TRYQA10Y-FDS^FG_YIELD_NAME&lt;/Q&gt;&lt;R&gt;1&lt;/R&gt;&lt;C&gt;1&lt;/C&gt;&lt;D xsi:type="xsd:string"&gt;Treasury - Qatar Benchmark Bond 10Y&lt;/D&gt;&lt;/FQL&gt;&lt;FQL&gt;&lt;Q&gt;TRYCA10Y-FDS^FG_YIELD(-10AY,0,Y,,"YTM")&lt;/Q&gt;&lt;R&gt;10&lt;/R&gt;&lt;C&gt;1&lt;/C&gt;&lt;D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xsi:type="xsd:double"&gt;3.0987&lt;/D&gt;&lt;/FQL&gt;&lt;FQL&gt;&lt;Q&gt;CC_PL^FG_COMPANY_NAME&lt;/Q&gt;&lt;R&gt;1&lt;/R&gt;&lt;C&gt;1&lt;/C&gt;&lt;D xsi:type="xsd:string"&gt;Poland&lt;/D&gt;&lt;/FQL&gt;&lt;FQL&gt;&lt;Q&gt;QAT^FMA_ROE(NTMA,-20AY,NOW,FY,"PORTAGG","MEANR")&lt;/Q&gt;&lt;R&gt;20&lt;/R&gt;&lt;C&gt;1&lt;/C&gt;&lt;D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xsi:type="xsd:double"&gt;16.7779984816015&lt;/D&gt;&lt;D xsi:type="xsd:double"&gt;14.8814458142908&lt;/D&gt;&lt;D xsi:type="xsd:double"&gt;12.1435908718223&lt;/D&gt;&lt;D xsi:type="xsd:double"&gt;12.1306553272553&lt;/D&gt;&lt;D xsi:type="xsd:double"&gt;12.3947412104099&lt;/D&gt;&lt;D xsi:type="xsd:double"&gt;11.6446378155882&lt;/D&gt;&lt;D xsi:type="xsd:double"&gt;11.2380998666164&lt;/D&gt;&lt;D xsi:type="xsd:double"&gt;12.7317850147387&lt;/D&gt;&lt;D xsi:type="xsd:double"&gt;13.2901313577645&lt;/D&gt;&lt;D xsi:type="xsd:double"&gt;12.1192289718939&lt;/D&gt;&lt;/FQL&gt;&lt;FQL&gt;&lt;Q&gt;TRYTR7Y-FDS^FG_YIELD(-10AY,0,Y,,"YTM")&lt;/Q&gt;&lt;R&gt;10&lt;/R&gt;&lt;C&gt;1&lt;/C&gt;&lt;D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xsi:type="xsd:double"&gt;21.984322&lt;/D&gt;&lt;/FQL&gt;&lt;FQL&gt;&lt;Q&gt;CAGDPY@TH^EE_ACTUAL_ANNUAL(MED,+1)&lt;/Q&gt;&lt;R&gt;1&lt;/R&gt;&lt;C&gt;1&lt;/C&gt;&lt;D xsi:type="xsd:double"&gt;2.6&lt;/D&gt;&lt;/FQL&gt;&lt;FQL&gt;&lt;Q&gt;CAGDPY@PL^EE_ACTUAL_ANNUAL(MED,0)&lt;/Q&gt;&lt;R&gt;1&lt;/R&gt;&lt;C&gt;1&lt;/C&gt;&lt;D xsi:type="xsd:double"&gt;1.60702813566805&lt;/D&gt;&lt;/FQL&gt;&lt;FQL&gt;&lt;Q&gt;CC_TW^FG_COMPANY_NAME&lt;/Q&gt;&lt;R&gt;1&lt;/R&gt;&lt;C&gt;1&lt;/C&gt;&lt;D xsi:type="xsd:string"&gt;Taiwan, China&lt;/D&gt;&lt;/FQL&gt;&lt;FQL&gt;&lt;Q&gt;USDAED^STD(FG_PRICE_CHANGE(0,-3AY,M))&lt;/Q&gt;&lt;R&gt;1&lt;/R&gt;&lt;C&gt;1&lt;/C&gt;&lt;D xsi:type="xsd:double"&gt;0.00755049151830457&lt;/D&gt;&lt;/FQL&gt;&lt;FQL&gt;&lt;Q&gt;USDTHB^FG_PRICE(0)&lt;/Q&gt;&lt;R&gt;1&lt;/R&gt;&lt;C&gt;1&lt;/C&gt;&lt;D xsi:type="xsd:double"&gt;35.8125&lt;/D&gt;&lt;/FQL&gt;&lt;FQL&gt;&lt;Q&gt;USDINR^FG_PRICE_CHANGE(0,-6AM)&lt;/Q&gt;&lt;R&gt;1&lt;/R&gt;&lt;C&gt;1&lt;/C&gt;&lt;D xsi:type="xsd:double"&gt;0.17752647&lt;/D&gt;&lt;/FQL&gt;&lt;FQL&gt;&lt;Q&gt;USDBRL^STD(FG_PRICE_CHANGE(0,-3AY,M))&lt;/Q&gt;&lt;R&gt;1&lt;/R&gt;&lt;C&gt;1&lt;/C&gt;&lt;D xsi:type="xsd:double"&gt;3.6612663929306&lt;/D&gt;&lt;/FQL&gt;&lt;FQL&gt;&lt;Q&gt;USDMXN^FG_PRICE_CHANGE(0,-1AM)&lt;/Q&gt;&lt;R&gt;1&lt;/R&gt;&lt;C&gt;1&lt;/C&gt;&lt;D xsi:type="xsd:double"&gt;-0.9539664&lt;/D&gt;&lt;/FQL&gt;&lt;FQL&gt;&lt;Q&gt;USDPHP^FG_PRICE(0)&lt;/Q&gt;&lt;R&gt;1&lt;/R&gt;&lt;C&gt;1&lt;/C&gt;&lt;D xsi:type="xsd:double"&gt;55.9875&lt;/D&gt;&lt;/FQL&gt;&lt;FQL&gt;&lt;Q&gt;FC0000PE^FMA_EPS(NTMA,-20AY,0,CY,,"PORTAGG","MEANR")&lt;/Q&gt;&lt;R&gt;20&lt;/R&gt;&lt;C&gt;1&lt;/C&gt;&lt;D xsi:type="xsd:double"&gt;24.7583819982859&lt;/D&gt;&lt;D xsi:type="xsd:double"&gt;29.0521601734031&lt;/D&gt;&lt;D xsi:type="xsd:double"&gt;45.7707077798153&lt;/D&gt;&lt;D xsi:type="xsd:double"&gt;47.1889555711687&lt;/D&gt;&lt;D xsi:type="xsd:double"&gt;33.6865156707317&lt;/D&gt;&lt;D xsi:type="xsd:double"&gt;51.8301256972307&lt;/D&gt;&lt;D xsi:type="xsd:string"&gt;@NA&lt;/D&gt;&lt;D xsi:type="xsd:double"&gt;93.1550651832752&lt;/D&gt;&lt;D xsi:type="xsd:double"&gt;85.6566871872926&lt;/D&gt;&lt;D xsi:type="xsd:double"&gt;59.3544763673265&lt;/D&gt;&lt;D xsi:type="xsd:double"&gt;56.5256555947451&lt;/D&gt;&lt;D xsi:type="xsd:double"&gt;54.9261025352225&lt;/D&gt;&lt;D xsi:type="xsd:double"&gt;78.5260175378315&lt;/D&gt;&lt;D xsi:type="xsd:string"&gt;@NA&lt;/D&gt;&lt;D xsi:type="xsd:string"&gt;@NA&lt;/D&gt;&lt;D xsi:type="xsd:string"&gt;@NA&lt;/D&gt;&lt;D xsi:type="xsd:string"&gt;@NA&lt;/D&gt;&lt;D xsi:type="xsd:double"&gt;59.664423905694&lt;/D&gt;&lt;D xsi:type="xsd:double"&gt;84.444227608504&lt;/D&gt;&lt;D xsi:type="xsd:string"&gt;@NA&lt;/D&gt;&lt;/FQL&gt;&lt;FQL&gt;&lt;Q&gt;EWT^P_PRICE_RETURNS_PR('52W',2,-10AY,0,AM)&lt;/Q&gt;&lt;R&gt;121&lt;/R&gt;&lt;C&gt;1&lt;/C&gt;&lt;D xsi:type="xsd:double"&gt;6.5940857&lt;/D&gt;&lt;D xsi:type="xsd:double"&gt;11.151457&lt;/D&gt;&lt;D xsi:type="xsd:double"&gt;7.2360516&lt;/D&gt;&lt;D xsi:type="xsd:double"&gt;12.89171&lt;/D&gt;&lt;D xsi:type="xsd:double"&gt;25.322783&lt;/D&gt;&lt;D xsi:type="xsd:double"&gt;18.518389&lt;/D&gt;&lt;D xsi:type="xsd:double"&gt;20.81126&lt;/D&gt;&lt;D xsi:type="xsd:double"&gt;10.422695&lt;/D&gt;&lt;D xsi:type="xsd:double"&gt;11.008108&lt;/D&gt;&lt;D xsi:type="xsd:double"&gt;11.822069&lt;/D&gt;&lt;D xsi:type="xsd:double"&gt;8.439612&lt;/D&gt;&lt;D xsi:type="xsd:double"&gt;19.342756&lt;/D&gt;&lt;D xsi:type="xsd:double"&gt;15.92251&lt;/D&gt;&lt;D xsi:type="xsd:double"&gt;12.247503&lt;/D&gt;&lt;D xsi:type="xsd:double"&gt;14.407814&lt;/D&gt;&lt;D xsi:type="xsd:double"&gt;5.008793&lt;/D&gt;&lt;D xsi:type="xsd:double"&gt;1.0945559&lt;/D&gt;&lt;D xsi:type="xsd:double"&gt;-8.000755&lt;/D&gt;&lt;D xsi:type="xsd:double"&gt;-19.656128&lt;/D&gt;&lt;D xsi:type="xsd:double"&gt;-9.47721&lt;/D&gt;&lt;D xsi:type="xsd:double"&gt;-5.5455327&lt;/D&gt;&lt;D xsi:type="xsd:double"&gt;-10.994827&lt;/D&gt;&lt;D xsi:type="xsd:double"&gt;-14.575588&lt;/D&gt;&lt;D xsi:type="xsd:double"&gt;-17.574715&lt;/D&gt;&lt;D xsi:type="xsd:double"&gt;-11.971939&lt;/D&gt;&lt;D xsi:type="xsd:double"&gt;-12.371224&lt;/D&gt;&lt;D xsi:type="xsd:double"&gt;-21.299059&lt;/D&gt;&lt;D xsi:type="xsd:double"&gt;-12.677622&lt;/D&gt;&lt;D xsi:type="xsd:double"&gt;-8.50135&lt;/D&gt;&lt;D xsi:type="xsd:double"&gt;8.680654&lt;/D&gt;&lt;D xsi:type="xsd:double"&gt;18.996727&lt;/D&gt;&lt;D xsi:type="xsd:double"&gt;18.18434&lt;/D&gt;&lt;D xsi:type="xsd:double"&gt;8.3991165&lt;/D&gt;&lt;D xsi:type="xsd:double"&gt;15.511095&lt;/D&gt;&lt;D xsi:type="xsd:double"&gt;23.210466&lt;/D&gt;&lt;D xsi:type="xsd:double"&gt;30.288136&lt;/D&gt;&lt;D xsi:type="xsd:double"&gt;22.915733&lt;/D&gt;&lt;D xsi:type="xsd:double"&gt;25.004995&lt;/D&gt;&lt;D xsi:type="xsd:double"&gt;38.02037&lt;/D&gt;&lt;D xsi:type="xsd:double"&gt;32.61334&lt;/D&gt;&lt;D xsi:type="xsd:double"&gt;29.027866&lt;/D&gt;&lt;D xsi:type="xsd:double"&gt;25.26412&lt;/D&gt;&lt;D xsi:type="xsd:double"&gt;27.897358&lt;/D&gt;&lt;D xsi:type="xsd:double"&gt;19.19329&lt;/D&gt;&lt;D xsi:type="xsd:double"&gt;26.00422&lt;/D&gt;&lt;D xsi:type="xsd:double"&gt;23.987818&lt;/D&gt;&lt;D xsi:type="xsd:double"&gt;28.29833&lt;/D&gt;&lt;D xsi:type="xsd:double"&gt;23.884642&lt;/D&gt;&lt;D xsi:type="xsd:double"&gt;19.24615&lt;/D&gt;&lt;D xsi:type="xsd:double"&gt;17.475283&lt;/D&gt;&lt;D xsi:type="xsd:double"&gt;8.799267&lt;/D&gt;&lt;D xsi:type="xsd:double"&gt;11.571587&lt;/D&gt;&lt;D xsi:type="xsd:double"&gt;2.169156&lt;/D&gt;&lt;D xsi:type="xsd:double"&gt;5.2008867&lt;/D&gt;&lt;D xsi:type="xsd:double"&gt;2.6142&lt;/D&gt;&lt;D xsi:type="xsd:double"&gt;1.9513965&lt;/D&gt;&lt;D xsi:type="xsd:double"&gt;-8.06858&lt;/D&gt;&lt;D xsi:type="xsd:double"&gt;-7.0003986&lt;/D&gt;&lt;D xsi:type="xsd:double"&gt;-14.253491&lt;/D&gt;&lt;D xsi:type="xsd:double"&gt;-9.223676&lt;/D&gt;&lt;D xsi:type="xsd:double"&gt;-7.183427&lt;/D&gt;&lt;D xsi:type="xsd:double"&gt;-4.5127153&lt;/D&gt;&lt;D xsi:type="xsd:double"&gt;5.142629&lt;/D&gt;&lt;D xsi:type="xsd:double"&gt;-9.177971&lt;/D&gt;&lt;D xsi:type="xsd:double"&gt;2.2232056&lt;/D&gt;&lt;D xsi:type="xsd:double"&gt;-5.922818&lt;/D&gt;&lt;D xsi:type="xsd:double"&gt;-2.9972672&lt;/D&gt;&lt;D xsi:type="xsd:double"&gt;5.331838&lt;/D&gt;&lt;D xsi:type="xsd:double"&gt;21.651436&lt;/D&gt;&lt;D xsi:type="xsd:double"&gt;22.8917&lt;/D&gt;&lt;D xsi:type="xsd:double"&gt;38.904285&lt;/D&gt;&lt;D xsi:type="xsd:double"&gt;22.554016&lt;/D&gt;&lt;D xsi:type="xsd:double"&gt;20.746338&lt;/D&gt;&lt;D xsi:type="xsd:double"&gt;-4.8639894&lt;/D&gt;&lt;D xsi:type="xsd:double"&gt;3.235197&lt;/D&gt;&lt;D xsi:type="xsd:double"&gt;18.998837&lt;/D&gt;&lt;D xsi:type="xsd:double"&gt;19.256008&lt;/D&gt;&lt;D xsi:type="xsd:double"&gt;35.67984&lt;/D&gt;&lt;D xsi:type="xsd:double"&gt;28.28908&lt;/D&gt;&lt;D xsi:type="xsd:double"&gt;27.371895&lt;/D&gt;&lt;D xsi:type="xsd:double"&gt;19.963623&lt;/D&gt;&lt;D xsi:type="xsd:double"&gt;34.481274&lt;/D&gt;&lt;D xsi:type="xsd:double"&gt;33.463585&lt;/D&gt;&lt;D xsi:type="xsd:double"&gt;48.369873&lt;/D&gt;&lt;D xsi:type="xsd:double"&gt;49.119938&lt;/D&gt;&lt;D xsi:type="xsd:double"&gt;90.9103&lt;/D&gt;&lt;D xsi:type="xsd:double"&gt;72.04997&lt;/D&gt;&lt;D xsi:type="xsd:double"&gt;67.89053&lt;/D&gt;&lt;D xsi:type="xsd:double"&gt;58.0683&lt;/D&gt;&lt;D xsi:type="xsd:double"&gt;46.763134&lt;/D&gt;&lt;D xsi:type="xsd:double"&gt;51.368584&lt;/D&gt;&lt;D xsi:type="xsd:double"&gt;36.63292&lt;/D&gt;&lt;D xsi:type="xsd:double"&gt;38.33064&lt;/D&gt;&lt;D xsi:type="xsd:double"&gt;30.907976&lt;/D&gt;&lt;D xsi:type="xsd:double"&gt;29.482508&lt;/D&gt;&lt;D xsi:type="xsd:double"&gt;14.529181&lt;/D&gt;&lt;D xsi:type="xsd:double"&gt;11.751032&lt;/D&gt;&lt;D xsi:type="xsd:double"&gt;6.3649297&lt;/D&gt;&lt;D xsi:type="xsd:double"&gt;-4.9265385&lt;/D&gt;&lt;D xsi:type="xsd:double"&gt;-8.564645&lt;/D&gt;&lt;D xsi:type="xsd:double"&gt;-21.016186&lt;/D&gt;&lt;D xsi:type="xsd:double"&gt;-20.142454&lt;/D&gt;&lt;D xsi:type="xsd:double"&gt;-23.144495&lt;/D&gt;&lt;D xsi:type="xsd:double"&gt;-23.216421&lt;/D&gt;&lt;D xsi:type="xsd:double"&gt;-30.424976&lt;/D&gt;&lt;D xsi:type="xsd:double"&gt;-21.437883&lt;/D&gt;&lt;D xsi:type="xsd:double"&gt;-28.72122&lt;/D&gt;&lt;D xsi:type="xsd:double"&gt;-17.665482&lt;/D&gt;&lt;D xsi:type="xsd:double"&gt;-16.825872&lt;/D&gt;&lt;D xsi:type="xsd:double"&gt;-13.947225&lt;/D&gt;&lt;D xsi:type="xsd:double"&gt;-9.94069&lt;/D&gt;&lt;D xsi:type="xsd:double"&gt;-2.8312087&lt;/D&gt;&lt;D xsi:type="xsd:double"&gt;14.389086&lt;/D&gt;&lt;D xsi:type="xsd:double"&gt;9.146416&lt;/D&gt;&lt;D xsi:type="xsd:double"&gt;9.213341&lt;/D&gt;&lt;D xsi:type="xsd:double"&gt;15.872383&lt;/D&gt;&lt;D xsi:type="xsd:double"&gt;29.609585&lt;/D&gt;&lt;D xsi:type="xsd:double"&gt;12.495554&lt;/D&gt;&lt;D xsi:type="xsd:double"&gt;22.062635&lt;/D&gt;&lt;D xsi:type="xsd:double"&gt;9.950376&lt;/D&gt;&lt;D xsi:type="xsd:double"&gt;18.833733&lt;/D&gt;&lt;/FQL&gt;&lt;FQL&gt;&lt;Q&gt;EWT^FG_TOTAL_RETURNC(-10AY,0,AM)&lt;/Q&gt;&lt;R&gt;121&lt;/R&gt;&lt;C&gt;1&lt;/C&gt;&lt;D xsi:type="xsd:double"&gt;3.8661718&lt;/D&gt;&lt;D xsi:type="xsd:double"&gt;4.0801644&lt;/D&gt;&lt;D xsi:type="xsd:double"&gt;1.5818477&lt;/D&gt;&lt;D xsi:type="xsd:double"&gt;2.572775&lt;/D&gt;&lt;D xsi:type="xsd:double"&gt;7.1947217&lt;/D&gt;&lt;D xsi:type="xsd:double"&gt;-1.847291&lt;/D&gt;&lt;D xsi:type="xsd:double"&gt;3.1995058&lt;/D&gt;&lt;D xsi:type="xsd:double"&gt;-5.1063895&lt;/D&gt;&lt;D xsi:type="xsd:double"&gt;0.7046819&lt;/D&gt;&lt;D xsi:type="xsd:double"&gt;0&lt;/D&gt;&lt;D xsi:type="xsd:double"&gt;-3.08038&lt;/D&gt;&lt;D xsi:type="xsd:double"&gt;5.35475&lt;/D&gt;&lt;D xsi:type="xsd:double"&gt;0.8894563&lt;/D&gt;&lt;D xsi:type="xsd:double"&gt;1.1964679&lt;/D&gt;&lt;D xsi:type="xsd:double"&gt;3.1113863&lt;/D&gt;&lt;D xsi:type="xsd:double"&gt;-5.853951&lt;/D&gt;&lt;D xsi:type="xsd:double"&gt;2.4999976&lt;/D&gt;&lt;D xsi:type="xsd:double"&gt;-10.068792&lt;/D&gt;&lt;D xsi:type="xsd:double"&gt;-9.874826&lt;/D&gt;&lt;D xsi:type="xsd:double"&gt;4.8611164&lt;/D&gt;&lt;D xsi:type="xsd:double"&gt;7.1376085&lt;/D&gt;&lt;D xsi:type="xsd:double"&gt;-5.769229&lt;/D&gt;&lt;D xsi:type="xsd:double"&gt;-6.9795427&lt;/D&gt;&lt;D xsi:type="xsd:double"&gt;1.6559005&lt;/D&gt;&lt;D xsi:type="xsd:double"&gt;7.7473164&lt;/D&gt;&lt;D xsi:type="xsd:double"&gt;0.7374644&lt;/D&gt;&lt;D xsi:type="xsd:double"&gt;-7.393855&lt;/D&gt;&lt;D xsi:type="xsd:double"&gt;8.142292&lt;/D&gt;&lt;D xsi:type="xsd:double"&gt;3.8742661&lt;/D&gt;&lt;D xsi:type="xsd:double"&gt;6.685436&lt;/D&gt;&lt;D xsi:type="xsd:double"&gt;0.6596327&lt;/D&gt;&lt;D xsi:type="xsd:double"&gt;2.0969868&lt;/D&gt;&lt;D xsi:type="xsd:double"&gt;-1.7329872&lt;/D&gt;&lt;D xsi:type="xsd:double"&gt;-0.39190054&lt;/D&gt;&lt;D xsi:type="xsd:double"&gt;0.022661686&lt;/D&gt;&lt;D xsi:type="xsd:double"&gt;6.342292&lt;/D&gt;&lt;D xsi:type="xsd:double"&gt;1.0097742&lt;/D&gt;&lt;D xsi:type="xsd:double"&gt;4.217434&lt;/D&gt;&lt;D xsi:type="xsd:double"&gt;2.2482038&lt;/D&gt;&lt;D xsi:type="xsd:double"&gt;2.4626255&lt;/D&gt;&lt;D xsi:type="xsd:double"&gt;2.4892688&lt;/D&gt;&lt;D xsi:type="xsd:double"&gt;3.5734177&lt;/D&gt;&lt;D xsi:type="xsd:double"&gt;1.5633464&lt;/D&gt;&lt;D xsi:type="xsd:double"&gt;-3.7155032&lt;/D&gt;&lt;D xsi:type="xsd:double"&gt;4.492831&lt;/D&gt;&lt;D xsi:type="xsd:double"&gt;-2.5586963&lt;/D&gt;&lt;D xsi:type="xsd:double"&gt;3.5000086&lt;/D&gt;&lt;D xsi:type="xsd:double"&gt;1.6146302&lt;/D&gt;&lt;D xsi:type="xsd:double"&gt;-1.9332588&lt;/D&gt;&lt;D xsi:type="xsd:double"&gt;2.8625488&lt;/D&gt;&lt;D xsi:type="xsd:double"&gt;-5.303228&lt;/D&gt;&lt;D xsi:type="xsd:double"&gt;5.073476&lt;/D&gt;&lt;D xsi:type="xsd:double"&gt;-6.1477604&lt;/D&gt;&lt;D xsi:type="xsd:double"&gt;6.1006546&lt;/D&gt;&lt;D xsi:type="xsd:double"&gt;-0.42395592&lt;/D&gt;&lt;D xsi:type="xsd:double"&gt;-4.337418&lt;/D&gt;&lt;D xsi:type="xsd:double"&gt;-5.7023644&lt;/D&gt;&lt;D xsi:type="xsd:double"&gt;-1.5044332&lt;/D&gt;&lt;D xsi:type="xsd:double"&gt;-4.572028&lt;/D&gt;&lt;D xsi:type="xsd:double"&gt;7.5752735&lt;/D&gt;&lt;D xsi:type="xsd:double"&gt;0.2708435&lt;/D&gt;&lt;D xsi:type="xsd:double"&gt;5.8223248&lt;/D&gt;&lt;D xsi:type="xsd:double"&gt;3.3182144&lt;/D&gt;&lt;D xsi:type="xsd:double"&gt;-8.399677&lt;/D&gt;&lt;D xsi:type="xsd:double"&gt;5.633807&lt;/D&gt;&lt;D xsi:type="xsd:double"&gt;-3.2340407&lt;/D&gt;&lt;D xsi:type="xsd:double"&gt;3.6059737&lt;/D&gt;&lt;D xsi:type="xsd:double"&gt;3.8766265&lt;/D&gt;&lt;D xsi:type="xsd:double"&gt;8.907652&lt;/D&gt;&lt;D xsi:type="xsd:double"&gt;-0.50024986&lt;/D&gt;&lt;D xsi:type="xsd:double"&gt;5.801904&lt;/D&gt;&lt;D xsi:type="xsd:double"&gt;-3.2391667&lt;/D&gt;&lt;D xsi:type="xsd:double"&gt;-1.2081563&lt;/D&gt;&lt;D xsi:type="xsd:double"&gt;-17.095543&lt;/D&gt;&lt;D xsi:type="xsd:double"&gt;12.753523&lt;/D&gt;&lt;D xsi:type="xsd:double"&gt;5.5873632&lt;/D&gt;&lt;D xsi:type="xsd:double"&gt;6.763029&lt;/D&gt;&lt;D xsi:type="xsd:double"&gt;9.163439&lt;/D&gt;&lt;D xsi:type="xsd:double"&gt;-2.0376563&lt;/D&gt;&lt;D xsi:type="xsd:double"&gt;1.6730785&lt;/D&gt;&lt;D xsi:type="xsd:double"&gt;4.0471435&lt;/D&gt;&lt;D xsi:type="xsd:double"&gt;11.540926&lt;/D&gt;&lt;D xsi:type="xsd:double"&gt;5.001247&lt;/D&gt;&lt;D xsi:type="xsd:double"&gt;7.5678706&lt;/D&gt;&lt;D xsi:type="xsd:double"&gt;-0.708729&lt;/D&gt;&lt;D xsi:type="xsd:double"&gt;4.9965262&lt;/D&gt;&lt;D xsi:type="xsd:double"&gt;2.719283&lt;/D&gt;&lt;D xsi:type="xsd:double"&gt;3.034711&lt;/D&gt;&lt;D xsi:type="xsd:double"&gt;0.51699877&lt;/D&gt;&lt;D xsi:type="xsd:double"&gt;1.3559818&lt;/D&gt;&lt;D xsi:type="xsd:double"&gt;0.87652206&lt;/D&gt;&lt;D xsi:type="xsd:double"&gt;-8.079267&lt;/D&gt;&lt;D xsi:type="xsd:double"&gt;5.339968&lt;/D&gt;&lt;D xsi:type="xsd:double"&gt;3.57368&lt;/D&gt;&lt;D xsi:type="xsd:double"&gt;5.8454156&lt;/D&gt;&lt;D xsi:type="xsd:double"&gt;-4.8546433&lt;/D&gt;&lt;D xsi:type="xsd:double"&gt;-3.1172514&lt;/D&gt;&lt;D xsi:type="xsd:double"&gt;-0.06403327&lt;/D&gt;&lt;D xsi:type="xsd:double"&gt;-8.185166&lt;/D&gt;&lt;D xsi:type="xsd:double"&gt;-1.9016027&lt;/D&gt;&lt;D xsi:type="xsd:double"&gt;-12.715626&lt;/D&gt;&lt;D xsi:type="xsd:double"&gt;2.9747367&lt;/D&gt;&lt;D xsi:type="xsd:double"&gt;-3.7000477&lt;/D&gt;&lt;D xsi:type="xsd:double"&gt;-7.4172916&lt;/D&gt;&lt;D xsi:type="xsd:double"&gt;-4.5494976&lt;/D&gt;&lt;D xsi:type="xsd:double"&gt;17.716812&lt;/D&gt;&lt;D xsi:type="xsd:double"&gt;-4.5909047&lt;/D&gt;&lt;D xsi:type="xsd:double"&gt;10.090399&lt;/D&gt;&lt;D xsi:type="xsd:double"&gt;-0.46604872&lt;/D&gt;&lt;D xsi:type="xsd:double"&gt;1.4938712&lt;/D&gt;&lt;D xsi:type="xsd:double"&gt;-3.9103687&lt;/D&gt;&lt;D xsi:type="xsd:double"&gt;7.8189254&lt;/D&gt;&lt;D xsi:type="xsd:double"&gt;0.8693814&lt;/D&gt;&lt;D xsi:type="xsd:double"&gt;-1.7447948&lt;/D&gt;&lt;D xsi:type="xsd:double"&gt;-2.0967126&lt;/D&gt;&lt;D xsi:type="xsd:double"&gt;-3.3216715&lt;/D&gt;&lt;D xsi:type="xsd:double"&gt;3.3905983&lt;/D&gt;&lt;D xsi:type="xsd:double"&gt;5.5093884&lt;/D&gt;&lt;D xsi:type="xsd:double"&gt;3.5230756&lt;/D&gt;&lt;D xsi:type="xsd:double"&gt;0.99277496&lt;/D&gt;&lt;D xsi:type="xsd:double"&gt;5.6300282&lt;/D&gt;&lt;/FQL&gt;&lt;FQL&gt;&lt;Q&gt;TUR^FMA_PE(LTMA,-10AY,0,AM,"PORTAGG","MEANR")&lt;/Q&gt;&lt;R&gt;121&lt;/R&gt;&lt;C&gt;1&lt;/C&gt;&lt;D xsi:type="xsd:double"&gt;9.17838009453704&lt;/D&gt;&lt;D xsi:type="xsd:double"&gt;9.6298291476987&lt;/D&gt;&lt;D xsi:type="xsd:double"&gt;9.92360244916926&lt;/D&gt;&lt;D xsi:type="xsd:double"&gt;10.2300273072113&lt;/D&gt;&lt;D xsi:type="xsd:double"&gt;10.3157777823767&lt;/D&gt;&lt;D xsi:type="xsd:double"&gt;10.7813233843527&lt;/D&gt;&lt;D xsi:type="xsd:double"&gt;10.9406233971568&lt;/D&gt;&lt;D xsi:type="xsd:double"&gt;10.2289053114354&lt;/D&gt;&lt;D xsi:type="xsd:double"&gt;10.9769359360336&lt;/D&gt;&lt;D xsi:type="xsd:double"&gt;11.885170625756&lt;/D&gt;&lt;D xsi:type="xsd:double"&gt;11.8812960561631&lt;/D&gt;&lt;D xsi:type="xsd:double"&gt;12.1124178267789&lt;/D&gt;&lt;D xsi:type="xsd:double"&gt;11.862249791068&lt;/D&gt;&lt;D xsi:type="xsd:double"&gt;11.7153049974592&lt;/D&gt;&lt;D xsi:type="xsd:double"&gt;11.7337079285889&lt;/D&gt;&lt;D xsi:type="xsd:double"&gt;11.597693713863&lt;/D&gt;&lt;D xsi:type="xsd:double"&gt;11.500864471916&lt;/D&gt;&lt;D xsi:type="xsd:double"&gt;11.1002780089286&lt;/D&gt;&lt;D xsi:type="xsd:double"&gt;10.4815949123564&lt;/D&gt;&lt;D xsi:type="xsd:double"&gt;10.5369234423161&lt;/D&gt;&lt;D xsi:type="xsd:double"&gt;11.6335543166515&lt;/D&gt;&lt;D xsi:type="xsd:double"&gt;10.3868010745777&lt;/D&gt;&lt;D xsi:type="xsd:double"&gt;9.51101294450124&lt;/D&gt;&lt;D xsi:type="xsd:double"&gt;10.1178769463393&lt;/D&gt;&lt;D xsi:type="xsd:double"&gt;9.76359651324706&lt;/D&gt;&lt;D xsi:type="xsd:double"&gt;9.85710730061521&lt;/D&gt;&lt;D xsi:type="xsd:double"&gt;9.66175715003448&lt;/D&gt;&lt;D xsi:type="xsd:double"&gt;9.5646400224921&lt;/D&gt;&lt;D xsi:type="xsd:double"&gt;9.50698046131397&lt;/D&gt;&lt;D xsi:type="xsd:double"&gt;9.26219220312936&lt;/D&gt;&lt;D xsi:type="xsd:double"&gt;9.44723019715882&lt;/D&gt;&lt;D xsi:type="xsd:double"&gt;9.3876902811693&lt;/D&gt;&lt;D xsi:type="xsd:double"&gt;8.88514040800431&lt;/D&gt;&lt;D xsi:type="xsd:double"&gt;8.65042297463596&lt;/D&gt;&lt;D xsi:type="xsd:double"&gt;8.76417017887193&lt;/D&gt;&lt;D xsi:type="xsd:double"&gt;10.047071817686&lt;/D&gt;&lt;D xsi:type="xsd:double"&gt;9.89248697152555&lt;/D&gt;&lt;D xsi:type="xsd:double"&gt;9.71877703523504&lt;/D&gt;&lt;D xsi:type="xsd:double"&gt;9.71531154320135&lt;/D&gt;&lt;D xsi:type="xsd:double"&gt;9.78841443355562&lt;/D&gt;&lt;D xsi:type="xsd:double"&gt;9.63713345902915&lt;/D&gt;&lt;D xsi:type="xsd:double"&gt;9.68023765030607&lt;/D&gt;&lt;D xsi:type="xsd:double"&gt;9.59577465268634&lt;/D&gt;&lt;D xsi:type="xsd:double"&gt;9.07090812331204&lt;/D&gt;&lt;D xsi:type="xsd:double"&gt;9.31324165817099&lt;/D&gt;&lt;D xsi:type="xsd:double"&gt;8.62620217602&lt;/D&gt;&lt;D xsi:type="xsd:double"&gt;9.04206535096003&lt;/D&gt;&lt;D xsi:type="xsd:double"&gt;9.08702183686794&lt;/D&gt;&lt;D xsi:type="xsd:double"&gt;9.2009941017301&lt;/D&gt;&lt;D xsi:type="xsd:double"&gt;9.00668174904668&lt;/D&gt;&lt;D xsi:type="xsd:double"&gt;8.63298021725308&lt;/D&gt;&lt;D xsi:type="xsd:double"&gt;8.31756032369071&lt;/D&gt;&lt;D xsi:type="xsd:double"&gt;8.06002803390209&lt;/D&gt;&lt;D xsi:type="xsd:double"&gt;7.7610316016543&lt;/D&gt;&lt;D xsi:type="xsd:double"&gt;7.39455532505504&lt;/D&gt;&lt;D xsi:type="xsd:double"&gt;7.38307975039253&lt;/D&gt;&lt;D xsi:type="xsd:double"&gt;7.16036559763417&lt;/D&gt;&lt;D xsi:type="xsd:double"&gt;6.9406776910248&lt;/D&gt;&lt;D xsi:type="xsd:double"&gt;6.47978782215863&lt;/D&gt;&lt;D xsi:type="xsd:double"&gt;7.49154898489084&lt;/D&gt;&lt;D xsi:type="xsd:double"&gt;7.46642798350413&lt;/D&gt;&lt;D xsi:type="xsd:double"&gt;7.3696058836825&lt;/D&gt;&lt;D xsi:type="xsd:double"&gt;7.23372720301504&lt;/D&gt;&lt;D xsi:type="xsd:double"&gt;7.20517999697535&lt;/D&gt;&lt;D xsi:type="xsd:double"&gt;7.57041697086451&lt;/D&gt;&lt;D xsi:type="xsd:double"&gt;7.67117422013344&lt;/D&gt;&lt;D xsi:type="xsd:double"&gt;7.80896016575825&lt;/D&gt;&lt;D xsi:type="xsd:double"&gt;8.0188565461334&lt;/D&gt;&lt;D xsi:type="xsd:double"&gt;7.96773453802972&lt;/D&gt;&lt;D xsi:type="xsd:double"&gt;8.75175917637153&lt;/D&gt;&lt;D xsi:type="xsd:double"&gt;9.37433457383235&lt;/D&gt;&lt;D xsi:type="xsd:double"&gt;9.74314979681814&lt;/D&gt;&lt;D xsi:type="xsd:double"&gt;8.41549890302236&lt;/D&gt;&lt;D xsi:type="xsd:double"&gt;8.01876079757521&lt;/D&gt;&lt;D xsi:type="xsd:double"&gt;8.20489079322007&lt;/D&gt;&lt;D xsi:type="xsd:double"&gt;9.32086848690877&lt;/D&gt;&lt;D xsi:type="xsd:double"&gt;9.96641422657729&lt;/D&gt;&lt;D xsi:type="xsd:double"&gt;9.8471451809812&lt;/D&gt;&lt;D xsi:type="xsd:double"&gt;10.351036701669&lt;/D&gt;&lt;D xsi:type="xsd:double"&gt;10.9565166464189&lt;/D&gt;&lt;D xsi:type="xsd:double"&gt;12.5037564885593&lt;/D&gt;&lt;D xsi:type="xsd:double"&gt;12.8386614442263&lt;/D&gt;&lt;D xsi:type="xsd:double"&gt;14.3864112804966&lt;/D&gt;&lt;D xsi:type="xsd:double"&gt;13.3403469725594&lt;/D&gt;&lt;D xsi:type="xsd:double"&gt;12.0790141639432&lt;/D&gt;&lt;D xsi:type="xsd:double"&gt;11.5455968192712&lt;/D&gt;&lt;D xsi:type="xsd:double"&gt;10.9374265564771&lt;/D&gt;&lt;D xsi:type="xsd:double"&gt;10.3785608409718&lt;/D&gt;&lt;D xsi:type="xsd:double"&gt;9.73946189210838&lt;/D&gt;&lt;D xsi:type="xsd:double"&gt;9.12210601204892&lt;/D&gt;&lt;D xsi:type="xsd:double"&gt;8.47759399367589&lt;/D&gt;&lt;D xsi:type="xsd:double"&gt;7.6304269995463&lt;/D&gt;&lt;D xsi:type="xsd:double"&gt;7.34632674131383&lt;/D&gt;&lt;D xsi:type="xsd:double"&gt;7.46505180623421&lt;/D&gt;&lt;D xsi:type="xsd:double"&gt;7.12193761789961&lt;/D&gt;&lt;D xsi:type="xsd:double"&gt;6.24247702908219&lt;/D&gt;&lt;D xsi:type="xsd:double"&gt;5.98927574567885&lt;/D&gt;&lt;D xsi:type="xsd:double"&gt;6.00663730569038&lt;/D&gt;&lt;D xsi:type="xsd:double"&gt;5.77836750199052&lt;/D&gt;&lt;D xsi:type="xsd:double"&gt;5.87808386622916&lt;/D&gt;&lt;D xsi:type="xsd:double"&gt;5.46810627468193&lt;/D&gt;&lt;D xsi:type="xsd:double"&gt;5.27009438999004&lt;/D&gt;&lt;D xsi:type="xsd:double"&gt;5.15316687686472&lt;/D&gt;&lt;D xsi:type="xsd:double"&gt;5.02942334406674&lt;/D&gt;&lt;D xsi:type="xsd:double"&gt;5.21855257473003&lt;/D&gt;&lt;D xsi:type="xsd:double"&gt;5.12784709313945&lt;/D&gt;&lt;D xsi:type="xsd:double"&gt;5.76656359941806&lt;/D&gt;&lt;D xsi:type="xsd:double"&gt;4.96806475435516&lt;/D&gt;&lt;D xsi:type="xsd:double"&gt;4.98104289549355&lt;/D&gt;&lt;D xsi:type="xsd:double"&gt;4.98034145494787&lt;/D&gt;&lt;D xsi:type="xsd:double"&gt;4.74930850581233&lt;/D&gt;&lt;D xsi:type="xsd:double"&gt;4.92537053702181&lt;/D&gt;&lt;D xsi:type="xsd:double"&gt;5.40487347509391&lt;/D&gt;&lt;D xsi:type="xsd:double"&gt;6.13385792946406&lt;/D&gt;&lt;D xsi:type="xsd:double"&gt;6.60795509449397&lt;/D&gt;&lt;D xsi:type="xsd:double"&gt;6.78532251293313&lt;/D&gt;&lt;D xsi:type="xsd:double"&gt;6.0044034289639&lt;/D&gt;&lt;D xsi:type="xsd:double"&gt;6.07241122576572&lt;/D&gt;&lt;D xsi:type="xsd:double"&gt;5.67507988073828&lt;/D&gt;&lt;D xsi:type="xsd:double"&gt;6.41330635347078&lt;/D&gt;&lt;D xsi:type="xsd:double"&gt;6.76916577259031&lt;/D&gt;&lt;/FQL&gt;&lt;FQL&gt;&lt;Q&gt;PLATI-FDS^FG_PRICE_CHANGE(0,-1AM)&lt;/Q&gt;&lt;R&gt;1&lt;/R&gt;&lt;C&gt;1&lt;/C&gt;&lt;D xsi:type="xsd:double"&gt;-1.75824175824176&lt;/D&gt;&lt;/FQL&gt;&lt;FQL&gt;&lt;Q&gt;FC0000PH^FG_PRICE(0)&lt;/Q&gt;&lt;R&gt;1&lt;/R&gt;&lt;C&gt;1&lt;/C&gt;&lt;D xsi:type="xsd:double"&gt;334.28937&lt;/D&gt;&lt;/FQL&gt;&lt;FQL&gt;&lt;Q&gt;EWZ^FG_PRICE_MAVG(0,,,,30)&lt;/Q&gt;&lt;R&gt;1&lt;/R&gt;&lt;C&gt;1&lt;/C&gt;&lt;D xsi:type="xsd:double"&gt;33.092335&lt;/D&gt;&lt;/FQL&gt;&lt;FQL&gt;&lt;Q&gt;VWO^FG_TOTAL_RETURNC(0,-6AM)&lt;/Q&gt;&lt;R&gt;1&lt;/R&gt;&lt;C&gt;1&lt;/C&gt;&lt;D xsi:type="xsd:double"&gt;4.065597&lt;/D&gt;&lt;/FQL&gt;&lt;FQL&gt;&lt;Q&gt;GREK^P_PRICE(0)/P_PRICE_HIGH_PR(0,,,USD,,,"PRICE","INTRA","52W")&lt;/Q&gt;&lt;R&gt;1&lt;/R&gt;&lt;C&gt;1&lt;/C&gt;&lt;D xsi:type="xsd:double"&gt;0.9941549&lt;/D&gt;&lt;/FQL&gt;&lt;FQL&gt;&lt;Q&gt;EWJ^FMA_PCT_ABOVE_MAVG(200,0,,,,"PORTAGG")&lt;/Q&gt;&lt;R&gt;1&lt;/R&gt;&lt;C&gt;1&lt;/C&gt;&lt;D xsi:type="xsd:double"&gt;69.9115044247788&lt;/D&gt;&lt;/FQL&gt;&lt;FQL&gt;&lt;Q&gt;EPU^PERCENT_CHANGE(FMA_EPS(+1,0,,,,"PORTAGG","MEAN"),FMA_EPS(+1,-1AM,,,,"PORTAGG","MEAN"))&lt;/Q&gt;&lt;R&gt;1&lt;/R&gt;&lt;C&gt;1&lt;/C&gt;&lt;D xsi:type="xsd:double"&gt;-23.5670830435808&lt;/D&gt;&lt;/FQL&gt;&lt;FQL&gt;&lt;Q&gt;GREK^SIZE(FG_CONSTITUENTS)&lt;/Q&gt;&lt;R&gt;1&lt;/R&gt;&lt;C&gt;1&lt;/C&gt;&lt;D xsi:type="xsd:long"&gt;30&lt;/D&gt;&lt;/FQL&gt;&lt;FQL&gt;&lt;Q&gt;EWM^FMA_COS_UP("EPS","1M",+1,NOW,,,"PORTAGG","MEANR")&lt;/Q&gt;&lt;R&gt;1&lt;/R&gt;&lt;C&gt;1&lt;/C&gt;&lt;D xsi:type="xsd:double"&gt;16&lt;/D&gt;&lt;/FQL&gt;&lt;FQL&gt;&lt;Q&gt;KSA^FMA_RBICS_REV_CURRENT(30, LOC, "PORTAGG")&lt;/Q&gt;&lt;R&gt;1&lt;/R&gt;&lt;C&gt;1&lt;/C&gt;&lt;D xsi:type="xsd:double"&gt;44.2768099557168&lt;/D&gt;&lt;/FQL&gt;&lt;FQL&gt;&lt;Q&gt;REFTR1WREPO-FDS^(SUBARRAY(NOT_NA(NO_REPEAT_F(FG_YIELD(NOW,-10AY,D))),0,1)-SUBARRAY(NOT_NA(NO_REPEAT_F(FG_YIELD(NOW,-10AY,D))),1,1))*100&lt;/Q&gt;&lt;R&gt;1&lt;/R&gt;&lt;C&gt;1&lt;/C&gt;&lt;D xsi:type="xsd:double"&gt;250&lt;/D&gt;&lt;/FQL&gt;&lt;FQL&gt;&lt;Q&gt;REFMYON-FDS^PROPER_NAME(0,,,"SECURITY","NAME")&lt;/Q&gt;&lt;R&gt;1&lt;/R&gt;&lt;C&gt;1&lt;/C&gt;&lt;D xsi:type="xsd:string"&gt;Malaysia Policy Rate - Overnight&lt;/D&gt;&lt;/FQL&gt;&lt;FQL&gt;&lt;Q&gt;TRYPH10Y-FDS^PCTCHG(FG_YIELD(0,,,,"YTM"),FG_YIELD(-3AM,,,,"YTM"))&lt;/Q&gt;&lt;R&gt;1&lt;/R&gt;&lt;C&gt;1&lt;/C&gt;&lt;D xsi:type="xsd:double"&gt;0.80980945&lt;/D&gt;&lt;/FQL&gt;&lt;FQL&gt;&lt;Q&gt;TRYTW10Y-FDS^FG_YIELD(0,,,,"YTM")&lt;/Q&gt;&lt;R&gt;1&lt;/R&gt;&lt;C&gt;1&lt;/C&gt;&lt;D xsi:type="xsd:double"&gt;1.216&lt;/D&gt;&lt;/FQL&gt;&lt;FQL&gt;&lt;Q&gt;CC_CL^IMF_IFS_RCPI_Q(0)&lt;/Q&gt;&lt;R&gt;1&lt;/R&gt;&lt;C&gt;1&lt;/C&gt;&lt;D xsi:type="xsd:double"&gt;4.586063&lt;/D&gt;&lt;/FQL&gt;&lt;FQL&gt;&lt;Q&gt;UAE^FMA_PE(LTM,0,,,"PORTAGG","MEANR")&lt;/Q&gt;&lt;R&gt;1&lt;/R&gt;&lt;C&gt;1&lt;/C&gt;&lt;D xsi:type="xsd:double"&gt;10.6153243209853&lt;/D&gt;&lt;/FQL&gt;&lt;FQL&gt;&lt;Q&gt;INDA^FMA_PE(LTM,0,,,"PORTAGG","MEANR")&lt;/Q&gt;&lt;R&gt;1&lt;/R&gt;&lt;C&gt;1&lt;/C&gt;&lt;D xsi:type="xsd:double"&gt;24.9901013610641&lt;/D&gt;&lt;/FQL&gt;&lt;FQL&gt;&lt;Q&gt;EWZ^FG_FCF_YIELD_NTM(0)&lt;/Q&gt;&lt;R&gt;1&lt;/R&gt;&lt;C&gt;1&lt;/C&gt;&lt;D xsi:type="xsd:double"&gt;9.8832740753199&lt;/D&gt;&lt;/FQL&gt;&lt;FQL&gt;&lt;Q&gt;EPU^FG_FCF_YIELD_NTM(0)&lt;/Q&gt;&lt;R&gt;1&lt;/R&gt;&lt;C&gt;1&lt;/C&gt;&lt;D xsi:type="xsd:double"&gt;5.51238780344363&lt;/D&gt;&lt;/FQL&gt;&lt;FQL&gt;&lt;Q&gt;CNYA^FG_FCF_YIELD_NTM(0)&lt;/Q&gt;&lt;R&gt;1&lt;/R&gt;&lt;C&gt;1&lt;/C&gt;&lt;D xsi:type="xsd:double"&gt;3.24075938844808&lt;/D&gt;&lt;/FQL&gt;&lt;FQL&gt;&lt;Q&gt;TRYAE10Y-FDS^FG_YIELD(-10AY,0,Y,,"YTM")&lt;/Q&gt;&lt;R&gt;10&lt;/R&gt;&lt;C&gt;1&lt;/C&gt;&lt;D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xsi:type="xsd:string"&gt;@NA&lt;/D&gt;&lt;/FQL&gt;&lt;FQL&gt;&lt;Q&gt;USDAED^FG_PRICE_CHANGE(0,-6AM)&lt;/Q&gt;&lt;R&gt;1&lt;/R&gt;&lt;C&gt;1&lt;/C&gt;&lt;D xsi:type="xsd:double"&gt;-0.0027179718&lt;/D&gt;&lt;/FQL&gt;&lt;FQL&gt;&lt;Q&gt;USDPEN^STD(FG_PRICE_CHANGE(0,-1AY,AM))&lt;/Q&gt;&lt;R&gt;1&lt;/R&gt;&lt;C&gt;1&lt;/C&gt;&lt;D xsi:type="xsd:double"&gt;1.50074900582281&lt;/D&gt;&lt;/FQL&gt;&lt;FQL&gt;&lt;Q&gt;USDCNH^FG_PRICE_CHANGE(0,-3AM)&lt;/Q&gt;&lt;R&gt;1&lt;/R&gt;&lt;C&gt;1&lt;/C&gt;&lt;D xsi:type="xsd:double"&gt;0.789237&lt;/D&gt;&lt;/FQL&gt;&lt;FQL&gt;&lt;Q&gt;EWM^P_PRICE_RETURNS_PR('52W',2,-10AY,0,AM)&lt;/Q&gt;&lt;R&gt;121&lt;/R&gt;&lt;C&gt;1&lt;/C&gt;&lt;D xsi:type="xsd:double"&gt;8.529461&lt;/D&gt;&lt;D xsi:type="xsd:double"&gt;6.027651&lt;/D&gt;&lt;D xsi:type="xsd:double"&gt;4.1514993&lt;/D&gt;&lt;D xsi:type="xsd:double"&gt;1.440692&lt;/D&gt;&lt;D xsi:type="xsd:double"&gt;7.8563094&lt;/D&gt;&lt;D xsi:type="xsd:double"&gt;7.9711556&lt;/D&gt;&lt;D xsi:type="xsd:double"&gt;14.163315&lt;/D&gt;&lt;D xsi:type="xsd:double"&gt;3.3848405&lt;/D&gt;&lt;D xsi:type="xsd:double"&gt;-2.4256706&lt;/D&gt;&lt;D xsi:type="xsd:double"&gt;-9.374964&lt;/D&gt;&lt;D xsi:type="xsd:double"&gt;-11.344582&lt;/D&gt;&lt;D xsi:type="xsd:double"&gt;-5.826628&lt;/D&gt;&lt;D xsi:type="xsd:double"&gt;-10.497295&lt;/D&gt;&lt;D xsi:type="xsd:double"&gt;-10.020929&lt;/D&gt;&lt;D xsi:type="xsd:double"&gt;-10.091078&lt;/D&gt;&lt;D xsi:type="xsd:double"&gt;-17.676878&lt;/D&gt;&lt;D xsi:type="xsd:double"&gt;-20.15614&lt;/D&gt;&lt;D xsi:type="xsd:double"&gt;-23.301893&lt;/D&gt;&lt;D xsi:type="xsd:double"&gt;-37.672127&lt;/D&gt;&lt;D xsi:type="xsd:double"&gt;-32.928837&lt;/D&gt;&lt;D xsi:type="xsd:double"&gt;-28.571093&lt;/D&gt;&lt;D xsi:type="xsd:double"&gt;-18.697388&lt;/D&gt;&lt;D xsi:type="xsd:double"&gt;-21.423292&lt;/D&gt;&lt;D xsi:type="xsd:double"&gt;-17.616589&lt;/D&gt;&lt;D xsi:type="xsd:double"&gt;-12.853026&lt;/D&gt;&lt;D xsi:type="xsd:double"&gt;-9.998923&lt;/D&gt;&lt;D xsi:type="xsd:double"&gt;-17.322588&lt;/D&gt;&lt;D xsi:type="xsd:double"&gt;-12.947488&lt;/D&gt;&lt;D xsi:type="xsd:double"&gt;-6.926775&lt;/D&gt;&lt;D xsi:type="xsd:double"&gt;-4.564619&lt;/D&gt;&lt;D xsi:type="xsd:double"&gt;13.948334&lt;/D&gt;&lt;D xsi:type="xsd:double"&gt;10.463751&lt;/D&gt;&lt;D xsi:type="xsd:double"&gt;3.6114097&lt;/D&gt;&lt;D xsi:type="xsd:double"&gt;-3.8781822&lt;/D&gt;&lt;D xsi:type="xsd:double"&gt;-0.019484758&lt;/D&gt;&lt;D xsi:type="xsd:double"&gt;-1.1978269&lt;/D&gt;&lt;D xsi:type="xsd:double"&gt;-3.9649367&lt;/D&gt;&lt;D xsi:type="xsd:double"&gt;-7.805562&lt;/D&gt;&lt;D xsi:type="xsd:double"&gt;1.6551256&lt;/D&gt;&lt;D xsi:type="xsd:double"&gt;9.031177&lt;/D&gt;&lt;D xsi:type="xsd:double"&gt;1.3017416&lt;/D&gt;&lt;D xsi:type="xsd:double"&gt;3.063023&lt;/D&gt;&lt;D xsi:type="xsd:double"&gt;3.7670016&lt;/D&gt;&lt;D xsi:type="xsd:double"&gt;6.4299107&lt;/D&gt;&lt;D xsi:type="xsd:double"&gt;6.9131613&lt;/D&gt;&lt;D xsi:type="xsd:double"&gt;17.35736&lt;/D&gt;&lt;D xsi:type="xsd:double"&gt;26.672817&lt;/D&gt;&lt;D xsi:type="xsd:double"&gt;27.62456&lt;/D&gt;&lt;D xsi:type="xsd:double"&gt;25.276316&lt;/D&gt;&lt;D xsi:type="xsd:double"&gt;23.096775&lt;/D&gt;&lt;D xsi:type="xsd:double"&gt;17.083025&lt;/D&gt;&lt;D xsi:type="xsd:double"&gt;7.6317906&lt;/D&gt;&lt;D xsi:type="xsd:double"&gt;3.1539798&lt;/D&gt;&lt;D xsi:type="xsd:double"&gt;9.26236&lt;/D&gt;&lt;D xsi:type="xsd:double"&gt;7.4497104&lt;/D&gt;&lt;D xsi:type="xsd:double"&gt;4.9349666&lt;/D&gt;&lt;D xsi:type="xsd:double"&gt;2.2148967&lt;/D&gt;&lt;D xsi:type="xsd:double"&gt;-0.9007156&lt;/D&gt;&lt;D xsi:type="xsd:double"&gt;-7.8712044&lt;/D&gt;&lt;D xsi:type="xsd:double"&gt;-9.762251&lt;/D&gt;&lt;D xsi:type="xsd:double"&gt;-10.230011&lt;/D&gt;&lt;D xsi:type="xsd:double"&gt;-12.894917&lt;/D&gt;&lt;D xsi:type="xsd:double"&gt;-11.55628&lt;/D&gt;&lt;D xsi:type="xsd:double"&gt;-6.964147&lt;/D&gt;&lt;D xsi:type="xsd:double"&gt;1.5709996&lt;/D&gt;&lt;D xsi:type="xsd:double"&gt;-9.972275&lt;/D&gt;&lt;D xsi:type="xsd:double"&gt;-10.43374&lt;/D&gt;&lt;D xsi:type="xsd:double"&gt;-10.168064&lt;/D&gt;&lt;D xsi:type="xsd:double"&gt;-3.3004224&lt;/D&gt;&lt;D xsi:type="xsd:double"&gt;-5.9762955&lt;/D&gt;&lt;D xsi:type="xsd:double"&gt;-0.7406175&lt;/D&gt;&lt;D xsi:type="xsd:double"&gt;-9.011883&lt;/D&gt;&lt;D xsi:type="xsd:double"&gt;-12.103868&lt;/D&gt;&lt;D xsi:type="xsd:double"&gt;-25.240444&lt;/D&gt;&lt;D xsi:type="xsd:double"&gt;-18.654198&lt;/D&gt;&lt;D xsi:type="xsd:double"&gt;-6.404817&lt;/D&gt;&lt;D xsi:type="xsd:double"&gt;-10.205597&lt;/D&gt;&lt;D xsi:type="xsd:double"&gt;-0.47920942&lt;/D&gt;&lt;D xsi:type="xsd:double"&gt;-3.6315918&lt;/D&gt;&lt;D xsi:type="xsd:double"&gt;-2.0675302&lt;/D&gt;&lt;D xsi:type="xsd:double"&gt;-6.004757&lt;/D&gt;&lt;D xsi:type="xsd:double"&gt;7.782173&lt;/D&gt;&lt;D xsi:type="xsd:double"&gt;1.5200615&lt;/D&gt;&lt;D xsi:type="xsd:double"&gt;4.01181&lt;/D&gt;&lt;D xsi:type="xsd:double"&gt;7.678807&lt;/D&gt;&lt;D xsi:type="xsd:double"&gt;25.99429&lt;/D&gt;&lt;D xsi:type="xsd:double"&gt;19.388533&lt;/D&gt;&lt;D xsi:type="xsd:double"&gt;3.985083&lt;/D&gt;&lt;D xsi:type="xsd:double"&gt;0.70040226&lt;/D&gt;&lt;D xsi:type="xsd:double"&gt;-7.202995&lt;/D&gt;&lt;D xsi:type="xsd:double"&gt;4.895365&lt;/D&gt;&lt;D x</t>
        </r>
      </text>
    </comment>
    <comment ref="A4" authorId="0" shapeId="0" xr:uid="{74442DC0-B7ED-4546-9834-D79F1A1A505B}">
      <text>
        <r>
          <rPr>
            <b/>
            <sz val="9"/>
            <color indexed="81"/>
            <rFont val="Tahoma"/>
            <family val="2"/>
          </rPr>
          <t>si:type="xsd:double"&gt;-0.98252296&lt;/D&gt;&lt;D xsi:type="xsd:double"&gt;1.5646696&lt;/D&gt;&lt;D xsi:type="xsd:double"&gt;-11.611568&lt;/D&gt;&lt;D xsi:type="xsd:double"&gt;-7.0726213&lt;/D&gt;&lt;D xsi:type="xsd:double"&gt;-5.6964517&lt;/D&gt;&lt;D xsi:type="xsd:double"&gt;0.11276007&lt;/D&gt;&lt;D xsi:type="xsd:double"&gt;1.3383746&lt;/D&gt;&lt;D xsi:type="xsd:double"&gt;-2.4061859&lt;/D&gt;&lt;D xsi:type="xsd:double"&gt;-8.55813&lt;/D&gt;&lt;D xsi:type="xsd:double"&gt;-8.800638&lt;/D&gt;&lt;D xsi:type="xsd:double"&gt;-2.4546146&lt;/D&gt;&lt;D xsi:type="xsd:double"&gt;-10.807115&lt;/D&gt;&lt;D xsi:type="xsd:double"&gt;-13.368553&lt;/D&gt;&lt;D xsi:type="xsd:double"&gt;-14.71045&lt;/D&gt;&lt;D xsi:type="xsd:double"&gt;-0.88466406&lt;/D&gt;&lt;D xsi:type="xsd:double"&gt;-5.615926&lt;/D&gt;&lt;D xsi:type="xsd:double"&gt;-0.5421281&lt;/D&gt;&lt;D xsi:type="xsd:double"&gt;-12.074691&lt;/D&gt;&lt;D xsi:type="xsd:double"&gt;-11.3228855&lt;/D&gt;&lt;D xsi:type="xsd:double"&gt;-9.7387905&lt;/D&gt;&lt;D xsi:type="xsd:double"&gt;-10.865325&lt;/D&gt;&lt;D xsi:type="xsd:double"&gt;-5.6044936&lt;/D&gt;&lt;D xsi:type="xsd:double"&gt;-3.265524&lt;/D&gt;&lt;D xsi:type="xsd:double"&gt;-1.5639305&lt;/D&gt;&lt;D xsi:type="xsd:double"&gt;1.253593&lt;/D&gt;&lt;D xsi:type="xsd:double"&gt;7.6122046&lt;/D&gt;&lt;D xsi:type="xsd:double"&gt;-5.3736925&lt;/D&gt;&lt;D xsi:type="xsd:double"&gt;-2.872783&lt;/D&gt;&lt;D xsi:type="xsd:double"&gt;-7.9759064&lt;/D&gt;&lt;D xsi:type="xsd:double"&gt;1.7246723&lt;/D&gt;&lt;/FQL&gt;&lt;FQL&gt;&lt;Q&gt;EWZ^FMA_DIV_YLD(NTMA,-10AY,0,AM,"PORTAGG","MEANR")&lt;/Q&gt;&lt;R&gt;121&lt;/R&gt;&lt;C&gt;1&lt;/C&gt;&lt;D xsi:type="xsd:double"&gt;4.42378025088284&lt;/D&gt;&lt;D xsi:type="xsd:double"&gt;4.20821961932471&lt;/D&gt;&lt;D xsi:type="xsd:double"&gt;4.14128769224387&lt;/D&gt;&lt;D xsi:type="xsd:double"&gt;4.18685692266477&lt;/D&gt;&lt;D xsi:type="xsd:double"&gt;3.90535245647452&lt;/D&gt;&lt;D xsi:type="xsd:double"&gt;3.85634504251335&lt;/D&gt;&lt;D xsi:type="xsd:double"&gt;3.55315856328496&lt;/D&gt;&lt;D xsi:type="xsd:double"&gt;3.89601460232443&lt;/D&gt;&lt;D xsi:type="xsd:double"&gt;3.75127121161281&lt;/D&gt;&lt;D xsi:type="xsd:double"&gt;3.93911577513977&lt;/D&gt;&lt;D xsi:type="xsd:double"&gt;4.24243845489451&lt;/D&gt;&lt;D xsi:type="xsd:double"&gt;4.05530902459089&lt;/D&gt;&lt;D xsi:type="xsd:double"&gt;3.99882635971407&lt;/D&gt;&lt;D xsi:type="xsd:double"&gt;3.73081714706648&lt;/D&gt;&lt;D xsi:type="xsd:double"&gt;3.54471346523296&lt;/D&gt;&lt;D xsi:type="xsd:double"&gt;3.85984302866832&lt;/D&gt;&lt;D xsi:type="xsd:double"&gt;3.82259751387557&lt;/D&gt;&lt;D xsi:type="xsd:double"&gt;3.88404592808397&lt;/D&gt;&lt;D xsi:type="xsd:double"&gt;4.29663346105927&lt;/D&gt;&lt;D xsi:type="xsd:double"&gt;4.06107120674547&lt;/D&gt;&lt;D xsi:type="xsd:double"&gt;3.87728405378654&lt;/D&gt;&lt;D xsi:type="xsd:double"&gt;4.04422926538907&lt;/D&gt;&lt;D xsi:type="xsd:double"&gt;4.29728117562966&lt;/D&gt;&lt;D xsi:type="xsd:double"&gt;4.31591346079806&lt;/D&gt;&lt;D xsi:type="xsd:double"&gt;3.59467530448231&lt;/D&gt;&lt;D xsi:type="xsd:double"&gt;3.32171846664013&lt;/D&gt;&lt;D xsi:type="xsd:double"&gt;3.3216664291291&lt;/D&gt;&lt;D xsi:type="xsd:double"&gt;3.38560871868073&lt;/D&gt;&lt;D xsi:type="xsd:double"&gt;3.26952219373193&lt;/D&gt;&lt;D xsi:type="xsd:double"&gt;2.86600807356956&lt;/D&gt;&lt;D xsi:type="xsd:double"&gt;3.05851941593617&lt;/D&gt;&lt;D xsi:type="xsd:double"&gt;3.12478854356874&lt;/D&gt;&lt;D xsi:type="xsd:double"&gt;3.0340235633259&lt;/D&gt;&lt;D xsi:type="xsd:double"&gt;3.43670819004169&lt;/D&gt;&lt;D xsi:type="xsd:double"&gt;3.44654650576319&lt;/D&gt;&lt;D xsi:type="xsd:double"&gt;3.38805309295427&lt;/D&gt;&lt;D xsi:type="xsd:double"&gt;3.47366459388971&lt;/D&gt;&lt;D xsi:type="xsd:double"&gt;3.60121720121928&lt;/D&gt;&lt;D xsi:type="xsd:double"&gt;3.65182803973602&lt;/D&gt;&lt;D xsi:type="xsd:double"&gt;3.69762660559625&lt;/D&gt;&lt;D xsi:type="xsd:double"&gt;3.62049909270681&lt;/D&gt;&lt;D xsi:type="xsd:double"&gt;3.43623144429849&lt;/D&gt;&lt;D xsi:type="xsd:double"&gt;3.24745801941125&lt;/D&gt;&lt;D xsi:type="xsd:double"&gt;3.12922489704249&lt;/D&gt;&lt;D xsi:type="xsd:double"&gt;3.37105061476398&lt;/D&gt;&lt;D xsi:type="xsd:double"&gt;3.57109278990212&lt;/D&gt;&lt;D xsi:type="xsd:double"&gt;3.34661748080595&lt;/D&gt;&lt;D xsi:type="xsd:double"&gt;3.2109306975205&lt;/D&gt;&lt;D xsi:type="xsd:double"&gt;3.34068108047283&lt;/D&gt;&lt;D xsi:type="xsd:double"&gt;3.51020786479996&lt;/D&gt;&lt;D xsi:type="xsd:double"&gt;3.7753272393342&lt;/D&gt;&lt;D xsi:type="xsd:double"&gt;4.00957152184341&lt;/D&gt;&lt;D xsi:type="xsd:double"&gt;4.43251488865923&lt;/D&gt;&lt;D xsi:type="xsd:double"&gt;4.10992530404779&lt;/D&gt;&lt;D xsi:type="xsd:double"&gt;4.52641325973857&lt;/D&gt;&lt;D xsi:type="xsd:double"&gt;4.14288839256871&lt;/D&gt;&lt;D xsi:type="xsd:double"&gt;3.864474122706&lt;/D&gt;&lt;D xsi:type="xsd:double"&gt;3.8821738632966&lt;/D&gt;&lt;D xsi:type="xsd:double"&gt;3.86497173907032&lt;/D&gt;&lt;D xsi:type="xsd:double"&gt;3.56667871874982&lt;/D&gt;&lt;D xsi:type="xsd:double"&gt;3.68211874410804&lt;/D&gt;&lt;D xsi:type="xsd:double"&gt;3.34547358262534&lt;/D&gt;&lt;D xsi:type="xsd:double"&gt;3.42243831646046&lt;/D&gt;&lt;D xsi:type="xsd:double"&gt;3.29840263014578&lt;/D&gt;&lt;D xsi:type="xsd:double"&gt;3.08457005449713&lt;/D&gt;&lt;D xsi:type="xsd:double"&gt;3.22772581834397&lt;/D&gt;&lt;D xsi:type="xsd:double"&gt;3.31251538136584&lt;/D&gt;&lt;D xsi:type="xsd:double"&gt;3.30146409845228&lt;/D&gt;&lt;D xsi:type="xsd:double"&gt;3.21589017134651&lt;/D&gt;&lt;D xsi:type="xsd:double"&gt;3.21786836958187&lt;/D&gt;&lt;D xsi:type="xsd:double"&gt;3.09385065230917&lt;/D&gt;&lt;D xsi:type="xsd:double"&gt;3.11755711064912&lt;/D&gt;&lt;D xsi:type="xsd:double"&gt;3.40010061344679&lt;/D&gt;&lt;D xsi:type="xsd:double"&gt;4.67889673330382&lt;/D&gt;&lt;D xsi:type="xsd:double"&gt;3.85645863943795&lt;/D&gt;&lt;D xsi:type="xsd:double"&gt;3.01463650912663&lt;/D&gt;&lt;D xsi:type="xsd:double"&gt;2.96270087452865&lt;/D&gt;&lt;D xsi:type="xsd:double"&gt;2.8159997884177&lt;/D&gt;&lt;D xsi:type="xsd:double"&gt;2.96624920789226&lt;/D&gt;&lt;D xsi:type="xsd:double"&gt;3.59288104230827&lt;/D&gt;&lt;D xsi:type="xsd:double"&gt;3.49901394879329&lt;/D&gt;&lt;D xsi:type="xsd:double"&gt;3.30983005721916&lt;/D&gt;&lt;D xsi:type="xsd:double"&gt;3.37340817467351&lt;/D&gt;&lt;D xsi:type="xsd:double"&gt;3.60686100481528&lt;/D&gt;&lt;D xsi:type="xsd:double"&gt;4.11217905224661&lt;/D&gt;&lt;D xsi:type="xsd:double"&gt;4.52940069231642&lt;/D&gt;&lt;D xsi:type="xsd:double"&gt;4.9361157977183&lt;/D&gt;&lt;D xsi:type="xsd:double"&gt;4.5980397322876&lt;/D&gt;&lt;D xsi:type="xsd:double"&gt;4.95035754412112&lt;/D&gt;&lt;D xsi:type="xsd:double"&gt;5.67537686295406&lt;/D&gt;&lt;D xsi:type="xsd:double"&gt;6.21671799015035&lt;/D&gt;&lt;D xsi:type="xsd:double"&gt;6.50885432325263&lt;/D&gt;&lt;D xsi:type="xsd:double"&gt;7.55147648040136&lt;/D&gt;&lt;D xsi:type="xsd:double"&gt;7.77166468127194&lt;/D&gt;&lt;D xsi:type="xsd:double"&gt;7.58521478062246&lt;/D&gt;&lt;D xsi:type="xsd:double"&gt;6.88795770346599&lt;/D&gt;&lt;D xsi:type="xsd:double"&gt;7.86601412441722&lt;/D&gt;&lt;D xsi:type="xsd:double"&gt;8.20323920580952&lt;/D&gt;&lt;D xsi:type="xsd:double"&gt;9.14664150982117&lt;/D&gt;&lt;D xsi:type="xsd:double"&gt;9.91924267038205&lt;/D&gt;&lt;D xsi:type="xsd:double"&gt;11.5957052789047&lt;/D&gt;&lt;D xsi:type="xsd:double"&gt;10.4067907446628&lt;/D&gt;&lt;D xsi:type="xsd:double"&gt;10.4384466899992&lt;/D&gt;&lt;D xsi:type="xsd:double"&gt;9.53601322770557&lt;/D&gt;&lt;D xsi:type="xsd:double"&gt;8.30053918538603&lt;/D&gt;&lt;D xsi:type="xsd:double"&gt;7.34337808881726&lt;/D&gt;&lt;D xsi:type="xsd:double"&gt;6.93695182330003&lt;/D&gt;&lt;D xsi:type="xsd:double"&gt;6.8113216183229&lt;/D&gt;&lt;D xsi:type="xsd:double"&gt;7.39785330620001&lt;/D&gt;&lt;D xsi:type="xsd:double"&gt;6.73076343664901&lt;/D&gt;&lt;D xsi:type="xsd:double"&gt;6.93005300031913&lt;/D&gt;&lt;D xsi:type="xsd:double"&gt;6.28924648298845&lt;/D&gt;&lt;D xsi:type="xsd:double"&gt;5.97527707696049&lt;/D&gt;&lt;D xsi:type="xsd:double"&gt;5.77068500800811&lt;/D&gt;&lt;D xsi:type="xsd:double"&gt;5.88234061460276&lt;/D&gt;&lt;D xsi:type="xsd:double"&gt;6.07334537136639&lt;/D&gt;&lt;D xsi:type="xsd:double"&gt;6.1638197923657&lt;/D&gt;&lt;D xsi:type="xsd:double"&gt;6.05794393479292&lt;/D&gt;&lt;D xsi:type="xsd:double"&gt;5.82741698472631&lt;/D&gt;&lt;D xsi:type="xsd:double"&gt;5.88442783722496&lt;/D&gt;&lt;D xsi:type="xsd:double"&gt;6.64555902855697&lt;/D&gt;&lt;/FQL&gt;&lt;FQL&gt;&lt;Q&gt;INDA^FMA_PE(NTMA,-10AY,0,AM,"PORTAGG","MEANR")&lt;/Q&gt;&lt;R&gt;121&lt;/R&gt;&lt;C&gt;1&lt;/C&gt;&lt;D xsi:type="xsd:double"&gt;14.3533227395515&lt;/D&gt;&lt;D xsi:type="xsd:double"&gt;14.9606606359402&lt;/D&gt;&lt;D xsi:type="xsd:double"&gt;14.9042714170293&lt;/D&gt;&lt;D xsi:type="xsd:double"&gt;16.1096651405976&lt;/D&gt;&lt;D xsi:type="xsd:double"&gt;16.7805479748274&lt;/D&gt;&lt;D xsi:type="xsd:double"&gt;16.4240633245211&lt;/D&gt;&lt;D xsi:type="xsd:double"&gt;16.9390326215133&lt;/D&gt;&lt;D xsi:type="xsd:double"&gt;16.6984007866649&lt;/D&gt;&lt;D xsi:type="xsd:double"&gt;17.1291975836966&lt;/D&gt;&lt;D xsi:type="xsd:double"&gt;17.5885606829216&lt;/D&gt;&lt;D xsi:type="xsd:double"&gt;17.0524607604346&lt;/D&gt;&lt;D xsi:type="xsd:double"&gt;17.9206682075126&lt;/D&gt;&lt;D xsi:type="xsd:double"&gt;18.5741082016412&lt;/D&gt;&lt;D xsi:type="xsd:double"&gt;17.8425793770102&lt;/D&gt;&lt;D xsi:type="xsd:double"&gt;17.3203929059182&lt;/D&gt;&lt;D xsi:type="xsd:double"&gt;17.186806626498&lt;/D&gt;&lt;D xsi:type="xsd:double"&gt;18.5061774784088&lt;/D&gt;&lt;D xsi:type="xsd:double"&gt;18.6144208260069&lt;/D&gt;&lt;D xsi:type="xsd:double"&gt;17.2329200369462&lt;/D&gt;&lt;D xsi:type="xsd:double"&gt;17.5430256727899&lt;/D&gt;&lt;D xsi:type="xsd:double"&gt;17.6775360902049&lt;/D&gt;&lt;D xsi:type="xsd:double"&gt;17.039794590726&lt;/D&gt;&lt;D xsi:type="xsd:double"&gt;17.0119332718448&lt;/D&gt;&lt;D xsi:type="xsd:double"&gt;16.6568421623319&lt;/D&gt;&lt;D xsi:type="xsd:double"&gt;17.0244121828461&lt;/D&gt;&lt;D xsi:type="xsd:double"&gt;17.2860388314142&lt;/D&gt;&lt;D xsi:type="xsd:double"&gt;17.1318721529137&lt;/D&gt;&lt;D xsi:type="xsd:double"&gt;17.8283293614574&lt;/D&gt;&lt;D xsi:type="xsd:double"&gt;17.7845737354383&lt;/D&gt;&lt;D xsi:type="xsd:double"&gt;18.1271695542333&lt;/D&gt;&lt;D xsi:type="xsd:double"&gt;18.1253542647892&lt;/D&gt;&lt;D xsi:type="xsd:double"&gt;17.9644441186216&lt;/D&gt;&lt;D xsi:type="xsd:double"&gt;17.0191334953119&lt;/D&gt;&lt;D xsi:type="xsd:double"&gt;16.1869186596145&lt;/D&gt;&lt;D xsi:type="xsd:double"&gt;16.2631621972988&lt;/D&gt;&lt;D xsi:type="xsd:double"&gt;17.2145599496869&lt;/D&gt;&lt;D xsi:type="xsd:double"&gt;17.6056975025826&lt;/D&gt;&lt;D xsi:type="xsd:double"&gt;18.0691999111734&lt;/D&gt;&lt;D xsi:type="xsd:double"&gt;18.2141003609702&lt;/D&gt;&lt;D xsi:type="xsd:double"&gt;18.3459102767255&lt;/D&gt;&lt;D xsi:type="xsd:double"&gt;18.0465254757561&lt;/D&gt;&lt;D xsi:type="xsd:double"&gt;18.9913119234003&lt;/D&gt;&lt;D xsi:type="xsd:double"&gt;18.8305221005736&lt;/D&gt;&lt;D xsi:type="xsd:double"&gt;18.4229851275932&lt;/D&gt;&lt;D xsi:type="xsd:double"&gt;19.1363536583763&lt;/D&gt;&lt;D xsi:type="xsd:double"&gt;18.4162060950806&lt;/D&gt;&lt;D xsi:type="xsd:double"&gt;18.9701251381357&lt;/D&gt;&lt;D xsi:type="xsd:double"&gt;18.7433473145432&lt;/D&gt;&lt;D xsi:type="xsd:double"&gt;18.4451860049505&lt;/D&gt;&lt;D xsi:type="xsd:double"&gt;17.7302339979398&lt;/D&gt;&lt;D xsi:type="xsd:double"&gt;18.3677460864033&lt;/D&gt;&lt;D xsi:type="xsd:double"&gt;18.4350431102458&lt;/D&gt;&lt;D xsi:type="xsd:double"&gt;18.3550440169603&lt;/D&gt;&lt;D xsi:type="xsd:double"&gt;19.7415087829154&lt;/D&gt;&lt;D xsi:type="xsd:double"&gt;19.7763877899108&lt;/D&gt;&lt;D xsi:type="xsd:double"&gt;17.7289365256198&lt;/D&gt;&lt;D xsi:type="xsd:double"&gt;17.8924831411739&lt;/D&gt;&lt;D xsi:type="xsd:double"&gt;18.2337350717984&lt;/D&gt;&lt;D xsi:type="xsd:double"&gt;17.7232813401475&lt;/D&gt;&lt;D xsi:type="xsd:double"&gt;18.3095975745039&lt;/D&gt;&lt;D xsi:type="xsd:double"&gt;18.2518347071368&lt;/D&gt;&lt;D xsi:type="xsd:double"&gt;18.9206210891068&lt;/D&gt;&lt;D xsi:type="xsd:double"&gt;19.0255567384048&lt;/D&gt;&lt;D xsi:type="xsd:double"&gt;19.4619114612365&lt;/D&gt;&lt;D xsi:type="xsd:double"&gt;18.9613058208986&lt;/D&gt;&lt;D xsi:type="xsd:double"&gt;17.9378546396224&lt;/D&gt;&lt;D xsi:type="xsd:double"&gt;17.9381474915967&lt;/D&gt;&lt;D xsi:type="xsd:double"&gt;17.9109112169975&lt;/D&gt;&lt;D xsi:type="xsd:double"&gt;19.3646250402199&lt;/D&gt;&lt;D xsi:type="xsd:double"&gt;19.2748370745898&lt;/D&gt;&lt;D xsi:type="xsd:double"&gt;19.1966728339343&lt;/D&gt;&lt;D xsi:type="xsd:double"&gt;18.8942670005731&lt;/D&gt;&lt;D xsi:type="xsd:double"&gt;17.856575123009&lt;/D&gt;&lt;D xsi:type="xsd:double"&gt;13.6727813913714&lt;/D&gt;&lt;D xsi:type="xsd:double"&gt;17.8094948445565&lt;/D&gt;&lt;D xsi:type="xsd:double"&gt;20.7856745799046&lt;/D&gt;&lt;D xsi:type="xsd:double"&gt;22.7515752368464&lt;/D&gt;&lt;D xsi:type="xsd:double"&gt;23.639444744137&lt;/D&gt;&lt;D xsi:type="xsd:double"&gt;22.7600074463415&lt;/D&gt;&lt;D xsi:type="xsd:double"&gt;22.7248223514586&lt;/D&gt;&lt;D xsi:type="xsd:double"&gt;21.9515014266747&lt;/D&gt;&lt;D xsi:type="xsd:double"&gt;23.806356379606&lt;/D&gt;&lt;D xsi:type="xsd:double"&gt;24.4777307115078&lt;/D&gt;&lt;D xsi:type="xsd:double"&gt;23.781079484768&lt;/D&gt;&lt;D xsi:type="xsd:double"&gt;23.8568805456507&lt;/D&gt;&lt;D xsi:type="xsd:double"&gt;23.0460702175929&lt;/D&gt;&lt;D xsi:type="xsd:double"&gt;22.189989503974&lt;/D&gt;&lt;D xsi:type="xsd:double"&gt;23.3095992432416&lt;/D&gt;&lt;D xsi:type="xsd:double"&gt;23.0792924694769&lt;/D&gt;&lt;D xsi:type="xsd:double"&gt;23.6759248404793&lt;/D&gt;&lt;D xsi:type="xsd:double"&gt;24.6765928656535&lt;/D&gt;&lt;D xsi:type="xsd:double"&gt;24.4447452964335&lt;/D&gt;&lt;D xsi:type="xsd:double"&gt;23.9774009606783&lt;/D&gt;&lt;D xsi:type="xsd:double"&gt;23.2615565654386&lt;/D&gt;&lt;D xsi:type="xsd:double"&gt;23.5887851029304&lt;/D&gt;&lt;D xsi:type="xsd:double"&gt;22.6612070787212&lt;/D&gt;&lt;D xsi:type="xsd:double"&gt;20.7593849024849&lt;/D&gt;&lt;D xsi:type="xsd:double"&gt;22.6075485038234&lt;/D&gt;&lt;D xsi:type="xsd:double"&gt;20.9914073234622&lt;/D&gt;&lt;D xsi:type="xsd:double"&gt;20.9372095359446&lt;/D&gt;&lt;D xsi:type="xsd:double"&gt;19.892884408075&lt;/D&gt;&lt;D xsi:type="xsd:double"&gt;22.1994190226053&lt;/D&gt;&lt;D xsi:type="xsd:double"&gt;22.4262330978099&lt;/D&gt;&lt;D xsi:type="xsd:double"&gt;21.6642838913318&lt;/D&gt;&lt;D xsi:type="xsd:double"&gt;22.4704220589308&lt;/D&gt;&lt;D xsi:type="xsd:double"&gt;23.0907986114032&lt;/D&gt;&lt;D xsi:type="xsd:double"&gt;21.8513820738312&lt;/D&gt;&lt;D xsi:type="xsd:double"&gt;20.9643167973152&lt;/D&gt;&lt;D xsi:type="xsd:double"&gt;20.373776025303&lt;/D&gt;&lt;D xsi:type="xsd:double"&gt;19.9692051682862&lt;/D&gt;&lt;D xsi:type="xsd:double"&gt;20.8568679305171&lt;/D&gt;&lt;D xsi:type="xsd:double"&gt;21.3594036174632&lt;/D&gt;&lt;D xsi:type="xsd:double"&gt;21.9449823900554&lt;/D&gt;&lt;D xsi:type="xsd:double"&gt;21.1141980181358&lt;/D&gt;&lt;D xsi:type="xsd:double"&gt;20.5239253146052&lt;/D&gt;&lt;D xsi:type="xsd:double"&gt;20.3277075192132&lt;/D&gt;&lt;D xsi:type="xsd:double"&gt;19.9521241554497&lt;/D&gt;&lt;D xsi:type="xsd:double"&gt;21.1544895382705&lt;/D&gt;&lt;D xsi:type="xsd:double"&gt;22.0071146434305&lt;/D&gt;&lt;D xsi:type="xsd:double"&gt;22.3741781939474&lt;/D&gt;&lt;D xsi:type="xsd:double"&gt;26.0963911885011&lt;/D&gt;&lt;/FQL&gt;&lt;FQL&gt;&lt;Q&gt;DDR3512M-FDS^MAX(FG_PRICE(0,-5AY))&lt;/Q&gt;&lt;R&gt;1&lt;/R&gt;&lt;C&gt;1&lt;/C&gt;&lt;D xsi:type="xsd:double"&gt;3.3053632&lt;/D&gt;&lt;/FQL&gt;&lt;FQL&gt;&lt;Q&gt;PASP-FDS^FG_PRICE_CHANGE(0,-6AM)&lt;/Q&gt;&lt;R&gt;1&lt;/R&gt;&lt;C&gt;1&lt;/C&gt;&lt;D xsi:type="xsd:double"&gt;-22.5806451612903&lt;/D&gt;&lt;/FQL&gt;&lt;FQL&gt;&lt;Q&gt;BRENT-FDS^MAX(FG_PRICE(0,-5AY))&lt;/Q&gt;&lt;R&gt;1&lt;/R&gt;&lt;C&gt;1&lt;/C&gt;&lt;D xsi:type="xsd:double"&gt;140.85&lt;/D&gt;&lt;/FQL&gt;&lt;FQL&gt;&lt;Q&gt;TIOS-FDS^FG_PRICE_CHANGE(0,-6AM)&lt;/Q&gt;&lt;R&gt;1&lt;/R&gt;&lt;C&gt;1&lt;/C&gt;&lt;D xsi:type="xsd:double"&gt;-1.0576190879093&lt;/D&gt;&lt;/FQL&gt;&lt;FQL&gt;&lt;Q&gt;FC0000TW^FG_PRICE(0)&lt;/Q&gt;&lt;R&gt;1&lt;/R&gt;&lt;C&gt;1&lt;/C&gt;&lt;D xsi:type="xsd:double"&gt;333.411&lt;/D&gt;&lt;/FQL&gt;&lt;FQL&gt;&lt;Q&gt;VNM^FG_PRICE_MAVG(0,,,,60)&lt;/Q&gt;&lt;R&gt;1&lt;/R&gt;&lt;C&gt;1&lt;/C&gt;&lt;D xsi:type="xsd:double"&gt;13.04&lt;/D&gt;&lt;/FQL&gt;&lt;FQL&gt;&lt;Q&gt;MCHI^FG_PRICE_MAVG(0,,,,200)&lt;/Q&gt;&lt;R&gt;1&lt;/R&gt;&lt;C&gt;1&lt;/C&gt;&lt;D xsi:type="xsd:double"&gt;42.8068&lt;/D&gt;&lt;/FQL&gt;&lt;FQL&gt;&lt;Q&gt;GREK^FMA_ROE(NTMA,-20AY,NOW,FY,"PORTAGG","MEANR")&lt;/Q&gt;&lt;R&gt;20&lt;/R&gt;&lt;C&gt;1&lt;/C&gt;&lt;D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xsi:type="xsd:double"&gt;5.18059570882845&lt;/D&gt;&lt;D xsi:type="xsd:double"&gt;5.02924580688049&lt;/D&gt;&lt;D xsi:type="xsd:double"&gt;6.28451178662672&lt;/D&gt;&lt;D xsi:type="xsd:double"&gt;5.47133635917723&lt;/D&gt;&lt;D xsi:type="xsd:double"&gt;4.56601797799517&lt;/D&gt;&lt;D xsi:type="xsd:double"&gt;3.94646034419328&lt;/D&gt;&lt;D xsi:type="xsd:double"&gt;4.24726660688599&lt;/D&gt;&lt;D xsi:type="xsd:double"&gt;5.81002154172499&lt;/D&gt;&lt;D xsi:type="xsd:double"&gt;5.36711218261452&lt;/D&gt;&lt;D xsi:type="xsd:double"&gt;8.82576684666533&lt;/D&gt;&lt;D xsi:type="xsd:double"&gt;11.0341923380188&lt;/D&gt;&lt;D xsi:type="xsd:double"&gt;13.1253657894167&lt;/D&gt;&lt;/FQL&gt;&lt;FQL&gt;&lt;Q&gt;TRYUS10Y-FDS^FG_YIELD(-10AY,0,Y,,"YTM")&lt;/Q&gt;&lt;R&gt;10&lt;/R&gt;&lt;C&gt;1&lt;/C&gt;&lt;D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xsi:type="xsd:double"&gt;1.211&lt;/D&gt;&lt;/FQL&gt;&lt;FQL&gt;&lt;Q&gt;USDAED^FG_PRICE_CHANGE(0,-1AM)&lt;/Q&gt;&lt;R&gt;1&lt;/R&gt;&lt;C&gt;1&lt;/C&gt;&lt;D xsi:type="xsd:double"&gt;0&lt;/D&gt;&lt;/FQL&gt;&lt;FQL&gt;&lt;Q&gt;USDINR^FG_PRICE(0)&lt;/Q&gt;&lt;R&gt;1&lt;/R&gt;&lt;C&gt;1&lt;/C&gt;&lt;D xsi:type="xsd:double"&gt;82.89565&lt;/D&gt;&lt;/FQL&gt;&lt;FQL&gt;&lt;Q&gt;USDMXN^FG_COMPANY_NAME&lt;/Q&gt;&lt;R&gt;1&lt;/R&gt;&lt;C&gt;1&lt;/C&gt;&lt;D xsi:type="xsd:string"&gt;Mexican Peso per U.S. Dollar&lt;/D&gt;&lt;/FQL&gt;&lt;FQL&gt;&lt;Q&gt;USDPEN^FG_PRICE_CHANGE(0,-3AM)&lt;/Q&gt;&lt;R&gt;1&lt;/R&gt;&lt;C&gt;1&lt;/C&gt;&lt;D xsi:type="xsd:double"&gt;0.5755782&lt;/D&gt;&lt;/FQL&gt;&lt;FQL&gt;&lt;Q&gt;USDIDR^STD(FG_PRICE_CHANGE(0,-1AY,AM))&lt;/Q&gt;&lt;R&gt;1&lt;/R&gt;&lt;C&gt;1&lt;/C&gt;&lt;D xsi:type="xsd:double"&gt;1.6229647843746&lt;/D&gt;&lt;/FQL&gt;&lt;FQL&gt;&lt;Q&gt;USDCNH^FG_PRICE_CHANGE(0,-1AY)&lt;/Q&gt;&lt;R&gt;1&lt;/R&gt;&lt;C&gt;1&lt;/C&gt;&lt;D xsi:type="xsd:double"&gt;4.2170167&lt;/D&gt;&lt;/FQL&gt;&lt;FQL&gt;&lt;Q&gt;EZA^FMA_PE(NTMA,-10AY,0,AM,"PORTAGG","MEANR")&lt;/Q&gt;&lt;R&gt;121&lt;/R&gt;&lt;C&gt;1&lt;/C&gt;&lt;D xsi:type="xsd:double"&gt;14.0929459328546&lt;/D&gt;&lt;D xsi:type="xsd:double"&gt;14.1977739584168&lt;/D&gt;&lt;D xsi:type="xsd:double"&gt;14.1052290764705&lt;/D&gt;&lt;D xsi:type="xsd:double"&gt;14.3554812814814&lt;/D&gt;&lt;D xsi:type="xsd:double"&gt;14.8722332337407&lt;/D&gt;&lt;D xsi:type="xsd:double"&gt;15.1435361053586&lt;/D&gt;&lt;D xsi:type="xsd:double"&gt;15.5642652708194&lt;/D&gt;&lt;D xsi:type="xsd:double"&gt;14.4308154733564&lt;/D&gt;&lt;D xsi:type="xsd:double"&gt;15.1081594305311&lt;/D&gt;&lt;D xsi:type="xsd:double"&gt;14.8684565421548&lt;/D&gt;&lt;D xsi:type="xsd:double"&gt;15.6864717089941&lt;/D&gt;&lt;D xsi:type="xsd:double"&gt;17.042919160328&lt;/D&gt;&lt;D xsi:type="xsd:double"&gt;16.7519680837881&lt;/D&gt;&lt;D xsi:type="xsd:double"&gt;17.1453970574891&lt;/D&gt;&lt;D xsi:type="xsd:double"&gt;17.4563418905736&lt;/D&gt;&lt;D xsi:type="xsd:double"&gt;15.826799373981&lt;/D&gt;&lt;D xsi:type="xsd:double"&gt;16.4653440366134&lt;/D&gt;&lt;D xsi:type="xsd:double"&gt;16.0473332938693&lt;/D&gt;&lt;D xsi:type="xsd:double"&gt;14.9127649704557&lt;/D&gt;&lt;D xsi:type="xsd:double"&gt;15.3379588777987&lt;/D&gt;&lt;D xsi:type="xsd:double"&gt;15.9679719790839&lt;/D&gt;&lt;D xsi:type="xsd:double"&gt;14.4093635290841&lt;/D&gt;&lt;D xsi:type="xsd:double"&gt;14.0763846591768&lt;/D&gt;&lt;D xsi:type="xsd:double"&gt;14.2676131644009&lt;/D&gt;&lt;D xsi:type="xsd:double"&gt;14.6145376825024&lt;/D&gt;&lt;D xsi:type="xsd:double"&gt;14.8720621288309&lt;/D&gt;&lt;D xsi:type="xsd:double"&gt;14.4737045379838&lt;/D&gt;&lt;D xsi:type="xsd:double"&gt;15.2296608573946&lt;/D&gt;&lt;D xsi:type="xsd:double"&gt;14.9553923306025&lt;/D&gt;&lt;D xsi:type="xsd:double"&gt;15.3797256808197&lt;/D&gt;&lt;D xsi:type="xsd:double"&gt;15.1671059526419&lt;/D&gt;&lt;D xsi:type="xsd:double"&gt;14.9881547256077&lt;/D&gt;&lt;D xsi:type="xsd:double"&gt;14.1960129988277&lt;/D&gt;&lt;D xsi:type="xsd:double"&gt;13.698862057148&lt;/D&gt;&lt;D xsi:type="xsd:double"&gt;14.7098323996151&lt;/D&gt;&lt;D xsi:type="xsd:double"&gt;14.9571202543489&lt;/D&gt;&lt;D xsi:type="xsd:double"&gt;15.6104879770199&lt;/D&gt;&lt;D xsi:type="xsd:double"&gt;15.7047869903187&lt;/D&gt;&lt;D xsi:type="xsd:double"&gt;16.0611259604718&lt;/D&gt;&lt;D xsi:type="xsd:double"&gt;15.5552116712227&lt;/D&gt;&lt;D xsi:type="xsd:double"&gt;15.1675531122653&lt;/D&gt;&lt;D xsi:type="xsd:double"&gt;15.831238606034&lt;/D&gt;&lt;D xsi:type="xsd:double"&gt;15.6366160071662&lt;/D&gt;&lt;D xsi:type="xsd:double"&gt;15.0567675766035&lt;/D&gt;&lt;D xsi:type="xsd:double"&gt;15.5073818715271&lt;/D&gt;&lt;D xsi:type="xsd:double"&gt;15.202975425965&lt;/D&gt;&lt;D xsi:type="xsd:double"&gt;14.9187703592678&lt;/D&gt;&lt;D xsi:type="xsd:double"&gt;14.7345487284039&lt;/D&gt;&lt;D xsi:type="xsd:double"&gt;15.1307119428837&lt;/D&gt;&lt;D xsi:type="xsd:double"&gt;14.7498763783627&lt;/D&gt;&lt;D xsi:type="xsd:double"&gt;15.059939334899&lt;/D&gt;&lt;D xsi:type="xsd:double"&gt;14.7957221454702&lt;/D&gt;&lt;D xsi:type="xsd:double"&gt;14.3252361770826&lt;/D&gt;&lt;D xsi:type="xsd:double"&gt;13.9023459122605&lt;/D&gt;&lt;D xsi:type="xsd:double"&gt;13.2919570239192&lt;/D&gt;&lt;D xsi:type="xsd:double"&gt;12.5032287239128&lt;/D&gt;&lt;D xsi:type="xsd:double"&gt;12.502543716395&lt;/D&gt;&lt;D xsi:type="xsd:double"&gt;12.8837233834973&lt;/D&gt;&lt;D xsi:type="xsd:double"&gt;12.6172206507735&lt;/D&gt;&lt;D xsi:type="xsd:double"&gt;12.9119803776963&lt;/D&gt;&lt;D xsi:type="xsd:double"&gt;12.9714459633395&lt;/D&gt;&lt;D xsi:type="xsd:double"&gt;13.2648762210535&lt;/D&gt;&lt;D xsi:type="xsd:double"&gt;13.8947363035959&lt;/D&gt;&lt;D xsi:type="xsd:double"&gt;12.9716990034506&lt;/D&gt;&lt;D xsi:type="xsd:double"&gt;13.0936828891506&lt;/D&gt;&lt;D xsi:type="xsd:double"&gt;12.6117089218342&lt;/D&gt;&lt;D xsi:type="xsd:double"&gt;12.074643793733&lt;/D&gt;&lt;D xsi:type="xsd:double"&gt;11.5124867704597&lt;/D&gt;&lt;D xsi:type="xsd:double"&gt;11.8433404672197&lt;/D&gt;&lt;D xsi:type="xsd:double"&gt;11.9365306080628&lt;/D&gt;&lt;D xsi:type="xsd:double"&gt;12.4800115496499&lt;/D&gt;&lt;D xsi:type="xsd:double"&gt;11.8469609443051&lt;/D&gt;&lt;D xsi:type="xsd:double"&gt;10.4724694445012&lt;/D&gt;&lt;D xsi:type="xsd:double"&gt;8.33726286597395&lt;/D&gt;&lt;D xsi:type="xsd:double"&gt;10.3101671968443&lt;/D&gt;&lt;D xsi:type="xsd:double"&gt;11.1825804038252&lt;/D&gt;&lt;D xsi:type="xsd:double"&gt;11.4014364608554&lt;/D&gt;&lt;D xsi:type="xsd:double"&gt;11.4966498822782&lt;/D&gt;&lt;D xsi:type="xsd:double"&gt;10.705981708596&lt;/D&gt;&lt;D xsi:type="xsd:double"&gt;10.3944560338498&lt;/D&gt;&lt;D xsi:type="xsd:double"&gt;10.1299345848571&lt;/D&gt;&lt;D xsi:type="xsd:double"&gt;9.91250810119478&lt;/D&gt;&lt;D xsi:type="xsd:double"&gt;9.90736373459823&lt;/D&gt;&lt;D xsi:type="xsd:double"&gt;10.12913044905&lt;/D&gt;&lt;D xsi:type="xsd:double"&gt;10.2172524368793&lt;/D&gt;&lt;D xsi:type="xsd:double"&gt;10.1508388508471&lt;/D&gt;&lt;D xsi:type="xsd:double"&gt;9.36011610373776&lt;/D&gt;&lt;D xsi:type="xsd:double"&gt;9.94897556645379&lt;/D&gt;&lt;D xsi:type="xsd:double"&gt;9.40072217973877&lt;/D&gt;&lt;D xsi:type="xsd:double"&gt;9.54830748510509&lt;/D&gt;&lt;D xsi:type="xsd:double"&gt;9.18958342567787&lt;/D&gt;&lt;D xsi:type="xsd:double"&gt;9.27738927178494&lt;/D&gt;&lt;D xsi:type="xsd:double"&gt;9.69461675191942&lt;/D&gt;&lt;D xsi:type="xsd:double"&gt;9.65290545052025&lt;/D&gt;&lt;D xsi:type="xsd:double"&gt;9.91366795844185&lt;/D&gt;&lt;D xsi:type="xsd:double"&gt;9.7648691618629&lt;/D&gt;&lt;D xsi:type="xsd:double"&gt;10.0869859944035&lt;/D&gt;&lt;D xsi:type="xsd:double"&gt;9.938271560841&lt;/D&gt;&lt;D xsi:type="xsd:double"&gt;9.09025264741414&lt;/D&gt;&lt;D xsi:type="xsd:double"&gt;9.00009635179063&lt;/D&gt;&lt;D xsi:type="xsd:double"&gt;8.49155327851864&lt;/D&gt;&lt;D xsi:type="xsd:double"&gt;8.69968372531003&lt;/D&gt;&lt;D xsi:type="xsd:double"&gt;8.43959864189196&lt;/D&gt;&lt;D xsi:type="xsd:double"&gt;8.09212684338455&lt;/D&gt;&lt;D xsi:type="xsd:double"&gt;8.63423929199121&lt;/D&gt;&lt;D xsi:type="xsd:double"&gt;9.00683512751427&lt;/D&gt;&lt;D xsi:type="xsd:double"&gt;9.05772967741549&lt;/D&gt;&lt;D xsi:type="xsd:double"&gt;9.44424128068098&lt;/D&gt;&lt;D xsi:type="xsd:double"&gt;8.96274187278126&lt;/D&gt;&lt;D xsi:type="xsd:double"&gt;9.18201902259176&lt;/D&gt;&lt;D xsi:type="xsd:double"&gt;9.08171256894217&lt;/D&gt;&lt;D xsi:type="xsd:double"&gt;8.79108683732972&lt;/D&gt;&lt;D xsi:type="xsd:double"&gt;9.46081025418351&lt;/D&gt;&lt;D xsi:type="xsd:double"&gt;9.88690116790176&lt;/D&gt;&lt;D xsi:type="xsd:double"&gt;9.62219056093355&lt;/D&gt;&lt;D xsi:type="xsd:double"&gt;9.06517973819913&lt;/D&gt;&lt;D xsi:type="xsd:double"&gt;9.63266706412195&lt;/D&gt;&lt;D xsi:type="xsd:double"&gt;9.77613615407365&lt;/D&gt;&lt;D xsi:type="xsd:double"&gt;9.60259704859723&lt;/D&gt;&lt;D xsi:type="xsd:double"&gt;9.58001310715719&lt;/D&gt;&lt;D xsi:type="xsd:double"&gt;10.6071607470119&lt;/D&gt;&lt;/FQL&gt;&lt;FQL&gt;&lt;Q&gt;PASP-FDS^FG_PRICE_CHANGE(0,-1AM)&lt;/Q&gt;&lt;R&gt;1&lt;/R&gt;&lt;C&gt;1&lt;/C&gt;&lt;D xsi:type="xsd:double"&gt;-0.826446280991733&lt;/D&gt;&lt;/FQL&gt;&lt;FQL&gt;&lt;Q&gt;TIOS-FDS^FG_PRICE_MAVG(0,,,,30)&lt;/Q&gt;&lt;R&gt;1&lt;/R&gt;&lt;C&gt;1&lt;/C&gt;&lt;D xsi:type="xsd:double"&gt;129.153&lt;/D&gt;&lt;/FQL&gt;&lt;FQL&gt;&lt;Q&gt;MCHI^FG_PRICE_MAVG(0,,,,30)&lt;/Q&gt;&lt;R&gt;1&lt;/R&gt;&lt;C&gt;1&lt;/C&gt;&lt;D xsi:type="xsd:double"&gt;38.142666&lt;/D&gt;&lt;/FQL&gt;&lt;FQL&gt;&lt;Q&gt;CNYA^FG_PRICE_MAVG(0,,,,30)&lt;/Q&gt;&lt;R&gt;1&lt;/R&gt;&lt;C&gt;1&lt;/C&gt;&lt;D xsi:type="xsd:double"&gt;24.867256&lt;/D&gt;&lt;/FQL&gt;&lt;FQL&gt;&lt;Q&gt;SET-BKK^P_PRICE(0)/P_PRICE_HIGH_PR(0,,,USD,,,"PRICE","INTRA","52W")&lt;/Q&gt;&lt;R&gt;1&lt;/R&gt;&lt;C&gt;1&lt;/C&gt;&lt;D xsi:type="xsd:double"&gt;28.792727&lt;/D&gt;&lt;/FQL&gt;&lt;FQL&gt;&lt;Q&gt;EIDO^P_PRICE(0)/P_PRICE_HIGH_PR(0,,,USD,,,"PRICE","INTRA","52W")&lt;/Q&gt;&lt;R&gt;1&lt;/R&gt;&lt;C&gt;1&lt;/C&gt;&lt;D xsi:type="xsd:double"&gt;0.89507663&lt;/D&gt;&lt;/FQL&gt;&lt;FQL&gt;&lt;Q&gt;EWZ^PERCENT_CHANGE(FMA_EPS(+1,0,,,,"PORTAGG","MEAN"),FMA_EPS(+1,-3AM,,,,"PORTAGG","MEAN"))&lt;/Q&gt;&lt;R&gt;1&lt;/R&gt;&lt;C&gt;1&lt;/C&gt;&lt;D xsi:type="xsd:double"&gt;-13.4935516427945&lt;/D&gt;&lt;/FQL&gt;&lt;FQL&gt;&lt;Q&gt;EWZ^FMA_ROE(NTMA,-20AY,NOW,FY,"PORTAGG","MEANR")&lt;/Q&gt;&lt;R&gt;20&lt;/R&gt;&lt;C&gt;1&lt;/C&gt;&lt;D xsi:type="xsd:double"&gt;10.902459324937&lt;/D&gt;&lt;D xsi:type="xsd:double"&gt;15.1330068419745&lt;/D&gt;&lt;D xsi:type="xsd:double"&gt;12.2637569805604&lt;/D&gt;&lt;D xsi:type="xsd:double"&gt;16.9213337132468&lt;/D&gt;&lt;D xsi:type="xsd:double"&gt;15.0739650750282&lt;/D&gt;&lt;D xsi:type="xsd:double"&gt;15.0554926171621&lt;/D&gt;&lt;D xsi:type="xsd:double"&gt;15.5613461627174&lt;/D&gt;&lt;D xsi:type="xsd:double"&gt;13.5280238194533&lt;/D&gt;&lt;D xsi:type="xsd:double"&gt;11.6623907171401&lt;/D&gt;&lt;D xsi:type="xsd:double"&gt;12.921670812909&lt;/D&gt;&lt;D xsi:type="xsd:double"&gt;10.9002435918115&lt;/D&gt;&lt;D xsi:type="xsd:double"&gt;10.6345360348741&lt;/D&gt;&lt;D xsi:type="xsd:double"&gt;11.2231596394428&lt;/D&gt;&lt;D xsi:type="xsd:double"&gt;13.1487202255739&lt;/D&gt;&lt;D xsi:type="xsd:double"&gt;15.1975351275066&lt;/D&gt;&lt;D xsi:type="xsd:double"&gt;14.522736175078&lt;/D&gt;&lt;D xsi:type="xsd:double"&gt;16.6003945827785&lt;/D&gt;&lt;D xsi:type="xsd:double"&gt;20.3536752391605&lt;/D&gt;&lt;D xsi:type="xsd:double"&gt;19.4075515646327&lt;/D&gt;&lt;D xsi:type="xsd:double"&gt;18.6294532976694&lt;/D&gt;&lt;/FQL&gt;&lt;FQL&gt;&lt;Q&gt;TRYKR10Y-FDS^FG_YIELD(-10AY,0,Y,,"YTM")&lt;/Q&gt;&lt;R&gt;10&lt;/R&gt;&lt;C&gt;1&lt;/C&gt;&lt;D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xsi:type="xsd:double"&gt;3.1928&lt;/D&gt;&lt;/FQL&gt;&lt;FQL&gt;&lt;Q&gt;CAGDPY@GR^EE_ACTUAL_ANNUAL(MED,+1)&lt;/Q&gt;&lt;R&gt;1&lt;/R&gt;&lt;C&gt;1&lt;/C&gt;&lt;D xsi:type="xsd:double"&gt;-6.5&lt;/D&gt;&lt;/FQL&gt;&lt;FQL&gt;&lt;Q&gt;USDSAR^STD(FG_PRICE_CHANGE(0,-1AY,AM))&lt;/Q&gt;&lt;R&gt;1&lt;/R&gt;&lt;C&gt;1&lt;/C&gt;&lt;D xsi:type="xsd:double"&gt;0.0237412688200621&lt;/D&gt;&lt;/FQL&gt;&lt;FQL&gt;&lt;Q&gt;USDTWD^STD(FG_PRICE_CHANGE(0,-1AY,AM))&lt;/Q&gt;&lt;R&gt;1&lt;/R&gt;&lt;C&gt;1&lt;/C&gt;&lt;D xsi:type="xsd:double"&gt;1.5029934655083&lt;/D&gt;&lt;/FQL&gt;&lt;FQL&gt;&lt;Q&gt;USDIDR^FG_PRICE_CHANGE(0,-3AM)&lt;/Q&gt;&lt;R&gt;1&lt;/R&gt;&lt;C&gt;1&lt;/C&gt;&lt;D xsi:type="xsd:double"&gt;1.8440604&lt;/D&gt;&lt;/FQL&gt;&lt;FQL&gt;&lt;Q&gt;VNM^FMA_EPS(NTMA,-20AY,0,CY,,"PORTAGG","MEANR")&lt;/Q&gt;&lt;R&gt;20&lt;/R&gt;&lt;C&gt;1&lt;/C&gt;&lt;D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xsi:type="xsd:double"&gt;1.76556929798562&lt;/D&gt;&lt;D xsi:type="xsd:double"&gt;1.77344510490664&lt;/D&gt;&lt;D xsi:type="xsd:double"&gt;1.79926295005356&lt;/D&gt;&lt;D xsi:type="xsd:double"&gt;2.1935186011017&lt;/D&gt;&lt;D xsi:type="xsd:double"&gt;2.03454772468732&lt;/D&gt;&lt;D xsi:type="xsd:double"&gt;1.57039558296485&lt;/D&gt;&lt;D xsi:type="xsd:double"&gt;1.29980601244052&lt;/D&gt;&lt;D xsi:type="xsd:double"&gt;1.03619480330304&lt;/D&gt;&lt;D xsi:type="xsd:double"&gt;0.937220389578586&lt;/D&gt;&lt;D xsi:type="xsd:double"&gt;1.03904047410582&lt;/D&gt;&lt;D xsi:type="xsd:double"&gt;1.11601822649293&lt;/D&gt;&lt;D xsi:type="xsd:double"&gt;1.03737377793235&lt;/D&gt;&lt;D xsi:type="xsd:double"&gt;1.28884335629541&lt;/D&gt;&lt;D xsi:type="xsd:double"&gt;1.11127492950619&lt;/D&gt;&lt;D xsi:type="xsd:double"&gt;0.886057282514537&lt;/D&gt;&lt;/FQL&gt;&lt;FQL&gt;&lt;Q&gt;EIDO^FG_TOTAL_RETURNC(-10AY,0,AM)&lt;/Q&gt;&lt;R&gt;121&lt;/R&gt;&lt;C&gt;1&lt;/C&gt;&lt;D xsi:type="xsd:double"&gt;10.72191&lt;/D&gt;&lt;D xsi:type="xsd:double"&gt;9.182096&lt;/D&gt;&lt;D xsi:type="xsd:double"&gt;-2.1201372&lt;/D&gt;&lt;D xsi:type="xsd:double"&gt;-1.6967535&lt;/D&gt;&lt;D xsi:type="xsd:double"&gt;-0.60584545&lt;/D&gt;&lt;D xsi:type="xsd:double"&gt;7.5831056&lt;/D&gt;&lt;D xsi:type="xsd:double"&gt;0.2777815&lt;/D&gt;&lt;D xsi:type="xsd:double"&gt;-9.76454&lt;/D&gt;&lt;D xsi:type="xsd:double"&gt;4.8349977&lt;/D&gt;&lt;D xsi:type="xsd:double"&gt;1.6105413&lt;/D&gt;&lt;D xsi:type="xsd:double"&gt;-3.2469153&lt;/D&gt;&lt;D xsi:type="xsd:double"&gt;2.8005958&lt;/D&gt;&lt;D xsi:type="xsd:double"&gt;-0.8354604&lt;/D&gt;&lt;D xsi:type="xsd:double"&gt;1.2454271&lt;/D&gt;&lt;D xsi:type="xsd:double"&gt;-7.670039&lt;/D&gt;&lt;D xsi:type="xsd:double"&gt;-3.9576828&lt;/D&gt;&lt;D xsi:type="xsd:double"&gt;-1.9070983&lt;/D&gt;&lt;D xsi:type="xsd:double"&gt;-5.689001&lt;/D&gt;&lt;D xsi:type="xsd:double"&gt;-15.147453&lt;/D&gt;&lt;D xsi:type="xsd:double"&gt;-5.687201&lt;/D&gt;&lt;D xsi:type="xsd:double"&gt;18.816303&lt;/D&gt;&lt;D xsi:type="xsd:double"&gt;-0.939852&lt;/D&gt;&lt;D xsi:type="xsd:double"&gt;-2.32898&lt;/D&gt;&lt;D xsi:type="xsd:double"&gt;5.8394194&lt;/D&gt;&lt;D xsi:type="xsd:double"&gt;9.517241&lt;/D&gt;&lt;D xsi:type="xsd:double"&gt;-0.71368814&lt;/D&gt;&lt;D xsi:type="xsd:double"&gt;-5.4545403&lt;/D&gt;&lt;D xsi:type="xsd:double"&gt;3.0411482&lt;/D&gt;&lt;D xsi:type="xsd:double"&gt;7.266295&lt;/D&gt;&lt;D xsi:type="xsd:double"&gt;7.852757&lt;/D&gt;&lt;D xsi:type="xsd:double"&gt;-2.0098627&lt;/D&gt;&lt;D xsi:type="xsd:double"&gt;2.1284819&lt;/D&gt;&lt;D xsi:type="xsd:double"&gt;-3.5619497&lt;/D&gt;&lt;D xsi:type="xsd:double"&gt;-6.0903788&lt;/D&gt;&lt;D xsi:type="xsd:double"&gt;2.5819063&lt;/D&gt;&lt;D xsi:type="xsd:double"&gt;1.7558217&lt;/D&gt;&lt;D xsi:type="xsd:double"&gt;-1.0433376&lt;/D&gt;&lt;D xsi:type="xsd:double"&gt;7.2992682&lt;/D&gt;&lt;D xsi:type="xsd:double"&gt;-0.22675395&lt;/D&gt;&lt;D xsi:type="xsd:double"&gt;2.8030276&lt;/D&gt;&lt;D xsi:type="xsd:double"&gt;2.1936655&lt;/D&gt;&lt;D xsi:type="xsd:double"&gt;-2.8467119&lt;/D&gt;&lt;D xsi:type="xsd:double"&gt;1.7280221&lt;/D&gt;&lt;D xsi:type="xsd:double"&gt;-1.0708988&lt;/D&gt;&lt;D xsi:type="xsd:double"&gt;0.82119703&lt;/D&gt;&lt;D xsi:type="xsd:double"&gt;-1.5179574&lt;/D&gt;&lt;D xsi:type="xsd:double"&gt;7.786894&lt;/D&gt;&lt;D xsi:type="xsd:double"&gt;1.8854737&lt;/D&gt;&lt;D xsi:type="xsd:double"&gt;-1.644963&lt;/D&gt;&lt;D xsi:type="xsd:double"&gt;-4.7038317&lt;/D&gt;&lt;D xsi:type="xsd:double"&gt;-10.1645355&lt;/D&gt;&lt;D xsi:type="xsd:double"&gt;5.9422135&lt;/D&gt;&lt;D xsi:type="xsd:double"&gt;-14.054709&lt;/D&gt;&lt;D xsi:type="xsd:double"&gt;10.018217&lt;/D&gt;&lt;D xsi:type="xsd:double"&gt;-7.4503303&lt;/D&gt;&lt;D xsi:type="xsd:double"&gt;-5.3220034&lt;/D&gt;&lt;D xsi:type="xsd:double"&gt;8.030235&lt;/D&gt;&lt;D xsi:type="xsd:double"&gt;8.307827&lt;/D&gt;&lt;D xsi:type="xsd:double"&gt;5.0050497&lt;/D&gt;&lt;D xsi:type="xsd:double"&gt;5.4314375&lt;/D&gt;&lt;D xsi:type="xsd:double"&gt;-5.516988&lt;/D&gt;&lt;D xsi:type="xsd:double"&gt;1.8561482&lt;/D&gt;&lt;D xsi:type="xsd:double"&gt;-3.1511009&lt;/D&gt;&lt;D xsi:type="xsd:double"&gt;-0.98000765&lt;/D&gt;&lt;D xsi:type="xsd:double"&gt;5.173552&lt;/D&gt;&lt;D xsi:type="xsd:double"&gt;-3.0998826&lt;/D&gt;&lt;D xsi:type="xsd:double"&gt;-1.0663509&lt;/D&gt;&lt;D xsi:type="xsd:double"&gt;-3.592813&lt;/D&gt;&lt;D xsi:type="xsd:double"&gt;3.7681103&lt;/D&gt;&lt;D xsi:type="xsd:double"&gt;-1.5961707&lt;/D&gt;&lt;D xsi:type="xsd:double"&gt;3.9190412&lt;/D&gt;&lt;D xsi:type="xsd:double"&gt;-4.3002367&lt;/D&gt;&lt;D xsi:type="xsd:double"&gt;-7.4346423&lt;/D&gt;&lt;D xsi:type="xsd:double"&gt;-38.349514&lt;/D&gt;&lt;D xsi:type="xsd:double"&gt;14.60272&lt;/D&gt;&lt;D xsi:type="xsd:double"&gt;18.800747&lt;/D&gt;&lt;D xsi:type="xsd:double"&gt;-1.7670751&lt;/D&gt;&lt;D xsi:type="xsd:double"&gt;0.9729743&lt;/D&gt;&lt;D xsi:type="xsd:double"&gt;3.7473202&lt;/D&gt;&lt;D xsi:type="xsd:double"&gt;-10.165113&lt;/D&gt;&lt;D xsi:type="xsd:double"&gt;11.372768&lt;/D&gt;&lt;D xsi:type="xsd:double"&gt;17.276955&lt;/D&gt;&lt;D xsi:type="xsd:double"&gt;5.572319&lt;/D&gt;&lt;D xsi:type="xsd:double"&gt;-0.9651661&lt;/D&gt;&lt;D xsi:type="xsd:double"&gt;-3.4322023&lt;/D&gt;&lt;D xsi:type="xsd:double"&gt;-3.773588&lt;/D&gt;&lt;D xsi:type="xsd:double"&gt;-2.3255825&lt;/D&gt;&lt;D xsi:type="xsd:double"&gt;5.088699&lt;/D&gt;&lt;D xsi:type="xsd:double"&gt;-7.2782574&lt;/D&gt;&lt;D xsi:type="xsd:double"&gt;-1.3982594&lt;/D&gt;&lt;D xsi:type="xsd:double"&gt;5.427861&lt;/D&gt;&lt;D xsi:type="xsd:double"&gt;3.6641955&lt;/D&gt;&lt;D xsi:type="xsd:double"&gt;4.4742703&lt;/D&gt;&lt;D xsi:type="xsd:double"&gt;-1.1563182&lt;/D&gt;&lt;D xsi:type="xsd:double"&gt;1.4047623&lt;/D&gt;&lt;D xsi:type="xsd:double"&gt;-0.3012061&lt;/D&gt;&lt;D xsi:type="xsd:double"&gt;3.8843274&lt;/D&gt;&lt;D xsi:type="xsd:double"&gt;4.0299177&lt;/D&gt;&lt;D xsi:type="xsd:double"&gt;2.1166086&lt;/D&gt;&lt;D xsi:type="xsd:double"&gt;-3.1677723&lt;/D&gt;&lt;D xsi:type="xsd:double"&gt;-9.525156&lt;/D&gt;&lt;D xsi:type="xsd:double"&gt;6.247163&lt;/D&gt;&lt;D xsi:type="xsd:double"&gt;2.428639&lt;/D&gt;&lt;D xsi:type="xsd:double"&gt;0.04159212&lt;/D&gt;&lt;D xsi:type="xsd:double"&gt;-1.4552951&lt;/D&gt;&lt;D xsi:type="xsd:double"&gt;1.1814237&lt;/D&gt;&lt;D xsi:type="xsd:double"&gt;-5.9405985&lt;/D&gt;&lt;D xsi:type="xsd:double"&gt;4.9261093&lt;/D&gt;&lt;D xsi:type="xsd:double"&gt;-3.499788&lt;/D&gt;&lt;D xsi:type="xsd:double"&gt;4.4670463&lt;/D&gt;&lt;D xsi:type="xsd:double"&gt;2.2861957999999998&lt;/D&gt;&lt;D xsi:type="xsd:double"&gt;-1.5728414&lt;/D&gt;&lt;D xsi:type="xsd:double"&gt;-0.75962543&lt;/D&gt;&lt;D xsi:type="xsd:double"&gt;-0.2162695&lt;/D&gt;&lt;D xsi:type="xsd:double"&gt;0.6501913&lt;/D&gt;&lt;D xsi:type="xsd:double"&gt;-5.25409&lt;/D&gt;&lt;D xsi:type="xsd:double"&gt;-3.0454576&lt;/D&gt;&lt;D xsi:type="xsd:double"&gt;2.4847627&lt;/D&gt;&lt;D xsi:type="xsd:double"&gt;3.252542&lt;/D&gt;&lt;D xsi:type="xsd:double"&gt;-1.4738739&lt;/D&gt;&lt;D xsi:type="xsd:double"&gt;0.54397583&lt;/D&gt;&lt;/FQL&gt;&lt;FQL&gt;&lt;Q&gt;EWY^FMA_PE(NTMA,-10AY,0,AM,"PORTAGG","MEANR")&lt;/Q&gt;&lt;R&gt;121&lt;/R&gt;&lt;C&gt;1&lt;/C&gt;&lt;D xsi:type="xsd:double"&gt;9.19199692707972&lt;/D&gt;&lt;D xsi:type="xsd:double"&gt;9.31044283542982&lt;/D&gt;&lt;D xsi:type="xsd:double"&gt;9.24559688032957&lt;/D&gt;&lt;D xsi:type="xsd:double"&gt;9.62024143432309&lt;/D&gt;&lt;D xsi:type="xsd:double"&gt;9.74615625400839&lt;/D&gt;&lt;D xsi:type="xsd:double"&gt;10.4592160793821&lt;/D&gt;&lt;D xsi:type="xsd:double"&gt;10.2143177108443&lt;/D&gt;&lt;D xsi:type="xsd:double"&gt;9.76703399044993&lt;/D&gt;&lt;D xsi:type="xsd:double"&gt;9.63870443750606&lt;/D&gt;&lt;D xsi:type="xsd:double"&gt;9.96479192753498&lt;/D&gt;&lt;D xsi:type="xsd:double"&gt;9.45805190500041&lt;/D&gt;&lt;D xsi:type="xsd:double"&gt;9.87766898309699&lt;/D&gt;&lt;D xsi:type="xsd:double"&gt;9.96496246307969&lt;/D&gt;&lt;D xsi:type="xsd:double"&gt;9.8780607495454&lt;/D&gt;&lt;D xsi:type="xsd:double"&gt;10.1770436463022&lt;/D&gt;&lt;D xsi:type="xsd:double"&gt;9.61415936683602&lt;/D&gt;&lt;D xsi:type="xsd:double"&gt;9.68596645485529&lt;/D&gt;&lt;D xsi:type="xsd:double"&gt;9.77755174125748&lt;/D&gt;&lt;D xsi:type="xsd:double"&gt;9.18206102175807&lt;/D&gt;&lt;D xsi:type="xsd:double"&gt;9.68399744151388&lt;/D&gt;&lt;D xsi:type="xsd:double"&gt;10.5007241257056&lt;/D&gt;&lt;D xsi:type="xsd:double"&gt;10.0128753623013&lt;/D&gt;&lt;D xsi:type="xsd:double"&gt;9.87219334134496&lt;/D&gt;&lt;D xsi:type="xsd:double"&gt;10.2477039685478&lt;/D&gt;&lt;D xsi:type="xsd:double"&gt;10.4824048926796&lt;/D&gt;&lt;D xsi:type="xsd:double"&gt;10.5392257983983&lt;/D&gt;&lt;D xsi:type="xsd:double"&gt;10.072426837662&lt;/D&gt;&lt;D xsi:type="xsd:double"&gt;10.0483136967126&lt;/D&gt;&lt;D xsi:type="xsd:double"&gt;10.0068242268966&lt;/D&gt;&lt;D xsi:type="xsd:double"&gt;9.85094097939593&lt;/D&gt;&lt;D xsi:type="xsd:double"&gt;10.1465319642702&lt;/D&gt;&lt;D xsi:type="xsd:double"&gt;10.0642224545883&lt;/D&gt;&lt;D xsi:type="xsd:double"&gt;9.75575990460494&lt;/D&gt;&lt;D xsi:type="xsd:double"&gt;9.66327111066665&lt;/D&gt;&lt;D xsi:type="xsd:double"&gt;9.75403602466348&lt;/D&gt;&lt;D xsi:type="xsd:double"&gt;9.50007389383318&lt;/D&gt;&lt;D xsi:type="xsd:double"&gt;9.44939296673337&lt;/D&gt;&lt;D xsi:type="xsd:double"&gt;9.40902871864045&lt;/D&gt;&lt;D xsi:type="xsd:double"&gt;9.19477017251078&lt;/D&gt;&lt;D xsi:type="xsd:double"&gt;9.68478395061013&lt;/D&gt;&lt;D xsi:type="xsd:double"&gt;9.5625924291584&lt;/D&gt;&lt;D xsi:type="xsd:double"&gt;9.32980746769062&lt;/D&gt;&lt;D xsi:type="xsd:double"&gt;9.08816876163614&lt;/D&gt;&lt;D xsi:type="xsd:double"&gt;9.1859886755767&lt;/D&gt;&lt;D xsi:type="xsd:double"&gt;9.50994948307501&lt;/D&gt;&lt;D xsi:type="xsd:double"&gt;9.26829069575092&lt;/D&gt;&lt;D xsi:type="xsd:double"&gt;9.02446725464119&lt;/D&gt;&lt;D xsi:type="xsd:double"&gt;9.27139497942229&lt;/D&gt;&lt;D xsi:type="xsd:double"&gt;8.7637493782098&lt;/D&gt;&lt;D xsi:type="xsd:double"&gt;8.77326232935821&lt;/D&gt;&lt;D xsi:type="xsd:double"&gt;8.84714095022383&lt;/D&gt;&lt;D xsi:type="xsd:double"&gt;8.8553008783259&lt;/D&gt;&lt;D xsi:type="xsd:double"&gt;8.20950731101674&lt;/D&gt;&lt;D xsi:type="xsd:double"&gt;8.28168409433575&lt;/D&gt;&lt;D xsi:type="xsd:double"&gt;8.35124572459016&lt;/D&gt;&lt;D xsi:type="xsd:double"&gt;8.21247204029185&lt;/D&gt;&lt;D xsi:type="xsd:double"&gt;7.96518471123885&lt;/D&gt;&lt;D xsi:type="xsd:double"&gt;8.08116290613458&lt;/D&gt;&lt;D xsi:type="xsd:double"&gt;8.17411272329895&lt;/D&gt;&lt;D xsi:type="xsd:double"&gt;10.2023894722724&lt;/D&gt;&lt;D xsi:type="xsd:double"&gt;10.3283839577046&lt;/D&gt;&lt;D xsi:type="xsd:double"&gt;11.1220583787581&lt;/D&gt;&lt;D xsi:type="xsd:double"&gt;11.3036029716138&lt;/D&gt;&lt;D xsi:type="xsd:double"&gt;10.7930401864785&lt;/D&gt;&lt;D xsi:type="xsd:double"&gt;11.150600937042&lt;/D&gt;&lt;D xsi:type="xsd:double"&gt;10.8204579266329&lt;/D&gt;&lt;D xsi:type="xsd:double"&gt;10.7359075641082&lt;/D&gt;&lt;D xsi:type="xsd:double"&gt;10.7503059491429&lt;/D&gt;&lt;D xsi:type="xsd:double"&gt;11.4507356341532&lt;/D&gt;&lt;D xsi:type="xsd:double"&gt;10.8915106484911&lt;/D&gt;&lt;D xsi:type="xsd:double"&gt;11.2416794592374&lt;/D&gt;&lt;D xsi:type="xsd:double"&gt;11.0676811855908&lt;/D&gt;&lt;D xsi:type="xsd:double"&gt;10.5144271727814&lt;/D&gt;&lt;D xsi:type="xsd:double"&gt;9.4300486593665&lt;/D&gt;&lt;D xsi:type="xsd:double"&gt;11.174853889156&lt;/D&gt;&lt;D xsi:type="xsd:double"&gt;12.926403480498&lt;/D&gt;&lt;D xsi:type="xsd:double"&gt;12.5976657170972&lt;/D&gt;&lt;D xsi:type="xsd:double"&gt;12.8427660118847&lt;/D&gt;&lt;D xsi:type="xsd:double"&gt;12.8431050953384&lt;/D&gt;&lt;D xsi:type="xsd:double"&gt;12.3039844073771&lt;/D&gt;&lt;D xsi:</t>
        </r>
      </text>
    </comment>
    <comment ref="A5" authorId="0" shapeId="0" xr:uid="{2B8D5E90-B1AE-4646-B582-5630BE3925E8}">
      <text>
        <r>
          <rPr>
            <b/>
            <sz val="9"/>
            <color indexed="81"/>
            <rFont val="Tahoma"/>
            <family val="2"/>
          </rPr>
          <t>type="xsd:double"&gt;11.8185845913811&lt;/D&gt;&lt;D xsi:type="xsd:double"&gt;13.3941845277117&lt;/D&gt;&lt;D xsi:type="xsd:double"&gt;13.7488342514955&lt;/D&gt;&lt;D xsi:type="xsd:double"&gt;14.0004241234311&lt;/D&gt;&lt;D xsi:type="xsd:double"&gt;13.4319120504984&lt;/D&gt;&lt;D xsi:type="xsd:double"&gt;13.1068452453176&lt;/D&gt;&lt;D xsi:type="xsd:double"&gt;11.2778745108409&lt;/D&gt;&lt;D xsi:type="xsd:double"&gt;11.2881606944841&lt;/D&gt;&lt;D xsi:type="xsd:double"&gt;11.2264777335668&lt;/D&gt;&lt;D xsi:type="xsd:double"&gt;10.7910369206626&lt;/D&gt;&lt;D xsi:type="xsd:double"&gt;10.494305279132&lt;/D&gt;&lt;D xsi:type="xsd:double"&gt;9.89789320288421&lt;/D&gt;&lt;D xsi:type="xsd:double"&gt;10.02677352476&lt;/D&gt;&lt;D xsi:type="xsd:double"&gt;10.1577097729269&lt;/D&gt;&lt;D xsi:type="xsd:double"&gt;10.1583788431679&lt;/D&gt;&lt;D xsi:type="xsd:double"&gt;9.30049009026947&lt;/D&gt;&lt;D xsi:type="xsd:double"&gt;9.3794621225715&lt;/D&gt;&lt;D xsi:type="xsd:double"&gt;9.4126394332386&lt;/D&gt;&lt;D xsi:type="xsd:double"&gt;8.86983919892112&lt;/D&gt;&lt;D xsi:type="xsd:double"&gt;8.93689781522575&lt;/D&gt;&lt;D xsi:type="xsd:double"&gt;8.01666559151165&lt;/D&gt;&lt;D xsi:type="xsd:double"&gt;8.73252711236792&lt;/D&gt;&lt;D xsi:type="xsd:double"&gt;8.52273964501177&lt;/D&gt;&lt;D xsi:type="xsd:double"&gt;8.45047524497305&lt;/D&gt;&lt;D xsi:type="xsd:double"&gt;9.9111680490054&lt;/D&gt;&lt;D xsi:type="xsd:double"&gt;10.8088873146319&lt;/D&gt;&lt;D xsi:type="xsd:double"&gt;10.5223941381436&lt;/D&gt;&lt;D xsi:type="xsd:double"&gt;12.7138806511631&lt;/D&gt;&lt;D xsi:type="xsd:double"&gt;12.9056791135535&lt;/D&gt;&lt;D xsi:type="xsd:double"&gt;13.5826424423713&lt;/D&gt;&lt;D xsi:type="xsd:double"&gt;13.2478928495977&lt;/D&gt;&lt;D xsi:type="xsd:double"&gt;12.9582206292317&lt;/D&gt;&lt;D xsi:type="xsd:double"&gt;12.2277442930274&lt;/D&gt;&lt;D xsi:type="xsd:double"&gt;11.7375933917032&lt;/D&gt;&lt;D xsi:type="xsd:double"&gt;11.4314274283255&lt;/D&gt;&lt;D xsi:type="xsd:double"&gt;10.2554985888932&lt;/D&gt;&lt;D xsi:type="xsd:double"&gt;9.90543817686694&lt;/D&gt;&lt;D xsi:type="xsd:double"&gt;10.1862224463431&lt;/D&gt;&lt;D xsi:type="xsd:double"&gt;10.0463815287497&lt;/D&gt;&lt;D xsi:type="xsd:double"&gt;10.4200601458275&lt;/D&gt;&lt;D xsi:type="xsd:double"&gt;16.3204106203511&lt;/D&gt;&lt;/FQL&gt;&lt;FQL&gt;&lt;Q&gt;GREK^FMA_PE(LTMA,-10AY,0,AM,"PORTAGG","MEANR")&lt;/Q&gt;&lt;R&gt;121&lt;/R&gt;&lt;C&gt;1&lt;/C&gt;&lt;D xsi:type="xsd:double"&gt;33.8788384686252&lt;/D&gt;&lt;D xsi:type="xsd:double"&gt;32.4279491583264&lt;/D&gt;&lt;D xsi:type="xsd:double"&gt;32.0577331735894&lt;/D&gt;&lt;D xsi:type="xsd:double"&gt;27.4441596828709&lt;/D&gt;&lt;D xsi:type="xsd:double"&gt;25.2414542698202&lt;/D&gt;&lt;D xsi:type="xsd:double"&gt;22.4061326692448&lt;/D&gt;&lt;D xsi:type="xsd:double"&gt;20.891482666324&lt;/D&gt;&lt;D xsi:type="xsd:double"&gt;18.4133767864681&lt;/D&gt;&lt;D xsi:type="xsd:double"&gt;16.2801994228947&lt;/D&gt;&lt;D xsi:type="xsd:double"&gt;18.952700436919&lt;/D&gt;&lt;D xsi:type="xsd:double"&gt;13.9189050393929&lt;/D&gt;&lt;D xsi:type="xsd:double"&gt;13.9853999454793&lt;/D&gt;&lt;D xsi:type="xsd:double"&gt;17.9754032482461&lt;/D&gt;&lt;D xsi:type="xsd:double"&gt;16.8902221550531&lt;/D&gt;&lt;D xsi:type="xsd:double"&gt;15.5792979170869&lt;/D&gt;&lt;D xsi:type="xsd:double"&gt;14.7343518025343&lt;/D&gt;&lt;D xsi:type="xsd:double"&gt;13.428657844416&lt;/D&gt;&lt;D xsi:type="xsd:double"&gt;12.3429770311122&lt;/D&gt;&lt;D xsi:type="xsd:double"&gt;10.8028587965002&lt;/D&gt;&lt;D xsi:type="xsd:double"&gt;11.9901929879849&lt;/D&gt;&lt;D xsi:type="xsd:double"&gt;10.9128565922788&lt;/D&gt;&lt;D xsi:type="xsd:double"&gt;-0.0698583273513005&lt;/D&gt;&lt;D xsi:type="xsd:double"&gt;-2.76343162317995&lt;/D&gt;&lt;D xsi:type="xsd:double"&gt;-0.775394008706879&lt;/D&gt;&lt;D xsi:type="xsd:double"&gt;0.0601332557881726&lt;/D&gt;&lt;D xsi:type="xsd:double"&gt;1.04944189996068&lt;/D&gt;&lt;D xsi:type="xsd:double"&gt;2.53908060667331&lt;/D&gt;&lt;D xsi:type="xsd:double"&gt;4.26381693050263&lt;/D&gt;&lt;D xsi:type="xsd:double"&gt;4.06629758813671&lt;/D&gt;&lt;D xsi:type="xsd:double"&gt;5.95704311372439&lt;/D&gt;&lt;D xsi:type="xsd:double"&gt;7.7679864683863&lt;/D&gt;&lt;D xsi:type="xsd:double"&gt;9.76079222014999&lt;/D&gt;&lt;D xsi:type="xsd:double"&gt;10.6886560463429&lt;/D&gt;&lt;D xsi:type="xsd:double"&gt;13.9572046245884&lt;/D&gt;&lt;D xsi:type="xsd:double"&gt;15.1109320880538&lt;/D&gt;&lt;D xsi:type="xsd:double"&gt;13.7263251987448&lt;/D&gt;&lt;D xsi:type="xsd:double"&gt;14.3717980636072&lt;/D&gt;&lt;D xsi:type="xsd:double"&gt;14.0152838432081&lt;/D&gt;&lt;D xsi:type="xsd:double"&gt;14.7337521952145&lt;/D&gt;&lt;D xsi:type="xsd:double"&gt;15.3632525194694&lt;/D&gt;&lt;D xsi:type="xsd:double"&gt;15.3152836946116&lt;/D&gt;&lt;D xsi:type="xsd:double"&gt;15.3602995627077&lt;/D&gt;&lt;D xsi:type="xsd:double"&gt;14.902144164901&lt;/D&gt;&lt;D xsi:type="xsd:double"&gt;14.2571624727698&lt;/D&gt;&lt;D xsi:type="xsd:double"&gt;16.9474558051514&lt;/D&gt;&lt;D xsi:type="xsd:double"&gt;17.9144864256213&lt;/D&gt;&lt;D xsi:type="xsd:double"&gt;20.9135379655965&lt;/D&gt;&lt;D xsi:type="xsd:double"&gt;23.5884741281848&lt;/D&gt;&lt;D xsi:type="xsd:double"&gt;23.8365200506433&lt;/D&gt;&lt;D xsi:type="xsd:double"&gt;22.7996502452437&lt;/D&gt;&lt;D xsi:type="xsd:double"&gt;22.4945114272307&lt;/D&gt;&lt;D xsi:type="xsd:double"&gt;21.9713677890186&lt;/D&gt;&lt;D xsi:type="xsd:double"&gt;21.4772034223745&lt;/D&gt;&lt;D xsi:type="xsd:double"&gt;21.0949342878149&lt;/D&gt;&lt;D xsi:type="xsd:double"&gt;20.5911588647531&lt;/D&gt;&lt;D xsi:type="xsd:double"&gt;20.616930215744&lt;/D&gt;&lt;D xsi:type="xsd:double"&gt;18.437003955483&lt;/D&gt;&lt;D xsi:type="xsd:double"&gt;18.4211173059772&lt;/D&gt;&lt;D xsi:type="xsd:double"&gt;14.7338972698772&lt;/D&gt;&lt;D xsi:type="xsd:double"&gt;17.8433880661824&lt;/D&gt;&lt;D xsi:type="xsd:double"&gt;18.7472652641119&lt;/D&gt;&lt;D xsi:type="xsd:double"&gt;18.5822178847334&lt;/D&gt;&lt;D xsi:type="xsd:double"&gt;18.3445218115484&lt;/D&gt;&lt;D xsi:type="xsd:double"&gt;18.2149874856198&lt;/D&gt;&lt;D xsi:type="xsd:double"&gt;18.8087642040518&lt;/D&gt;&lt;D xsi:type="xsd:double"&gt;18.1894070505133&lt;/D&gt;&lt;D xsi:type="xsd:double"&gt;19.0211266466771&lt;/D&gt;&lt;D xsi:type="xsd:double"&gt;17.3078108158832&lt;/D&gt;&lt;D xsi:type="xsd:double"&gt;15.7625677355721&lt;/D&gt;&lt;D xsi:type="xsd:double"&gt;16.9591330844661&lt;/D&gt;&lt;D xsi:type="xsd:double"&gt;17.9788536901449&lt;/D&gt;&lt;D xsi:type="xsd:double"&gt;17.5606142605837&lt;/D&gt;&lt;D xsi:type="xsd:double"&gt;12.5698277137701&lt;/D&gt;&lt;D xsi:type="xsd:double"&gt;11.6407079346065&lt;/D&gt;&lt;D xsi:type="xsd:double"&gt;12.1407532140842&lt;/D&gt;&lt;D xsi:type="xsd:double"&gt;12.9472210225083&lt;/D&gt;&lt;D xsi:type="xsd:double"&gt;15.3234378619019&lt;/D&gt;&lt;D xsi:type="xsd:double"&gt;15.3379871170398&lt;/D&gt;&lt;D xsi:type="xsd:double"&gt;16.3575170405038&lt;/D&gt;&lt;D xsi:type="xsd:double"&gt;15.1149700622277&lt;/D&gt;&lt;D xsi:type="xsd:double"&gt;13.7911601852537&lt;/D&gt;&lt;D xsi:type="xsd:double"&gt;20.6050933419701&lt;/D&gt;&lt;D xsi:type="xsd:double"&gt;19.4275863932909&lt;/D&gt;&lt;D xsi:type="xsd:double"&gt;17.0327419552252&lt;/D&gt;&lt;D xsi:type="xsd:double"&gt;17.8051511152656&lt;/D&gt;&lt;D xsi:type="xsd:double"&gt;17.4116723745442&lt;/D&gt;&lt;D xsi:type="xsd:double"&gt;17.4453184980689&lt;/D&gt;&lt;D xsi:type="xsd:double"&gt;17.1637171568467&lt;/D&gt;&lt;D xsi:type="xsd:double"&gt;16.6081002420361&lt;/D&gt;&lt;D xsi:type="xsd:double"&gt;16.0715647607769&lt;/D&gt;&lt;D xsi:type="xsd:double"&gt;15.4086473073067&lt;/D&gt;&lt;D xsi:type="xsd:double"&gt;13.4780943274935&lt;/D&gt;&lt;D xsi:type="xsd:double"&gt;15.3994644638278&lt;/D&gt;&lt;D xsi:type="xsd:double"&gt;12.7212041464515&lt;/D&gt;&lt;D xsi:type="xsd:double"&gt;12.6027611283333&lt;/D&gt;&lt;D xsi:type="xsd:double"&gt;-119.424373605975&lt;/D&gt;&lt;D xsi:type="xsd:double"&gt;-95.3370042629994&lt;/D&gt;&lt;D xsi:type="xsd:double"&gt;-84.2472865798763&lt;/D&gt;&lt;D xsi:type="xsd:double"&gt;-73.8281595532346&lt;/D&gt;&lt;D xsi:type="xsd:double"&gt;-63.3235114403356&lt;/D&gt;&lt;D xsi:type="xsd:double"&gt;-54.5127568816506&lt;/D&gt;&lt;D xsi:type="xsd:double"&gt;-42.6004184776752&lt;/D&gt;&lt;D xsi:type="xsd:double"&gt;-33.7839722256775&lt;/D&gt;&lt;D xsi:type="xsd:double"&gt;-23.1692855453067&lt;/D&gt;&lt;D xsi:type="xsd:double"&gt;-12.9713918292914&lt;/D&gt;&lt;D xsi:type="xsd:double"&gt;-3.49022777098757&lt;/D&gt;&lt;D xsi:type="xsd:double"&gt;6.25677197683813&lt;/D&gt;&lt;D xsi:type="xsd:double"&gt;7.41603113985555&lt;/D&gt;&lt;D xsi:type="xsd:double"&gt;7.82095408069873&lt;/D&gt;&lt;D xsi:type="xsd:double"&gt;7.63977267764455&lt;/D&gt;&lt;D xsi:type="xsd:double"&gt;7.53496293207687&lt;/D&gt;&lt;D xsi:type="xsd:double"&gt;7.70156588681477&lt;/D&gt;&lt;D xsi:type="xsd:double"&gt;7.961410991095&lt;/D&gt;&lt;D xsi:type="xsd:double"&gt;7.91718861147894&lt;/D&gt;&lt;D xsi:type="xsd:double"&gt;7.47365111147153&lt;/D&gt;&lt;D xsi:type="xsd:double"&gt;6.81034478758113&lt;/D&gt;&lt;D xsi:type="xsd:double"&gt;6.83656642573822&lt;/D&gt;&lt;D xsi:type="xsd:double"&gt;6.45489136774717&lt;/D&gt;&lt;D xsi:type="xsd:double"&gt;6.37381000436011&lt;/D&gt;&lt;D xsi:type="xsd:double"&gt;6.66261790725312&lt;/D&gt;&lt;D xsi:type="xsd:double"&gt;6.67597053074071&lt;/D&gt;&lt;/FQL&gt;&lt;FQL&gt;&lt;Q&gt;PASP-FDS^FG_PRICE(0)&lt;/Q&gt;&lt;R&gt;1&lt;/R&gt;&lt;C&gt;1&lt;/C&gt;&lt;D xsi:type="xsd:double"&gt;960&lt;/D&gt;&lt;/FQL&gt;&lt;FQL&gt;&lt;Q&gt;CPALM-FDS^FG_PRICE_CHANGE(0,-1AY)&lt;/Q&gt;&lt;R&gt;1&lt;/R&gt;&lt;C&gt;1&lt;/C&gt;&lt;D xsi:type="xsd:double"&gt;-6.97081982399259&lt;/D&gt;&lt;/FQL&gt;&lt;FQL&gt;&lt;Q&gt;BRENT-FDS^FG_PRICE_MAVG(0,,,,30)&lt;/Q&gt;&lt;R&gt;1&lt;/R&gt;&lt;C&gt;1&lt;/C&gt;&lt;D xsi:type="xsd:double"&gt;85.86&lt;/D&gt;&lt;/FQL&gt;&lt;FQL&gt;&lt;Q&gt;FC0000SA^FG_PRICE(0)&lt;/Q&gt;&lt;R&gt;1&lt;/R&gt;&lt;C&gt;1&lt;/C&gt;&lt;D xsi:type="xsd:double"&gt;52.52504&lt;/D&gt;&lt;/FQL&gt;&lt;FQL&gt;&lt;Q&gt;SET-BKK^FG_PRICE(0)&lt;/Q&gt;&lt;R&gt;1&lt;/R&gt;&lt;C&gt;1&lt;/C&gt;&lt;D xsi:type="xsd:double"&gt;1362.59&lt;/D&gt;&lt;/FQL&gt;&lt;FQL&gt;&lt;Q&gt;FC0000MY^FG_PRICE(0)&lt;/Q&gt;&lt;R&gt;1&lt;/R&gt;&lt;C&gt;1&lt;/C&gt;&lt;D xsi:type="xsd:double"&gt;233.13763&lt;/D&gt;&lt;/FQL&gt;&lt;FQL&gt;&lt;Q&gt;FC0000ID^FG_PRICE(0)&lt;/Q&gt;&lt;R&gt;1&lt;/R&gt;&lt;C&gt;1&lt;/C&gt;&lt;D xsi:type="xsd:double"&gt;1085.0732&lt;/D&gt;&lt;/FQL&gt;&lt;FQL&gt;&lt;Q&gt;INDA^FG_PRICE_MAVG(0,,,,200)&lt;/Q&gt;&lt;R&gt;1&lt;/R&gt;&lt;C&gt;1&lt;/C&gt;&lt;D xsi:type="xsd:double"&gt;45.596725&lt;/D&gt;&lt;/FQL&gt;&lt;FQL&gt;&lt;Q&gt;EWY^FG_PRICE(0)&lt;/Q&gt;&lt;R&gt;1&lt;/R&gt;&lt;C&gt;1&lt;/C&gt;&lt;D xsi:type="xsd:double"&gt;65.6&lt;/D&gt;&lt;/FQL&gt;&lt;FQL&gt;&lt;Q&gt;SPY^FG_TOTAL_RETURNC(0,-6AM)&lt;/Q&gt;&lt;R&gt;1&lt;/R&gt;&lt;C&gt;1&lt;/C&gt;&lt;D xsi:type="xsd:double"&gt;14.412403&lt;/D&gt;&lt;/FQL&gt;&lt;FQL&gt;&lt;Q&gt;SET-BKK^FG_TOTAL_RETURNC(0,-3AM)&lt;/Q&gt;&lt;R&gt;1&lt;/R&gt;&lt;C&gt;1&lt;/C&gt;&lt;D xsi:type="xsd:double"&gt;-1.5142381&lt;/D&gt;&lt;/FQL&gt;&lt;FQL&gt;&lt;Q&gt;EZA^FG_TOTAL_RETURNC(0,-6AM)&lt;/Q&gt;&lt;R&gt;1&lt;/R&gt;&lt;C&gt;1&lt;/C&gt;&lt;D xsi:type="xsd:double"&gt;-2.4009407&lt;/D&gt;&lt;/FQL&gt;&lt;FQL&gt;&lt;Q&gt;EIDO^FG_TOTAL_RETURNC(0,-3AM)&lt;/Q&gt;&lt;R&gt;1&lt;/R&gt;&lt;C&gt;1&lt;/C&gt;&lt;D xsi:type="xsd:double"&gt;2.2841215&lt;/D&gt;&lt;/FQL&gt;&lt;FQL&gt;&lt;Q&gt;CAGDPY@SA^EE_ACTUAL_ANNUAL(MED,0)&lt;/Q&gt;&lt;R&gt;1&lt;/R&gt;&lt;C&gt;1&lt;/C&gt;&lt;D xsi:type="xsd:double"&gt;4.55&lt;/D&gt;&lt;/FQL&gt;&lt;FQL&gt;&lt;Q&gt;CAGDPY@KR^EE_ACTUAL_ANNUAL(MED,0)&lt;/Q&gt;&lt;R&gt;1&lt;/R&gt;&lt;C&gt;1&lt;/C&gt;&lt;D xsi:type="xsd:double"&gt;2.04376201054732&lt;/D&gt;&lt;/FQL&gt;&lt;FQL&gt;&lt;Q&gt;CC_CN^FG_COMPANY_NAME&lt;/Q&gt;&lt;R&gt;1&lt;/R&gt;&lt;C&gt;1&lt;/C&gt;&lt;D xsi:type="xsd:string"&gt;China&lt;/D&gt;&lt;/FQL&gt;&lt;FQL&gt;&lt;Q&gt;USDTRY^FG_PRICE_CHANGE(0,-1AM)&lt;/Q&gt;&lt;R&gt;1&lt;/R&gt;&lt;C&gt;1&lt;/C&gt;&lt;D xsi:type="xsd:double"&gt;3.5109282&lt;/D&gt;&lt;/FQL&gt;&lt;FQL&gt;&lt;Q&gt;USDEUR^FG_PRICE(0)&lt;/Q&gt;&lt;R&gt;1&lt;/R&gt;&lt;C&gt;1&lt;/C&gt;&lt;D xsi:type="xsd:double"&gt;0.92051363&lt;/D&gt;&lt;/FQL&gt;&lt;FQL&gt;&lt;Q&gt;USDKRW^FG_PRICE_CHANGE(0,-6AM)&lt;/Q&gt;&lt;R&gt;1&lt;/R&gt;&lt;C&gt;1&lt;/C&gt;&lt;D xsi:type="xsd:double"&gt;0.8713722&lt;/D&gt;&lt;/FQL&gt;&lt;FQL&gt;&lt;Q&gt;USDPLN^FG_PRICE(0)&lt;/Q&gt;&lt;R&gt;1&lt;/R&gt;&lt;C&gt;1&lt;/C&gt;&lt;D xsi:type="xsd:double"&gt;3.9748&lt;/D&gt;&lt;/FQL&gt;&lt;FQL&gt;&lt;Q&gt;USDCLP^FG_PRICE_CHANGE(0,-6AM)&lt;/Q&gt;&lt;R&gt;1&lt;/R&gt;&lt;C&gt;1&lt;/C&gt;&lt;D xsi:type="xsd:double"&gt;13.796878&lt;/D&gt;&lt;/FQL&gt;&lt;FQL&gt;&lt;Q&gt;FC0000GR^FMA_EPS(NTMA,-20AY,0,CY,,"PORTAGG","MEANR")&lt;/Q&gt;&lt;R&gt;20&lt;/R&gt;&lt;C&gt;1&lt;/C&gt;&lt;D xsi:type="xsd:double"&gt;10.0263829592273&lt;/D&gt;&lt;D xsi:type="xsd:double"&gt;10.1383155721295&lt;/D&gt;&lt;D xsi:type="xsd:double"&gt;13.780296395744&lt;/D&gt;&lt;D xsi:type="xsd:double"&gt;19.0687884512301&lt;/D&gt;&lt;D xsi:type="xsd:double"&gt;14.4348202091653&lt;/D&gt;&lt;D xsi:type="xsd:double"&gt;11.7776779993124&lt;/D&gt;&lt;D xsi:type="xsd:double"&gt;7.89872428476136&lt;/D&gt;&lt;D xsi:type="xsd:double"&gt;4.25532007667177&lt;/D&gt;&lt;D xsi:type="xsd:double"&gt;3.48757992339741&lt;/D&gt;&lt;D xsi:type="xsd:double"&gt;1.35869561359766&lt;/D&gt;&lt;D xsi:type="xsd:double"&gt;2.30816157475713&lt;/D&gt;&lt;D xsi:type="xsd:double"&gt;1.40229646911472&lt;/D&gt;&lt;D xsi:type="xsd:double"&gt;0.485154410379686&lt;/D&gt;&lt;D xsi:type="xsd:double"&gt;0.505979411552489&lt;/D&gt;&lt;D xsi:type="xsd:double"&gt;0.451702417206922&lt;/D&gt;&lt;D xsi:type="xsd:double"&gt;0.580096132576718&lt;/D&gt;&lt;D xsi:type="xsd:double"&gt;0.557417673683109&lt;/D&gt;&lt;D xsi:type="xsd:double"&gt;0.621885469021717&lt;/D&gt;&lt;D xsi:type="xsd:double"&gt;0.869531876625146&lt;/D&gt;&lt;D xsi:type="xsd:double"&gt;1.21959709581891&lt;/D&gt;&lt;/FQL&gt;&lt;FQL&gt;&lt;Q&gt;MCHI^P_PRICE_RETURNS_PR('52W',2,-10AY,0,AM)&lt;/Q&gt;&lt;R&gt;121&lt;/R&gt;&lt;C&gt;1&lt;/C&gt;&lt;D xsi:type="xsd:double"&gt;0.22207499&lt;/D&gt;&lt;D xsi:type="xsd:double"&gt;4.484904&lt;/D&gt;&lt;D xsi:type="xsd:double"&gt;-1.0472476&lt;/D&gt;&lt;D xsi:type="xsd:double"&gt;5.974591&lt;/D&gt;&lt;D xsi:type="xsd:double"&gt;22.496212&lt;/D&gt;&lt;D xsi:type="xsd:double"&gt;17.991257&lt;/D&gt;&lt;D xsi:type="xsd:double"&gt;16.818356&lt;/D&gt;&lt;D xsi:type="xsd:double"&gt;3.166902&lt;/D&gt;&lt;D xsi:type="xsd:double"&gt;5.7995915&lt;/D&gt;&lt;D xsi:type="xsd:double"&gt;4.4119954&lt;/D&gt;&lt;D xsi:type="xsd:double"&gt;10.11188&lt;/D&gt;&lt;D xsi:type="xsd:double"&gt;23.586727&lt;/D&gt;&lt;D xsi:type="xsd:double"&gt;16.46788&lt;/D&gt;&lt;D xsi:type="xsd:double"&gt;26.43379&lt;/D&gt;&lt;D xsi:type="xsd:double"&gt;48.219906&lt;/D&gt;&lt;D xsi:type="xsd:double"&gt;33.818756&lt;/D&gt;&lt;D xsi:type="xsd:double"&gt;19.920135&lt;/D&gt;&lt;D xsi:type="xsd:double"&gt;-0.003451109&lt;/D&gt;&lt;D xsi:type="xsd:double"&gt;-18.234539&lt;/D&gt;&lt;D xsi:type="xsd:double"&gt;0.8107066&lt;/D&gt;&lt;D xsi:type="xsd:double"&gt;0.4185915&lt;/D&gt;&lt;D xsi:type="xsd:double"&gt;-5.4089127&lt;/D&gt;&lt;D xsi:type="xsd:double"&gt;-12.205755&lt;/D&gt;&lt;D xsi:type="xsd:double"&gt;-25.98626&lt;/D&gt;&lt;D xsi:type="xsd:double"&gt;-17.589914&lt;/D&gt;&lt;D xsi:type="xsd:double"&gt;-23.495674&lt;/D&gt;&lt;D xsi:type="xsd:double"&gt;-34.65535&lt;/D&gt;&lt;D xsi:type="xsd:double"&gt;-29.131048&lt;/D&gt;&lt;D xsi:type="xsd:double"&gt;-21.61743&lt;/D&gt;&lt;D xsi:type="xsd:double"&gt;-9.109306&lt;/D&gt;&lt;D xsi:type="xsd:double"&gt;14.864016&lt;/D&gt;&lt;D xsi:type="xsd:double"&gt;7.929015&lt;/D&gt;&lt;D xsi:type="xsd:double"&gt;-3.1450987&lt;/D&gt;&lt;D xsi:type="xsd:double"&gt;0.66622496&lt;/D&gt;&lt;D xsi:type="xsd:double"&gt;5.7203293&lt;/D&gt;&lt;D xsi:type="xsd:double"&gt;25.72466&lt;/D&gt;&lt;D xsi:type="xsd:double"&gt;22.718107&lt;/D&gt;&lt;D xsi:type="xsd:double"&gt;22.353195&lt;/D&gt;&lt;D xsi:type="xsd:double"&gt;26.13237&lt;/D&gt;&lt;D xsi:type="xsd:double"&gt;31.4803&lt;/D&gt;&lt;D xsi:type="xsd:double"&gt;30.586601&lt;/D&gt;&lt;D xsi:type="xsd:double"&gt;37.09681&lt;/D&gt;&lt;D xsi:type="xsd:double"&gt;33.640335&lt;/D&gt;&lt;D xsi:type="xsd:double"&gt;35.675003&lt;/D&gt;&lt;D xsi:type="xsd:double"&gt;44.255722&lt;/D&gt;&lt;D xsi:type="xsd:double"&gt;43.611588&lt;/D&gt;&lt;D xsi:type="xsd:double"&gt;59.194553&lt;/D&gt;&lt;D xsi:type="xsd:double"&gt;54.77264&lt;/D&gt;&lt;D xsi:type="xsd:double"&gt;44.79183&lt;/D&gt;&lt;D xsi:type="xsd:double"&gt;36.530983&lt;/D&gt;&lt;D xsi:type="xsd:double"&gt;35.40771&lt;/D&gt;&lt;D xsi:type="xsd:double"&gt;32.618202&lt;/D&gt;&lt;D xsi:type="xsd:double"&gt;17.50723&lt;/D&gt;&lt;D xsi:type="xsd:double"&gt;5.814719&lt;/D&gt;&lt;D xsi:type="xsd:double"&gt;-1.72019&lt;/D&gt;&lt;D xsi:type="xsd:double"&gt;-11.018538&lt;/D&gt;&lt;D xsi:type="xsd:double"&gt;-13.314486&lt;/D&gt;&lt;D xsi:type="xsd:double"&gt;-10.153854&lt;/D&gt;&lt;D xsi:type="xsd:double"&gt;-23.208397&lt;/D&gt;&lt;D xsi:type="xsd:double"&gt;-16.362827&lt;/D&gt;&lt;D xsi:type="xsd:double"&gt;-9.023058&lt;/D&gt;&lt;D xsi:type="xsd:double"&gt;-3.7403762&lt;/D&gt;&lt;D xsi:type="xsd:double"&gt;-1.4807701&lt;/D&gt;&lt;D xsi:type="xsd:double"&gt;-20.53743&lt;/D&gt;&lt;D xsi:type="xsd:double"&gt;-3.4164608&lt;/D&gt;&lt;D xsi:type="xsd:double"&gt;-8.005178&lt;/D&gt;&lt;D xsi:type="xsd:double"&gt;-3.070885&lt;/D&gt;&lt;D xsi:type="xsd:double"&gt;1.5855789&lt;/D&gt;&lt;D xsi:type="xsd:double"&gt;9.357632&lt;/D&gt;&lt;D xsi:type="xsd:double"&gt;5.1964045&lt;/D&gt;&lt;D xsi:type="xsd:double"&gt;29.42183&lt;/D&gt;&lt;D xsi:type="xsd:double"&gt;8.759975&lt;/D&gt;&lt;D xsi:type="xsd:double"&gt;4.451561&lt;/D&gt;&lt;D xsi:type="xsd:double"&gt;-10.170221&lt;/D&gt;&lt;D xsi:type="xsd:double"&gt;-8.943337&lt;/D&gt;&lt;D xsi:type="xsd:double"&gt;16.068256&lt;/D&gt;&lt;D xsi:type="xsd:double"&gt;14.048088&lt;/D&gt;&lt;D xsi:type="xsd:double"&gt;33.873833&lt;/D&gt;&lt;D xsi:type="xsd:double"&gt;32.435703&lt;/D&gt;&lt;D xsi:type="xsd:double"&gt;34.389614&lt;/D&gt;&lt;D xsi:type="xsd:double"&gt;36.67272&lt;/D&gt;&lt;D xsi:type="xsd:double"&gt;37.59519&lt;/D&gt;&lt;D xsi:type="xsd:double"&gt;26.434422&lt;/D&gt;&lt;D xsi:type="xsd:double"&gt;46.70814&lt;/D&gt;&lt;D xsi:type="xsd:double"&gt;34.81686&lt;/D&gt;&lt;D xsi:type="xsd:double"&gt;51.909004&lt;/D&gt;&lt;D xsi:type="xsd:double"&gt;41.13053&lt;/D&gt;&lt;D xsi:type="xsd:double"&gt;31.498886&lt;/D&gt;&lt;D xsi:type="xsd:double"&gt;19.234419&lt;/D&gt;&lt;D xsi:type="xsd:double"&gt;-1.2094319&lt;/D&gt;&lt;D xsi:type="xsd:double"&gt;-3.0369937&lt;/D&gt;&lt;D xsi:type="xsd:double"&gt;-10.6686535&lt;/D&gt;&lt;D xsi:type="xsd:double"&gt;-14.723664&lt;/D&gt;&lt;D xsi:type="xsd:double"&gt;-21.049606&lt;/D&gt;&lt;D xsi:type="xsd:double"&gt;-23.459345&lt;/D&gt;&lt;D xsi:type="xsd:double"&gt;-31.395615&lt;/D&gt;&lt;D xsi:type="xsd:double"&gt;-33.95892&lt;/D&gt;&lt;D xsi:type="xsd:double"&gt;-31.219679&lt;/D&gt;&lt;D xsi:type="xsd:double"&gt;-35.554676&lt;/D&gt;&lt;D xsi:type="xsd:double"&gt;-36.094814&lt;/D&gt;&lt;D xsi:type="xsd:double"&gt;-30.814028&lt;/D&gt;&lt;D xsi:type="xsd:double"&gt;-30.019701&lt;/D&gt;&lt;D xsi:type="xsd:double"&gt;-32.080215&lt;/D&gt;&lt;D xsi:type="xsd:double"&gt;-31.088406&lt;/D&gt;&lt;D xsi:type="xsd:double"&gt;-40.043945&lt;/D&gt;&lt;D xsi:type="xsd:double"&gt;-25.487429&lt;/D&gt;&lt;D xsi:type="xsd:double"&gt;-13.801807&lt;/D&gt;&lt;D xsi:type="xsd:double"&gt;-13.541073&lt;/D&gt;&lt;D xsi:type="xsd:double"&gt;-8.955794&lt;/D&gt;&lt;D xsi:type="xsd:double"&gt;-10.157651&lt;/D&gt;&lt;D xsi:type="xsd:double"&gt;-6.2575874&lt;/D&gt;&lt;D xsi:type="xsd:double"&gt;-11.865007&lt;/D&gt;&lt;D xsi:type="xsd:double"&gt;-16.561634&lt;/D&gt;&lt;D xsi:type="xsd:double"&gt;-1.7512441&lt;/D&gt;&lt;D xsi:type="xsd:double"&gt;-4.4820666&lt;/D&gt;&lt;D xsi:type="xsd:double"&gt;-3.4662306&lt;/D&gt;&lt;D xsi:type="xsd:double"&gt;16.818523&lt;/D&gt;&lt;D xsi:type="xsd:double"&gt;-10.743082&lt;/D&gt;&lt;D xsi:type="xsd:double"&gt;-20.851248&lt;/D&gt;&lt;D xsi:type="xsd:double"&gt;-30.699598&lt;/D&gt;&lt;D xsi:type="xsd:double"&gt;-20.263123&lt;/D&gt;&lt;/FQL&gt;&lt;FQL&gt;&lt;Q&gt;SET-BKK^FG_TOTAL_RETURNC(-10AY,0,AM)&lt;/Q&gt;&lt;R&gt;121&lt;/R&gt;&lt;C&gt;1&lt;/C&gt;&lt;D xsi:type="xsd:double"&gt;5.402398&lt;/D&gt;&lt;D xsi:type="xsd:double"&gt;3.432119&lt;/D&gt;&lt;D xsi:type="xsd:double"&gt;2.1170855&lt;/D&gt;&lt;D xsi:type="xsd:double"&gt;1.9641519&lt;/D&gt;&lt;D xsi:type="xsd:double"&gt;3.203392&lt;/D&gt;&lt;D xsi:type="xsd:double"&gt;1.5743852&lt;/D&gt;&lt;D xsi:type="xsd:double"&gt;3.9720178&lt;/D&gt;&lt;D xsi:type="xsd:double"&gt;-0.5981982&lt;/D&gt;&lt;D xsi:type="xsd:double"&gt;0.94696283&lt;/D&gt;&lt;D xsi:type="xsd:double"&gt;0.79550743&lt;/D&gt;&lt;D xsi:type="xsd:double"&gt;-6.2643948&lt;/D&gt;&lt;D xsi:type="xsd:double"&gt;6.8199277&lt;/D&gt;&lt;D xsi:type="xsd:double"&gt;-2.3109078&lt;/D&gt;&lt;D xsi:type="xsd:double"&gt;-1.7141819&lt;/D&gt;&lt;D xsi:type="xsd:double"&gt;-0.60610175&lt;/D&gt;&lt;D xsi:type="xsd:double"&gt;-2.3474813&lt;/D&gt;&lt;D xsi:type="xsd:double"&gt;-0.08786917&lt;/D&gt;&lt;D xsi:type="xsd:double"&gt;-3.8554192&lt;/D&gt;&lt;D xsi:type="xsd:double"&gt;-4.2879286&lt;/D&gt;&lt;D xsi:type="xsd:double"&gt;-1.780051&lt;/D&gt;&lt;D xsi:type="xsd:double"&gt;5.7243705&lt;/D&gt;&lt;D xsi:type="xsd:double"&gt;-6.312269&lt;/D&gt;&lt;D xsi:type="xsd:double"&gt;-5.261058&lt;/D&gt;&lt;D xsi:type="xsd:double"&gt;2.6673794&lt;/D&gt;&lt;D xsi:type="xsd:double"&gt;6.3541293&lt;/D&gt;&lt;D xsi:type="xsd:double"&gt;1.503408&lt;/D&gt;&lt;D xsi:type="xsd:double"&gt;-0.68344474&lt;/D&gt;&lt;D xsi:type="xsd:double"&gt;3.288281&lt;/D&gt;&lt;D xsi:type="xsd:double"&gt;1.2621522&lt;/D&gt;&lt;D xsi:type="xsd:double"&gt;3.6691546&lt;/D&gt;&lt;D xsi:type="xsd:double"&gt;0.8985758&lt;/D&gt;&lt;D xsi:type="xsd:double"&gt;-0.76898336&lt;/D&gt;&lt;D xsi:type="xsd:double"&gt;-1.5949368&lt;/D&gt;&lt;D xsi:type="xsd:double"&gt;1.0742426&lt;/D&gt;&lt;D xsi:type="xsd:double"&gt;4.1234255&lt;/D&gt;&lt;D xsi:type="xsd:double"&gt;1.2388229&lt;/D&gt;&lt;D xsi:type="xsd:double"&gt;-1.0581493&lt;/D&gt;&lt;D xsi:type="xsd:double"&gt;1.1250138&lt;/D&gt;&lt;D xsi:type="xsd:double"&gt;-0.6799936&lt;/D&gt;&lt;D xsi:type="xsd:double"&gt;-0.34646392&lt;/D&gt;&lt;D xsi:type="xsd:double"&gt;0.4152894&lt;/D&gt;&lt;D xsi:type="xsd:double"&gt;0.26364326&lt;/D&gt;&lt;D xsi:type="xsd:double"&gt;2.588296&lt;/D&gt;&lt;D xsi:type="xsd:double"&gt;4.240608&lt;/D&gt;&lt;D xsi:type="xsd:double"&gt;0.8117199&lt;/D&gt;&lt;D xsi:type="xsd:double"&gt;-0.22686124&lt;/D&gt;&lt;D xsi:type="xsd:double"&gt;5.5024385&lt;/D&gt;&lt;D xsi:type="xsd:double"&gt;2.0284534&lt;/D&gt;&lt;D xsi:type="xsd:double"&gt;-0.84111094&lt;/D&gt;&lt;D xsi:type="xsd:double"&gt;-4.8013744&lt;/D&gt;&lt;D xsi:type="xsd:double"&gt;3.1820655&lt;/D&gt;&lt;D xsi:type="xsd:double"&gt;-3.2912493&lt;/D&gt;&lt;D xsi:type="xsd:double"&gt;-5.3500595&lt;/D&gt;&lt;D xsi:type="xsd:double"&gt;5.087769&lt;/D&gt;&lt;D xsi:type="xsd:double"&gt;0.1355052&lt;/D&gt;&lt;D xsi:type="xsd:double"&gt;0.87435246&lt;/D&gt;&lt;D xsi:type="xsd:double"&gt;-2.7500927&lt;/D&gt;&lt;D xsi:type="xsd:double"&gt;-0.56604743&lt;/D&gt;&lt;D xsi:type="xsd:double"&gt;-5.8116856&lt;/D&gt;&lt;D xsi:type="xsd:double"&gt;4.9830794&lt;/D&gt;&lt;D xsi:type="xsd:double"&gt;-1.1078715&lt;/D&gt;&lt;D xsi:type="xsd:double"&gt;0.54546595&lt;/D&gt;&lt;D xsi:type="xsd:double"&gt;2.1183372&lt;/D&gt;&lt;D xsi:type="xsd:double"&gt;-2.463305&lt;/D&gt;&lt;D xsi:type="xsd:double"&gt;5.292821&lt;/D&gt;&lt;D xsi:type="xsd:double"&gt;-2.2999704&lt;/D&gt;&lt;D xsi:type="xsd:double"&gt;-1.5474439&lt;/D&gt;&lt;D xsi:type="xsd:double"&gt;-3.176099&lt;/D&gt;&lt;D xsi:type="xsd:double"&gt;1.0143518&lt;/D&gt;&lt;D xsi:type="xsd:double"&gt;-3.501314&lt;/D&gt;&lt;D xsi:type="xsd:double"&gt;1.8857241&lt;/D&gt;&lt;D xsi:type="xsd:double"&gt;-4.7392726&lt;/D&gt;&lt;D xsi:type="xsd:double"&gt;-9.264964&lt;/D&gt;&lt;D xsi:type="xsd:double"&gt;-17.392159&lt;/D&gt;&lt;D xsi:type="xsd:double"&gt;14.2970085&lt;/D&gt;&lt;D xsi:type="xsd:double"&gt;8.40081&lt;/D&gt;&lt;D xsi:type="xsd:double"&gt;-2.7455509&lt;/D&gt;&lt;D xsi:type="xsd:double"&gt;-3.02127&lt;/D&gt;&lt;D xsi:type="xsd:double"&gt;-1.4171898&lt;/D&gt;&lt;D xsi:type="xsd:double"&gt;-5.671704&lt;/D&gt;&lt;D xsi:type="xsd:double"&gt;-1.2201726&lt;/D&gt;&lt;D xsi:type="xsd:double"&gt;18.601322&lt;/D&gt;&lt;D xsi:type="xsd:double"&gt;1.2698054&lt;/D&gt;&lt;D xsi:type="xsd:double"&gt;1.003921&lt;/D&gt;&lt;D xsi:type="xsd:double"&gt;3.447783&lt;/D&gt;&lt;D xsi:type="xsd:double"&gt;4.051864&lt;/D&gt;&lt;D xsi:type="xsd:double"&gt;-0.82316995&lt;/D&gt;&lt;D xsi:type="xsd:double"&gt;1.793921&lt;/D&gt;&lt;D xsi:type="xsd:double"&gt;-2.050227&lt;/D&gt;&lt;D xsi:type="xsd:double"&gt;-2.0671666&lt;/D&gt;&lt;D xsi:type="xsd:double"&gt;6.758046&lt;/D&gt;&lt;D xsi:type="xsd:double"&gt;-2.1722913&lt;/D&gt;&lt;D xsi:type="xsd:double"&gt;0.7302642&lt;/D&gt;&lt;D xsi:type="xsd:double"&gt;-2.3415565&lt;/D&gt;&lt;D xsi:type="xsd:double"&gt;5.1687837&lt;/D&gt;&lt;D xsi:type="xsd:double"&gt;0.23587942&lt;/D&gt;&lt;D xsi:type="xsd:double"&gt;-0.14932156&lt;/D&gt;&lt;D xsi:type="xsd:double"&gt;1.8669486&lt;/D&gt;&lt;D xsi:type="xsd:double"&gt;-2.9736996&lt;/D&gt;&lt;D xsi:type="xsd:double"&gt;-0.27961135&lt;/D&gt;&lt;D xsi:type="xsd:double"&gt;-5.3044615&lt;/D&gt;&lt;D xsi:type="xsd:double"&gt;2.4662375&lt;/D&gt;&lt;D xsi:type="xsd:double"&gt;1.4636397&lt;/D&gt;&lt;D xsi:type="xsd:double"&gt;-2.721697&lt;/D&gt;&lt;D xsi:type="xsd:double"&gt;3.0621052&lt;/D&gt;&lt;D xsi:type="xsd:double"&gt;0.94139576&lt;/D&gt;&lt;D xsi:type="xsd:double"&gt;1.926136&lt;/D&gt;&lt;D xsi:type="xsd:double"&gt;0.9030342&lt;/D&gt;&lt;D xsi:type="xsd:double"&gt;-4.8259854&lt;/D&gt;&lt;D xsi:type="xsd:double"&gt;-0.79844&lt;/D&gt;&lt;D xsi:type="xsd:double"&gt;-3.8110495&lt;/D&gt;&lt;D xsi:type="xsd:double"&gt;-0.13696551&lt;/D&gt;&lt;D xsi:type="xsd:double"&gt;-1.0377407&lt;/D&gt;&lt;D xsi:type="xsd:double"&gt;0.99978447&lt;/D&gt;&lt;D xsi:type="xsd:double"&gt;1.1904955&lt;/D&gt;&lt;D xsi:type="xsd:double"&gt;-6.291169&lt;/D&gt;&lt;D xsi:type="xsd:double"&gt;-2.1698534&lt;/D&gt;&lt;D xsi:type="xsd:double"&gt;-2.5511324&lt;/D&gt;&lt;D xsi:type="xsd:double"&gt;3.6898017&lt;/D&gt;&lt;D xsi:type="xsd:double"&gt;-3.5208702&lt;/D&gt;&lt;D xsi:type="xsd:double"&gt;-1.5526533&lt;/D&gt;&lt;/FQL&gt;&lt;FQL&gt;&lt;Q&gt;VNM^FMA_DIV_YLD(NTMA,-10AY,0,AM,"PORTAGG","MEANR")&lt;/Q&gt;&lt;R&gt;121&lt;/R&gt;&lt;C&gt;1&lt;/C&gt;&lt;D xsi:type="xsd:string"&gt;@NA&lt;/D&gt;&lt;D xsi:type="xsd:double"&gt;3.42145655322294&lt;/D&gt;&lt;D xsi:type="xsd:double"&gt;3.4932988014678&lt;/D&gt;&lt;D xsi:type="xsd:double"&gt;3.54624513010546&lt;/D&gt;&lt;D xsi:type="xsd:double"&gt;3.22221982445749&lt;/D&gt;&lt;D xsi:type="xsd:double"&gt;3.47121336914322&lt;/D&gt;&lt;D xsi:type="xsd:double"&gt;2.95779875481764&lt;/D&gt;&lt;D xsi:type="xsd:double"&gt;2.90212120485598&lt;/D&gt;&lt;D xsi:type="xsd:double"&gt;2.87200395663863&lt;/D&gt;&lt;D xsi:type="xsd:double"&gt;3.12949584769964&lt;/D&gt;&lt;D xsi:type="xsd:double"&gt;3.12925811135504&lt;/D&gt;&lt;D xsi:type="xsd:double"&gt;3.02279122078422&lt;/D&gt;&lt;D xsi:type="xsd:double"&gt;3.07476169638771&lt;/D&gt;&lt;D xsi:type="xsd:double"&gt;3.03475311018866&lt;/D&gt;&lt;D xsi:type="xsd:double"&gt;3.0162524155554&lt;/D&gt;&lt;D xsi:type="xsd:double"&gt;2.7488591524019&lt;/D&gt;&lt;D xsi:type="xsd:double"&gt;3.25016290207303&lt;/D&gt;&lt;D xsi:type="xsd:double"&gt;4.17139814242783&lt;/D&gt;&lt;D xsi:type="xsd:double"&gt;3.62074009134013&lt;/D&gt;&lt;D xsi:type="xsd:double"&gt;3.4881497650374&lt;/D&gt;&lt;D xsi:type="xsd:double"&gt;3.17506973264628&lt;/D&gt;&lt;D xsi:type="xsd:double"&gt;2.40071150201823&lt;/D&gt;&lt;D xsi:type="xsd:string"&gt;@NA&lt;/D&gt;&lt;D xsi:type="xsd:string"&gt;@NA&lt;/D&gt;&lt;D xsi:type="xsd:double"&gt;2.67903613837586&lt;/D&gt;&lt;D xsi:type="xsd:double"&gt;3.14359529917122&lt;/D&gt;&lt;D xsi:type="xsd:double"&gt;3.12851748742073&lt;/D&gt;&lt;D xsi:type="xsd:double"&gt;3.09964047986111&lt;/D&gt;&lt;D xsi:type="xsd:double"&gt;3.26693633321482&lt;/D&gt;&lt;D xsi:type="xsd:double"&gt;3.22179316447076&lt;/D&gt;&lt;D xsi:type="xsd:double"&gt;3.15138864984038&lt;/D&gt;&lt;D xsi:type="xsd:double"&gt;2.47696340812591&lt;/D&gt;&lt;D xsi:type="xsd:double"&gt;2.69138112143129&lt;/D&gt;&lt;D xsi:type="xsd:string"&gt;@NA&lt;/D&gt;&lt;D xsi:type="xsd:double"&gt;2.81597169646515&lt;/D&gt;&lt;D xsi:type="xsd:double"&gt;3.12749564184525&lt;/D&gt;&lt;D xsi:type="xsd:double"&gt;3.57143819094124&lt;/D&gt;&lt;D xsi:type="xsd:double"&gt;2.64272344292181&lt;/D&gt;&lt;D xsi:type="xsd:double"&gt;2.49571680483525&lt;/D&gt;&lt;D xsi:type="xsd:double"&gt;2.3791688396826&lt;/D&gt;&lt;D xsi:type="xsd:double"&gt;1.83846611338415&lt;/D&gt;&lt;D xsi:type="xsd:double"&gt;1.53380249854023&lt;/D&gt;&lt;D xsi:type="xsd:double"&gt;1.74240049561973&lt;/D&gt;&lt;D xsi:type="xsd:double"&gt;1.87577681649689&lt;/D&gt;&lt;D xsi:type="xsd:double"&gt;2.0763080351651&lt;/D&gt;&lt;D xsi:type="xsd:double"&gt;1.73366380055274&lt;/D&gt;&lt;D xsi:type="xsd:double"&gt;1.40210533349914&lt;/D&gt;&lt;D xsi:type="xsd:double"&gt;1.74441744442295&lt;/D&gt;&lt;D xsi:type="xsd:double"&gt;1.7222509809738&lt;/D&gt;&lt;D xsi:type="xsd:double"&gt;1.80760748473404&lt;/D&gt;&lt;D xsi:type="xsd:double"&gt;1.98059745864419&lt;/D&gt;&lt;D xsi:type="xsd:double"&gt;1.47103840880778&lt;/D&gt;&lt;D xsi:type="xsd:double"&gt;1.70926383441686&lt;/D&gt;&lt;D xsi:type="xsd:double"&gt;1.68619278047491&lt;/D&gt;&lt;D xsi:type="xsd:double"&gt;1.6595645919764&lt;/D&gt;&lt;D xsi:type="xsd:double"&gt;1.57246202350589&lt;/D&gt;&lt;D xsi:type="xsd:double"&gt;1.76861703987385&lt;/D&gt;&lt;D xsi:type="xsd:double"&gt;1.74317884582809&lt;/D&gt;&lt;D xsi:type="xsd:double"&gt;1.8526488802158&lt;/D&gt;&lt;D xsi:type="xsd:double"&gt;1.76793190117866&lt;/D&gt;&lt;D xsi:type="xsd:double"&gt;1.52429022531947&lt;/D&gt;&lt;D xsi:type="xsd:double"&gt;1.58443314247689&lt;/D&gt;&lt;D xsi:type="xsd:double"&gt;1.54037940113774&lt;/D&gt;&lt;D xsi:type="xsd:double"&gt;1.59525367292748&lt;/D&gt;&lt;D xsi:type="xsd:double"&gt;1.71849176064491&lt;/D&gt;&lt;D xsi:type="xsd:double"&gt;1.82375019058182&lt;/D&gt;&lt;D xsi:type="xsd:double"&gt;1.95885975330351&lt;/D&gt;&lt;D xsi:type="xsd:double"&gt;1.63284733174968&lt;/D&gt;&lt;D xsi:type="xsd:double"&gt;1.64701498523493&lt;/D&gt;&lt;D xsi:type="xsd:double"&gt;1.62562251807096&lt;/D&gt;&lt;D xsi:type="xsd:double"&gt;1.51516261350729&lt;/D&gt;&lt;D xsi:type="xsd:double"&gt;1.6193604354538&lt;/D&gt;&lt;D xsi:type="xsd:double"&gt;1.61351087171358&lt;/D&gt;&lt;D xsi:type="xsd:double"&gt;2.06593259235862&lt;/D&gt;&lt;D xsi:type="xsd:double"&gt;1.78465971736959&lt;/D&gt;&lt;D xsi:type="xsd:double"&gt;1.34095580866645&lt;/D&gt;&lt;D xsi:type="xsd:double"&gt;1.40437319201561&lt;/D&gt;&lt;D xsi:type="xsd:double"&gt;1.37839185155851&lt;/D&gt;&lt;D xsi:type="xsd:double"&gt;1.25727206617169&lt;/D&gt;&lt;D xsi:type="xsd:double"&gt;1.32908418798566&lt;/D&gt;&lt;D xsi:type="xsd:double"&gt;1.33495287691402&lt;/D&gt;&lt;D xsi:type="xsd:double"&gt;1.28943238628104&lt;/D&gt;&lt;D xsi:type="xsd:double"&gt;1.18926413051842&lt;/D&gt;&lt;D xsi:type="xsd:double"&gt;1.22095912684137&lt;/D&gt;&lt;D xsi:type="xsd:double"&gt;1.30100599858429&lt;/D&gt;&lt;D xsi:type="xsd:double"&gt;1.17105567991175&lt;/D&gt;&lt;D xsi:type="xsd:double"&gt;1.18865814750806&lt;/D&gt;&lt;D xsi:type="xsd:double"&gt;1.16291638659763&lt;/D&gt;&lt;D xsi:type="xsd:double"&gt;1.34555661736815&lt;/D&gt;&lt;D xsi:type="xsd:double"&gt;1.3879994245387&lt;/D&gt;&lt;D xsi:type="xsd:double"&gt;1.40424878017145&lt;/D&gt;&lt;D xsi:type="xsd:double"&gt;1.4541647946832&lt;/D&gt;&lt;D xsi:type="xsd:double"&gt;1.3748267810367&lt;/D&gt;&lt;D xsi:type="xsd:double"&gt;1.5225458171112&lt;/D&gt;&lt;D xsi:type="xsd:double"&gt;1.45774029533969&lt;/D&gt;&lt;D xsi:type="xsd:double"&gt;1.66475460360435&lt;/D&gt;&lt;D xsi:type="xsd:double"&gt;1.77456165489561&lt;/D&gt;&lt;D xsi:type="xsd:double"&gt;1.57064772851322&lt;/D&gt;&lt;D xsi:type="xsd:double"&gt;1.75045743325842&lt;/D&gt;&lt;D xsi:type="xsd:double"&gt;1.77865412409125&lt;/D&gt;&lt;D xsi:type="xsd:double"&gt;1.94673064409069&lt;/D&gt;&lt;D xsi:type="xsd:double"&gt;1.88392396858792&lt;/D&gt;&lt;D xsi:type="xsd:double"&gt;1.97354006437278&lt;/D&gt;&lt;D xsi:type="xsd:double"&gt;2.4392015520523&lt;/D&gt;&lt;D xsi:type="xsd:double"&gt;2.60795460598494&lt;/D&gt;&lt;D xsi:type="xsd:double"&gt;2.22061652044089&lt;/D&gt;&lt;D xsi:type="xsd:double"&gt;2.6890947769029&lt;/D&gt;&lt;D xsi:type="xsd:double"&gt;2.61522022506677&lt;/D&gt;&lt;D xsi:type="xsd:double"&gt;2.57587869817544&lt;/D&gt;&lt;D xsi:type="xsd:double"&gt;2.4564678434998&lt;/D&gt;&lt;D xsi:type="xsd:double"&gt;2.63702901352482&lt;/D&gt;&lt;D xsi:type="xsd:double"&gt;2.57870416052676&lt;/D&gt;&lt;D xsi:type="xsd:double"&gt;2.72753115239527&lt;/D&gt;&lt;D xsi:type="xsd:double"&gt;2.57382357080952&lt;/D&gt;&lt;D xsi:type="xsd:double"&gt;2.67705665980223&lt;/D&gt;&lt;D xsi:type="xsd:double"&gt;3.06729234483449&lt;/D&gt;&lt;D xsi:type="xsd:double"&gt;3.0340289811677&lt;/D&gt;&lt;D xsi:type="xsd:double"&gt;2.82290276743482&lt;/D&gt;&lt;D xsi:type="xsd:double"&gt;2.74516943758946&lt;/D&gt;&lt;D xsi:type="xsd:double"&gt;2.80118225907389&lt;/D&gt;&lt;D xsi:type="xsd:double"&gt;2.46292602834872&lt;/D&gt;&lt;/FQL&gt;&lt;FQL&gt;&lt;Q&gt;CNYA^FMA_DIV_YLD(NTMA,-10AY,0,AM,"PORTAGG","MEANR")&lt;/Q&gt;&lt;R&gt;121&lt;/R&gt;&lt;C&gt;1&lt;/C&gt;&lt;D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xsi:type="xsd:double"&gt;2.27537285858895&lt;/D&gt;&lt;D xsi:type="xsd:double"&gt;2.28065325110695&lt;/D&gt;&lt;D xsi:type="xsd:double"&gt;2.19737281848057&lt;/D&gt;&lt;D xsi:type="xsd:double"&gt;2.30380342777205&lt;/D&gt;&lt;D xsi:type="xsd:double"&gt;2.26097585754163&lt;/D&gt;&lt;D xsi:type="xsd:double"&gt;2.12594290543817&lt;/D&gt;&lt;D xsi:type="xsd:double"&gt;2.28846573314511&lt;/D&gt;&lt;D xsi:type="xsd:double"&gt;2.30148712579878&lt;/D&gt;&lt;D xsi:type="xsd:double"&gt;2.30815712599787&lt;/D&gt;&lt;D xsi:type="xsd:double"&gt;2.30113785107071&lt;/D&gt;&lt;D xsi:type="xsd:double"&gt;2.26070626280157&lt;/D&gt;&lt;D xsi:type="xsd:double"&gt;2.17240384952241&lt;/D&gt;&lt;D xsi:type="xsd:double"&gt;2.09758374202612&lt;/D&gt;&lt;D xsi:type="xsd:double"&gt;2.17937865878317&lt;/D&gt;&lt;D xsi:type="xsd:double"&gt;2.1315366537011&lt;/D&gt;&lt;D xsi:type="xsd:double"&gt;2.16414830180331&lt;/D&gt;&lt;D xsi:type="xsd:double"&gt;2.12578350265862&lt;/D&gt;&lt;D xsi:type="xsd:double"&gt;2.19143550558009&lt;/D&gt;&lt;D xsi:type="xsd:double"&gt;2.14216030924177&lt;/D&gt;&lt;D xsi:type="xsd:double"&gt;2.14612455267433&lt;/D&gt;&lt;D xsi:type="xsd:double"&gt;2.31096059542233&lt;/D&gt;&lt;D xsi:type="xsd:double"&gt;2.44476560599555&lt;/D&gt;&lt;D xsi:type="xsd:double"&gt;2.72470059062011&lt;/D&gt;&lt;D xsi:type="xsd:double"&gt;2.71064885272852&lt;/D&gt;&lt;D xsi:type="xsd:double"&gt;3.06680126275281&lt;/D&gt;&lt;D xsi:type="xsd:double"&gt;3.18203038006985&lt;/D&gt;&lt;D xsi:type="xsd:double"&gt;3.14874653117157&lt;/D&gt;&lt;D xsi:type="xsd:double"&gt;3.06043640216341&lt;/D&gt;&lt;D xsi:type="xsd:double"&gt;3.1819093156611&lt;/D&gt;&lt;D xsi:type="xsd:double"&gt;3.16335746904614&lt;/D&gt;&lt;D xsi:type="xsd:double"&gt;3.36198577579865&lt;/D&gt;&lt;D xsi:type="xsd:double"&gt;3.1324797874181&lt;/D&gt;&lt;D xsi:type="xsd:double"&gt;2.74338119308615&lt;/D&gt;&lt;D xsi:type="xsd:double"&gt;2.61045842991296&lt;/D&gt;&lt;D xsi:type="xsd:double"&gt;2.6919600388771&lt;/D&gt;&lt;D xsi:type="xsd:double"&gt;2.82884810824652&lt;/D&gt;&lt;D xsi:type="xsd:double"&gt;2.63393941955045&lt;/D&gt;&lt;D xsi:type="xsd:double"&gt;2.7781443691052&lt;/D&gt;&lt;D xsi:type="xsd:double"&gt;2.6615448351556&lt;/D&gt;&lt;D xsi:type="xsd:double"&gt;2.73843490858548&lt;/D&gt;&lt;D xsi:type="xsd:double"&gt;2.69503576849114&lt;/D&gt;&lt;D xsi:type="xsd:double"&gt;2.57959865167557&lt;/D&gt;&lt;D xsi:type="xsd:double"&gt;2.42126444867541&lt;/D&gt;&lt;D xsi:type="xsd:double"&gt;2.64114668350651&lt;/D&gt;&lt;D xsi:type="xsd:double"&gt;2.38240011017618&lt;/D&gt;&lt;D xsi:type="xsd:double"&gt;2.57776338495143&lt;/D&gt;&lt;D xsi:type="xsd:double"&gt;2.34200962147059&lt;/D&gt;&lt;D xsi:type="xsd:double"&gt;2.22932629567723&lt;/D&gt;&lt;D xsi:type="xsd:double"&gt;2.06363210159095&lt;/D&gt;&lt;D xsi:type="xsd:double"&gt;1.91718258249043&lt;/D&gt;&lt;D xsi:type="xsd:double"&gt;1.87953808080058&lt;/D&gt;&lt;D xsi:type="xsd:double"&gt;1.99094211537394&lt;/D&gt;&lt;D xsi:type="xsd:double"&gt;1.95420732087683&lt;/D&gt;&lt;D xsi:type="xsd:double"&gt;1.83082834429908&lt;/D&gt;&lt;D xsi:type="xsd:double"&gt;1.74575810477864&lt;/D&gt;&lt;D xsi:type="xsd:double"&gt;1.68213840420051&lt;/D&gt;&lt;D xsi:type="xsd:double"&gt;1.78427355494305&lt;/D&gt;&lt;D xsi:type="xsd:double"&gt;1.88584082054403&lt;/D&gt;&lt;D xsi:type="xsd:double"&gt;1.88776631472027&lt;/D&gt;&lt;D xsi:type="xsd:double"&gt;1.81213597328731&lt;/D&gt;&lt;D xsi:type="xsd:double"&gt;1.86274471828083&lt;/D&gt;&lt;D xsi:type="xsd:double"&gt;1.93605515255387&lt;/D&gt;&lt;D xsi:type="xsd:double"&gt;1.99533447256491&lt;/D&gt;&lt;D xsi:type="xsd:double"&gt;2.00026539799996&lt;/D&gt;&lt;D xsi:type="xsd:double"&gt;1.99417759910822&lt;/D&gt;&lt;D xsi:type="xsd:double"&gt;1.95747514012002&lt;/D&gt;&lt;D xsi:type="xsd:double"&gt;1.98727836711787&lt;/D&gt;&lt;D xsi:type="xsd:double"&gt;2.22216095281799&lt;/D&gt;&lt;D xsi:type="xsd:double"&gt;2.24144973399616&lt;/D&gt;&lt;D xsi:type="xsd:double"&gt;2.35681254531135&lt;/D&gt;&lt;D xsi:type="xsd:double"&gt;2.49041278224249&lt;/D&gt;&lt;D xsi:type="xsd:double"&gt;2.41964032924286&lt;/D&gt;&lt;D xsi:type="xsd:double"&gt;2.234389079605&lt;/D&gt;&lt;D xsi:type="xsd:double"&gt;2.43390771719446&lt;/D&gt;&lt;D xsi:type="xsd:double"&gt;2.51935073018154&lt;/D&gt;&lt;D xsi:type="xsd:double"&gt;2.66850932225935&lt;/D&gt;&lt;D xsi:type="xsd:double"&gt;2.63441323530583&lt;/D&gt;&lt;D xsi:type="xsd:double"&gt;2.53396410990028&lt;/D&gt;&lt;D xsi:type="xsd:double"&gt;2.54523612310403&lt;/D&gt;&lt;D xsi:type="xsd:double"&gt;2.38705998082912&lt;/D&gt;&lt;D xsi:type="xsd:double"&gt;2.40957412872715&lt;/D&gt;&lt;D xsi:type="xsd:double"&gt;2.43687383642475&lt;/D&gt;&lt;D xsi:type="xsd:double"&gt;2.49021264890054&lt;/D&gt;&lt;D xsi:type="xsd:double"&gt;2.54909362184359&lt;/D&gt;&lt;D xsi:type="xsd:double"&gt;2.58562522832334&lt;/D&gt;&lt;D xsi:type="xsd:double"&gt;2.53406098020798&lt;/D&gt;&lt;D xsi:type="xsd:double"&gt;2.57079565090424&lt;/D&gt;&lt;D xsi:type="xsd:double"&gt;2.65254579911358&lt;/D&gt;&lt;D xsi:type="xsd:double"&gt;2.7056653476348&lt;/D&gt;&lt;D xsi:type="xsd:double"&gt;2.77046952713829&lt;/D&gt;&lt;D xsi:type="xsd:double"&gt;2.85061764754142&lt;/D&gt;&lt;D xsi:type="xsd:double"&gt;3.01565746044359&lt;/D&gt;&lt;D xsi:type="xsd:double"&gt;2.47073725114103&lt;/D&gt;&lt;/FQL&gt;&lt;FQL&gt;&lt;Q&gt;EWT^FMA_PE(LTMA,-10AY,0,AM,"PORTAGG","MEANR")&lt;/Q&gt;&lt;R&gt;121&lt;/R&gt;&lt;C&gt;1&lt;/C&gt;&lt;D xsi:type="xsd:double"&gt;15.7129114883595&lt;/D&gt;&lt;D xsi:type="xsd:double"&gt;15.729709985709&lt;/D&gt;&lt;D xsi:type="xsd:double"&gt;15.5182595646185&lt;/D&gt;&lt;D xsi:type="xsd:double"&gt;15.4856643510494&lt;/D&gt;&lt;D xsi:type="xsd:double"&gt;15.6913170946372&lt;/D&gt;&lt;D xsi:type="xsd:double"&gt;15.175436454649&lt;/D&gt;&lt;D xsi:type="xsd:double"&gt;15.0415992798881&lt;/D&gt;&lt;D xsi:type="xsd:double"&gt;14.4588231293335&lt;/D&gt;&lt;D xsi:type="xsd:double"&gt;14.1659745004048&lt;/D&gt;&lt;D xsi:type="xsd:double"&gt;14.1310144897829&lt;/D&gt;&lt;D xsi:type="xsd:double"&gt;13.9821443421233&lt;/D&gt;&lt;D xsi:type="xsd:double"&gt;14.2912861669368&lt;/D&gt;&lt;D xsi:type="xsd:double"&gt;14.3267402714651&lt;/D&gt;&lt;D xsi:type="xsd:double"&gt;14.1530700971008&lt;/D&gt;&lt;D xsi:type="xsd:double"&gt;14.1841136656268&lt;/D&gt;&lt;D xsi:type="xsd:double"&gt;13.8364861025222&lt;/D&gt;&lt;D xsi:type="xsd:double"&gt;13.8055723053021&lt;/D&gt;&lt;D xsi:type="xsd:double"&gt;13.2789149936774&lt;/D&gt;&lt;D xsi:type="xsd:double"&gt;12.549843311616&lt;/D&gt;&lt;D xsi:type="xsd:double"&gt;12.6350509706458&lt;/D&gt;&lt;D xsi:type="xsd:double"&gt;13.2838068126873&lt;/D&gt;&lt;D xsi:type="xsd:double"&gt;12.5695641730126&lt;/D&gt;&lt;D xsi:type="xsd:double"&gt;11.7181875083932&lt;/D&gt;&lt;D xsi:type="xsd:double"&gt;11.849659753693&lt;/D&gt;&lt;D xsi:type="xsd:double"&gt;12.4185290785954&lt;/D&gt;&lt;D xsi:type="xsd:double"&gt;12.5308947151823&lt;/D&gt;&lt;D xsi:type="xsd:double"&gt;12.3564446655586&lt;/D&gt;&lt;D xsi:type="xsd:double"&gt;12.8389164664154&lt;/D&gt;&lt;D xsi:type="xsd:double"&gt;13.0931136421871&lt;/D&gt;&lt;D xsi:type="xsd:double"&gt;13.5707591950538&lt;/D&gt;&lt;D xsi:type="xsd:double"&gt;13.7114811847225&lt;/D&gt;&lt;D xsi:type="xsd:double"&gt;14.3259265682774&lt;/D&gt;&lt;D xsi:type="xsd:double"&gt;13.9868361425706&lt;/D&gt;&lt;D xsi:type="xsd:double"&gt;14.0963458320987&lt;/D&gt;&lt;D xsi:type="xsd:double"&gt;14.4028439442577&lt;/D&gt;&lt;D xsi:type="xsd:double"&gt;14.243887165887&lt;/D&gt;&lt;D xsi:type="xsd:double"&gt;14.4960578030551&lt;/D&gt;&lt;D xsi:type="xsd:double"&gt;14.3817577877862&lt;/D&gt;&lt;D xsi:type="xsd:double"&gt;14.4019486590657&lt;/D&gt;&lt;D xsi:type="xsd:double"&gt;14.4232164580502&lt;/D&gt;&lt;D xsi:type="xsd:double"&gt;14.6311226063372&lt;/D&gt;&lt;D xsi:type="xsd:double"&gt;14.7730803688064&lt;/D&gt;&lt;D xsi:type="xsd:double"&gt;14.6787248738976&lt;/D&gt;&lt;D xsi:type="xsd:double"&gt;14.4206597777969&lt;/D&gt;&lt;D xsi:type="xsd:double"&gt;14.8784634093531&lt;/D&gt;&lt;D xsi:type="xsd:double"&gt;14.7667325189256&lt;/D&gt;&lt;D xsi:type="xsd:double"&gt;14.8761190757534&lt;/D&gt;&lt;D xsi:type="xsd:double"&gt;15.0553787430953&lt;/D&gt;&lt;D xsi:type="xsd:double"&gt;14.4333806415748&lt;/D&gt;&lt;D xsi:type="xsd:double"&gt;14.3698426981921&lt;/D&gt;</t>
        </r>
      </text>
    </comment>
    <comment ref="A6" authorId="0" shapeId="0" xr:uid="{43D2A131-AF63-4022-BB5A-FFC25A98012E}">
      <text>
        <r>
          <rPr>
            <b/>
            <sz val="9"/>
            <color indexed="81"/>
            <rFont val="Tahoma"/>
            <family val="2"/>
          </rPr>
          <t>&lt;D xsi:type="xsd:double"&gt;14.1897425833765&lt;/D&gt;&lt;D xsi:type="xsd:double"&gt;14.389371881418&lt;/D&gt;&lt;D xsi:type="xsd:double"&gt;14.0387835037807&lt;/D&gt;&lt;D xsi:type="xsd:double"&gt;14.2648239792867&lt;/D&gt;&lt;D xsi:type="xsd:double"&gt;14.012902543453&lt;/D&gt;&lt;D xsi:type="xsd:double"&gt;13.552976234474&lt;/D&gt;&lt;D xsi:type="xsd:double"&gt;12.7338474584887&lt;/D&gt;&lt;D xsi:type="xsd:double"&gt;12.9774890630197&lt;/D&gt;&lt;D xsi:type="xsd:double"&gt;12.0436837015941&lt;/D&gt;&lt;D xsi:type="xsd:double"&gt;13.2606373735338&lt;/D&gt;&lt;D xsi:type="xsd:double"&gt;14.072853548934&lt;/D&gt;&lt;D xsi:type="xsd:double"&gt;14.3037955147066&lt;/D&gt;&lt;D xsi:type="xsd:double"&gt;14.6578691230786&lt;/D&gt;&lt;D xsi:type="xsd:double"&gt;14.4421450483321&lt;/D&gt;&lt;D xsi:type="xsd:double"&gt;14.8597141909207&lt;/D&gt;&lt;D xsi:type="xsd:double"&gt;14.8864149475723&lt;/D&gt;&lt;D xsi:type="xsd:double"&gt;15.1928232789965&lt;/D&gt;&lt;D xsi:type="xsd:double"&gt;15.651678595364&lt;/D&gt;&lt;D xsi:type="xsd:double"&gt;16.6149848778516&lt;/D&gt;&lt;D xsi:type="xsd:double"&gt;16.5395094368682&lt;/D&gt;&lt;D xsi:type="xsd:double"&gt;17.6198237254627&lt;/D&gt;&lt;D xsi:type="xsd:double"&gt;16.8367425866105&lt;/D&gt;&lt;D xsi:type="xsd:double"&gt;16.3733100301297&lt;/D&gt;&lt;D xsi:type="xsd:double"&gt;15.9563067722621&lt;/D&gt;&lt;D xsi:type="xsd:double"&gt;16.3479084046583&lt;/D&gt;&lt;D xsi:type="xsd:double"&gt;16.9610724327447&lt;/D&gt;&lt;D xsi:type="xsd:double"&gt;17.3334132038912&lt;/D&gt;&lt;D xsi:type="xsd:double"&gt;17.9215582122068&lt;/D&gt;&lt;D xsi:type="xsd:double"&gt;17.1178931698824&lt;/D&gt;&lt;D xsi:type="xsd:double"&gt;17.0046776238112&lt;/D&gt;&lt;D xsi:type="xsd:double"&gt;16.8451904909833&lt;/D&gt;&lt;D xsi:type="xsd:double"&gt;17.5326654987612&lt;/D&gt;&lt;D xsi:type="xsd:double"&gt;18.5610740951063&lt;/D&gt;&lt;D xsi:type="xsd:double"&gt;18.693024503935&lt;/D&gt;&lt;D xsi:type="xsd:double"&gt;18.5656415388545&lt;/D&gt;&lt;D xsi:type="xsd:double"&gt;18.3214756221562&lt;/D&gt;&lt;D xsi:type="xsd:double"&gt;17.6191244215289&lt;/D&gt;&lt;D xsi:type="xsd:double"&gt;16.9485866107458&lt;/D&gt;&lt;D xsi:type="xsd:double"&gt;16.5071596490179&lt;/D&gt;&lt;D xsi:type="xsd:double"&gt;15.7605283138053&lt;/D&gt;&lt;D xsi:type="xsd:double"&gt;15.0009358310205&lt;/D&gt;&lt;D xsi:type="xsd:double"&gt;13.8440705331716&lt;/D&gt;&lt;D xsi:type="xsd:double"&gt;13.4796850022504&lt;/D&gt;&lt;D xsi:type="xsd:double"&gt;13.1352335439951&lt;/D&gt;&lt;D xsi:type="xsd:double"&gt;13.1967371634451&lt;/D&gt;&lt;D xsi:type="xsd:double"&gt;12.470741017268&lt;/D&gt;&lt;D xsi:type="xsd:double"&gt;12.3623728843633&lt;/D&gt;&lt;D xsi:type="xsd:double"&gt;12.3071999625653&lt;/D&gt;&lt;D xsi:type="xsd:double"&gt;12.0541278004529&lt;/D&gt;&lt;D xsi:type="xsd:double"&gt;11.9833968107321&lt;/D&gt;&lt;D xsi:type="xsd:double"&gt;11.1551654254859&lt;/D&gt;&lt;D xsi:type="xsd:double"&gt;11.0674846275703&lt;/D&gt;&lt;D xsi:type="xsd:double"&gt;10.9872924222716&lt;/D&gt;&lt;D xsi:type="xsd:double"&gt;10.3101635720994&lt;/D&gt;&lt;D xsi:type="xsd:double"&gt;9.96209592960459&lt;/D&gt;&lt;D xsi:type="xsd:double"&gt;11.2602214188543&lt;/D&gt;&lt;D xsi:type="xsd:double"&gt;10.7369189006646&lt;/D&gt;&lt;D xsi:type="xsd:double"&gt;12.2149519095032&lt;/D&gt;&lt;D xsi:type="xsd:double"&gt;12.4799917400657&lt;/D&gt;&lt;D xsi:type="xsd:double"&gt;12.9660759486539&lt;/D&gt;&lt;D xsi:type="xsd:double"&gt;13.3883719405961&lt;/D&gt;&lt;D xsi:type="xsd:double"&gt;14.3966426230858&lt;/D&gt;&lt;D xsi:type="xsd:double"&gt;15.096457263943&lt;/D&gt;&lt;D xsi:type="xsd:double"&gt;15.9012468410372&lt;/D&gt;&lt;D xsi:type="xsd:double"&gt;16.0174981192695&lt;/D&gt;&lt;D xsi:type="xsd:double"&gt;16.2473174903715&lt;/D&gt;&lt;D xsi:type="xsd:double"&gt;16.7579451830869&lt;/D&gt;&lt;D xsi:type="xsd:double"&gt;17.7901568020237&lt;/D&gt;&lt;D xsi:type="xsd:double"&gt;18.5367519524185&lt;/D&gt;&lt;D xsi:type="xsd:double"&gt;18.995755538046&lt;/D&gt;&lt;D xsi:type="xsd:double"&gt;20.2062765352072&lt;/D&gt;&lt;/FQL&gt;&lt;FQL&gt;&lt;Q&gt;NI-FDS^FG_PRICE_MAVG(0,,,,30)&lt;/Q&gt;&lt;R&gt;1&lt;/R&gt;&lt;C&gt;1&lt;/C&gt;&lt;D xsi:type="xsd:double"&gt;16349&lt;/D&gt;&lt;/FQL&gt;&lt;FQL&gt;&lt;Q&gt;FC0000BR^FG_PRICE(0)&lt;/Q&gt;&lt;R&gt;1&lt;/R&gt;&lt;C&gt;1&lt;/C&gt;&lt;D xsi:type="xsd:double"&gt;217.66154&lt;/D&gt;&lt;/FQL&gt;&lt;FQL&gt;&lt;Q&gt;TUR^FG_PRICE(0)&lt;/Q&gt;&lt;R&gt;1&lt;/R&gt;&lt;C&gt;1&lt;/C&gt;&lt;D xsi:type="xsd:double"&gt;36.2&lt;/D&gt;&lt;/FQL&gt;&lt;FQL&gt;&lt;Q&gt;GREK^FG_PRICE(0)&lt;/Q&gt;&lt;R&gt;1&lt;/R&gt;&lt;C&gt;1&lt;/C&gt;&lt;D xsi:type="xsd:double"&gt;40.82&lt;/D&gt;&lt;/FQL&gt;&lt;FQL&gt;&lt;Q&gt;EWT^FG_PRICE_MAVG(0,,,,30)&lt;/Q&gt;&lt;R&gt;1&lt;/R&gt;&lt;C&gt;1&lt;/C&gt;&lt;D xsi:type="xsd:double"&gt;45.802334&lt;/D&gt;&lt;/FQL&gt;&lt;FQL&gt;&lt;Q&gt;EWJ^FG_TOTAL_RETURNC(0,-3AM)&lt;/Q&gt;&lt;R&gt;1&lt;/R&gt;&lt;C&gt;1&lt;/C&gt;&lt;D xsi:type="xsd:double"&gt;13.904452&lt;/D&gt;&lt;/FQL&gt;&lt;FQL&gt;&lt;Q&gt;VNM^FG_TOTAL_RETURNC(0,-6AM)&lt;/Q&gt;&lt;R&gt;1&lt;/R&gt;&lt;C&gt;1&lt;/C&gt;&lt;D xsi:type="xsd:double"&gt;-5.3617835&lt;/D&gt;&lt;/FQL&gt;&lt;FQL&gt;&lt;Q&gt;EWZ^FG_TOTAL_RETURNC(0,-3AM)&lt;/Q&gt;&lt;R&gt;1&lt;/R&gt;&lt;C&gt;1&lt;/C&gt;&lt;D xsi:type="xsd:double"&gt;1.5822172&lt;/D&gt;&lt;/FQL&gt;&lt;FQL&gt;&lt;Q&gt;EPU^FG_TOTAL_RETURNC(0,-6AM)&lt;/Q&gt;&lt;R&gt;1&lt;/R&gt;&lt;C&gt;1&lt;/C&gt;&lt;D xsi:type="xsd:double"&gt;12.914789&lt;/D&gt;&lt;/FQL&gt;&lt;FQL&gt;&lt;Q&gt;EWT^PERCENT_CHANGE(FMA_EPS(+1,0,,,,"PORTAGG","MEAN"),FMA_EPS(+1,-3AM,,,,"PORTAGG","MEAN"))&lt;/Q&gt;&lt;R&gt;1&lt;/R&gt;&lt;C&gt;1&lt;/C&gt;&lt;D xsi:type="xsd:double"&gt;-26.7789166548805&lt;/D&gt;&lt;/FQL&gt;&lt;FQL&gt;&lt;Q&gt;QAT^FMA_COS_UP("EPS","1M",+1,NOW,,,"PORTAGG","MEANR")&lt;/Q&gt;&lt;R&gt;1&lt;/R&gt;&lt;C&gt;1&lt;/C&gt;&lt;D xsi:type="xsd:double"&gt;5&lt;/D&gt;&lt;/FQL&gt;&lt;FQL&gt;&lt;Q&gt;EWZ^FMA_RBICS_REV_CURRENT(30, LOC, "PORTAGG")&lt;/Q&gt;&lt;R&gt;1&lt;/R&gt;&lt;C&gt;1&lt;/C&gt;&lt;D xsi:type="xsd:double"&gt;27.105017275126&lt;/D&gt;&lt;/FQL&gt;&lt;FQL&gt;&lt;Q&gt;INDA^FG_ROE(0)&lt;/Q&gt;&lt;R&gt;1&lt;/R&gt;&lt;C&gt;1&lt;/C&gt;&lt;D xsi:type="xsd:double"&gt;16.1303510074909&lt;/D&gt;&lt;/FQL&gt;&lt;FQL&gt;&lt;Q&gt;REFCNRMB-FDS^PROPER_NAME(0,,,"SECURITY","NAME")&lt;/Q&gt;&lt;R&gt;1&lt;/R&gt;&lt;C&gt;1&lt;/C&gt;&lt;D xsi:type="xsd:string"&gt;China Loan Prime Rate (LPR) - 1 Year&lt;/D&gt;&lt;/FQL&gt;&lt;FQL&gt;&lt;Q&gt;REFIDRREPO-FDS^FG_YIELD(NOW,,,0)&lt;/Q&gt;&lt;R&gt;1&lt;/R&gt;&lt;C&gt;1&lt;/C&gt;&lt;D xsi:type="xsd:double"&gt;6&lt;/D&gt;&lt;/FQL&gt;&lt;FQL&gt;&lt;Q&gt;TRYTW10Y-FDS^PCTCHG(FG_YIELD(0,,,,"YTM"),FG_YIELD(-1AM,,,,"YTM"))&lt;/Q&gt;&lt;R&gt;1&lt;/R&gt;&lt;C&gt;1&lt;/C&gt;&lt;D xsi:type="xsd:double"&gt;2.0476665&lt;/D&gt;&lt;/FQL&gt;&lt;FQL&gt;&lt;Q&gt;TRYZA10Y-FDS^FG_YIELD(0,,,,"YTM")&lt;/Q&gt;&lt;R&gt;1&lt;/R&gt;&lt;C&gt;1&lt;/C&gt;&lt;D xsi:type="xsd:double"&gt;11.671312&lt;/D&gt;&lt;/FQL&gt;&lt;FQL&gt;&lt;Q&gt;TRYID10Y-FDS^FG_YIELD(0,,,,"YTM")&lt;/Q&gt;&lt;R&gt;1&lt;/R&gt;&lt;C&gt;1&lt;/C&gt;&lt;D xsi:type="xsd:double"&gt;6.647175&lt;/D&gt;&lt;/FQL&gt;&lt;FQL&gt;&lt;Q&gt;VGK^FMA_EVAL_EBITDA(NTMA,0,,,"PORTAGG","MEANR")&lt;/Q&gt;&lt;R&gt;1&lt;/R&gt;&lt;C&gt;1&lt;/C&gt;&lt;D xsi:type="xsd:double"&gt;9.03209206976305&lt;/D&gt;&lt;/FQL&gt;&lt;FQL&gt;&lt;Q&gt;SET-BKK^FMA_EVAL_EBITDA(NTMA,0,,,"PORTAGG","MEANR")&lt;/Q&gt;&lt;R&gt;1&lt;/R&gt;&lt;C&gt;1&lt;/C&gt;&lt;D xsi:type="xsd:double"&gt;9.55085100120315&lt;/D&gt;&lt;/FQL&gt;&lt;FQL&gt;&lt;Q&gt;EZA^FG_FCF_YIELD_NTM(0)&lt;/Q&gt;&lt;R&gt;1&lt;/R&gt;&lt;C&gt;1&lt;/C&gt;&lt;D xsi:type="xsd:double"&gt;4.95279952559088&lt;/D&gt;&lt;/FQL&gt;&lt;FQL&gt;&lt;Q&gt;EWM^FG_FCF_YIELD_NTM(0)&lt;/Q&gt;&lt;R&gt;1&lt;/R&gt;&lt;C&gt;1&lt;/C&gt;&lt;D xsi:type="xsd:double"&gt;7.88304872340842&lt;/D&gt;&lt;/FQL&gt;&lt;FQL&gt;&lt;Q&gt;QAT^FG_COMPANY_NAME&lt;/Q&gt;&lt;R&gt;1&lt;/R&gt;&lt;C&gt;1&lt;/C&gt;&lt;D xsi:type="xsd:string"&gt;iShares MSCI Qatar ETF&lt;/D&gt;&lt;/FQL&gt;&lt;FQL&gt;&lt;Q&gt;EWM^JULIAN(FMA_ROE(NTMA,-20AY,NOW,FY,"PORTAGG","MEANR").DATES)&lt;/Q&gt;&lt;R&gt;20&lt;/R&gt;&lt;C&gt;1&lt;/C&gt;&lt;D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xsi:type="xsd:long"&gt;45289&lt;/D&gt;&lt;/FQL&gt;&lt;FQL&gt;&lt;Q&gt;USDSAR^FG_COMPANY_NAME&lt;/Q&gt;&lt;R&gt;1&lt;/R&gt;&lt;C&gt;1&lt;/C&gt;&lt;D xsi:type="xsd:string"&gt;Saudi Arabian Riyal per U.S. Dollar&lt;/D&gt;&lt;/FQL&gt;&lt;FQL&gt;&lt;Q&gt;USDTRY^FG_PRICE_CHANGE(0,-1AY)&lt;/Q&gt;&lt;R&gt;1&lt;/R&gt;&lt;C&gt;1&lt;/C&gt;&lt;D xsi:type="xsd:double"&gt;66.884995&lt;/D&gt;&lt;/FQL&gt;&lt;FQL&gt;&lt;Q&gt;USDCNH^FG_PRICE_CHANGE(0,-6AM)&lt;/Q&gt;&lt;R&gt;1&lt;/R&gt;&lt;C&gt;1&lt;/C&gt;&lt;D xsi:type="xsd:double"&gt;-0.93990564&lt;/D&gt;&lt;/FQL&gt;&lt;FQL&gt;&lt;Q&gt;USDMYR^FG_PRICE_CHANGE(0,-6AM)&lt;/Q&gt;&lt;R&gt;1&lt;/R&gt;&lt;C&gt;1&lt;/C&gt;&lt;D xsi:type="xsd:double"&gt;1.4715314&lt;/D&gt;&lt;/FQL&gt;&lt;FQL&gt;&lt;Q&gt;EPHE^FMA_PE(NTMA,-10AY,0,AM,"PORTAGG","MEANR")&lt;/Q&gt;&lt;R&gt;121&lt;/R&gt;&lt;C&gt;1&lt;/C&gt;&lt;D xsi:type="xsd:double"&gt;17.3054814041687&lt;/D&gt;&lt;D xsi:type="xsd:double"&gt;17.4805263168077&lt;/D&gt;&lt;D xsi:type="xsd:double"&gt;17.4721962090013&lt;/D&gt;&lt;D xsi:type="xsd:double"&gt;17.5831311299621&lt;/D&gt;&lt;D xsi:type="xsd:double"&gt;17.4720006482216&lt;/D&gt;&lt;D xsi:type="xsd:double"&gt;17.5282853968385&lt;/D&gt;&lt;D xsi:type="xsd:double"&gt;17.8743673318321&lt;/D&gt;&lt;D xsi:type="xsd:double"&gt;17.5138659517493&lt;/D&gt;&lt;D xsi:type="xsd:double"&gt;17.6318485592057&lt;/D&gt;&lt;D xsi:type="xsd:double"&gt;17.4904034320298&lt;/D&gt;&lt;D xsi:type="xsd:double"&gt;17.2404685740366&lt;/D&gt;&lt;D xsi:type="xsd:double"&gt;18.1573060754645&lt;/D&gt;&lt;D xsi:type="xsd:double"&gt;18.4426296734026&lt;/D&gt;&lt;D xsi:type="xsd:double"&gt;18.5696990271771&lt;/D&gt;&lt;D xsi:type="xsd:double"&gt;17.9591762389565&lt;/D&gt;&lt;D xsi:type="xsd:double"&gt;17.5734726724085&lt;/D&gt;&lt;D xsi:type="xsd:double"&gt;17.5554116812178&lt;/D&gt;&lt;D xsi:type="xsd:double"&gt;17.7349135681402&lt;/D&gt;&lt;D xsi:type="xsd:double"&gt;16.4645722305374&lt;/D&gt;&lt;D xsi:type="xsd:double"&gt;16.1091232586245&lt;/D&gt;&lt;D xsi:type="xsd:double"&gt;16.9577197145372&lt;/D&gt;&lt;D xsi:type="xsd:double"&gt;16.1272840465684&lt;/D&gt;&lt;D xsi:type="xsd:double"&gt;15.7436580298496&lt;/D&gt;&lt;D xsi:type="xsd:double"&gt;15.2856881552169&lt;/D&gt;&lt;D xsi:type="xsd:double"&gt;15.7123194902115&lt;/D&gt;&lt;D xsi:type="xsd:double"&gt;16.8785247022219&lt;/D&gt;&lt;D xsi:type="xsd:double"&gt;16.079767912953&lt;/D&gt;&lt;D xsi:type="xsd:double"&gt;16.7315005629906&lt;/D&gt;&lt;D xsi:type="xsd:double"&gt;17.5621597393515&lt;/D&gt;&lt;D xsi:type="xsd:double"&gt;17.7929026280618&lt;/D&gt;&lt;D xsi:type="xsd:double"&gt;18.2948834258061&lt;/D&gt;&lt;D xsi:type="xsd:double"&gt;17.2103576141654&lt;/D&gt;&lt;D xsi:type="xsd:double"&gt;16.0508590434764&lt;/D&gt;&lt;D xsi:type="xsd:double"&gt;15.4341778061413&lt;/D&gt;&lt;D xsi:type="xsd:double"&gt;15.9897188119897&lt;/D&gt;&lt;D xsi:type="xsd:double"&gt;16.5243722763139&lt;/D&gt;&lt;D xsi:type="xsd:double"&gt;16.2784103434489&lt;/D&gt;&lt;D xsi:type="xsd:double"&gt;17.0093378476689&lt;/D&gt;&lt;D xsi:type="xsd:double"&gt;17.6640682900737&lt;/D&gt;&lt;D xsi:type="xsd:double"&gt;17.7501717101584&lt;/D&gt;&lt;D xsi:type="xsd:double"&gt;17.1564364161441&lt;/D&gt;&lt;D xsi:type="xsd:double"&gt;16.4990117891462&lt;/D&gt;&lt;D xsi:type="xsd:double"&gt;16.6863549222016&lt;/D&gt;&lt;D xsi:type="xsd:double"&gt;17.6912034074974&lt;/D&gt;&lt;D xsi:type="xsd:double"&gt;17.7873922067393&lt;/D&gt;&lt;D xsi:type="xsd:double"&gt;16.7057602973255&lt;/D&gt;&lt;D xsi:type="xsd:double"&gt;17.886972809359&lt;/D&gt;&lt;D xsi:type="xsd:double"&gt;17.6939436782531&lt;/D&gt;&lt;D xsi:type="xsd:double"&gt;17.1654557802892&lt;/D&gt;&lt;D xsi:type="xsd:double"&gt;16.0331835652468&lt;/D&gt;&lt;D xsi:type="xsd:double"&gt;15.4996693585433&lt;/D&gt;&lt;D xsi:type="xsd:double"&gt;15.9057374714049&lt;/D&gt;&lt;D xsi:type="xsd:double"&gt;14.9491262864318&lt;/D&gt;&lt;D xsi:type="xsd:double"&gt;15.8582521841321&lt;/D&gt;&lt;D xsi:type="xsd:double"&gt;15.2486229513764&lt;/D&gt;&lt;D xsi:type="xsd:double"&gt;13.5804642629438&lt;/D&gt;&lt;D xsi:type="xsd:double"&gt;13.8066296264897&lt;/D&gt;&lt;D xsi:type="xsd:double"&gt;15.0037834485071&lt;/D&gt;&lt;D xsi:type="xsd:double"&gt;15.5865044743917&lt;/D&gt;&lt;D xsi:type="xsd:double"&gt;15.6792051883608&lt;/D&gt;&lt;D xsi:type="xsd:double"&gt;14.9621148267843&lt;/D&gt;&lt;D xsi:type="xsd:double"&gt;15.1670566327824&lt;/D&gt;&lt;D xsi:type="xsd:double"&gt;15.5943220477521&lt;/D&gt;&lt;D xsi:type="xsd:double"&gt;15.3952466908579&lt;/D&gt;&lt;D xsi:type="xsd:double"&gt;15.5885440702822&lt;/D&gt;&lt;D xsi:type="xsd:double"&gt;15.4121608048201&lt;/D&gt;&lt;D xsi:type="xsd:double"&gt;13.8694852289422&lt;/D&gt;&lt;D xsi:type="xsd:double"&gt;13.612005850937&lt;/D&gt;&lt;D xsi:type="xsd:double"&gt;14.2147644794286&lt;/D&gt;&lt;D xsi:type="xsd:double"&gt;13.7098032790213&lt;/D&gt;&lt;D xsi:type="xsd:double"&gt;14.1453502773338&lt;/D&gt;&lt;D xsi:type="xsd:double"&gt;12.9515695494731&lt;/D&gt;&lt;D xsi:type="xsd:double"&gt;12.392644286586&lt;/D&gt;&lt;D xsi:type="xsd:double"&gt;9.91941219493709&lt;/D&gt;&lt;D xsi:type="xsd:double"&gt;11.7897485448698&lt;/D&gt;&lt;D xsi:type="xsd:double"&gt;16.1028460437597&lt;/D&gt;&lt;D xsi:type="xsd:double"&gt;15.9162725588583&lt;/D&gt;&lt;D xsi:type="xsd:double"&gt;14.6859110340038&lt;/D&gt;&lt;D xsi:type="xsd:double"&gt;15.3838471045089&lt;/D&gt;&lt;D xsi:type="xsd:double"&gt;16.0074238338807&lt;/D&gt;&lt;D xsi:type="xsd:double"&gt;16.6454241874002&lt;/D&gt;&lt;D xsi:type="xsd:double"&gt;17.1740548088196&lt;/D&gt;&lt;D xsi:type="xsd:double"&gt;16.5951998452385&lt;/D&gt;&lt;D xsi:type="xsd:double"&gt;15.9553338981176&lt;/D&gt;&lt;D xsi:type="xsd:double"&gt;15.8540755331467&lt;/D&gt;&lt;D xsi:type="xsd:double"&gt;14.7878198147702&lt;/D&gt;&lt;D xsi:type="xsd:double"&gt;14.5613938387253&lt;/D&gt;&lt;D xsi:type="xsd:double"&gt;16.3838717701757&lt;/D&gt;&lt;D xsi:type="xsd:double"&gt;16.4447168934053&lt;/D&gt;&lt;D xsi:type="xsd:double"&gt;15.2294443611888&lt;/D&gt;&lt;D xsi:type="xsd:double"&gt;15.920714268953&lt;/D&gt;&lt;D xsi:type="xsd:double"&gt;15.8223987235125&lt;/D&gt;&lt;D xsi:type="xsd:double"&gt;16.2368174762729&lt;/D&gt;&lt;D xsi:type="xsd:double"&gt;15.2492128850362&lt;/D&gt;&lt;D xsi:type="xsd:double"&gt;14.9011920278336&lt;/D&gt;&lt;D xsi:type="xsd:double"&gt;15.5067120793581&lt;/D&gt;&lt;D xsi:type="xsd:double"&gt;15.0354454610452&lt;/D&gt;&lt;D xsi:type="xsd:double"&gt;14.7290933129873&lt;/D&gt;&lt;D xsi:type="xsd:double"&gt;13.6666794541126&lt;/D&gt;&lt;D xsi:type="xsd:double"&gt;13.6549832236333&lt;/D&gt;&lt;D xsi:type="xsd:double"&gt;12.4965659497527&lt;/D&gt;&lt;D xsi:type="xsd:double"&gt;12.9900893982477&lt;/D&gt;&lt;D xsi:type="xsd:double"&gt;13.0411350981614&lt;/D&gt;&lt;D xsi:type="xsd:double"&gt;11.5775851366158&lt;/D&gt;&lt;D xsi:type="xsd:double"&gt;11.8046103019813&lt;/D&gt;&lt;D xsi:type="xsd:double"&gt;12.4191156662776&lt;/D&gt;&lt;D xsi:type="xsd:double"&gt;12.851186249725&lt;/D&gt;&lt;D xsi:type="xsd:double"&gt;13.1549262157973&lt;/D&gt;&lt;D xsi:type="xsd:double"&gt;11.9894945453882&lt;/D&gt;&lt;D xsi:type="xsd:double"&gt;11.7399149182816&lt;/D&gt;&lt;D xsi:type="xsd:double"&gt;11.6545537432568&lt;/D&gt;&lt;D xsi:type="xsd:double"&gt;10.2776667708955&lt;/D&gt;&lt;D xsi:type="xsd:double"&gt;10.1887536959471&lt;/D&gt;&lt;D xsi:type="xsd:double"&gt;9.98541309943836&lt;/D&gt;&lt;D xsi:type="xsd:double"&gt;9.38114675470482&lt;/D&gt;&lt;D xsi:type="xsd:double"&gt;9.94426370774201&lt;/D&gt;&lt;D xsi:type="xsd:double"&gt;9.3574649617646&lt;/D&gt;&lt;D xsi:type="xsd:double"&gt;9.49615181382585&lt;/D&gt;&lt;D xsi:type="xsd:double"&gt;9.60229181228178&lt;/D&gt;&lt;D xsi:type="xsd:double"&gt;9.62740987270476&lt;/D&gt;&lt;D xsi:type="xsd:double"&gt;10.6826859921152&lt;/D&gt;&lt;/FQL&gt;&lt;FQL&gt;&lt;Q&gt;EPU^FMA_PE(LTMA,-10AY,0,AM,"PORTAGG","MEANR")&lt;/Q&gt;&lt;R&gt;121&lt;/R&gt;&lt;C&gt;1&lt;/C&gt;&lt;D xsi:type="xsd:double"&gt;15.2018991228054&lt;/D&gt;&lt;D xsi:type="xsd:double"&gt;14.8596197843815&lt;/D&gt;&lt;D xsi:type="xsd:double"&gt;14.7985458468879&lt;/D&gt;&lt;D xsi:type="xsd:double"&gt;15.2482191904113&lt;/D&gt;&lt;D xsi:type="xsd:double"&gt;15.9972007285938&lt;/D&gt;&lt;D xsi:type="xsd:double"&gt;16.2637899846397&lt;/D&gt;&lt;D xsi:type="xsd:double"&gt;15.6953679671657&lt;/D&gt;&lt;D xsi:type="xsd:double"&gt;14.863725297798&lt;/D&gt;&lt;D xsi:type="xsd:double"&gt;14.1286277846594&lt;/D&gt;&lt;D xsi:type="xsd:double"&gt;14.5470508302185&lt;/D&gt;&lt;D xsi:type="xsd:double"&gt;14.2787018214046&lt;/D&gt;&lt;D xsi:type="xsd:double"&gt;15.8331193939616&lt;/D&gt;&lt;D xsi:type="xsd:double"&gt;16.3106453132719&lt;/D&gt;&lt;D xsi:type="xsd:double"&gt;16.0678640709578&lt;/D&gt;&lt;D xsi:type="xsd:double"&gt;15.7030229898499&lt;/D&gt;&lt;D xsi:type="xsd:double"&gt;16.2269204545457&lt;/D&gt;&lt;D xsi:type="xsd:double"&gt;15.8560402259075&lt;/D&gt;&lt;D xsi:type="xsd:double"&gt;15.3572996732201&lt;/D&gt;&lt;D xsi:type="xsd:double"&gt;14.3072907373269&lt;/D&gt;&lt;D xsi:type="xsd:double"&gt;14.6147924604486&lt;/D&gt;&lt;D xsi:type="xsd:double"&gt;11.8803998067271&lt;/D&gt;&lt;D xsi:type="xsd:double"&gt;11.2486332015899&lt;/D&gt;&lt;D xsi:type="xsd:double"&gt;15.0177648022536&lt;/D&gt;&lt;D xsi:type="xsd:double"&gt;16.452635971437&lt;/D&gt;&lt;D xsi:type="xsd:double"&gt;22.5946255292863&lt;/D&gt;&lt;D xsi:type="xsd:double"&gt;21.9090086112884&lt;/D&gt;&lt;D xsi:type="xsd:double"&gt;21.4795762402415&lt;/D&gt;&lt;D xsi:type="xsd:double"&gt;20.7207559839535&lt;/D&gt;&lt;D xsi:type="xsd:double"&gt;20.0443484226961&lt;/D&gt;&lt;D xsi:type="xsd:double"&gt;19.4878076989061&lt;/D&gt;&lt;D xsi:type="xsd:double"&gt;18.3388804365906&lt;/D&gt;&lt;D xsi:type="xsd:double"&gt;16.907253539292&lt;/D&gt;&lt;D xsi:type="xsd:double"&gt;16.2056982302207&lt;/D&gt;&lt;D xsi:type="xsd:double"&gt;15.6732210783213&lt;/D&gt;&lt;D xsi:type="xsd:double"&gt;15.5802241738764&lt;/D&gt;&lt;D xsi:type="xsd:double"&gt;17.2240148144419&lt;/D&gt;&lt;D xsi:type="xsd:double"&gt;16.220229091802&lt;/D&gt;&lt;D xsi:type="xsd:double"&gt;15.7993812471581&lt;/D&gt;&lt;D xsi:type="xsd:double"&gt;14.8980327670608&lt;/D&gt;&lt;D xsi:type="xsd:double"&gt;15.0156033524463&lt;/D&gt;&lt;D xsi:type="xsd:double"&gt;14.796424903224&lt;/D&gt;&lt;D xsi:type="xsd:double"&gt;14.9635975239123&lt;/D&gt;&lt;D xsi:type="xsd:double"&gt;14.9823818634649&lt;/D&gt;&lt;D xsi:type="xsd:double"&gt;17.0354416307464&lt;/D&gt;&lt;D xsi:type="xsd:double"&gt;16.6636315979134&lt;/D&gt;&lt;D xsi:type="xsd:double"&gt;16.7309732693302&lt;/D&gt;&lt;D xsi:type="xsd:double"&gt;17.6001203533878&lt;/D&gt;&lt;D xsi:type="xsd:double"&gt;18.3804142688281&lt;/D&gt;&lt;D xsi:type="xsd:double"&gt;19.8613802352699&lt;/D&gt;&lt;D xsi:type="xsd:double"&gt;19.2664618380131&lt;/D&gt;&lt;D xsi:type="xsd:double"&gt;18.6253330470671&lt;/D&gt;&lt;D xsi:type="xsd:double"&gt;17.9701798822803&lt;/D&gt;&lt;D xsi:type="xsd:double"&gt;17.6815711742206&lt;/D&gt;&lt;D xsi:type="xsd:double"&gt;17.794494285963&lt;/D&gt;&lt;D xsi:type="xsd:double"&gt;16.4747974214185&lt;/D&gt;&lt;D xsi:type="xsd:double"&gt;16.4244758539397&lt;/D&gt;&lt;D xsi:type="xsd:double"&gt;16.4884067189515&lt;/D&gt;&lt;D xsi:type="xsd:double"&gt;16.7393211737227&lt;/D&gt;&lt;D xsi:type="xsd:double"&gt;17.4714886299031&lt;/D&gt;&lt;D xsi:type="xsd:double"&gt;19.064999486265&lt;/D&gt;&lt;D xsi:type="xsd:double"&gt;20.1377285148211&lt;/D&gt;&lt;D xsi:type="xsd:double"&gt;19.8111418987153&lt;/D&gt;&lt;D xsi:type="xsd:double"&gt;18.8543253230113&lt;/D&gt;&lt;D xsi:type="xsd:double"&gt;17.9980728047653&lt;/D&gt;&lt;D xsi:type="xsd:double"&gt;17.7807206021393&lt;/D&gt;&lt;D xsi:type="xsd:double"&gt;18.1280764875984&lt;/D&gt;&lt;D xsi:type="xsd:double"&gt;17.8621254394273&lt;/D&gt;&lt;D xsi:type="xsd:double"&gt;16.8846902781791&lt;/D&gt;&lt;D xsi:type="xsd:double"&gt;17.3866093829073&lt;/D&gt;&lt;D xsi:type="xsd:double"&gt;16.2538978941904&lt;/D&gt;&lt;D xsi:type="xsd:double"&gt;17.0322652856355&lt;/D&gt;&lt;D xsi:type="xsd:double"&gt;16.9356605539617&lt;/D&gt;&lt;D xsi:type="xsd:double"&gt;16.6850308342298&lt;/D&gt;&lt;D xsi:type="xsd:double"&gt;15.469617843098&lt;/D&gt;&lt;D xsi:type="xsd:double"&gt;16.5361880083871&lt;/D&gt;&lt;D xsi:type="xsd:double"&gt;18.7056442414556&lt;/D&gt;&lt;D xsi:type="xsd:double"&gt;21.8441007650139&lt;/D&gt;&lt;D xsi:type="xsd:double"&gt;24.4043645601215&lt;/D&gt;&lt;D xsi:type="xsd:double"&gt;34.4664228055574&lt;/D&gt;&lt;D xsi:type="xsd:double"&gt;38.4885031174583&lt;/D&gt;&lt;D xsi:type="xsd:double"&gt;41.3334490749415&lt;/D&gt;&lt;D xsi:type="xsd:double"&gt;50.2162696013426&lt;/D&gt;&lt;D xsi:type="xsd:double"&gt;49.0265557173429&lt;/D&gt;&lt;D xsi:type="xsd:double"&gt;46.9694761623723&lt;/D&gt;&lt;D xsi:type="xsd:double"&gt;67.1863106440541&lt;/D&gt;&lt;D xsi:type="xsd:double"&gt;62.0083812641205&lt;/D&gt;&lt;D xsi:type="xsd:double"&gt;55.330465936538&lt;/D&gt;&lt;D xsi:type="xsd:double"&gt;49.543332863981&lt;/D&gt;&lt;D xsi:type="xsd:double"&gt;43.5806318250626&lt;/D&gt;&lt;D xsi:type="xsd:double"&gt;36.7933475011876&lt;/D&gt;&lt;D xsi:type="xsd:double"&gt;32.1203402818863&lt;/D&gt;&lt;D xsi:type="xsd:double"&gt;26.3800433808703&lt;/D&gt;&lt;D xsi:type="xsd:double"&gt;21.0376371168874&lt;/D&gt;&lt;D xsi:type="xsd:double"&gt;15.8571255342135&lt;/D&gt;&lt;D xsi:type="xsd:double"&gt;11.6438312802774&lt;/D&gt;&lt;D xsi:type="xsd:double"&gt;11.514429650154&lt;/D&gt;&lt;D xsi:type="xsd:double"&gt;13.6063644112981&lt;/D&gt;&lt;D xsi:type="xsd:double"&gt;13.2338323062739&lt;/D&gt;&lt;D xsi:type="xsd:double"&gt;12.3639770091475&lt;/D&gt;&lt;D xsi:type="xsd:double"&gt;11.7492753988532&lt;/D&gt;&lt;D xsi:type="xsd:double"&gt;10.5814890450214&lt;/D&gt;&lt;D xsi:type="xsd:double"&gt;9.99230890621252&lt;/D&gt;&lt;D xsi:type="xsd:double"&gt;9.53006045103508&lt;/D&gt;&lt;D xsi:type="xsd:double"&gt;9.52464948370271&lt;/D&gt;&lt;D xsi:type="xsd:double"&gt;9.98026263785284&lt;/D&gt;&lt;D xsi:type="xsd:double"&gt;10.0512820174107&lt;/D&gt;&lt;D xsi:type="xsd:double"&gt;9.50744030740823&lt;/D&gt;&lt;D xsi:type="xsd:double"&gt;10.0329031524555&lt;/D&gt;&lt;D xsi:type="xsd:double"&gt;9.43553616339219&lt;/D&gt;&lt;D xsi:type="xsd:double"&gt;9.53053598912444&lt;/D&gt;&lt;D xsi:type="xsd:double"&gt;9.54844434561847&lt;/D&gt;&lt;D xsi:type="xsd:double"&gt;9.69228412917805&lt;/D&gt;&lt;D xsi:type="xsd:double"&gt;10.0997210929447&lt;/D&gt;&lt;D xsi:type="xsd:double"&gt;11.0051148142674&lt;/D&gt;&lt;D xsi:type="xsd:double"&gt;11.0409236584548&lt;/D&gt;&lt;D xsi:type="xsd:double"&gt;10.4765490679137&lt;/D&gt;&lt;D xsi:type="xsd:double"&gt;11.1228640242086&lt;/D&gt;&lt;D xsi:type="xsd:double"&gt;12.7296781614717&lt;/D&gt;&lt;D xsi:type="xsd:double"&gt;14.6279345297278&lt;/D&gt;&lt;D xsi:type="xsd:double"&gt;14.8759824876001&lt;/D&gt;&lt;D xsi:type="xsd:double"&gt;15.6372900976655&lt;/D&gt;&lt;/FQL&gt;&lt;FQL&gt;&lt;Q&gt;WL-FDS^FG_PRICE_CHANGE(0,-3AM)&lt;/Q&gt;&lt;R&gt;1&lt;/R&gt;&lt;C&gt;1&lt;/C&gt;&lt;D xsi:type="xsd:double"&gt;-16.4200140944327&lt;/D&gt;&lt;/FQL&gt;&lt;FQL&gt;&lt;Q&gt;W-FDS^FG_PRICE(0)/MAX(FG_PRICE(0,-1AY))&lt;/Q&gt;&lt;R&gt;1&lt;/R&gt;&lt;C&gt;1&lt;/C&gt;&lt;D xsi:type="xsd:double"&gt;0.741203551463334&lt;/D&gt;&lt;/FQL&gt;&lt;FQL&gt;&lt;Q&gt;COPP-FDS^FG_PRICE_CHANGE(0,-3AM)&lt;/Q&gt;&lt;R&gt;1&lt;/R&gt;&lt;C&gt;1&lt;/C&gt;&lt;D xsi:type="xsd:double"&gt;0.824499411071855&lt;/D&gt;&lt;/FQL&gt;&lt;FQL&gt;&lt;Q&gt;FTSEWIVNXXXX^FG_PRICE(0)&lt;/Q&gt;&lt;R&gt;1&lt;/R&gt;&lt;C&gt;1&lt;/C&gt;&lt;D xsi:type="xsd:double"&gt;393.4606993&lt;/D&gt;&lt;/FQL&gt;&lt;FQL&gt;&lt;Q&gt;FC0000PE^FG_PRICE(0)&lt;/Q&gt;&lt;R&gt;1&lt;/R&gt;&lt;C&gt;1&lt;/C&gt;&lt;D xsi:type="xsd:double"&gt;866.05597&lt;/D&gt;&lt;/FQL&gt;&lt;FQL&gt;&lt;Q&gt;SET-BKK^FG_PRICE_MAVG(0,,,,60)&lt;/Q&gt;&lt;R&gt;1&lt;/R&gt;&lt;C&gt;1&lt;/C&gt;&lt;D xsi:type="xsd:double"&gt;1391.6139&lt;/D&gt;&lt;/FQL&gt;&lt;FQL&gt;&lt;Q&gt;EIDO^FG_PRICE_MAVG(0,,,,60)&lt;/Q&gt;&lt;R&gt;1&lt;/R&gt;&lt;C&gt;1&lt;/C&gt;&lt;D xsi:type="xsd:double"&gt;22.168333&lt;/D&gt;&lt;/FQL&gt;&lt;FQL&gt;&lt;Q&gt;MCHI^P_PRICE(0)/P_PRICE_HIGH_PR(0,,,USD,,,"PRICE","INTRA","52W")&lt;/Q&gt;&lt;R&gt;1&lt;/R&gt;&lt;C&gt;1&lt;/C&gt;&lt;D xsi:type="xsd:double"&gt;0.76958066&lt;/D&gt;&lt;/FQL&gt;&lt;FQL&gt;&lt;Q&gt;CNYA^P_PRICE(0)/P_PRICE_HIGH_PR(0,,,USD,,,"PRICE","INTRA","52W")&lt;/Q&gt;&lt;R&gt;1&lt;/R&gt;&lt;C&gt;1&lt;/C&gt;&lt;D xsi:type="xsd:double"&gt;0.77883756&lt;/D&gt;&lt;/FQL&gt;&lt;FQL&gt;&lt;Q&gt;KSA^FMA_PCT_ABOVE_MAVG(200,0,,,,"PORTAGG")&lt;/Q&gt;&lt;R&gt;1&lt;/R&gt;&lt;C&gt;1&lt;/C&gt;&lt;D xsi:type="xsd:double"&gt;71.4285714285714&lt;/D&gt;&lt;/FQL&gt;&lt;FQL&gt;&lt;Q&gt;INDA^PERCENT_CHANGE(FMA_EPS(+1,0,,,,"PORTAGG","MEAN"),FMA_EPS(+1,-3AM,,,,"PORTAGG","MEAN"))&lt;/Q&gt;&lt;R&gt;1&lt;/R&gt;&lt;C&gt;1&lt;/C&gt;&lt;D xsi:type="xsd:double"&gt;-14.7870489287111&lt;/D&gt;&lt;/FQL&gt;&lt;FQL&gt;&lt;Q&gt;ECH^PERCENT_CHANGE(FMA_EPS(+1,0,,,,"PORTAGG","MEAN"),FMA_EPS(+1,-1AM,,,,"PORTAGG","MEAN"))&lt;/Q&gt;&lt;R&gt;1&lt;/R&gt;&lt;C&gt;1&lt;/C&gt;&lt;D xsi:type="xsd:double"&gt;21.8089679065981&lt;/D&gt;&lt;/FQL&gt;&lt;FQL&gt;&lt;Q&gt;VGK^FMA_COS_UP("EPS","1M",+1,NOW,,,"PORTAGG","MEANR")&lt;/Q&gt;&lt;R&gt;1&lt;/R&gt;&lt;C&gt;1&lt;/C&gt;&lt;D xsi:type="xsd:double"&gt;432&lt;/D&gt;&lt;/FQL&gt;&lt;FQL&gt;&lt;Q&gt;EWW^SIZE(FG_CONSTITUENTS)&lt;/Q&gt;&lt;R&gt;1&lt;/R&gt;&lt;C&gt;1&lt;/C&gt;&lt;D xsi:type="xsd:long"&gt;44&lt;/D&gt;&lt;/FQL&gt;&lt;FQL&gt;&lt;Q&gt;EIDO^FMA_COS_DOWN("EPS","1M",+1,NOW,,,"PORTAGG","MEANR")&lt;/Q&gt;&lt;R&gt;1&lt;/R&gt;&lt;C&gt;1&lt;/C&gt;&lt;D xsi:type="xsd:double"&gt;20&lt;/D&gt;&lt;/FQL&gt;&lt;FQL&gt;&lt;Q&gt;REFVNDISC-FDS^(SUBARRAY(NOT_NA(NO_REPEAT_F(FG_YIELD(NOW,-10AY,D))),0,1)-SUBARRAY(NOT_NA(NO_REPEAT_F(FG_YIELD(NOW,-10AY,D))),1,1))*100&lt;/Q&gt;&lt;R&gt;1&lt;/R&gt;&lt;C&gt;1&lt;/C&gt;&lt;D xsi:type="xsd:double"&gt;-50&lt;/D&gt;&lt;/FQL&gt;&lt;FQL&gt;&lt;Q&gt;REFMXTON-FDS^PROPER_NAME(0,,,"SECURITY","NAME")&lt;/Q&gt;&lt;R&gt;1&lt;/R&gt;&lt;C&gt;1&lt;/C&gt;&lt;D xsi:type="xsd:string"&gt;Mexico Target Rate - Overnight&lt;/D&gt;&lt;/FQL&gt;&lt;FQL&gt;&lt;Q&gt;TRYQA10Y-FDS^PCTCHG(FG_YIELD(0,,,,"YTM"),FG_YIELD(-3AM,,,,"YTM"))&lt;/Q&gt;&lt;R&gt;0&lt;/R&gt;&lt;C&gt;0&lt;/C&gt;&lt;/FQL&gt;&lt;FQL&gt;&lt;Q&gt;TRYSA10Y-FDS^FG_YIELD_NAME&lt;/Q&gt;&lt;R&gt;1&lt;/R&gt;&lt;C&gt;1&lt;/C&gt;&lt;D xsi:type="xsd:string"&gt;Treasury - SAUDI ARABIA Benchmark Bond 10Y&lt;/D&gt;&lt;/FQL&gt;&lt;FQL&gt;&lt;Q&gt;CC_MX^IMF_IFS_RCPI_Q(0)&lt;/Q&gt;&lt;R&gt;1&lt;/R&gt;&lt;C&gt;1&lt;/C&gt;&lt;D xsi:type="xsd:double"&gt;4.4145546&lt;/D&gt;&lt;/FQL&gt;&lt;FQL&gt;&lt;Q&gt;VNM^FMA_PE(LTM,0,,,"PORTAGG","MEANR")&lt;/Q&gt;&lt;R&gt;1&lt;/R&gt;&lt;C&gt;1&lt;/C&gt;&lt;D xsi:type="xsd:double"&gt;19.4195861548886&lt;/D&gt;&lt;/FQL&gt;&lt;FQL&gt;&lt;Q&gt;MCHI^JULIAN(FMA_DIV_YLD(NTMA,NOW,NOW,M,"PORTAGG","MEANR").DATES)&lt;/Q&gt;&lt;R&gt;1&lt;/R&gt;&lt;C&gt;1&lt;/C&gt;&lt;D xsi:type="xsd:long"&gt;45351&lt;/D&gt;&lt;/FQL&gt;&lt;FQL&gt;&lt;Q&gt;EWY^JULIAN(FMA_DIV_YLD(NTMA,NOW,NOW,M,"PORTAGG","MEANR").DATES)&lt;/Q&gt;&lt;R&gt;1&lt;/R&gt;&lt;C&gt;1&lt;/C&gt;&lt;D xsi:type="xsd:long"&gt;45350&lt;/D&gt;&lt;/FQL&gt;&lt;FQL&gt;&lt;Q&gt;EPOL^JULIAN(FMA_DIV_YLD(NTMA,NOW,NOW,M,"PORTAGG","MEANR").DATES)&lt;/Q&gt;&lt;R&gt;1&lt;/R&gt;&lt;C&gt;1&lt;/C&gt;&lt;D xsi:type="xsd:long"&gt;45351&lt;/D&gt;&lt;/FQL&gt;&lt;FQL&gt;&lt;Q&gt;ECH^FMA_DIV_YLD(NTMA,NOW,NOW,M,"PORTAGG","MEANR")&lt;/Q&gt;&lt;R&gt;1&lt;/R&gt;&lt;C&gt;1&lt;/C&gt;&lt;D xsi:type="xsd:double"&gt;7.29695388180185&lt;/D&gt;&lt;/FQL&gt;&lt;FQL&gt;&lt;Q&gt;TRYJP10Y-FDS^FG_YIELD(-10AY,0,Y,,"YTM")&lt;/Q&gt;&lt;R&gt;10&lt;/R&gt;&lt;C&gt;1&lt;/C&gt;&lt;D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xsi:type="xsd:double"&gt;0.6127&lt;/D&gt;&lt;/FQL&gt;&lt;FQL&gt;&lt;Q&gt;CAGDPY@VN^EE_ACTUAL_ANNUAL(MED,+1)&lt;/Q&gt;&lt;R&gt;0&lt;/R&gt;&lt;C&gt;0&lt;/C&gt;&lt;/FQL&gt;&lt;FQL&gt;&lt;Q&gt;CAGDPY@MX^EE_ACTUAL_ANNUAL(MED,+1)&lt;/Q&gt;&lt;R&gt;1&lt;/R&gt;&lt;C&gt;1&lt;/C&gt;&lt;D xsi:type="xsd:double"&gt;-0.8&lt;/D&gt;&lt;/FQL&gt;&lt;FQL&gt;&lt;Q&gt;CC_IN^FG_COMPANY_NAME&lt;/Q&gt;&lt;R&gt;1&lt;/R&gt;&lt;C&gt;1&lt;/C&gt;&lt;D xsi:type="xsd:string"&gt;India&lt;/D&gt;&lt;/FQL&gt;&lt;FQL&gt;&lt;Q&gt;USDTRY^FG_PRICE(0)&lt;/Q&gt;&lt;R&gt;1&lt;/R&gt;&lt;C&gt;1&lt;/C&gt;&lt;D xsi:type="xsd:double"&gt;31.5315&lt;/D&gt;&lt;/FQL&gt;&lt;FQL&gt;&lt;Q&gt;USDEUR^FG_COMPANY_NAME&lt;/Q&gt;&lt;R&gt;1&lt;/R&gt;&lt;C&gt;1&lt;/C&gt;&lt;D xsi:type="xsd:string"&gt;Euro per U.S. Dollar&lt;/D&gt;&lt;/FQL&gt;&lt;FQL&gt;&lt;Q&gt;USDKRW^FG_PRICE(0)&lt;/Q&gt;&lt;R&gt;1&lt;/R&gt;&lt;C&gt;1&lt;/C&gt;&lt;D xsi:type="xsd:double"&gt;1331.25&lt;/D&gt;&lt;/FQL&gt;&lt;FQL&gt;&lt;Q&gt;USDPLN^FG_COMPANY_NAME&lt;/Q&gt;&lt;R&gt;1&lt;/R&gt;&lt;C&gt;1&lt;/C&gt;&lt;D xsi:type="xsd:string"&gt;Polish Zloty per U.S. Dollar&lt;/D&gt;&lt;/FQL&gt;&lt;FQL&gt;&lt;Q&gt;USDCLP^FG_PRICE_CHANGE(0,-3AM)&lt;/Q&gt;&lt;R&gt;1&lt;/R&gt;&lt;C&gt;1&lt;/C&gt;&lt;D xsi:type="xsd:double"&gt;12.318087&lt;/D&gt;&lt;/FQL&gt;&lt;FQL&gt;&lt;Q&gt;FC0000ZA^FMA_EPS(NTMA,-20AY,0,CY,,"PORTAGG","MEANR")&lt;/Q&gt;&lt;R&gt;20&lt;/R&gt;&lt;C&gt;1&lt;/C&gt;&lt;D xsi:type="xsd:double"&gt;21.1738585852974&lt;/D&gt;&lt;D xsi:type="xsd:double"&gt;23.7133706065956&lt;/D&gt;&lt;D xsi:type="xsd:double"&gt;27.6451629284564&lt;/D&gt;&lt;D xsi:type="xsd:double"&gt;34.5616321819067&lt;/D&gt;&lt;D xsi:type="xsd:double"&gt;25.2671072778123&lt;/D&gt;&lt;D xsi:type="xsd:double"&gt;27.8489815431612&lt;/D&gt;&lt;D xsi:type="xsd:double"&gt;37.9789630694542&lt;/D&gt;&lt;D xsi:type="xsd:double"&gt;35.9045018487394&lt;/D&gt;&lt;D xsi:type="xsd:double"&gt;33.8436615365372&lt;/D&gt;&lt;D xsi:type="xsd:double"&gt;28.3585622697464&lt;/D&gt;&lt;D xsi:type="xsd:double"&gt;25.4355494971776&lt;/D&gt;&lt;D xsi:type="xsd:double"&gt;19.9580367513956&lt;/D&gt;&lt;D xsi:type="xsd:double"&gt;24.0966328377552&lt;/D&gt;&lt;D xsi:type="xsd:double"&gt;27.7235772532822&lt;/D&gt;&lt;D xsi:type="xsd:double"&gt;26.7049155898813&lt;/D&gt;&lt;D xsi:type="xsd:double"&gt;31.8033411235607&lt;/D&gt;&lt;D xsi:type="xsd:double"&gt;34.3219020154309&lt;/D&gt;&lt;D xsi:type="xsd:double"&gt;36.7799117259767&lt;/D&gt;&lt;D xsi:type="xsd:double"&gt;38.5431317680412&lt;/D&gt;&lt;D xsi:type="xsd:double"&gt;33.8852084537244&lt;/D&gt;&lt;/FQL&gt;&lt;FQL&gt;&lt;Q&gt;INDA^P_PRICE_RETURNS_PR('52W',2,-10AY,0,AM)&lt;/Q&gt;&lt;R&gt;121&lt;/R&gt;&lt;C&gt;1&lt;/C&gt;&lt;D xsi:type="xsd:double"&gt;-1.4168441&lt;/D&gt;&lt;D xsi:type="xsd:double"&gt;8.485341&lt;/D&gt;&lt;D xsi:type="xsd:double"&gt;-0.15670061&lt;/D&gt;&lt;D xsi:type="xsd:double"&gt;17.365658&lt;/D&gt;&lt;D xsi:type="xsd:double"&gt;33.15792&lt;/D&gt;&lt;D xsi:type="xsd:double"&gt;32.55191&lt;/D&gt;&lt;D xsi:type="xsd:double"&gt;54.45496&lt;/D&gt;&lt;D xsi:type="xsd:double"&gt;32.12848&lt;/D&gt;&lt;D xsi:type="xsd:double"&gt;29.294765&lt;/D&gt;&lt;D xsi:type="xsd:double"&gt;32.755722&lt;/D&gt;&lt;D xsi:type="xsd:double"&gt;29.651892&lt;/D&gt;&lt;D xsi:type="xsd:double"&gt;39.111675&lt;/D&gt;&lt;D xsi:type="xsd:double"&gt;36.883617&lt;/D&gt;&lt;D xsi:type="xsd:double"&gt;21.864426&lt;/D&gt;&lt;D xsi:type="xsd:double"&gt;14.790988&lt;/D&gt;&lt;D xsi:type="xsd:double"&gt;0.9171963&lt;/D&gt;&lt;D xsi:type="xsd:double"&gt;1.1672139&lt;/D&gt;&lt;D xsi:type="xsd:double"&gt;4.137063&lt;/D&gt;&lt;D xsi:type="xsd:double"&gt;-14.562511&lt;/D&gt;&lt;D xsi:type="xsd:double"&gt;-3.4284055&lt;/D&gt;&lt;D xsi:type="xsd:double"&gt;-10.201359&lt;/D&gt;&lt;D xsi:type="xsd:double"&gt;-15.026408&lt;/D&gt;&lt;D xsi:type="xsd:double"&gt;-10.394973&lt;/D&gt;&lt;D xsi:type="xsd:double"&gt;-20.449596&lt;/D&gt;&lt;D xsi:type="xsd:double"&gt;-20.380121&lt;/D&gt;&lt;D xsi:type="xsd:double"&gt;-16.056787&lt;/D&gt;&lt;D xsi:type="xsd:double"&gt;-11.681461&lt;/D&gt;&lt;D xsi:type="xsd:double"&gt;-2.6809394&lt;/D&gt;&lt;D xsi:type="xsd:double"&gt;-6.363535&lt;/D&gt;&lt;D xsi:type="xsd:double"&gt;-4.1830006&lt;/D&gt;&lt;D xsi:type="xsd:double"&gt;11.198652&lt;/D&gt;&lt;D xsi:type="xsd:double"&gt;4.723716&lt;/D&gt;&lt;D xsi:type="xsd:double"&gt;0.2445221&lt;/D&gt;&lt;D xsi:type="xsd:double"&gt;-0.8528948&lt;/D&gt;&lt;D xsi:type="xsd:double"&gt;1.4936924&lt;/D&gt;&lt;D xsi:type="xsd:double"&gt;15.075445&lt;/D&gt;&lt;D xsi:type="xsd:double"&gt;16.365242&lt;/D&gt;&lt;D xsi:type="xsd:double"&gt;18.663656&lt;/D&gt;&lt;D xsi:type="xsd:double"&gt;22.355986&lt;/D&gt;&lt;D xsi:type="xsd:double"&gt;18.77309&lt;/D&gt;&lt;D xsi:type="xsd:double"&gt;15.366972&lt;/D&gt;&lt;D xsi:type="xsd:double"&gt;19.828749&lt;/D&gt;&lt;D xsi:type="xsd:double"&gt;16.957914&lt;/D&gt;&lt;D xsi:type="xsd:double"&gt;12.620056&lt;/D&gt;&lt;D xsi:type="xsd:double"&gt;25.471067&lt;/D&gt;&lt;D xsi:type="xsd:double"&gt;30.326916&lt;/D&gt;&lt;D xsi:type="xsd:double"&gt;36.06595&lt;/D&gt;&lt;D xsi:type="xsd:double"&gt;24.079918&lt;/D&gt;&lt;D xsi:type="xsd:double"&gt;17.909754&lt;/D&gt;&lt;D xsi:type="xsd:double"&gt;9.434187&lt;/D&gt;&lt;D xsi:type="xsd:double"&gt;8.088673&lt;/D&gt;&lt;D xsi:type="xsd:double"&gt;2.3715615&lt;/D&gt;&lt;D xsi:type="xsd:double"&gt;3.2910943&lt;/D&gt;&lt;D xsi:type="xsd:double"&gt;4.307747&lt;/D&gt;&lt;D xsi:type="xsd:double"&gt;1.3323426&lt;/D&gt;&lt;D xsi:type="xsd:double"&gt;-7.879347&lt;/D&gt;&lt;D xsi:type="xsd:double"&gt;-11.576319&lt;/D&gt;&lt;D xsi:type="xsd:double"&gt;-3.7454426&lt;/D&gt;&lt;D xsi:type="xsd:double"&gt;-7.725209&lt;/D&gt;&lt;D xsi:type="xsd:double"&gt;-7.1837068&lt;/D&gt;&lt;D xsi:type="xsd:double"&gt;-4.940075&lt;/D&gt;&lt;D xsi:type="xsd:double"&gt;4.4777274&lt;/D&gt;&lt;D xsi:type="xsd:double"&gt;4.532373&lt;/D&gt;&lt;D xsi:type="xsd:double"&gt;9.81698&lt;/D&gt;&lt;D xsi:type="xsd:double"&gt;9.701085&lt;/D&gt;&lt;D xsi:type="xsd:double"&gt;-6.570232&lt;/D&gt;&lt;D xsi:type="xsd:double"&gt;-7.3639574&lt;/D&gt;&lt;D xsi:type="xsd:double"&gt;9.480345&lt;/D&gt;&lt;D xsi:type="xsd:double"&gt;13.766599&lt;/D&gt;&lt;D xsi:type="xsd:double"&gt;8.029437&lt;/D&gt;&lt;D xsi:type="xsd:double"&gt;9.490549&lt;/D&gt;&lt;D xsi:type="xsd:double"&gt;8.273864&lt;/D&gt;&lt;D xsi:type="xsd:double"&gt;-0.42384863&lt;/D&gt;&lt;D xsi:type="xsd:double"&gt;-38.10729&lt;/D&gt;&lt;D xsi:type="xsd:double"&gt;-24.485308&lt;/D&gt;&lt;D xsi:type="xsd:double"&gt;-20.541107&lt;/D&gt;&lt;D xsi:type="xsd:double"&gt;-14.977789&lt;/D&gt;&lt;D xsi:type="xsd:double"&gt;0.23989677&lt;/D&gt;&lt;D xsi:type="xsd:double"&gt;6.2431693&lt;/D&gt;&lt;D xsi:type="xsd:double"&gt;4.791534&lt;/D&gt;&lt;D xsi:type="xsd:double"&gt;-0.009375811&lt;/D&gt;&lt;D xsi:type="xsd:double"&gt;9.647572&lt;/D&gt;&lt;D xsi:type="xsd:double"&gt;15.6435375&lt;/D&gt;&lt;D xsi:type="xsd:double"&gt;21.476364&lt;/D&gt;&lt;D xsi:type="xsd:double"&gt;32.914555&lt;/D&gt;&lt;D xsi:type="xsd:double"&gt;90.458595&lt;/D&gt;&lt;D xsi:type="xsd:double"&gt;54.565548&lt;/D&gt;&lt;D xsi:type="xsd:double"&gt;59.56546&lt;/D&gt;&lt;D xsi:type="xsd:double"&gt;46.419132&lt;/D&gt;&lt;D xsi:type="xsd:double"&gt;41.259148&lt;/D&gt;&lt;D xsi:type="xsd:double"&gt;48.174904&lt;/D&gt;&lt;D xsi:type="xsd:double"&gt;43.76581&lt;/D&gt;&lt;D xsi:type="xsd:double"&gt;42.699898&lt;/D&gt;&lt;D xsi:type="xsd:double"&gt;26.926804&lt;/D&gt;&lt;D xsi:type="xsd:double"&gt;23.681593&lt;/D&gt;&lt;D xsi:type="xsd:double"&gt;14.603972&lt;/D&gt;&lt;D xsi:type="xsd:double"&gt;4.409528&lt;/D&gt;&lt;D xsi:type="xsd:double"&gt;16.810465&lt;/D&gt;&lt;D xsi:type="xsd:double"&gt;14.117742&lt;/D&gt;&lt;D xsi:type="xsd:double"&gt;-1.9352019&lt;/D&gt;&lt;D xsi:type="xsd:double"&gt;-4.678708&lt;/D&gt;&lt;D xsi:type="xsd:double"&gt;0.412333&lt;/D&gt;&lt;D xsi:type="xsd:double"&gt;-7.183218&lt;/D&gt;&lt;D xsi:type="xsd:double"&gt;-9.155952&lt;/D&gt;&lt;D xsi:type="xsd:double"&gt;-7.598382&lt;/D&gt;&lt;D xsi:type="xsd:double"&gt;-3.5007775&lt;/D&gt;&lt;D xsi:type="xsd:double"&gt;-10.498184&lt;/D&gt;&lt;D xsi:type="xsd:double"&gt;-12.01405&lt;/D&gt;&lt;D xsi:type="xsd:double"&gt;-5.6483927&lt;/D&gt;&lt;D xsi:type="xsd:double"&gt;-14.728683&lt;/D&gt;&lt;D xsi:type="xsd:double"&gt;-5.927956&lt;/D&gt;&lt;D xsi:type="xsd:double"&gt;-0.21241307&lt;/D&gt;&lt;D xsi:type="xsd:double"&gt;11.12672&lt;/D&gt;&lt;D xsi:type="xsd:double"&gt;2.4698853&lt;/D&gt;&lt;D xsi:type="xsd:double"&gt;2.3641706&lt;/D&gt;&lt;D xsi:type="xsd:double"&gt;5.3523064&lt;/D&gt;&lt;D xsi:type="xsd:double"&gt;4.8933268&lt;/D&gt;&lt;D xsi:type="xsd:double"&gt;6.6559196&lt;/D&gt;&lt;D xsi:type="xsd:double"&gt;17.302216&lt;/D&gt;&lt;D xsi:type="xsd:double"&gt;25.579239&lt;/D&gt;&lt;D xsi:type="xsd:double"&gt;29.728592&lt;/D&gt;&lt;/FQL&gt;&lt;FQL&gt;&lt;Q&gt;QAT^FG_TOTAL_RETURNC(-10AY,0,AM)&lt;/Q&gt;&lt;R&gt;121&lt;/R&gt;&lt;C&gt;1&lt;/C&gt;&lt;D xsi:type="xsd:string"&gt;@NA&lt;/D&gt;&lt;D xsi:type="xsd:string"&gt;@NA&lt;/D&gt;&lt;D xsi:type="xsd:string"&gt;@NA&lt;/D&gt;&lt;D xsi:type="xsd:double"&gt;4.208827&lt;/D&gt;&lt;D xsi:type="xsd:double"&gt;-8.504856&lt;/D&gt;&lt;D xsi:type="xsd:double"&gt;6.663835&lt;/D&gt;&lt;D xsi:type="xsd:double"&gt;3.740549&lt;/D&gt;&lt;D xsi:type="xsd:double"&gt;2.6467204&lt;/D&gt;&lt;D xsi:type="xsd:double"&gt;-1.6816199&lt;/D&gt;&lt;D xsi:type="xsd:double"&gt;-7.8677297&lt;/D&gt;&lt;D xsi:type="xsd:double"&gt;-3.2590747&lt;/D&gt;&lt;D xsi:type="xsd:double"&gt;2.046907&lt;/D&gt;&lt;D xsi:type="xsd:double"&gt;-0.5865216&lt;/D&gt;&lt;D xsi:type="xsd:double"&gt;-1.0383308&lt;/D&gt;&lt;D xsi:type="xsd:double"&gt;3.0988455&lt;/D&gt;&lt;D xsi:type="xsd:double"&gt;-3.9743602&lt;/D&gt;&lt;D xsi:type="xsd:double"&gt;1.2892842&lt;/D&gt;&lt;D xsi:type="xsd:double"&gt;-3.0303597&lt;/D&gt;&lt;D xsi:type="xsd:double"&gt;-5.3013144&lt;/D&gt;&lt;D xsi:type="xsd:double"&gt;4.2105317&lt;/D&gt;&lt;D xsi:type="xsd:double"&gt;-1.6299427&lt;/D&gt;&lt;D xsi:type="xsd:double"&gt;-9.358221&lt;/D&gt;&lt;D xsi:type="xsd:double"&gt;-5.604279&lt;/D&gt;&lt;D xsi:type="xsd:double"&gt;-0.92794895&lt;/D&gt;&lt;D xsi:type="xsd:double"&gt;5.509639&lt;/D&gt;&lt;D xsi:type="xsd:double"&gt;2.114892&lt;/D&gt;&lt;D xsi:type="xsd:double"&gt;-3.8609087&lt;/D&gt;&lt;D xsi:type="xsd:double"&gt;-3.191483&lt;/D&gt;&lt;D xsi:type="xsd:double"&gt;2.790463&lt;/D&gt;&lt;D xsi:type="xsd:double"&gt;8.453428&lt;/D&gt;&lt;D xsi:type="xsd:double"&gt;2.1211267&lt;/D&gt;&lt;D xsi:type="xsd:double"&gt;-3.5034955&lt;/D&gt;&lt;D xsi:type="xsd:double"&gt;-4.564321&lt;/D&gt;&lt;D xsi:type="xsd:double"&gt;-1.7391264&lt;/D&gt;&lt;D xsi:type="xsd:double"&gt;8.877206&lt;/D&gt;&lt;D xsi:type="xsd:double"&gt;-1.600194&lt;/D&gt;&lt;D xsi:type="xsd:double"&gt;2.0650506&lt;/D&gt;&lt;D xsi:type="xsd:double"&gt;-2.1244287&lt;/D&gt;&lt;D xsi:type="xsd:double"&gt;-4.186046&lt;/D&gt;&lt;D xsi:type="xsd:double"&gt;0.72814226&lt;/D&gt;&lt;D xsi:type="xsd:double"&gt;-9.193813&lt;/D&gt;&lt;D xsi:type="xsd:double"&gt;7.5460196&lt;/D&gt;&lt;D xsi:type="xsd:double"&gt;-6.4460993&lt;/D&gt;&lt;D xsi:type="xsd:double"&gt;-5.9146285&lt;/D&gt;&lt;D xsi:type="xsd:double"&gt;-2.6571631&lt;/D&gt;&lt;D xsi:type="xsd:double"&gt;-5.1265&lt;/D&gt;&lt;D xsi:type="xsd:double"&gt;14.883221&lt;/D&gt;&lt;D xsi:type="xsd:double"&gt;0.7941246&lt;/D&gt;&lt;D xsi:type="xsd:double"&gt;-4.303032&lt;/D&gt;&lt;D xsi:type="xsd:double"&gt;5.5098176&lt;/D&gt;&lt;D xsi:type="xsd:double"&gt;-0.22868514&lt;/D&gt;&lt;D xsi:type="xsd:double"&gt;5.884409&lt;/D&gt;&lt;D xsi:type="xsd:double"&gt;-1.7676592&lt;/D&gt;&lt;D xsi:type="xsd:double"&gt;9.991527&lt;/D&gt;&lt;D xsi:type="xsd:double"&gt;-1.4984131&lt;/D&gt;&lt;D xsi:type="xsd:double"&gt;-1.3950884&lt;/D&gt;&lt;D xsi:type="xsd:double"&gt;4.923606&lt;/D&gt;&lt;D xsi:type="xsd:double"&gt;2.8047442&lt;/D&gt;&lt;D xsi:type="xsd:double"&gt;-1.2617707&lt;/D&gt;&lt;D xsi:type="xsd:double"&gt;3.7433147&lt;/D&gt;&lt;D xsi:type="xsd:double"&gt;-5.9278307&lt;/D&gt;&lt;D xsi:type="xsd:double"&gt;1.1506796&lt;/D&gt;&lt;D xsi:type="xsd:double"&gt;3.412795&lt;/D&gt;&lt;D xsi:type="xsd:double"&gt;-3.4573078&lt;/D&gt;&lt;D xsi:type="xsd:double"&gt;2.580607&lt;/D&gt;&lt;D xsi:type="xsd:double"&gt;-4.932058&lt;/D&gt;&lt;D xsi:type="xsd:double"&gt;0.46168566&lt;/D&gt;&lt;D xsi:type="xsd:double"&gt;1.262188&lt;/D&gt;&lt;D xsi:type="xsd:double"&gt;-0.283283&lt;/D&gt;&lt;D xsi:type="xsd:double"&gt;1.6693234&lt;/D&gt;&lt;D xsi:type="xsd:double"&gt;0.5694747&lt;/D&gt;&lt;D xsi:type="xsd:double"&gt;-0.89188814&lt;/D&gt;&lt;D xsi:type="xsd:double"&gt;-10.121548&lt;/D&gt;&lt;D xsi:type="xsd:double"&gt;-5.9694347&lt;/D&gt;&lt;D xsi:type="xsd:double"&gt;5.4209113&lt;/D&gt;&lt;D xsi:type="xsd:double"&gt;4.120779&lt;/D&gt;&lt;D xsi:type="xsd:double"&gt;1.8782258&lt;/D&gt;&lt;D xsi:type="xsd:double"&gt;2.997005&lt;/D&gt;&lt;D xsi:type="xsd:double"&gt;2.848661&lt;/D&gt;&lt;D xsi:type="xsd:double"&gt;2.712059&lt;/D&gt;&lt;D xsi:type="xsd:double"&gt;-2.9775202&lt;/D&gt;&lt;D xsi:type="xsd:double"&gt;8.542562&lt;/D&gt;&lt;D xsi:type="xsd:double"&gt;-0.5083978&lt;/D&gt;&lt;D xsi:type="xsd:double"&gt;-1.0187685&lt;/D&gt;&lt;D xsi:type="xsd:double"&gt;-3.1110466&lt;/D&gt;&lt;D xsi:type="xsd:double"&gt;6.677401&lt;/D&gt;&lt;D xsi:type="xsd:double"&gt;2.9874206&lt;/D&gt;&lt;D xsi:type="xsd:double"&gt;-1.1704803&lt;/D&gt;&lt;D xsi:type="xsd:double"&gt;0.122499466&lt;/D&gt;&lt;D xsi:type="xsd:double"&gt;-0.21345615&lt;/D&gt;&lt;D xsi:type="xsd:double"&gt;3.6913633&lt;/D&gt;&lt;D xsi:type="xsd:double"&gt;3.861785&lt;/D&gt;&lt;D xsi:type="xsd:double"&gt;2.3586035&lt;/D&gt;&lt;D xsi:type="xsd:double"&gt;-2.160877&lt;/D&gt;&lt;D xsi:type="xsd:double"&gt;-0.2986312&lt;/D&gt;&lt;D xsi:type="xsd:double"&gt;10.393119&lt;/D&gt;&lt;D xsi:type="xsd:double"&gt;6.788337&lt;/D&gt;&lt;D xsi:type="xsd:double"&gt;1.7507315&lt;/D&gt;&lt;D xsi:type="xsd:double"&gt;-0.81933737&lt;/D&gt;&lt;D xsi:type="xsd:double"&gt;-5.9479475&lt;/D&gt;&lt;D xsi:type="xsd:double"&gt;-5.1761208&lt;/D&gt;&lt;D xsi:type="xsd:double"&gt;7.4269295&lt;/D&gt;&lt;D xsi:type="xsd:double"&gt;-0.84745884&lt;/D&gt;&lt;D xsi:type="xsd:double"&gt;-0.7197499&lt;/D&gt;&lt;D xsi:type="xsd:double"&gt;-2.265519&lt;/D&gt;&lt;D xsi:type="xsd:double"&gt;-5.5169225&lt;/D&gt;&lt;D xsi:type="xsd:double"&gt;-7.112932&lt;/D&gt;&lt;D xsi:type="xsd:double"&gt;-2.820748&lt;/D&gt;&lt;D xsi:type="xsd:double"&gt;0.9299755&lt;/D&gt;&lt;D xsi:type="xsd:double"&gt;-0.9756088&lt;/D&gt;&lt;D xsi:type="xsd:double"&gt;5.090308&lt;/D&gt;&lt;D xsi:type="xsd:double"&gt;-0.41666627&lt;/D&gt;&lt;D xsi:type="xsd:double"&gt;-3.2481253&lt;/D&gt;&lt;D xsi:type="xsd:double"&gt;5.2809&lt;/D&gt;&lt;D xsi:type="xsd:double"&gt;-4.2155743&lt;/D&gt;&lt;D xsi:type="xsd:double"&gt;-3.3147693&lt;/D&gt;&lt;D xsi:type="xsd:double"&gt;-2.4488568&lt;/D&gt;&lt;D xsi:type="xsd:double"&gt;1.2403965&lt;/D&gt;&lt;D xsi:type="xsd:double"&gt;4.609108&lt;/D&gt;&lt;D xsi:type="xsd:double"&gt;-4.2387066&lt;/D&gt;&lt;D xsi:type="xsd:double"&gt;5.3581834&lt;/D&gt;&lt;/FQL&gt;&lt;FQL&gt;&lt;Q&gt;UAE^FMA_DIV_YLD(NTMA,-10AY,0,AM,"PORTAGG","MEANR")&lt;/Q&gt;&lt;R&gt;121&lt;/R&gt;&lt;C&gt;1&lt;/C&gt;&lt;D xsi:type="xsd:string"&gt;@NA&lt;/D&gt;&lt;D xsi:type="xsd:string"&gt;@NA&lt;/D&gt;&lt;D xsi:type="xsd:string"&gt;@NA&lt;/D&gt;&lt;D xsi:type="xsd:double"&gt;2.32400393854218&lt;/D&gt;&lt;D xsi:type="xsd:double</t>
        </r>
      </text>
    </comment>
    <comment ref="A7" authorId="0" shapeId="0" xr:uid="{9F380B66-2A69-456D-89B2-4BEE19316DBD}">
      <text>
        <r>
          <rPr>
            <b/>
            <sz val="9"/>
            <color indexed="81"/>
            <rFont val="Tahoma"/>
            <family val="2"/>
          </rPr>
          <t>"&gt;2.64255741717553&lt;/D&gt;&lt;D xsi:type="xsd:double"&gt;2.63327800563166&lt;/D&gt;&lt;D xsi:type="xsd:double"&gt;2.44109746397268&lt;/D&gt;&lt;D xsi:type="xsd:double"&gt;2.60745272503557&lt;/D&gt;&lt;D xsi:type="xsd:double"&gt;2.78211159955459&lt;/D&gt;&lt;D xsi:type="xsd:double"&gt;3.14281195344006&lt;/D&gt;&lt;D xsi:type="xsd:double"&gt;3.43678242594961&lt;/D&gt;&lt;D xsi:type="xsd:double"&gt;3.40631254337209&lt;/D&gt;&lt;D xsi:type="xsd:double"&gt;3.45999795550253&lt;/D&gt;&lt;D xsi:type="xsd:double"&gt;3.53458018813368&lt;/D&gt;&lt;D xsi:type="xsd:double"&gt;3.20959605132606&lt;/D&gt;&lt;D xsi:type="xsd:double"&gt;3.47868220486436&lt;/D&gt;&lt;D xsi:type="xsd:double"&gt;3.48033194840024&lt;/D&gt;&lt;D xsi:type="xsd:double"&gt;3.52573628634202&lt;/D&gt;&lt;D xsi:type="xsd:double"&gt;4.06179578875996&lt;/D&gt;&lt;D xsi:type="xsd:double"&gt;3.91227949880285&lt;/D&gt;&lt;D xsi:type="xsd:double"&gt;4.13273307975144&lt;/D&gt;&lt;D xsi:type="xsd:double"&gt;4.39041901924104&lt;/D&gt;&lt;D xsi:type="xsd:double"&gt;4.28841825490996&lt;/D&gt;&lt;D xsi:type="xsd:double"&gt;4.42823405637674&lt;/D&gt;&lt;D xsi:type="xsd:double"&gt;4.02498502493766&lt;/D&gt;&lt;D xsi:type="xsd:double"&gt;3.94075544487117&lt;/D&gt;&lt;D xsi:type="xsd:double"&gt;4.13717025382349&lt;/D&gt;&lt;D xsi:type="xsd:double"&gt;4.0049096324476&lt;/D&gt;&lt;D xsi:type="xsd:double"&gt;3.90349713956885&lt;/D&gt;&lt;D xsi:type="xsd:double"&gt;3.8210230931619&lt;/D&gt;&lt;D xsi:type="xsd:double"&gt;3.76689066142745&lt;/D&gt;&lt;D xsi:type="xsd:double"&gt;3.69421292314749&lt;/D&gt;&lt;D xsi:type="xsd:double"&gt;3.78583508830983&lt;/D&gt;&lt;D xsi:type="xsd:double"&gt;4.28722464294588&lt;/D&gt;&lt;D xsi:type="xsd:double"&gt;4.02664332210734&lt;/D&gt;&lt;D xsi:type="xsd:double"&gt;4.18766220707892&lt;/D&gt;&lt;D xsi:type="xsd:double"&gt;4.0093070585032&lt;/D&gt;&lt;D xsi:type="xsd:double"&gt;3.99542472703756&lt;/D&gt;&lt;D xsi:type="xsd:double"&gt;3.94808149398881&lt;/D&gt;&lt;D xsi:type="xsd:double"&gt;4.12119918875552&lt;/D&gt;&lt;D xsi:type="xsd:double"&gt;4.0807863492599&lt;/D&gt;&lt;D xsi:type="xsd:double"&gt;3.8698591267725&lt;/D&gt;&lt;D xsi:type="xsd:double"&gt;4.03140580829636&lt;/D&gt;&lt;D xsi:type="xsd:double"&gt;4.24722873746326&lt;/D&gt;&lt;D xsi:type="xsd:double"&gt;4.22824469693929&lt;/D&gt;&lt;D xsi:type="xsd:double"&gt;4.48021324787165&lt;/D&gt;&lt;D xsi:type="xsd:double"&gt;4.36542728155034&lt;/D&gt;&lt;D xsi:type="xsd:double"&gt;4.30276651420604&lt;/D&gt;&lt;D xsi:type="xsd:double"&gt;4.41440042661908&lt;/D&gt;&lt;D xsi:type="xsd:double"&gt;4.62008716745134&lt;/D&gt;&lt;D xsi:type="xsd:double"&gt;4.8650342499639&lt;/D&gt;&lt;D xsi:type="xsd:double"&gt;4.7852318933994&lt;/D&gt;&lt;D xsi:type="xsd:double"&gt;5.00088093886843&lt;/D&gt;&lt;D xsi:type="xsd:double"&gt;4.69370905490297&lt;/D&gt;&lt;D xsi:type="xsd:double"&gt;4.66268252468438&lt;/D&gt;&lt;D xsi:type="xsd:double"&gt;4.78791348527412&lt;/D&gt;&lt;D xsi:type="xsd:double"&gt;4.91142491302355&lt;/D&gt;&lt;D xsi:type="xsd:double"&gt;5.15549087590156&lt;/D&gt;&lt;D xsi:type="xsd:double"&gt;5.17312931141663&lt;/D&gt;&lt;D xsi:type="xsd:double"&gt;5.12758353413741&lt;/D&gt;&lt;D xsi:type="xsd:double"&gt;5.11620906952294&lt;/D&gt;&lt;D xsi:type="xsd:double"&gt;5.10902481021255&lt;/D&gt;&lt;D xsi:type="xsd:double"&gt;4.83198058844442&lt;/D&gt;&lt;D xsi:type="xsd:double"&gt;5.16954079845603&lt;/D&gt;&lt;D xsi:type="xsd:double"&gt;5.16746305157672&lt;/D&gt;&lt;D xsi:type="xsd:double"&gt;4.91493872780863&lt;/D&gt;&lt;D xsi:type="xsd:double"&gt;4.77844152070069&lt;/D&gt;&lt;D xsi:type="xsd:double"&gt;4.91715431294316&lt;/D&gt;&lt;D xsi:type="xsd:double"&gt;4.73465165370824&lt;/D&gt;&lt;D xsi:type="xsd:double"&gt;4.91489089824397&lt;/D&gt;&lt;D xsi:type="xsd:double"&gt;5.21602077319356&lt;/D&gt;&lt;D xsi:type="xsd:double"&gt;5.31658864484344&lt;/D&gt;&lt;D xsi:type="xsd:double"&gt;5.7235541150571&lt;/D&gt;&lt;D xsi:type="xsd:double"&gt;7.1382409195255&lt;/D&gt;&lt;D xsi:type="xsd:double"&gt;4.98797180751487&lt;/D&gt;&lt;D xsi:type="xsd:double"&gt;4.2685479221952&lt;/D&gt;&lt;D xsi:type="xsd:double"&gt;4.5075516275105&lt;/D&gt;&lt;D xsi:type="xsd:double"&gt;4.69850453195032&lt;/D&gt;&lt;D xsi:type="xsd:double"&gt;4.42361365546453&lt;/D&gt;&lt;D xsi:type="xsd:double"&gt;4.39421962460912&lt;/D&gt;&lt;D xsi:type="xsd:double"&gt;4.27579923745391&lt;/D&gt;&lt;D xsi:type="xsd:double"&gt;4.5617096725686&lt;/D&gt;&lt;D xsi:type="xsd:double"&gt;4.47576633712737&lt;/D&gt;&lt;D xsi:type="xsd:double"&gt;4.22039098671946&lt;/D&gt;&lt;D xsi:type="xsd:double"&gt;4.5287571897445&lt;/D&gt;&lt;D xsi:type="xsd:double"&gt;4.34907206109849&lt;/D&gt;&lt;D xsi:type="xsd:double"&gt;4.37498400261529&lt;/D&gt;&lt;D xsi:type="xsd:double"&gt;4.34593031639707&lt;/D&gt;&lt;D xsi:type="xsd:double"&gt;4.60882849206614&lt;/D&gt;&lt;D xsi:type="xsd:double"&gt;4.57799758137795&lt;/D&gt;&lt;D xsi:type="xsd:double"&gt;4.26394805847962&lt;/D&gt;&lt;D xsi:type="xsd:double"&gt;4.13842186615762&lt;/D&gt;&lt;D xsi:type="xsd:double"&gt;3.8654848723927&lt;/D&gt;&lt;D xsi:type="xsd:double"&gt;4.07593352291887&lt;/D&gt;&lt;D xsi:type="xsd:double"&gt;4.3836227128337&lt;/D&gt;&lt;D xsi:type="xsd:double"&gt;4.27208060607443&lt;/D&gt;&lt;D xsi:type="xsd:double"&gt;3.90113251986284&lt;/D&gt;&lt;D xsi:type="xsd:double"&gt;3.38989570100088&lt;/D&gt;&lt;D xsi:type="xsd:double"&gt;3.55690118294389&lt;/D&gt;&lt;D xsi:type="xsd:double"&gt;3.93430459867816&lt;/D&gt;&lt;D xsi:type="xsd:double"&gt;4.43145398193856&lt;/D&gt;&lt;D xsi:type="xsd:double"&gt;4.14498634007316&lt;/D&gt;&lt;D xsi:type="xsd:double"&gt;4.15648620375889&lt;/D&gt;&lt;D xsi:type="xsd:double"&gt;4.34490412310717&lt;/D&gt;&lt;D xsi:type="xsd:double"&gt;4.41328596427813&lt;/D&gt;&lt;D xsi:type="xsd:double"&gt;4.27700631181649&lt;/D&gt;&lt;D xsi:type="xsd:double"&gt;4.74494518308582&lt;/D&gt;&lt;D xsi:type="xsd:double"&gt;4.71902836720745&lt;/D&gt;&lt;D xsi:type="xsd:double"&gt;4.69133050336627&lt;/D&gt;&lt;D xsi:type="xsd:double"&gt;4.59039695571291&lt;/D&gt;&lt;D xsi:type="xsd:double"&gt;4.41594917485353&lt;/D&gt;&lt;D xsi:type="xsd:double"&gt;4.435886499389&lt;/D&gt;&lt;D xsi:type="xsd:double"&gt;4.3580760754926&lt;/D&gt;&lt;D xsi:type="xsd:double"&gt;4.19038680915504&lt;/D&gt;&lt;D xsi:type="xsd:double"&gt;4.36733550417386&lt;/D&gt;&lt;D xsi:type="xsd:double"&gt;4.25395649543598&lt;/D&gt;&lt;D xsi:type="xsd:double"&gt;4.64159756254336&lt;/D&gt;&lt;D xsi:type="xsd:double"&gt;4.66279326634177&lt;/D&gt;&lt;D xsi:type="xsd:double"&gt;4.60831049029481&lt;/D&gt;&lt;D xsi:type="xsd:double"&gt;4.70759250292572&lt;/D&gt;&lt;D xsi:type="xsd:double"&gt;5.0357170748381&lt;/D&gt;&lt;/FQL&gt;&lt;FQL&gt;&lt;Q&gt;ECH^JULIAN(FMA_DIV_YLD(NTMA,-10AY,0,AM,"PORTAGG","MEANR").DATES)&lt;/Q&gt;&lt;R&gt;121&lt;/R&gt;&lt;C&gt;1&lt;/C&gt;&lt;D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xsi:type="xsd:long"&gt;44503&lt;/D&gt;&lt;D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xsi:type="xsd:long"&gt;45351&lt;/D&gt;&lt;/FQL&gt;&lt;FQL&gt;&lt;Q&gt;EPOL^FMA_PE(LTMA,-10AY,0,AM,"PORTAGG","MEANR")&lt;/Q&gt;&lt;R&gt;121&lt;/R&gt;&lt;C&gt;1&lt;/C&gt;&lt;D xsi:type="xsd:double"&gt;15.4051245455637&lt;/D&gt;&lt;D xsi:type="xsd:double"&gt;15.4065371418139&lt;/D&gt;&lt;D xsi:type="xsd:double"&gt;15.3049270532621&lt;/D&gt;&lt;D xsi:type="xsd:double"&gt;15.1746503803411&lt;/D&gt;&lt;D xsi:type="xsd:double"&gt;14.8064928621858&lt;/D&gt;&lt;D xsi:type="xsd:double"&gt;14.6514057738014&lt;/D&gt;&lt;D xsi:type="xsd:double"&gt;15.0196970502093&lt;/D&gt;&lt;D xsi:type="xsd:double"&gt;14.5957742168786&lt;/D&gt;&lt;D xsi:type="xsd:double"&gt;14.8243354189759&lt;/D&gt;&lt;D xsi:type="xsd:double"&gt;14.9187484579395&lt;/D&gt;&lt;D xsi:type="xsd:double"&gt;14.2474355882277&lt;/D&gt;&lt;D xsi:type="xsd:double"&gt;18.5112408427082&lt;/D&gt;&lt;D xsi:type="xsd:double"&gt;20.3073815268554&lt;/D&gt;&lt;D xsi:type="xsd:double"&gt;19.864679369916&lt;/D&gt;&lt;D xsi:type="xsd:double"&gt;19.4699573335937&lt;/D&gt;&lt;D xsi:type="xsd:double"&gt;18.486628072721&lt;/D&gt;&lt;D xsi:type="xsd:double"&gt;17.4852516407262&lt;/D&gt;&lt;D xsi:type="xsd:double"&gt;16.3893087718945&lt;/D&gt;&lt;D xsi:type="xsd:double"&gt;15.2014376535572&lt;/D&gt;&lt;D xsi:type="xsd:double"&gt;13.962922584996&lt;/D&gt;&lt;D xsi:type="xsd:double"&gt;13.3622320041347&lt;/D&gt;&lt;D xsi:type="xsd:double"&gt;11.777612412523&lt;/D&gt;&lt;D xsi:type="xsd:double"&gt;10.9434082866906&lt;/D&gt;&lt;D xsi:type="xsd:double"&gt;11.8194483716677&lt;/D&gt;&lt;D xsi:type="xsd:double"&gt;12.2770220037375&lt;/D&gt;&lt;D xsi:type="xsd:double"&gt;12.5105627640833&lt;/D&gt;&lt;D xsi:type="xsd:double"&gt;12.266753921169&lt;/D&gt;&lt;D xsi:type="xsd:double"&gt;12.0254082932967&lt;/D&gt;&lt;D xsi:type="xsd:double"&gt;11.8086753467929&lt;/D&gt;&lt;D xsi:type="xsd:double"&gt;12.1317186958825&lt;/D&gt;&lt;D xsi:type="xsd:double"&gt;12.1685990216669&lt;/D&gt;&lt;D xsi:type="xsd:double"&gt;12.2387557613023&lt;/D&gt;&lt;D xsi:type="xsd:double"&gt;12.5243187900639&lt;/D&gt;&lt;D xsi:type="xsd:double"&gt;12.4925944829956&lt;/D&gt;&lt;D xsi:type="xsd:double"&gt;14.0909885926501&lt;/D&gt;&lt;D xsi:type="xsd:double"&gt;14.3412095356674&lt;/D&gt;&lt;D xsi:type="xsd:double"&gt;15.8002441579332&lt;/D&gt;&lt;D xsi:type="xsd:double"&gt;15.421836931094&lt;/D&gt;&lt;D xsi:type="xsd:double"&gt;15.2862903443309&lt;/D&gt;&lt;D xsi:type="xsd:double"&gt;14.8831569501786&lt;/D&gt;&lt;D xsi:type="xsd:double"&gt;14.6701307811589&lt;/D&gt;&lt;D xsi:type="xsd:double"&gt;14.4735805496944&lt;/D&gt;&lt;D xsi:type="xsd:double"&gt;14.430277453696&lt;/D&gt;&lt;D xsi:type="xsd:double"&gt;13.399171557608&lt;/D&gt;&lt;D xsi:type="xsd:double"&gt;13.1446263466766&lt;/D&gt;&lt;D xsi:type="xsd:double"&gt;12.4084885245678&lt;/D&gt;&lt;D xsi:type="xsd:double"&gt;12.786976524768&lt;/D&gt;&lt;D xsi:type="xsd:double"&gt;12.6742223216311&lt;/D&gt;&lt;D xsi:type="xsd:double"&gt;11.7292465148398&lt;/D&gt;&lt;D xsi:type="xsd:double"&gt;11.6265392572658&lt;/D&gt;&lt;D xsi:type="xsd:double"&gt;11.6875358012829&lt;/D&gt;&lt;D xsi:type="xsd:double"&gt;11.570922507309&lt;/D&gt;&lt;D xsi:type="xsd:double"&gt;11.3167863564339&lt;/D&gt;&lt;D xsi:type="xsd:double"&gt;11.6724605331691&lt;/D&gt;&lt;D xsi:type="xsd:double"&gt;11.7119206176009&lt;/D&gt;&lt;D xsi:type="xsd:double"&gt;11.675182654395&lt;/D&gt;&lt;D xsi:type="xsd:double"&gt;11.2602498280856&lt;/D&gt;&lt;D xsi:type="xsd:double"&gt;11.9147110294184&lt;/D&gt;&lt;D xsi:type="xsd:double"&gt;11.4933990319877&lt;/D&gt;&lt;D xsi:type="xsd:double"&gt;11.8738152523508&lt;/D&gt;&lt;D xsi:type="xsd:double"&gt;11.5027723154739&lt;/D&gt;&lt;D xsi:type="xsd:double"&gt;11.6769029643913&lt;/D&gt;&lt;D xsi:type="xsd:double"&gt;11.6332291628982&lt;/D&gt;&lt;D xsi:type="xsd:double"&gt;11.3309501022644&lt;/D&gt;&lt;D xsi:type="xsd:double"&gt;11.6484082622892&lt;/D&gt;&lt;D xsi:type="xsd:double"&gt;11.2219677593758&lt;/D&gt;&lt;D xsi:type="xsd:double"&gt;10.8277610214052&lt;/D&gt;&lt;D xsi:type="xsd:double"&gt;10.7971761362525&lt;/D&gt;&lt;D xsi:type="xsd:double"&gt;11.2270429627119&lt;/D&gt;&lt;D xsi:type="xsd:double"&gt;10.5266917902743&lt;/D&gt;&lt;D xsi:type="xsd:double"&gt;11.0834660238848&lt;/D&gt;&lt;D xsi:type="xsd:double"&gt;11.1006628836525&lt;/D&gt;&lt;D xsi:type="xsd:double"&gt;9.77144536371987&lt;/D&gt;&lt;D xsi:type="xsd:double"&gt;9.67197580194275&lt;/D&gt;&lt;D xsi:type="xsd:double"&gt;10.7562797496176&lt;/D&gt;&lt;D xsi:type="xsd:double"&gt;11.9019527724045&lt;/D&gt;&lt;D xsi:type="xsd:double"&gt;11.4684815381176&lt;/D&gt;&lt;D xsi:type="xsd:double"&gt;12.0859032462408&lt;/D&gt;&lt;D xsi:type="xsd:double"&gt;12.6403651520474&lt;/D&gt;&lt;D xsi:type="xsd:double"&gt;13.7095637137778&lt;/D&gt;&lt;D xsi:type="xsd:double"&gt;16.7536578160942&lt;/D&gt;&lt;D xsi:type="xsd:double"&gt;21.2467731820867&lt;/D&gt;&lt;D xsi:type="xsd:double"&gt;22.8263259146853&lt;/D&gt;&lt;D xsi:type="xsd:double"&gt;15.4177994634503&lt;/D&gt;&lt;D xsi:type="xsd:double"&gt;17.1061693380674&lt;/D&gt;&lt;D xsi:type="xsd:double"&gt;16.7322934520974&lt;/D&gt;&lt;D xsi:type="xsd:double"&gt;16.2844818322461&lt;/D&gt;&lt;D xsi:type="xsd:double"&gt;16.2018682920274&lt;/D&gt;&lt;D xsi:type="xsd:double"&gt;15.4795934224765&lt;/D&gt;&lt;D xsi:type="xsd:double"&gt;14.5987175004396&lt;/D&gt;&lt;D xsi:type="xsd:double"&gt;14.1650003505785&lt;/D&gt;&lt;D xsi:type="xsd:double"&gt;13.9127210604969&lt;/D&gt;&lt;D xsi:type="xsd:double"&gt;13.5592100105642&lt;/D&gt;&lt;D xsi:type="xsd:double"&gt;11.4410384688621&lt;/D&gt;&lt;D xsi:type="xsd:double"&gt;10.9424920158969&lt;/D&gt;&lt;D xsi:type="xsd:double"&gt;11.4020351502072&lt;/D&gt;&lt;D xsi:type="xsd:double"&gt;9.77620382786223&lt;/D&gt;&lt;D xsi:type="xsd:double"&gt;9.80745906049133&lt;/D&gt;&lt;D xsi:type="xsd:double"&gt;9.07305752736205&lt;/D&gt;&lt;D xsi:type="xsd:double"&gt;8.52418254165915&lt;/D&gt;&lt;D xsi:type="xsd:double"&gt;8.1058036475737&lt;/D&gt;&lt;D xsi:type="xsd:double"&gt;7.16291181379182&lt;/D&gt;&lt;D xsi:type="xsd:double"&gt;6.8874833767942&lt;/D&gt;&lt;D xsi:type="xsd:double"&gt;6.16749043610952&lt;/D&gt;&lt;D xsi:type="xsd:double"&gt;6.37199993463316&lt;/D&gt;&lt;D xsi:type="xsd:double"&gt;6.06356574489125&lt;/D&gt;&lt;D xsi:type="xsd:double"&gt;6.09357321029198&lt;/D&gt;&lt;D xsi:type="xsd:double"&gt;5.57174410518263&lt;/D&gt;&lt;D xsi:type="xsd:double"&gt;6.00312933302243&lt;/D&gt;&lt;D xsi:type="xsd:double"&gt;5.96410986642713&lt;/D&gt;&lt;D xsi:type="xsd:double"&gt;6.07939729313799&lt;/D&gt;&lt;D xsi:type="xsd:double"&gt;6.43053477981526&lt;/D&gt;&lt;D xsi:type="xsd:double"&gt;6.69095675425023&lt;/D&gt;&lt;D xsi:type="xsd:double"&gt;6.7050910713902&lt;/D&gt;&lt;D xsi:type="xsd:double"&gt;7.05395881319324&lt;/D&gt;&lt;D xsi:type="xsd:double"&gt;6.74267478044839&lt;/D&gt;&lt;D xsi:type="xsd:double"&gt;7.73138402748904&lt;/D&gt;&lt;D xsi:type="xsd:double"&gt;8.41170095322481&lt;/D&gt;&lt;D xsi:type="xsd:double"&gt;8.74158740884754&lt;/D&gt;&lt;D xsi:type="xsd:double"&gt;8.97435584781918&lt;/D&gt;&lt;D xsi:type="xsd:double"&gt;8.84193702463792&lt;/D&gt;&lt;/FQL&gt;&lt;FQL&gt;&lt;Q&gt;NI-FDS^FG_PRICE(0)&lt;/Q&gt;&lt;R&gt;1&lt;/R&gt;&lt;C&gt;1&lt;/C&gt;&lt;D xsi:type="xsd:double"&gt;17575&lt;/D&gt;&lt;/FQL&gt;&lt;FQL&gt;&lt;Q&gt;W-FDS^FG_PRICE_CHANGE(0,-1AY)&lt;/Q&gt;&lt;R&gt;1&lt;/R&gt;&lt;C&gt;1&lt;/C&gt;&lt;D xsi:type="xsd:double"&gt;-19.0082644628099&lt;/D&gt;&lt;/FQL&gt;&lt;FQL&gt;&lt;Q&gt;FC0000KR^FG_PRICE(0)&lt;/Q&gt;&lt;R&gt;1&lt;/R&gt;&lt;C&gt;1&lt;/C&gt;&lt;D xsi:type="xsd:double"&gt;474.66577&lt;/D&gt;&lt;/FQL&gt;&lt;FQL&gt;&lt;Q&gt;EZA^FG_PRICE_MAVG(0,,,,200)&lt;/Q&gt;&lt;R&gt;1&lt;/R&gt;&lt;C&gt;1&lt;/C&gt;&lt;D xsi:type="xsd:double"&gt;39.4819&lt;/D&gt;&lt;/FQL&gt;&lt;FQL&gt;&lt;Q&gt;CAGDPY@SA^EE_ACTUAL_ANNUAL(MED,+1)&lt;/Q&gt;&lt;R&gt;1&lt;/R&gt;&lt;C&gt;1&lt;/C&gt;&lt;D xsi:type="xsd:double"&gt;3.6&lt;/D&gt;&lt;/FQL&gt;&lt;FQL&gt;&lt;Q&gt;CAGDPY@PE^EE_ACTUAL_ANNUAL(MED,+1)&lt;/Q&gt;&lt;R&gt;1&lt;/R&gt;&lt;C&gt;1&lt;/C&gt;&lt;D xsi:type="xsd:double"&gt;-0.8&lt;/D&gt;&lt;/FQL&gt;&lt;FQL&gt;&lt;Q&gt;CC_PH^FG_COMPANY_NAME&lt;/Q&gt;&lt;R&gt;1&lt;/R&gt;&lt;C&gt;1&lt;/C&gt;&lt;D xsi:type="xsd:string"&gt;Philippines&lt;/D&gt;&lt;/FQL&gt;&lt;FQL&gt;&lt;Q&gt;USDPLN^FG_PRICE_CHANGE(0,-1AM)&lt;/Q&gt;&lt;R&gt;1&lt;/R&gt;&lt;C&gt;1&lt;/C&gt;&lt;D xsi:type="xsd:double"&gt;-0.767678&lt;/D&gt;&lt;/FQL&gt;&lt;FQL&gt;&lt;Q&gt;USDCLP^FG_COMPANY_NAME&lt;/Q&gt;&lt;R&gt;1&lt;/R&gt;&lt;C&gt;1&lt;/C&gt;&lt;D xsi:type="xsd:string"&gt;Chilean Peso per U.S. Dollar&lt;/D&gt;&lt;/FQL&gt;&lt;FQL&gt;&lt;Q&gt;KSA^FG_TOTAL_RETURNC(-10AY,0,AM)&lt;/Q&gt;&lt;R&gt;121&lt;/R&gt;&lt;C&gt;1&lt;/C&gt;&lt;D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xsi:type="xsd:double"&gt;-4.4593573&lt;/D&gt;&lt;D xsi:type="xsd:double"&gt;4.787278&lt;/D&gt;&lt;D xsi:type="xsd:double"&gt;-7.214731&lt;/D&gt;&lt;D xsi:type="xsd:double"&gt;-10.858482&lt;/D&gt;&lt;D xsi:type="xsd:double"&gt;7.4851036&lt;/D&gt;&lt;D xsi:type="xsd:double"&gt;-3.6593497&lt;/D&gt;&lt;D xsi:type="xsd:double"&gt;8.080112&lt;/D&gt;&lt;D xsi:type="xsd:double"&gt;1.1714578&lt;/D&gt;&lt;D xsi:type="xsd:double"&gt;-0.43005347&lt;/D&gt;&lt;D xsi:type="xsd:double"&gt;-4.22731&lt;/D&gt;&lt;D xsi:type="xsd:double"&gt;-2.2191346&lt;/D&gt;&lt;D xsi:type="xsd:double"&gt;-7.0613804&lt;/D&gt;&lt;D xsi:type="xsd:double"&gt;9.13713&lt;/D&gt;&lt;D xsi:type="xsd:double"&gt;17.54868&lt;/D&gt;&lt;D xsi:type="xsd:double"&gt;-0.7358968&lt;/D&gt;&lt;D xsi:type="xsd:double"&gt;-0.15760064&lt;/D&gt;&lt;D xsi:type="xsd:double"&gt;-2.0520926&lt;/D&gt;&lt;D xsi:type="xsd:double"&gt;1.1792898&lt;/D&gt;&lt;D xsi:type="xsd:double"&gt;-1.0058641&lt;/D&gt;&lt;D xsi:type="xsd:double"&gt;0.12027025&lt;/D&gt;&lt;D xsi:type="xsd:double"&gt;10.902273&lt;/D&gt;&lt;D xsi:type="xsd:double"&gt;-7.3206425&lt;/D&gt;&lt;D xsi:type="xsd:double"&gt;3.1990528&lt;/D&gt;&lt;D xsi:type="xsd:double"&gt;0&lt;/D&gt;&lt;D xsi:type="xsd:double"&gt;-3.5591185&lt;/D&gt;&lt;D xsi:type="xsd:double"&gt;1.3492107&lt;/D&gt;&lt;D xsi:type="xsd:double"&gt;5.6365848&lt;/D&gt;&lt;D xsi:type="xsd:double"&gt;2.2539377&lt;/D&gt;&lt;D xsi:type="xsd:double"&gt;-2.0940483&lt;/D&gt;&lt;D xsi:type="xsd:double"&gt;9.7561&lt;/D&gt;&lt;D xsi:type="xsd:double"&gt;2.9059887&lt;/D&gt;&lt;D xsi:type="xsd:double"&gt;5.4485083&lt;/D&gt;&lt;D xsi:type="xsd:double"&gt;-2.7603567&lt;/D&gt;&lt;D xsi:type="xsd:double"&gt;2.060163&lt;/D&gt;&lt;D xsi:type="xsd:double"&gt;-6.0557485&lt;/D&gt;&lt;D xsi:type="xsd:double"&gt;2.0675302&lt;/D&gt;&lt;D xsi:type="xsd:double"&gt;-0.38829446&lt;/D&gt;&lt;D xsi:type="xsd:double"&gt;-2.650112&lt;/D&gt;&lt;D xsi:type="xsd:double"&gt;2.742505&lt;/D&gt;&lt;D xsi:type="xsd:double"&gt;8.716381&lt;/D&gt;&lt;D xsi:type="xsd:double"&gt;0.5324125&lt;/D&gt;&lt;D xsi:type="xsd:double"&gt;6.6978216&lt;/D&gt;&lt;D xsi:type="xsd:double"&gt;4.087591&lt;/D&gt;&lt;D xsi:type="xsd:double"&gt;-9.228611&lt;/D&gt;&lt;D xsi:type="xsd:double"&gt;3.3190846&lt;/D&gt;&lt;D xsi:type="xsd:double"&gt;-3.5304785&lt;/D&gt;&lt;D xsi:type="xsd:double"&gt;-4.222703&lt;/D&gt;&lt;D xsi:type="xsd:double"&gt;-1.9268453&lt;/D&gt;&lt;D xsi:type="xsd:double"&gt;-4.329008&lt;/D&gt;&lt;D xsi:type="xsd:double"&gt;3.2022238&lt;/D&gt;&lt;D xsi:type="xsd:double"&gt;4.262793&lt;/D&gt;&lt;D xsi:type="xsd:double"&gt;-2.783239&lt;/D&gt;&lt;D xsi:type="xsd:double"&gt;-8.319301&lt;/D&gt;&lt;D xsi:type="xsd:double"&gt;-7.237321&lt;/D&gt;&lt;D xsi:type="xsd:double"&gt;-3.8019776&lt;/D&gt;&lt;D xsi:type="xsd:double"&gt;11.321533&lt;/D&gt;&lt;D xsi:type="xsd:double"&gt;0.90203285&lt;/D&gt;&lt;D xsi:type="xsd:double"&gt;-0.037270784&lt;/D&gt;&lt;D xsi:type="xsd:double"&gt;6.785977&lt;/D&gt;&lt;D xsi:type="xsd:double"&gt;2.164805&lt;/D&gt;&lt;D xsi:type="xsd:double"&gt;0.44429302&lt;/D&gt;&lt;D xsi:type="xsd:double"&gt;7.315421&lt;/D&gt;&lt;D xsi:type="xsd:double"&gt;-1.062262&lt;/D&gt;&lt;D xsi:type="xsd:double"&gt;-0.2892971&lt;/D&gt;&lt;D xsi:type="xsd:double"&gt;6.963253&lt;/D&gt;&lt;D xsi:type="xsd:double"&gt;8.348406&lt;/D&gt;&lt;D xsi:type="xsd:double"&gt;4.506254&lt;/D&gt;&lt;D xsi:type="xsd:double"&gt;4.44504&lt;/D&gt;&lt;D xsi:type="xsd:double"&gt;2.4348974&lt;/D&gt;&lt;D xsi:type="xsd:double"&gt;1.0547519&lt;/D&gt;&lt;D xsi:type="xsd:double"&gt;3.3548713&lt;/D&gt;&lt;D xsi:type="xsd:double"&gt;0.3366232&lt;/D&gt;&lt;D xsi:type="xsd:double"&gt;3.0912995&lt;/D&gt;&lt;D xsi:type="xsd:double"&gt;-6.880516&lt;/D&gt;&lt;D xsi:type="xsd:double"&gt;4.00393&lt;/D&gt;&lt;D xsi:type="xsd:double"&gt;8.09766&lt;/D&gt;&lt;D xsi:type="xsd:double"&gt;4.449904&lt;/D&gt;&lt;D xsi:type="xsd:double"&gt;3.0828595&lt;/D&gt;&lt;D xsi:type="xsd:double"&gt;4.6313643&lt;/D&gt;&lt;D xsi:type="xsd:double"&gt;-9.527588&lt;/D&gt;&lt;D xsi:type="xsd:double"&gt;-8.279741&lt;/D&gt;&lt;D xsi:type="xsd:double"&gt;6.1686754&lt;/D&gt;&lt;D xsi:type="xsd:double"&gt;0.11347532&lt;/D&gt;&lt;D xsi:type="xsd:double"&gt;-1.9723415&lt;/D&gt;&lt;D xsi:type="xsd:double"&gt;-1.4107347&lt;/D&gt;&lt;D xsi:type="xsd:double"&gt;-8.045978&lt;/D&gt;&lt;D xsi:type="xsd:double"&gt;-1.4016807&lt;/D&gt;&lt;D xsi:type="xsd:double"&gt;0.81065893&lt;/D&gt;&lt;D xsi:type="xsd:double"&gt;-3.1387806&lt;/D&gt;&lt;D xsi:type="xsd:double"&gt;7.7129126&lt;/D&gt;&lt;D xsi:type="xsd:double"&gt;0.37294626&lt;/D&gt;&lt;D xsi:type="xsd:double"&gt;1.7835021&lt;/D&gt;&lt;D xsi:type="xsd:double"&gt;1.7538309&lt;/D&gt;&lt;D xsi:type="xsd:double"&gt;-1.2584686&lt;/D&gt;&lt;D xsi:type="xsd:double"&gt;0.39215088&lt;/D&gt;&lt;D xsi:type="xsd:double"&gt;-7.250971&lt;/D&gt;&lt;D xsi:type="xsd:double"&gt;3.2376885&lt;/D&gt;&lt;D xsi:type="xsd:double"&gt;1.6318202&lt;/D&gt;&lt;D xsi:type="xsd:double"&gt;8.877397&lt;/D&gt;&lt;D xsi:type="xsd:double"&gt;-1.751107&lt;/D&gt;&lt;D xsi:type="xsd:double"&gt;4.4201493&lt;/D&gt;&lt;/FQL&gt;&lt;FQL&gt;&lt;Q&gt;PLATI-FDS^FG_PRICE(0)/MAX(FG_PRICE(0,-1AY))&lt;/Q&gt;&lt;R&gt;1&lt;/R&gt;&lt;C&gt;1&lt;/C&gt;&lt;D xsi:type="xsd:double"&gt;0.787665198237885&lt;/D&gt;&lt;/FQL&gt;&lt;FQL&gt;&lt;Q&gt;TUR^FG_PRICE_MAVG(0,,,,200)&lt;/Q&gt;&lt;R&gt;1&lt;/R&gt;&lt;C&gt;1&lt;/C&gt;&lt;D xsi:type="xsd:double"&gt;34.39065&lt;/D&gt;&lt;/FQL&gt;&lt;FQL&gt;&lt;Q&gt;EZA^FG_PRICE_MAVG(0,,,,30)&lt;/Q&gt;&lt;R&gt;1&lt;/R&gt;&lt;C&gt;1&lt;/C&gt;&lt;D xsi:type="xsd:double"&gt;38.446&lt;/D&gt;&lt;/FQL&gt;&lt;FQL&gt;&lt;Q&gt;EWM^FG_PRICE(0)&lt;/Q&gt;&lt;R&gt;1&lt;/R&gt;&lt;C&gt;1&lt;/C&gt;&lt;D xsi:type="xsd:double"&gt;21.6&lt;/D&gt;&lt;/FQL&gt;&lt;FQL&gt;&lt;Q&gt;CNYA^FG_PRICE_MAVG(0,,,,60)&lt;/Q&gt;&lt;R&gt;1&lt;/R&gt;&lt;C&gt;1&lt;/C&gt;&lt;D xsi:type="xsd:double"&gt;25.13954&lt;/D&gt;&lt;/FQL&gt;&lt;FQL&gt;&lt;Q&gt;KSA^P_PRICE(0)/P_PRICE_HIGH_PR(0,,,USD,,,"PRICE","INTRA","52W")&lt;/Q&gt;&lt;R&gt;1&lt;/R&gt;&lt;C&gt;1&lt;/C&gt;&lt;D xsi:type="xsd:double"&gt;0.9779657&lt;/D&gt;&lt;/FQL&gt;&lt;FQL&gt;&lt;Q&gt;SET-BKK^PERCENT_CHANGE(FMA_EPS(+1,0,,,,"PORTAGG","MEAN"),FMA_EPS(+1,-3AM,,,,"PORTAGG","MEAN"))&lt;/Q&gt;&lt;R&gt;1&lt;/R&gt;&lt;C&gt;1&lt;/C&gt;&lt;D xsi:type="xsd:double"&gt;-2.97524417701999&lt;/D&gt;&lt;/FQL&gt;&lt;FQL&gt;&lt;Q&gt;EIDO^PERCENT_CHANGE(FMA_EPS(+1,0,,,,"PORTAGG","MEAN"),FMA_EPS(+1,-1AM,,,,"PORTAGG","MEAN"))&lt;/Q&gt;&lt;R&gt;1&lt;/R&gt;&lt;C&gt;1&lt;/C&gt;&lt;D xsi:type="xsd:double"&gt;-7.71390200987352&lt;/D&gt;&lt;/FQL&gt;&lt;FQL&gt;&lt;Q&gt;EWT^SIZE(FG_CONSTITUENTS)&lt;/Q&gt;&lt;R&gt;1&lt;/R&gt;&lt;C&gt;1&lt;/C&gt;&lt;D xsi:type="xsd:long"&gt;93&lt;/D&gt;&lt;/FQL&gt;&lt;FQL&gt;&lt;Q&gt;CNYA^FMA_COS_DOWN("EPS","1M",+1,NOW,,,"PORTAGG","MEANR")&lt;/Q&gt;&lt;R&gt;1&lt;/R&gt;&lt;C&gt;1&lt;/C&gt;&lt;D xsi:type="xsd:double"&gt;190&lt;/D&gt;&lt;/FQL&gt;&lt;FQL&gt;&lt;Q&gt;EIDO^FMA_RBICS_REV_CURRENT(30, LOC, "PORTAGG")&lt;/Q&gt;&lt;R&gt;1&lt;/R&gt;&lt;C&gt;1&lt;/C&gt;&lt;D xsi:type="xsd:double"&gt;56.8133989766176&lt;/D&gt;&lt;/FQL&gt;&lt;FQL&gt;&lt;Q&gt;EPHE^FG_ROE(0)&lt;/Q&gt;&lt;R&gt;1&lt;/R&gt;&lt;C&gt;1&lt;/C&gt;&lt;D xsi:type="xsd:double"&gt;11.4389552747845&lt;/D&gt;&lt;/FQL&gt;&lt;FQL&gt;&lt;Q&gt;REFKRBASE-FDS^FG_YIELD(NOW,,,0)&lt;/Q&gt;&lt;R&gt;1&lt;/R&gt;&lt;C&gt;1&lt;/C&gt;&lt;D xsi:type="xsd:double"&gt;3.5&lt;/D&gt;&lt;/FQL&gt;&lt;FQL&gt;&lt;Q&gt;MCHI^FMA_ROE(NTMA,-20AY,NOW,FY,"PORTAGG","MEANR")&lt;/Q&gt;&lt;R&gt;20&lt;/R&gt;&lt;C&gt;1&lt;/C&gt;&lt;D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xsi:type="xsd:double"&gt;16.2489448712134&lt;/D&gt;&lt;D xsi:type="xsd:double"&gt;14.7844836511748&lt;/D&gt;&lt;D xsi:type="xsd:double"&gt;14.7477410048543&lt;/D&gt;&lt;D xsi:type="xsd:double"&gt;13.8220324417748&lt;/D&gt;&lt;D xsi:type="xsd:double"&gt;12.2640889399399&lt;/D&gt;&lt;D xsi:type="xsd:double"&gt;12.007707790005&lt;/D&gt;&lt;D xsi:type="xsd:double"&gt;13.3821124977803&lt;/D&gt;&lt;D xsi:type="xsd:double"&gt;13.2137488528733&lt;/D&gt;&lt;D xsi:type="xsd:double"&gt;12.8854801395228&lt;/D&gt;&lt;D xsi:type="xsd:double"&gt;12.3573578879857&lt;/D&gt;&lt;D xsi:type="xsd:double"&gt;11.973905842199&lt;/D&gt;&lt;D xsi:type="xsd:double"&gt;11.5506323774735&lt;/D&gt;&lt;D xsi:type="xsd:double"&gt;11.5617545760418&lt;/D&gt;&lt;/FQL&gt;&lt;FQL&gt;&lt;Q&gt;TRYPH10Y-FDS^FG_YIELD(-10AY,0,Y,,"YTM")&lt;/Q&gt;&lt;R&gt;10&lt;/R&gt;&lt;C&gt;1&lt;/C&gt;&lt;D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xsi:type="xsd:double"&gt;6.0028777&lt;/D&gt;&lt;/FQL&gt;&lt;FQL&gt;&lt;Q&gt;CAGDPY@PE^EE_ACTUAL_ANNUAL(MED,0)&lt;/Q&gt;&lt;R&gt;1&lt;/R&gt;&lt;C&gt;1&lt;/C&gt;&lt;D xsi:type="xsd:double"&gt;0.625680870863723&lt;/D&gt;&lt;/FQL&gt;&lt;FQL&gt;&lt;Q&gt;USDTRY^STD(FG_PRICE_CHANGE(0,-1AY,AM))&lt;/Q&gt;&lt;R&gt;1&lt;/R&gt;&lt;C&gt;1&lt;/C&gt;&lt;D xsi:type="xsd:double"&gt;6.37052559869981&lt;/D&gt;&lt;/FQL&gt;&lt;FQL&gt;&lt;Q&gt;USDCNH^FG_PRICE_CHANGE(0,-1AM)&lt;/Q&gt;&lt;R&gt;1&lt;/R&gt;&lt;C&gt;1&lt;/C&gt;&lt;D xsi:type="xsd:double"&gt;-0.040215254&lt;/D&gt;&lt;/FQL&gt;&lt;FQL&gt;&lt;Q&gt;USDZAR^FG_COMPANY_NAME&lt;/Q&gt;&lt;R&gt;1&lt;/R&gt;&lt;C&gt;1&lt;/C&gt;&lt;D xsi:type="xsd:string"&gt;South African Rand per U.S. Dollar&lt;/D&gt;&lt;/FQL&gt;&lt;FQL&gt;&lt;Q&gt;USDCNH^STD(FG_PRICE_CHANGE(0,-3AY,M))&lt;/Q&gt;&lt;R&gt;1&lt;/R&gt;&lt;C&gt;1&lt;/C&gt;&lt;D xsi:type="xsd:double"&gt;1.80825820871516&lt;/D&gt;&lt;/FQL&gt;&lt;FQL&gt;&lt;Q&gt;FC0000PH^FMA_EPS(NTMA,-20AY,0,CY,,"PORTAGG","MEANR")&lt;/Q&gt;&lt;R&gt;20&lt;/R&gt;&lt;C&gt;1&lt;/C&gt;&lt;D xsi:type="xsd:double"&gt;8.59220082539698&lt;/D&gt;&lt;D xsi:type="xsd:double"&gt;10.2584058872744&lt;/D&gt;&lt;D xsi:type="xsd:double"&gt;13.4692809727856&lt;/D&gt;&lt;D xsi:type="xsd:double"&gt;18.2110568110308&lt;/D&gt;&lt;D xsi:type="xsd:double"&gt;13.0515502293789&lt;/D&gt;&lt;D xsi:type="xsd:double"&gt;16.0518603317777&lt;/D&gt;&lt;D xsi:type="xsd:double"&gt;24.4586496686729&lt;/D&gt;&lt;D xsi:type="xsd:double"&gt;25.9703873749774&lt;/D&gt;&lt;D xsi:type="xsd:double"&gt;28.0571210508876&lt;/D&gt;&lt;D xsi:type="xsd:double"&gt;26.0025463366439&lt;/D&gt;&lt;D xsi:type="xsd:double"&gt;28.3275730235173&lt;/D&gt;&lt;D xsi:type="xsd:double"&gt;26.2170868437055&lt;/D&gt;&lt;D xsi:type="xsd:double"&gt;26.5572871869144&lt;/D&gt;&lt;D xsi:type="xsd:double"&gt;30.208789832529&lt;/D&gt;&lt;D xsi:type="xsd:double"&gt;29.6177771378772&lt;/D&gt;&lt;D xsi:type="xsd:double"&gt;33.6632760017342&lt;/D&gt;&lt;D xsi:type="xsd:double"&gt;25.6257109261131&lt;/D&gt;&lt;D xsi:type="xsd:double"&gt;24.8900071994994&lt;/D&gt;&lt;D xsi:type="xsd:double"&gt;26.8368786417054&lt;/D&gt;&lt;D xsi:type="xsd:double"&gt;30.8315679475752&lt;/D&gt;&lt;/FQL&gt;&lt;FQL&gt;&lt;Q&gt;TUR^FMA_DIV_YLD(NTMA,-10AY,0,AM,"PORTAGG","MEANR")&lt;/Q&gt;&lt;R&gt;121&lt;/R&gt;&lt;C&gt;1&lt;/C&gt;&lt;D xsi:type="xsd:double"&gt;3.52593078092698&lt;/D&gt;&lt;D xsi:type="xsd:double"&gt;2.9767580036201&lt;/D&gt;&lt;D xsi:type="xsd:double"&gt;2.79770022235621&lt;/D&gt;&lt;D xsi:type="xsd:double"&gt;2.82410015646577&lt;/D&gt;&lt;D xsi:type="xsd:double"&gt;3.16884803075211&lt;/D&gt;&lt;D xsi:type="xsd:double"&gt;2.7265362286678&lt;/D&gt;&lt;D xsi:type="xsd:double"&gt;2.94345571624328&lt;/D&gt;&lt;D xsi:type="xsd:double"&gt;3.2254309164601&lt;/D&gt;&lt;D xsi:type="xsd:double"&gt;2.94196046125513&lt;/D&gt;&lt;D xsi:type="xsd:double"&gt;2.71412117759288&lt;/D&gt;&lt;D xsi:type="xsd:double"&gt;2.76136632869705&lt;/D&gt;&lt;D xsi:type="xsd:double"&gt;2.86129087893592&lt;/D&gt;&lt;D xsi:type="xsd:double"&gt;2.9522843738&lt;/D&gt;&lt;D xsi:type="xsd:double"&gt;2.99202226664555&lt;/D&gt;&lt;D xsi:type="xsd:double"&gt;2.89982571757242&lt;/D&gt;&lt;D xsi:type="xsd:double"&gt;2.97320549459809&lt;/D&gt;&lt;D xsi:type="xsd:double"&gt;3.04302444072222&lt;/D&gt;&lt;D xsi:type="xsd:double"&gt;3.13617132086113&lt;/D&gt;&lt;D xsi:type="xsd:double"&gt;3.40885651568091&lt;/D&gt;&lt;D xsi:type="xsd:double"&gt;3.4250069635294&lt;/D&gt;&lt;D xsi:type="xsd:double"&gt;3.0150428740417&lt;/D&gt;&lt;D xsi:type="xsd:double"&gt;3.47714745798611&lt;/D&gt;&lt;D xsi:type="xsd:double"&gt;3.68427722281529&lt;/D&gt;&lt;D xsi:type="xsd:double"&gt;3.4835543833131&lt;/D&gt;&lt;D xsi:type="xsd:double"&gt;3.28034236077683&lt;/D&gt;&lt;D xsi:type="xsd:double"&gt;3.11688838268505&lt;/D&gt;&lt;D xsi:type="xsd:double"&gt;3.42498764211509&lt;/D&gt;&lt;D xsi:type="xsd:double"&gt;3.50530343832827&lt;/D&gt;&lt;D xsi:type="xsd:double"&gt;3.51395305880939&lt;/D&gt;&lt;D xsi:type="xsd:double"&gt;3.62472024206643&lt;/D&gt;&lt;D xsi:type="xsd:double"&gt;3.56016795510103&lt;/D&gt;&lt;D xsi:type="xsd:double"&gt;3.68549359356276&lt;/D&gt;&lt;D xsi:type="xsd:double"&gt;3.74338605410607&lt;/D&gt;&lt;D xsi:type="xsd:double"&gt;3.89645066775168&lt;/D&gt;&lt;D xsi:type="xsd:double"&gt;3.89999533947038&lt;/D&gt;&lt;D xsi:type="xsd:double"&gt;3.45503838211055&lt;/D&gt;&lt;D xsi:type="xsd:double"&gt;3.52881894439286&lt;/D&gt;&lt;D xsi:type="xsd:double"&gt;3.6534869036519&lt;/D&gt;&lt;D xsi:type="xsd:double"&gt;3.73566155042094&lt;/D&gt;&lt;D xsi:type="xsd:double"&gt;3.51196899443003&lt;/D&gt;&lt;D xsi:type="xsd:double"&gt;3.58323435262452&lt;/D&gt;&lt;D xsi:type="xsd:double"&gt;3.67405383121002&lt;/D&gt;&lt;D xsi:type="xsd:double"&gt;3.77558745425718&lt;/D&gt;&lt;D xsi:type="xsd:double"&gt;4.16507692630594&lt;/D&gt;&lt;D xsi:type="xsd:double"&gt;4.07054561728711&lt;/D&gt;&lt;D xsi:type="xsd:double"&gt;4.34343414139487&lt;/D&gt;&lt;D xsi:type="xsd:double"&gt;4.06713813449108&lt;/D&gt;&lt;D xsi:type="xsd:double"&gt;4.02607825823059&lt;/D&gt;&lt;D xsi:type="xsd:double"&gt;4.22709071628825&lt;/D&gt;&lt;D xsi:type="xsd:double"&gt;4.55023574338231&lt;/D&gt;&lt;D xsi:type="xsd:double"&gt;5.26156248890844&lt;/D&gt;&lt;D xsi:type="xsd:double"&gt;5.39597208785445&lt;/D&gt;&lt;D xsi:type="xsd:double"&gt;5.48508717955456&lt;/D&gt;&lt;D xsi:type="xsd:double"&gt;5.41100037273861&lt;/D&gt;&lt;D xsi:type="xsd:double"&gt;5.8536577989289&lt;/D&gt;&lt;D xsi:type="xsd:double"&gt;5.65446212909326&lt;/D&gt;&lt;D xsi:type="xsd:double"&gt;5.26407879396849&lt;/D&gt;&lt;D xsi:type="xsd:double"&gt;5.43323219237148&lt;/D&gt;&lt;D xsi:type="xsd:double"&gt;5.47449859388039&lt;/D&gt;&lt;D xsi:type="xsd:double"&gt;4.48857940566984&lt;/D&gt;&lt;D xsi:type="xsd:double"&gt;4.57303809213213&lt;/D&gt;&lt;D xsi:type="xsd:double"&gt;4.75567427937629&lt;/D&gt;&lt;D xsi:type="xsd:double"&gt;5.04250332655013&lt;/D&gt;&lt;D xsi:type="xsd:double"&gt;4.9912245246904&lt;/D&gt;&lt;D xsi:type="xsd:double"&gt;4.52296825965259&lt;/D&gt;&lt;D xsi:type="xsd:double"&gt;4.47446260328999&lt;/D&gt;&lt;D xsi:type="xsd:double"&gt;4.96729138814692&lt;/D&gt;&lt;D xsi:type="xsd:double"&gt;4.75547213173042&lt;/D&gt;&lt;D xsi:type="xsd:double"&gt;4.74219561953065&lt;/D&gt;&lt;D xsi:type="xsd:double"&gt;4.52001831940647&lt;/D&gt;&lt;D xsi:type="xsd:double"&gt;4.30148436031132&lt;/D&gt;&lt;D xsi:type="xsd:double"&gt;4.33568686695999&lt;/D&gt;&lt;D xsi:type="xsd:double"&gt;4.57909178896524&lt;/D&gt;&lt;D xsi:type="xsd:double"&gt;5.76250917291432&lt;/D&gt;&lt;D xsi:type="xsd:double"&gt;4.01328039737398&lt;/D&gt;&lt;D xsi:type="xsd:double"&gt;3.38255425009558&lt;/D&gt;&lt;D xsi:type="xsd:double"&gt;3.30643993140655&lt;/D&gt;&lt;D xsi:type="xsd:double"&gt;3.768464357083&lt;/D&gt;&lt;D xsi:type="xsd:double"&gt;4.30896554290756&lt;/D&gt;&lt;D xsi:type="xsd:double"&gt;4.34927203689473&lt;/D&gt;&lt;D xsi:type="xsd:double"&gt;4.35710887139206&lt;/D&gt;&lt;D xsi:type="xsd:double"&gt;3.85764987451376&lt;/D&gt;&lt;D xsi:type="xsd:double"&gt;3.76169947455655&lt;/D&gt;&lt;D xsi:type="xsd:double"&gt;4.13946451616037&lt;/D&gt;&lt;D xsi:type="xsd:double"&gt;4.47699489481779&lt;/D&gt;&lt;D xsi:type="xsd:double"&gt;5.1179910557775&lt;/D&gt;&lt;D xsi:type="xsd:double"&gt;5.36974023138252&lt;/D&gt;&lt;D xsi:type="xsd:double"&gt;5.55545544281609&lt;/D&gt;&lt;D xsi:type="xsd:double"&gt;5.70845020565478&lt;/D&gt;&lt;D xsi:type="xsd:double"&gt;5.95922443091347&lt;/D&gt;&lt;D xsi:type="xsd:double"&gt;5.75106445917983&lt;/D&gt;&lt;D xsi:type="xsd:double"&gt;6.0602037725839&lt;/D&gt;&lt;D xsi:type="xsd:double"&gt;5.68964082389665&lt;/D&gt;&lt;D xsi:type="xsd:double"&gt;4.60501477702597&lt;/D&gt;&lt;D xsi:type="xsd:double"&gt;5.22826500681255&lt;/D&gt;&lt;D xsi:type="xsd:double"&gt;6.16493159720474&lt;/D&gt;&lt;D xsi:type="xsd:double"&gt;6.17790352266363&lt;/D&gt;&lt;D xsi:type="xsd:double"&gt;5.31472599175127&lt;/D&gt;&lt;D xsi:type="xsd:double"&gt;5.5190447004192&lt;/D&gt;&lt;D xsi:type="xsd:double"&gt;5.15313957171825&lt;/D&gt;&lt;D xsi:type="xsd:double"&gt;5.97719491330252&lt;/D&gt;&lt;D xsi:type="xsd:double"&gt;5.79292580081111&lt;/D&gt;&lt;D xsi:type="xsd:double"&gt;4.86953655118813&lt;/D&gt;&lt;D xsi:type="xsd:double"&gt;5.07757787062389&lt;/D&gt;&lt;D xsi:type="xsd:double"&gt;4.99025565215156&lt;/D&gt;&lt;D xsi:type="xsd:double"&gt;4.51941093990233&lt;/D&gt;&lt;D xsi:type="xsd:double"&gt;3.96083101504425&lt;/D&gt;&lt;D xsi:type="xsd:double"&gt;5.12022258832391&lt;/D&gt;&lt;D xsi:type="xsd:double"&gt;4.97973454006461&lt;/D&gt;&lt;D xsi:type="xsd:double"&gt;5.03981313835753&lt;/D&gt;&lt;D xsi:type="xsd:double"&gt;5.45430793857845&lt;/D&gt;&lt;D xsi:type="xsd:double"&gt;5.07490721243657&lt;/D&gt;&lt;D xsi:type="xsd:double"&gt;4.33615108744263&lt;/D&gt;&lt;D xsi:type="xsd:double"&gt;3.59635367643367&lt;/D&gt;&lt;D xsi:type="xsd:double"&gt;3.5117121057673&lt;/D&gt;&lt;D xsi:type="xsd:double"&gt;3.65942083087264&lt;/D&gt;&lt;D xsi:type="xsd:double"&gt;4.15181723054901&lt;/D&gt;&lt;D xsi:type="xsd:double"&gt;4.18488453544825&lt;/D&gt;&lt;D xsi:type="xsd:double"&gt;4.71034258651245&lt;/D&gt;&lt;D xsi:type="xsd:double"&gt;4.18685971927277&lt;/D&gt;&lt;D xsi:type="xsd:double"&gt;3.03977683691967&lt;/D&gt;&lt;/FQL&gt;&lt;FQL&gt;&lt;Q&gt;QAT^FMA_PE(NTMA,-10AY,0,AM,"PORTAGG","MEANR")&lt;/Q&gt;&lt;R&gt;121&lt;/R&gt;&lt;C&gt;1&lt;/C&gt;&lt;D xsi:type="xsd:string"&gt;@NA&lt;/D&gt;&lt;D xsi:type="xsd:string"&gt;@NA&lt;/D&gt;&lt;D xsi:type="xsd:string"&gt;@NA&lt;/D&gt;&lt;D xsi:type="xsd:double"&gt;15.9142521267117&lt;/D&gt;&lt;D xsi:type="xsd:double"&gt;14.8176371628861&lt;/D&gt;&lt;D xsi:type="xsd:double"&gt;15.4226424353474&lt;/D&gt;&lt;D xsi:type="xsd:double"&gt;15.8464942183326&lt;/D&gt;&lt;D xsi:type="xsd:double"&gt;15.5599396497602&lt;/D&gt;&lt;D xsi:type="xsd:double"&gt;15.2331046272401&lt;/D&gt;&lt;D xsi:type="xsd:double"&gt;13.8208673535414&lt;/D&gt;&lt;D xsi:type="xsd:double"&gt;13.2710219906438&lt;/D&gt;&lt;D xsi:type="xsd:double"&gt;13.8059195990729&lt;/D&gt;&lt;D xsi:type="xsd:double"&gt;13.5770050188424&lt;/D&gt;&lt;D xsi:type="xsd:double"&gt;13.1646076187754&lt;/D&gt;&lt;D xsi:type="xsd:double"&gt;13.5199204615541&lt;/D&gt;&lt;D xsi:type="xsd:double"&gt;13.4516366669955&lt;/D&gt;&lt;D xsi:type="xsd:double"&gt;13.3621501078623&lt;/D&gt;&lt;D xsi:type="xsd:double"&gt;13.1929721477309&lt;/D&gt;&lt;D xsi:type="xsd:double"&gt;12.4258256281496&lt;/D&gt;&lt;D xsi:type="xsd:double"&gt;12.6201994972898&lt;/D&gt;&lt;D xsi:type="xsd:double"&gt;12.6665831522801&lt;/D&gt;&lt;D xsi:type="xsd:double"&gt;11.3836549654447&lt;/D&gt;&lt;D xsi:type="xsd:double"&gt;11.2122291318848&lt;/D&gt;&lt;D xsi:type="xsd:double"&gt;10.9732426393094&lt;/D&gt;&lt;D xsi:type="xsd:double"&gt;11.6987113153525&lt;/D&gt;&lt;D xsi:type="xsd:double"&gt;11.927726967971&lt;/D&gt;&lt;D xsi:type="xsd:double"&gt;11.8485241594456&lt;/D&gt;&lt;D xsi:type="xsd:double"&gt;11.4219032290315&lt;/D&gt;&lt;D xsi:type="xsd:double"&gt;11.8725297105535&lt;/D&gt;&lt;D xsi:type="xsd:double"&gt;12.7360450747852&lt;/D&gt;&lt;D xsi:type="xsd:double"&gt;13.202687198871&lt;/D&gt;&lt;D xsi:type="xsd:double"&gt;12.6194484991899&lt;/D&gt;&lt;D xsi:type="xsd:double"&gt;12.5449089138966&lt;/D&gt;&lt;D xsi:type="xsd:double"&gt;12.173085022456&lt;/D&gt;&lt;D xsi:type="xsd:double"&gt;13.5751313920797&lt;/D&gt;&lt;D xsi:type="xsd:double"&gt;13.206916065568&lt;/D&gt;&lt;D xsi:type="xsd:double"&gt;13.2514114203048&lt;/D&gt;&lt;D xsi:type="xsd:double"&gt;12.7176228712034&lt;/D&gt;&lt;D xsi:type="xsd:double"&gt;12.862789544208&lt;/D&gt;&lt;D xsi:type="xsd:double"&gt;13.0047584553925&lt;/D&gt;&lt;D xsi:type="xsd:double"&gt;11.7981852536758&lt;/D&gt;&lt;D xsi:type="xsd:double"&gt;12.2978300688503&lt;/D&gt;&lt;D xsi:type="xsd:double"&gt;11.5320585772148&lt;/D&gt;&lt;D xsi:type="xsd:double"&gt;10.6790592825555&lt;/D&gt;&lt;D xsi:type="xsd:double"&gt;11.0764504066984&lt;/D&gt;&lt;D xsi:type="xsd:double"&gt;10.8730515579787&lt;/D&gt;&lt;D xsi:type="xsd:double"&gt;11.8357312754179&lt;/D&gt;&lt;D xsi:type="xsd:double"&gt;11.9638886756496&lt;/D&gt;&lt;D xsi:type="xsd:double"&gt;10.9733625710756&lt;/D&gt;&lt;D xsi:type="xsd:double"&gt;11.1550470243746&lt;/D&gt;&lt;D xsi:type="xsd:double"&gt;11.1135483927924&lt;/D&gt;&lt;D xsi:type="xsd:double"&gt;11.3789906081698&lt;/D&gt;&lt;D xsi:type="xsd:double"&gt;11.3407165727068&lt;/D&gt;&lt;D xsi:type="xsd:double"&gt;12.3153510987601&lt;/D&gt;&lt;D xsi:type="xsd:double"&gt;12.5093957955831&lt;/D&gt;&lt;D xsi:type="xsd:double"&gt;12.496403169975&lt;/D&gt;&lt;D xsi:type="xsd:double"&gt;12.939402274052&lt;/D&gt;&lt;D xsi:type="xsd:double"&gt;13.2197122837601&lt;/D&gt;&lt;D xsi:type="xsd:double"&gt;12.889558890991&lt;/D&gt;&lt;D xsi:type="xsd:double"&gt;13.3</t>
        </r>
      </text>
    </comment>
    <comment ref="A8" authorId="0" shapeId="0" xr:uid="{BD2BD7E5-ACF1-4091-B925-418B2DE2B093}">
      <text>
        <r>
          <rPr>
            <b/>
            <sz val="9"/>
            <color indexed="81"/>
            <rFont val="Tahoma"/>
            <family val="2"/>
          </rPr>
          <t>765266395047&lt;/D&gt;&lt;D xsi:type="xsd:double"&gt;12.6345095176651&lt;/D&gt;&lt;D xsi:type="xsd:double"&gt;12.7211899410862&lt;/D&gt;&lt;D xsi:type="xsd:double"&gt;13.3245768199872&lt;/D&gt;&lt;D xsi:type="xsd:double"&gt;12.9175733225827&lt;/D&gt;&lt;D xsi:type="xsd:double"&gt;13.4235377069953&lt;/D&gt;&lt;D xsi:type="xsd:double"&gt;13.2798738611646&lt;/D&gt;&lt;D xsi:type="xsd:double"&gt;13.2670983168074&lt;/D&gt;&lt;D xsi:type="xsd:double"&gt;13.4626718807758&lt;/D&gt;&lt;D xsi:type="xsd:double"&gt;13.1971270160428&lt;/D&gt;&lt;D xsi:type="xsd:double"&gt;13.1488825889607&lt;/D&gt;&lt;D xsi:type="xsd:double"&gt;13.8771938107127&lt;/D&gt;&lt;D xsi:type="xsd:double"&gt;13.6418770864636&lt;/D&gt;&lt;D xsi:type="xsd:double"&gt;12.5115208657699&lt;/D&gt;&lt;D xsi:type="xsd:double"&gt;11.6893055328072&lt;/D&gt;&lt;D xsi:type="xsd:double"&gt;13.301037940078&lt;/D&gt;&lt;D xsi:type="xsd:double"&gt;14.3637069689065&lt;/D&gt;&lt;D xsi:type="xsd:double"&gt;14.843575362977&lt;/D&gt;&lt;D xsi:type="xsd:double"&gt;15.2949611047238&lt;/D&gt;&lt;D xsi:type="xsd:double"&gt;15.1490337068608&lt;/D&gt;&lt;D xsi:type="xsd:double"&gt;15.2819020625261&lt;/D&gt;&lt;D xsi:type="xsd:double"&gt;14.6808892320521&lt;/D&gt;&lt;D xsi:type="xsd:double"&gt;15.4789276203535&lt;/D&gt;&lt;D xsi:type="xsd:double"&gt;14.1497417248564&lt;/D&gt;&lt;D xsi:type="xsd:double"&gt;13.8350004758641&lt;/D&gt;&lt;D xsi:type="xsd:double"&gt;13.0797101059657&lt;/D&gt;&lt;D xsi:type="xsd:double"&gt;13.7854614579384&lt;/D&gt;&lt;D xsi:type="xsd:double"&gt;13.9685572947425&lt;/D&gt;&lt;D xsi:type="xsd:double"&gt;13.7032458457998&lt;/D&gt;&lt;D xsi:type="xsd:double"&gt;13.5048735938246&lt;/D&gt;&lt;D xsi:type="xsd:double"&gt;13.1858473069545&lt;/D&gt;&lt;D xsi:type="xsd:double"&gt;13.414748333459&lt;/D&gt;&lt;D xsi:type="xsd:double"&gt;13.3904283623336&lt;/D&gt;&lt;D xsi:type="xsd:double"&gt;13.7020331703337&lt;/D&gt;&lt;D xsi:type="xsd:double"&gt;13.0613314822613&lt;/D&gt;&lt;D xsi:type="xsd:double"&gt;13.088854526181&lt;/D&gt;&lt;D xsi:type="xsd:double"&gt;13.5659516132372&lt;/D&gt;&lt;D xsi:type="xsd:double"&gt;14.225406911907&lt;/D&gt;&lt;D xsi:type="xsd:double"&gt;13.9796148353333&lt;/D&gt;&lt;D xsi:type="xsd:double"&gt;13.7135505952914&lt;/D&gt;&lt;D xsi:type="xsd:double"&gt;12.4769945811365&lt;/D&gt;&lt;D xsi:type="xsd:double"&gt;12.1979786138966&lt;/D&gt;&lt;D xsi:type="xsd:double"&gt;13.5067048602452&lt;/D&gt;&lt;D xsi:type="xsd:double"&gt;12.968090029521&lt;/D&gt;&lt;D xsi:type="xsd:double"&gt;12.9551276056372&lt;/D&gt;&lt;D xsi:type="xsd:double"&gt;12.5455583284718&lt;/D&gt;&lt;D xsi:type="xsd:double"&gt;12.5568375148202&lt;/D&gt;&lt;D xsi:type="xsd:double"&gt;11.2186749701717&lt;/D&gt;&lt;D xsi:type="xsd:double"&gt;11.3162756313515&lt;/D&gt;&lt;D xsi:type="xsd:double"&gt;11.1303906853662&lt;/D&gt;&lt;D xsi:type="xsd:double"&gt;11.151437955138&lt;/D&gt;&lt;D xsi:type="xsd:double"&gt;11.3150693053256&lt;/D&gt;&lt;D xsi:type="xsd:double"&gt;10.9938666049164&lt;/D&gt;&lt;D xsi:type="xsd:double"&gt;11.0695943729741&lt;/D&gt;&lt;D xsi:type="xsd:double"&gt;11.7952641484898&lt;/D&gt;&lt;D xsi:type="xsd:double"&gt;10.9443562912697&lt;/D&gt;&lt;D xsi:type="xsd:double"&gt;10.6959093441621&lt;/D&gt;&lt;D xsi:type="xsd:double"&gt;10.3012214289466&lt;/D&gt;&lt;D xsi:type="xsd:double"&gt;10.418144822227&lt;/D&gt;&lt;D xsi:type="xsd:double"&gt;10.7480730576326&lt;/D&gt;&lt;D xsi:type="xsd:double"&gt;10.3810127031283&lt;/D&gt;&lt;D xsi:type="xsd:double"&gt;11.5169839318491&lt;/D&gt;&lt;/FQL&gt;&lt;FQL&gt;&lt;Q&gt;INDA^FMA_PE(LTMA,-10AY,0,AM,"PORTAGG","MEANR")&lt;/Q&gt;&lt;R&gt;121&lt;/R&gt;&lt;C&gt;1&lt;/C&gt;&lt;D xsi:type="xsd:double"&gt;16.345380305916&lt;/D&gt;&lt;D xsi:type="xsd:double"&gt;16.3751748231197&lt;/D&gt;&lt;D xsi:type="xsd:double"&gt;16.3133268186001&lt;/D&gt;&lt;D xsi:type="xsd:double"&gt;16.8372446902812&lt;/D&gt;&lt;D xsi:type="xsd:double"&gt;17.3096907787629&lt;/D&gt;&lt;D xsi:type="xsd:double"&gt;17.3209257796402&lt;/D&gt;&lt;D xsi:type="xsd:double"&gt;17.9524150712421&lt;/D&gt;&lt;D xsi:type="xsd:double"&gt;18.0865304004231&lt;/D&gt;&lt;D xsi:type="xsd:double"&gt;18.8258014600757&lt;/D&gt;&lt;D xsi:type="xsd:double"&gt;19.7392655953185&lt;/D&gt;&lt;D xsi:type="xsd:double"&gt;19.533985469832&lt;/D&gt;&lt;D xsi:type="xsd:double"&gt;20.4315116257925&lt;/D&gt;&lt;D xsi:type="xsd:double"&gt;21.0444587248141&lt;/D&gt;&lt;D xsi:type="xsd:double"&gt;20.7311504363626&lt;/D&gt;&lt;D xsi:type="xsd:double"&gt;20.3850449276404&lt;/D&gt;&lt;D xsi:type="xsd:double"&gt;20.195647864107&lt;/D&gt;&lt;D xsi:type="xsd:double"&gt;20.857810627965&lt;/D&gt;&lt;D xsi:type="xsd:double"&gt;21.0193104269888&lt;/D&gt;&lt;D xsi:type="xsd:double"&gt;20.0868695128379&lt;/D&gt;&lt;D xsi:type="xsd:double"&gt;20.4090302162601&lt;/D&gt;&lt;D xsi:type="xsd:double"&gt;20.589806544472&lt;/D&gt;&lt;D xsi:type="xsd:double"&gt;20.0903384099914&lt;/D&gt;&lt;D xsi:type="xsd:double"&gt;20.2090828972762&lt;/D&gt;&lt;D xsi:type="xsd:double"&gt;19.5872659997024&lt;/D&gt;&lt;D xsi:type="xsd:double"&gt;18.9700674663744&lt;/D&gt;&lt;D xsi:type="xsd:double"&gt;18.9463888235361&lt;/D&gt;&lt;D xsi:type="xsd:double"&gt;18.8585622959608&lt;/D&gt;&lt;D xsi:type="xsd:double"&gt;19.1586995730446&lt;/D&gt;&lt;D xsi:type="xsd:double"&gt;19.2389500380004&lt;/D&gt;&lt;D xsi:type="xsd:double"&gt;19.60075208353&lt;/D&gt;&lt;D xsi:type="xsd:double"&gt;19.8275380119362&lt;/D&gt;&lt;D xsi:type="xsd:double"&gt;19.9318742017262&lt;/D&gt;&lt;D xsi:type="xsd:double"&gt;19.3876669700878&lt;/D&gt;&lt;D xsi:type="xsd:double"&gt;18.7297556649267&lt;/D&gt;&lt;D xsi:type="xsd:double"&gt;19.0766079997045&lt;/D&gt;&lt;D xsi:type="xsd:double"&gt;19.9779250246436&lt;/D&gt;&lt;D xsi:type="xsd:double"&gt;20.5194242918664&lt;/D&gt;&lt;D xsi:type="xsd:double"&gt;20.4456867090286&lt;/D&gt;&lt;D xsi:type="xsd:double"&gt;20.413626130271&lt;/D&gt;&lt;D xsi:type="xsd:double"&gt;20.440480632683&lt;/D&gt;&lt;D xsi:type="xsd:double"&gt;20.2980030697453&lt;/D&gt;&lt;D xsi:type="xsd:double"&gt;20.9356000436548&lt;/D&gt;&lt;D xsi:type="xsd:double"&gt;21.0074511318503&lt;/D&gt;&lt;D xsi:type="xsd:double"&gt;20.9430216474587&lt;/D&gt;&lt;D xsi:type="xsd:double"&gt;21.9614482139908&lt;/D&gt;&lt;D xsi:type="xsd:double"&gt;21.5866252740277&lt;/D&gt;&lt;D xsi:type="xsd:double"&gt;22.6609228164778&lt;/D&gt;&lt;D xsi:type="xsd:double"&gt;22.1082498718561&lt;/D&gt;&lt;D xsi:type="xsd:double"&gt;21.7403746862655&lt;/D&gt;&lt;D xsi:type="xsd:double"&gt;21.3212554032269&lt;/D&gt;&lt;D xsi:type="xsd:double"&gt;21.3321436593979&lt;/D&gt;&lt;D xsi:type="xsd:double"&gt;21.2295649660821&lt;/D&gt;&lt;D xsi:type="xsd:double"&gt;21.1154595932037&lt;/D&gt;&lt;D xsi:type="xsd:double"&gt;22.0372605447537&lt;/D&gt;&lt;D xsi:type="xsd:double"&gt;22.3435335438735&lt;/D&gt;&lt;D xsi:type="xsd:double"&gt;20.8389379111149&lt;/D&gt;&lt;D xsi:type="xsd:double"&gt;21.1309620436668&lt;/D&gt;&lt;D xsi:type="xsd:double"&gt;21.7089116254067&lt;/D&gt;&lt;D xsi:type="xsd:double"&gt;21.2579265457131&lt;/D&gt;&lt;D xsi:type="xsd:double"&gt;21.8698000090814&lt;/D&gt;&lt;D xsi:type="xsd:double"&gt;21.6843635569214&lt;/D&gt;&lt;D xsi:type="xsd:double"&gt;21.6312259130026&lt;/D&gt;&lt;D xsi:type="xsd:double"&gt;21.5622875903765&lt;/D&gt;&lt;D xsi:type="xsd:double"&gt;21.7229547522825&lt;/D&gt;&lt;D xsi:type="xsd:double"&gt;21.5007606192361&lt;/D&gt;&lt;D xsi:type="xsd:double"&gt;20.8760678392174&lt;/D&gt;&lt;D xsi:type="xsd:double"&gt;20.9369242918242&lt;/D&gt;&lt;D xsi:type="xsd:double"&gt;21.0998536307162&lt;/D&gt;&lt;D xsi:type="xsd:double"&gt;22.8707616483134&lt;/D&gt;&lt;D xsi:type="xsd:double"&gt;23.0751102246381&lt;/D&gt;&lt;D xsi:type="xsd:double"&gt;23.5360999888526&lt;/D&gt;&lt;D xsi:type="xsd:double"&gt;22.9142447860103&lt;/D&gt;&lt;D xsi:type="xsd:double"&gt;21.2595838902949&lt;/D&gt;&lt;D xsi:type="xsd:double"&gt;19.9193618765182&lt;/D&gt;&lt;D xsi:type="xsd:double"&gt;20.8925699077209&lt;/D&gt;&lt;D xsi:type="xsd:double"&gt;22.2564972941298&lt;/D&gt;&lt;D xsi:type="xsd:double"&gt;23.7857669113593&lt;/D&gt;&lt;D xsi:type="xsd:double"&gt;25.1448598679575&lt;/D&gt;&lt;D xsi:type="xsd:double"&gt;25.2960795927057&lt;/D&gt;&lt;D xsi:type="xsd:double"&gt;26.0537502388663&lt;/D&gt;&lt;D xsi:type="xsd:double"&gt;26.0881299875189&lt;/D&gt;&lt;D xsi:type="xsd:double"&gt;31.2103986335776&lt;/D&gt;&lt;D xsi:type="xsd:double"&gt;34.0858475294378&lt;/D&gt;&lt;D xsi:type="xsd:double"&gt;33.1368971683819&lt;/D&gt;&lt;D xsi:type="xsd:double"&gt;31.1688107339416&lt;/D&gt;&lt;D xsi:type="xsd:double"&gt;30.4317880578825&lt;/D&gt;&lt;D xsi:type="xsd:double"&gt;29.4890407422182&lt;/D&gt;&lt;D xsi:type="xsd:double"&gt;29.3896851641745&lt;/D&gt;&lt;D xsi:type="xsd:double"&gt;28.8898444419601&lt;/D&gt;&lt;D xsi:type="xsd:double"&gt;28.9758486117701&lt;/D&gt;&lt;D xsi:type="xsd:double"&gt;29.5054295864951&lt;/D&gt;&lt;D xsi:type="xsd:double"&gt;29.2788763811171&lt;/D&gt;&lt;D xsi:type="xsd:double"&gt;29.114727030773&lt;/D&gt;&lt;D xsi:type="xsd:double"&gt;28.5516243684716&lt;/D&gt;&lt;D xsi:type="xsd:double"&gt;29.1287056578132&lt;/D&gt;&lt;D xsi:type="xsd:double"&gt;28.1267766762333&lt;/D&gt;&lt;D xsi:type="xsd:double"&gt;26.2576938581637&lt;/D&gt;&lt;D xsi:type="xsd:double"&gt;26.2992121641457&lt;/D&gt;&lt;D xsi:type="xsd:double"&gt;25.4771691244731&lt;/D&gt;&lt;D xsi:type="xsd:double"&gt;25.1270065447105&lt;/D&gt;&lt;D xsi:type="xsd:double"&gt;24.2849393570845&lt;/D&gt;&lt;D xsi:type="xsd:double"&gt;25.4722416308751&lt;/D&gt;&lt;D xsi:type="xsd:double"&gt;25.6770526484621&lt;/D&gt;&lt;D xsi:type="xsd:double"&gt;25.0966765117762&lt;/D&gt;&lt;D xsi:type="xsd:double"&gt;26.0771609014814&lt;/D&gt;&lt;D xsi:type="xsd:double"&gt;27.0358855525099&lt;/D&gt;&lt;D xsi:type="xsd:double"&gt;25.9083969966444&lt;/D&gt;&lt;D xsi:type="xsd:double"&gt;24.9726739470059&lt;/D&gt;&lt;D xsi:type="xsd:double"&gt;24.1660025692055&lt;/D&gt;&lt;D xsi:type="xsd:double"&gt;23.7865003938314&lt;/D&gt;&lt;D xsi:type="xsd:double"&gt;23.8732885499783&lt;/D&gt;&lt;D xsi:type="xsd:double"&gt;23.9778427621523&lt;/D&gt;&lt;D xsi:type="xsd:double"&gt;24.2867561226381&lt;/D&gt;&lt;D xsi:type="xsd:double"&gt;23.8631554239064&lt;/D&gt;&lt;D xsi:type="xsd:double"&gt;23.4719903646655&lt;/D&gt;&lt;D xsi:type="xsd:double"&gt;23.3677980577377&lt;/D&gt;&lt;D xsi:type="xsd:double"&gt;23.0834876560587&lt;/D&gt;&lt;D xsi:type="xsd:double"&gt;24.5389284022927&lt;/D&gt;&lt;D xsi:type="xsd:double"&gt;25.8062918373386&lt;/D&gt;&lt;D xsi:type="xsd:double"&gt;26.1344246874189&lt;/D&gt;&lt;D xsi:type="xsd:double"&gt;26.7186156323688&lt;/D&gt;&lt;/FQL&gt;&lt;FQL&gt;&lt;Q&gt;WL-FDS^MAX(FG_PRICE(0,-5AY))&lt;/Q&gt;&lt;R&gt;1&lt;/R&gt;&lt;C&gt;1&lt;/C&gt;&lt;D xsi:type="xsd:double"&gt;763.4&lt;/D&gt;&lt;/FQL&gt;&lt;FQL&gt;&lt;Q&gt;PLATI-FDS^FG_PRICE_CHANGE(0,-1AY)&lt;/Q&gt;&lt;R&gt;1&lt;/R&gt;&lt;C&gt;1&lt;/C&gt;&lt;D xsi:type="xsd:double"&gt;-9.23857868020305&lt;/D&gt;&lt;/FQL&gt;&lt;FQL&gt;&lt;Q&gt;BRENT-FDS^FG_PRICE(0)/MAX(FG_PRICE(0,-1AY))&lt;/Q&gt;&lt;R&gt;1&lt;/R&gt;&lt;C&gt;1&lt;/C&gt;&lt;D xsi:type="xsd:double"&gt;0.870614479821537&lt;/D&gt;&lt;/FQL&gt;&lt;FQL&gt;&lt;Q&gt;USDSAR^STD(FG_PRICE_CHANGE(0,-3AY,M))&lt;/Q&gt;&lt;R&gt;1&lt;/R&gt;&lt;C&gt;1&lt;/C&gt;&lt;D xsi:type="xsd:double"&gt;0.0431013308420281&lt;/D&gt;&lt;/FQL&gt;&lt;FQL&gt;&lt;Q&gt;USDBRL^STD(FG_PRICE_CHANGE(0,-1AY,AM))&lt;/Q&gt;&lt;R&gt;1&lt;/R&gt;&lt;C&gt;1&lt;/C&gt;&lt;D xsi:type="xsd:double"&gt;2.56271889274284&lt;/D&gt;&lt;/FQL&gt;&lt;FQL&gt;&lt;Q&gt;USDTWD^FG_PRICE_CHANGE(0,-6AM)&lt;/Q&gt;&lt;R&gt;1&lt;/R&gt;&lt;C&gt;1&lt;/C&gt;&lt;D xsi:type="xsd:double"&gt;-1.161927&lt;/D&gt;&lt;/FQL&gt;&lt;FQL&gt;&lt;Q&gt;USDPLN^FG_PRICE_CHANGE(0,-1AY)&lt;/Q&gt;&lt;R&gt;1&lt;/R&gt;&lt;C&gt;1&lt;/C&gt;&lt;D xsi:type="xsd:double"&gt;-10.514766&lt;/D&gt;&lt;/FQL&gt;&lt;FQL&gt;&lt;Q&gt;FC0000CN^FMA_EPS(NTMA,-20AY,0,CY,,"PORTAGG","MEANR")&lt;/Q&gt;&lt;R&gt;20&lt;/R&gt;&lt;C&gt;1&lt;/C&gt;&lt;D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xsi:type="xsd:double"&gt;17.6373597187439&lt;/D&gt;&lt;D xsi:type="xsd:double"&gt;17.4947707029365&lt;/D&gt;&lt;D xsi:type="xsd:double"&gt;21.2762448567038&lt;/D&gt;&lt;D xsi:type="xsd:double"&gt;20.3723993160167&lt;/D&gt;&lt;D xsi:type="xsd:double"&gt;19.1497417881359&lt;/D&gt;&lt;/FQL&gt;&lt;FQL&gt;&lt;Q&gt;VNM^FG_TOTAL_RETURNC(-10AY,0,AM)&lt;/Q&gt;&lt;R&gt;121&lt;/R&gt;&lt;C&gt;1&lt;/C&gt;&lt;D xsi:type="xsd:double"&gt;1.8948317&lt;/D&gt;&lt;D xsi:type="xsd:double"&gt;0.13947487&lt;/D&gt;&lt;D xsi:type="xsd:double"&gt;-7.7994466&lt;/D&gt;&lt;D xsi:type="xsd:double"&gt;0.9566903&lt;/D&gt;&lt;D xsi:type="xsd:double"&gt;4.8877835&lt;/D&gt;&lt;D xsi:type="xsd:double"&gt;1.521635&lt;/D&gt;&lt;D xsi:type="xsd:double"&gt;9.929741&lt;/D&gt;&lt;D xsi:type="xsd:double"&gt;-4.431182&lt;/D&gt;&lt;D xsi:type="xsd:double"&gt;-5.260813&lt;/D&gt;&lt;D xsi:type="xsd:double"&gt;-4.4705925&lt;/D&gt;&lt;D xsi:type="xsd:double"&gt;-3.8743377&lt;/D&gt;&lt;D xsi:type="xsd:double"&gt;-3.5808325&lt;/D&gt;&lt;D xsi:type="xsd:double"&gt;3.4407496&lt;/D&gt;&lt;D xsi:type="xsd:double"&gt;-11.985218&lt;/D&gt;&lt;D xsi:type="xsd:double"&gt;4.4391155&lt;/D&gt;&lt;D xsi:type="xsd:double"&gt;-0.45950413&lt;/D&gt;&lt;D xsi:type="xsd:double"&gt;10.38661&lt;/D&gt;&lt;D xsi:type="xsd:double"&gt;-7.161522&lt;/D&gt;&lt;D xsi:type="xsd:double"&gt;-12.781536&lt;/D&gt;&lt;D xsi:type="xsd:double"&gt;2.1304011&lt;/D&gt;&lt;D xsi:type="xsd:double"&gt;9.481668&lt;/D&gt;&lt;D xsi:type="xsd:double"&gt;-9.468818&lt;/D&gt;&lt;D xsi:type="xsd:double"&gt;-0.8859694&lt;/D&gt;&lt;D xsi:type="xsd:double"&gt;-8.884436&lt;/D&gt;&lt;D xsi:type="xsd:double"&gt;6.9648027&lt;/D&gt;&lt;D xsi:type="xsd:double"&gt;-5.962986&lt;/D&gt;&lt;D xsi:type="xsd:double"&gt;2.915454&lt;/D&gt;&lt;D xsi:type="xsd:double"&gt;4.5325756&lt;/D&gt;&lt;D xsi:type="xsd:double"&gt;-0.7452607&lt;/D&gt;&lt;D xsi:type="xsd:double"&gt;-1.160413&lt;/D&gt;&lt;D xsi:type="xsd:double"&gt;3.3149242&lt;/D&gt;&lt;D xsi:type="xsd:double"&gt;-0.60160756&lt;/D&gt;&lt;D xsi:type="xsd:double"&gt;-5.581707&lt;/D&gt;&lt;D xsi:type="xsd:double"&gt;-5.3418818&lt;/D&gt;&lt;D xsi:type="xsd:double"&gt;3.1570911&lt;/D&gt;&lt;D xsi:type="xsd:double"&gt;2.1674156&lt;/D&gt;&lt;D xsi:type="xsd:double"&gt;-1.8288195&lt;/D&gt;&lt;D xsi:type="xsd:double"&gt;5.514157&lt;/D&gt;&lt;D xsi:type="xsd:double"&gt;-1.483053&lt;/D&gt;&lt;D xsi:type="xsd:double"&gt;4.7311783&lt;/D&gt;&lt;D xsi:type="xsd:double"&gt;3.969884&lt;/D&gt;&lt;D xsi:type="xsd:double"&gt;-2.8966427&lt;/D&gt;&lt;D xsi:type="xsd:double"&gt;-0.6779671&lt;/D&gt;&lt;D xsi:type="xsd:double"&gt;1.3651967&lt;/D&gt;&lt;D xsi:type="xsd:double"&gt;8.821547&lt;/D&gt;&lt;D xsi:type="xsd:double"&gt;6.126237&lt;/D&gt;&lt;D xsi:type="xsd:double"&gt;9.058512&lt;/D&gt;&lt;D xsi:type="xsd:double"&gt;0.27011633&lt;/D&gt;&lt;D xsi:type="xsd:double"&gt;-0.37715435&lt;/D&gt;&lt;D xsi:type="xsd:double"&gt;10.275817&lt;/D&gt;&lt;D xsi:type="xsd:double"&gt;-13.487005&lt;/D&gt;&lt;D xsi:type="xsd:double"&gt;0.1700759&lt;/D&gt;&lt;D xsi:type="xsd:double"&gt;-14.3180485&lt;/D&gt;&lt;D xsi:type="xsd:double"&gt;7.7939153&lt;/D&gt;&lt;D xsi:type="xsd:double"&gt;-0.30636787&lt;/D&gt;&lt;D xsi:type="xsd:double"&gt;0.8604765&lt;/D&gt;&lt;D xsi:type="xsd:double"&gt;-7.0079207&lt;/D&gt;&lt;D xsi:type="xsd:double"&gt;2.8833508&lt;/D&gt;&lt;D xsi:type="xsd:double"&gt;-4.2568564&lt;/D&gt;&lt;D xsi:type="xsd:double"&gt;5.164325&lt;/D&gt;&lt;D xsi:type="xsd:double"&gt;7.5892925&lt;/D&gt;&lt;D xsi:type="xsd:double"&gt;1.0077119&lt;/D&gt;&lt;D xsi:type="xsd:double"&gt;-3.0516446&lt;/D&gt;&lt;D xsi:type="xsd:double"&gt;-1.6949177&lt;/D&gt;&lt;D xsi:type="xsd:double"&gt;0.12315512&lt;/D&gt;&lt;D xsi:type="xsd:double"&gt;-1.1685133&lt;/D&gt;&lt;D xsi:type="xsd:double"&gt;-2.1157444&lt;/D&gt;&lt;D xsi:type="xsd:double"&gt;3.2422185&lt;/D&gt;&lt;D xsi:type="xsd:double"&gt;2.7709365&lt;/D&gt;&lt;D xsi:type="xsd:double"&gt;-4.6135426&lt;/D&gt;&lt;D xsi:type="xsd:double"&gt;1.8415928&lt;/D&gt;&lt;D xsi:type="xsd:double"&gt;-6.1528864&lt;/D&gt;&lt;D xsi:type="xsd:double"&gt;-7.417226&lt;/D&gt;&lt;D xsi:type="xsd:double"&gt;-23.21173&lt;/D&gt;&lt;D xsi:type="xsd:double"&gt;11.411274&lt;/D&gt;&lt;D xsi:type="xsd:double"&gt;17.140472&lt;/D&gt;&lt;D xsi:type="xsd:double"&gt;-1.3561785&lt;/D&gt;&lt;D xsi:type="xsd:double"&gt;3.9073825&lt;/D&gt;&lt;D xsi:type="xsd:double"&gt;4.526472&lt;/D&gt;&lt;D xsi:type="xsd:double"&gt;-1.0659575&lt;/D&gt;&lt;D xsi:type="xsd:double"&gt;4.1077375&lt;/D&gt;&lt;D xsi:type="xsd:double"&gt;6.209576&lt;/D&gt;&lt;D xsi:type="xsd:double"&gt;7.3264003&lt;/D&gt;&lt;D xsi:type="xsd:double"&gt;1.7094135&lt;/D&gt;&lt;D xsi:type="xsd:double"&gt;-2.6890755&lt;/D&gt;&lt;D xsi:type="xsd:double"&gt;6.7933083&lt;/D&gt;&lt;D xsi:type="xsd:double"&gt;0.8625388&lt;/D&gt;&lt;D xsi:type="xsd:double"&gt;7.589531&lt;/D&gt;&lt;D xsi:type="xsd:double"&gt;3.7754655&lt;/D&gt;&lt;D xsi:type="xsd:double"&gt;-4.978454&lt;/D&gt;&lt;D xsi:type="xsd:double"&gt;1.7632246&lt;/D&gt;&lt;D xsi:type="xsd:double"&gt;-5.445546&lt;/D&gt;&lt;D xsi:type="xsd:double"&gt;5.7591677&lt;/D&gt;&lt;D xsi:type="xsd:double"&gt;0.8415818&lt;/D&gt;&lt;D xsi:type="xsd:double"&gt;6.223643&lt;/D&gt;&lt;D xsi:type="xsd:double"&gt;-8.4068775&lt;/D&gt;&lt;D xsi:type="xsd:double"&gt;-0.40568113&lt;/D&gt;&lt;D xsi:type="xsd:double"&gt;-0.9674072&lt;/D&gt;&lt;D xsi:type="xsd:double"&gt;-12.287927&lt;/D&gt;&lt;D xsi:type="xsd:double"&gt;-7.327074&lt;/D&gt;&lt;D xsi:type="xsd:double"&gt;-8.412403&lt;/D&gt;&lt;D xsi:type="xsd:double"&gt;5.386746&lt;/D&gt;&lt;D xsi:type="xsd:double"&gt;-0.58977604&lt;/D&gt;&lt;D xsi:type="xsd:double"&gt;-15.227425&lt;/D&gt;&lt;D xsi:type="xsd:double"&gt;-11.81959&lt;/D&gt;&lt;D xsi:type="xsd:double"&gt;13.22751&lt;/D&gt;&lt;D xsi:type="xsd:double"&gt;-2.5983393&lt;/D&gt;&lt;D xsi:type="xsd:double"&gt;-0.96852183&lt;/D&gt;&lt;D xsi:type="xsd:double"&gt;-5.704975&lt;/D&gt;&lt;D xsi:type="xsd:double"&gt;7.3465943&lt;/D&gt;&lt;D xsi:type="xsd:double"&gt;-4.267311&lt;/D&gt;&lt;D xsi:type="xsd:double"&gt;8.158112&lt;/D&gt;&lt;D xsi:type="xsd:double"&gt;3.3437014&lt;/D&gt;&lt;D xsi:type="xsd:double"&gt;13.468779&lt;/D&gt;&lt;D xsi:type="xsd:double"&gt;0.33156872&lt;/D&gt;&lt;D xsi:type="xsd:double"&gt;-12.8883&lt;/D&gt;&lt;D xsi:type="xsd:double"&gt;-4.9696565&lt;/D&gt;&lt;D xsi:type="xsd:double"&gt;8.502996&lt;/D&gt;&lt;D xsi:type="xsd:double"&gt;0.3193736&lt;/D&gt;&lt;D xsi:type="xsd:double"&gt;0.077331066&lt;/D&gt;&lt;D xsi:type="xsd:double"&gt;4.94591&lt;/D&gt;&lt;/FQL&gt;&lt;FQL&gt;&lt;Q&gt;SET-BKK^FMA_DIV_YLD(NTMA,-10AY,0,AM,"PORTAGG","MEANR")&lt;/Q&gt;&lt;R&gt;121&lt;/R&gt;&lt;C&gt;1&lt;/C&gt;&lt;D xsi:type="xsd:double"&gt;3.94749427651641&lt;/D&gt;&lt;D xsi:type="xsd:double"&gt;3.79978685729407&lt;/D&gt;&lt;D xsi:type="xsd:double"&gt;3.73829383683988&lt;/D&gt;&lt;D xsi:type="xsd:double"&gt;3.6706024834648&lt;/D&gt;&lt;D xsi:type="xsd:double"&gt;5.52897393375344&lt;/D&gt;&lt;D xsi:type="xsd:double"&gt;5.76461132359837&lt;/D&gt;&lt;D xsi:type="xsd:double"&gt;3.36652210172913&lt;/D&gt;&lt;D xsi:type="xsd:double"&gt;3.38749152080062&lt;/D&gt;&lt;D xsi:type="xsd:double"&gt;3.34167937008671&lt;/D&gt;&lt;D xsi:type="xsd:double"&gt;3.30704620971366&lt;/D&gt;&lt;D xsi:type="xsd:double"&gt;3.49789231027955&lt;/D&gt;&lt;D xsi:type="xsd:double"&gt;3.17797731968925&lt;/D&gt;&lt;D xsi:type="xsd:double"&gt;3.2747754662136&lt;/D&gt;&lt;D xsi:type="xsd:double"&gt;3.39238836751531&lt;/D&gt;&lt;D xsi:type="xsd:double"&gt;3.39994426752391&lt;/D&gt;&lt;D xsi:type="xsd:double"&gt;3.46413851646348&lt;/D&gt;&lt;D xsi:type="xsd:double"&gt;3.46184241893181&lt;/D&gt;&lt;D xsi:type="xsd:double"&gt;3.54848457278826&lt;/D&gt;&lt;D xsi:type="xsd:double"&gt;3.66896167729805&lt;/D&gt;&lt;D xsi:type="xsd:double"&gt;3.75915299158427&lt;/D&gt;&lt;D xsi:type="xsd:double"&gt;3.5702479394164&lt;/D&gt;&lt;D xsi:type="xsd:double"&gt;3.78774736868091&lt;/D&gt;&lt;D xsi:type="xsd:double"&gt;3.92141120333566&lt;/D&gt;&lt;D xsi:type="xsd:double"&gt;3.67355288233736&lt;/D&gt;&lt;D xsi:type="xsd:double"&gt;3.41965721416532&lt;/D&gt;&lt;D xsi:type="xsd:double"&gt;3.38247400662211&lt;/D&gt;&lt;D xsi:type="xsd:double"&gt;3.42678750318453&lt;/D&gt;&lt;D xsi:type="xsd:double"&gt;3.29875749981987&lt;/D&gt;&lt;D xsi:type="xsd:double"&gt;3.28492608483857&lt;/D&gt;&lt;D xsi:type="xsd:double"&gt;3.17890933577401&lt;/D&gt;&lt;D xsi:type="xsd:double"&gt;3.1949516979684&lt;/D&gt;&lt;D xsi:type="xsd:double"&gt;3.24534578235946&lt;/D&gt;&lt;D xsi:type="xsd:double"&gt;3.31800303890786&lt;/D&gt;&lt;D xsi:type="xsd:double"&gt;3.27803879112529&lt;/D&gt;&lt;D xsi:type="xsd:double"&gt;3.18338279652461&lt;/D&gt;&lt;D xsi:type="xsd:double"&gt;3.11595744815413&lt;/D&gt;&lt;D xsi:type="xsd:double"&gt;3.13221558558961&lt;/D&gt;&lt;D xsi:type="xsd:double"&gt;3.10889463668986&lt;/D&gt;&lt;D xsi:type="xsd:double"&gt;3.16999225840883&lt;/D&gt;&lt;D xsi:type="xsd:double"&gt;3.19765912041529&lt;/D&gt;&lt;D xsi:type="xsd:double"&gt;3.22341507599945&lt;/D&gt;&lt;D xsi:type="xsd:double"&gt;3.2376794465717&lt;/D&gt;&lt;D xsi:type="xsd:double"&gt;3.12462796198947&lt;/D&gt;&lt;D xsi:type="xsd:double"&gt;3.01540999863726&lt;/D&gt;&lt;D xsi:type="xsd:double"&gt;3.027558409744&lt;/D&gt;&lt;D xsi:type="xsd:double"&gt;3.06944660953095&lt;/D&gt;&lt;D xsi:type="xsd:double"&gt;2.92982962729383&lt;/D&gt;&lt;D xsi:type="xsd:double"&gt;2.88892301356283&lt;/D&gt;&lt;D xsi:type="xsd:double"&gt;2.96412391487391&lt;/D&gt;&lt;D xsi:type="xsd:double"&gt;3.15095153623713&lt;/D&gt;&lt;D xsi:type="xsd:double"&gt;3.03780897615877&lt;/D&gt;&lt;D xsi:type="xsd:double"&gt;3.19817572776346&lt;/D&gt;&lt;D xsi:type="xsd:double"&gt;3.38988828325183&lt;/D&gt;&lt;D xsi:type="xsd:double"&gt;3.24547366052205&lt;/D&gt;&lt;D xsi:type="xsd:double"&gt;3.21540481182509&lt;/D&gt;&lt;D xsi:type="xsd:double"&gt;3.24705312024344&lt;/D&gt;&lt;D xsi:type="xsd:double"&gt;3.344103130452&lt;/D&gt;&lt;D xsi:type="xsd:double"&gt;3.37425320399595&lt;/D&gt;&lt;D xsi:type="xsd:double"&gt;3.53419597518892&lt;/D&gt;&lt;D xsi:type="xsd:double"&gt;3.31549657039101&lt;/D&gt;&lt;D xsi:type="xsd:double"&gt;3.30307348574436&lt;/D&gt;&lt;D xsi:type="xsd:double"&gt;3.30455231257162&lt;/D&gt;&lt;D xsi:type="xsd:double"&gt;3.2423433797739&lt;/D&gt;&lt;D xsi:type="xsd:double"&gt;3.28758417440794&lt;/D&gt;&lt;D xsi:type="xsd:double"&gt;3.12346727788735&lt;/D&gt;&lt;D xsi:type="xsd:double"&gt;3.20780156833913&lt;/D&gt;&lt;D xsi:type="xsd:double"&gt;3.23167625262488&lt;/D&gt;&lt;D xsi:type="xsd:double"&gt;3.35591195850651&lt;/D&gt;&lt;D xsi:type="xsd:double"&gt;3.23260347652609&lt;/D&gt;&lt;D xsi:type="xsd:double"&gt;3.28560031082967&lt;/D&gt;&lt;D xsi:type="xsd:double"&gt;3.1994552893558&lt;/D&gt;&lt;D xsi:type="xsd:double"&gt;3.37043670314244&lt;/D&gt;&lt;D xsi:type="xsd:double"&gt;3.61575242568025&lt;/D&gt;&lt;D xsi:type="xsd:double"&gt;4.00612863092341&lt;/D&gt;&lt;D xsi:type="xsd:double"&gt;3.31873389474884&lt;/D&gt;&lt;D xsi:type="xsd:double"&gt;2.95489233713934&lt;/D&gt;&lt;D xsi:type="xsd:double"&gt;2.96240429156775&lt;/D&gt;&lt;D xsi:type="xsd:double"&gt;3.05878655209326&lt;/D&gt;&lt;D xsi:type="xsd:double"&gt;3.13197682433154&lt;/D&gt;&lt;D xsi:type="xsd:double"&gt;3.25816767607831&lt;/D&gt;&lt;D xsi:type="xsd:double"&gt;3.20732102161047&lt;/D&gt;&lt;D xsi:type="xsd:double"&gt;2.7363865006743&lt;/D&gt;&lt;D xsi:type="xsd:double"&gt;2.77807497759838&lt;/D&gt;&lt;D xsi:type="xsd:double"&gt;2.81612580802242&lt;/D&gt;&lt;D xsi:type="xsd:double"&gt;2.7864048920938&lt;/D&gt;&lt;D xsi:type="xsd:double"&gt;2.74721541916871&lt;/D&gt;&lt;D xsi:type="xsd:double"&gt;2.85429114346273&lt;/D&gt;&lt;D xsi:type="xsd:double"&gt;2.83852447236775&lt;/D&gt;&lt;D xsi:type="xsd:double"&gt;2.91795559859446&lt;/D&gt;&lt;D xsi:type="xsd:double"&gt;2.97990868467468&lt;/D&gt;&lt;D xsi:type="xsd:double"&gt;2.77769862939363&lt;/D&gt;&lt;D xsi:type="xsd:double"&gt;2.85097266380129&lt;/D&gt;&lt;D xsi:type="xsd:double"&gt;2.83867059907051&lt;/D&gt;&lt;D xsi:type="xsd:double"&gt;2.95015176429572&lt;/D&gt;&lt;D xsi:type="xsd:double"&gt;2.82060199726465&lt;/D&gt;&lt;D xsi:type="xsd:double"&gt;2.86682763100259&lt;/D&gt;&lt;D xsi:type="xsd:double"&gt;2.91314577633939&lt;/D&gt;&lt;D xsi:type="xsd:double"&gt;2.90416076806243&lt;/D&gt;&lt;D xsi:type="xsd:double"&gt;3.02471676283758&lt;/D&gt;&lt;D xsi:type="xsd:double"&gt;2.99986196935942&lt;/D&gt;&lt;D xsi:type="xsd:double"&gt;3.19097208843498&lt;/D&gt;&lt;D xsi:type="xsd:double"&gt;3.17090055654504&lt;/D&gt;&lt;D xsi:type="xsd:double"&gt;3.13144464868593&lt;/D&gt;&lt;D xsi:type="xsd:double"&gt;3.19220628713008&lt;/D&gt;&lt;D xsi:type="xsd:double"&gt;3.07973782931037&lt;/D&gt;&lt;D xsi:type="xsd:double"&gt;2.99834542164194&lt;/D&gt;&lt;D xsi:type="xsd:double"&gt;2.97063880836921&lt;/D&gt;&lt;D xsi:type="xsd:double"&gt;2.96472365226587&lt;/D&gt;&lt;D xsi:type="xsd:double"&gt;3.10669401455999&lt;/D&gt;&lt;D xsi:type="xsd:double"&gt;3.12380011787869&lt;/D&gt;&lt;D xsi:type="xsd:double"&gt;3.24521923439936&lt;/D&gt;&lt;D xsi:type="xsd:double"&gt;3.17762528071641&lt;/D&gt;&lt;D xsi:type="xsd:double"&gt;3.17169689724438&lt;/D&gt;&lt;D xsi:type="xsd:double"&gt;3.10586810248435&lt;/D&gt;&lt;D xsi:type="xsd:double"&gt;3.09649427274765&lt;/D&gt;&lt;D xsi:type="xsd:double"&gt;3.30986374986453&lt;/D&gt;&lt;D xsi:type="xsd:double"&gt;3.400166249699&lt;/D&gt;&lt;D xsi:type="xsd:double"&gt;3.43165032291382&lt;/D&gt;&lt;D xsi:type="xsd:double"&gt;3.35280139752453&lt;/D&gt;&lt;D xsi:type="xsd:double"&gt;3.48767304098531&lt;/D&gt;&lt;D xsi:type="xsd:double"&gt;3.48809701021134&lt;/D&gt;&lt;/FQL&gt;&lt;FQL&gt;&lt;Q&gt;MCHI^FMA_PE(NTMA,-10AY,0,AM,"PORTAGG","MEANR")&lt;/Q&gt;&lt;R&gt;121&lt;/R&gt;&lt;C&gt;1&lt;/C&gt;&lt;D xsi:type="xsd:double"&gt;8.49485709789136&lt;/D&gt;&lt;D xsi:type="xsd:double"&gt;8.57300472064077&lt;/D&gt;&lt;D xsi:type="xsd:double"&gt;8.4178002050617&lt;/D&gt;&lt;D xsi:type="xsd:double"&gt;8.73764966049538&lt;/D&gt;&lt;D xsi:type="xsd:double"&gt;8.96610284164775&lt;/D&gt;&lt;D xsi:type="xsd:double"&gt;9.31573704249971&lt;/D&gt;&lt;D xsi:type="xsd:double"&gt;9.43804564899764&lt;/D&gt;&lt;D xsi:type="xsd:double"&gt;8.54855486105503&lt;/D&gt;&lt;D xsi:type="xsd:double"&gt;8.85342169632398&lt;/D&gt;&lt;D xsi:type="xsd:double"&gt;9.22280224304841&lt;/D&gt;&lt;D xsi:type="xsd:double"&gt;9.59779550792997&lt;/D&gt;&lt;D xsi:type="xsd:double"&gt;10.0868153055341&lt;/D&gt;&lt;D xsi:type="xsd:double"&gt;10.1158202451801&lt;/D&gt;&lt;D xsi:type="xsd:double"&gt;10.8578491482729&lt;/D&gt;&lt;D xsi:type="xsd:double"&gt;12.3156921450533&lt;/D&gt;&lt;D xsi:type="xsd:double"&gt;11.6665396187192&lt;/D&gt;&lt;D xsi:type="xsd:double"&gt;10.6337651252724&lt;/D&gt;&lt;D xsi:type="xsd:double"&gt;9.40003167343751&lt;/D&gt;&lt;D xsi:type="xsd:double"&gt;8.39077364590597&lt;/D&gt;&lt;D xsi:type="xsd:double"&gt;8.92562047469615&lt;/D&gt;&lt;D xsi:type="xsd:double"&gt;9.71827889610516&lt;/D&gt;&lt;D xsi:type="xsd:double"&gt;9.34459635932663&lt;/D&gt;&lt;D xsi:type="xsd:double"&gt;9.81219002170588&lt;/D&gt;&lt;D xsi:type="xsd:double"&gt;8.94485036993293&lt;/D&gt;&lt;D xsi:type="xsd:double"&gt;9.45760729859295&lt;/D&gt;&lt;D xsi:type="xsd:double"&gt;10.028887980958&lt;/D&gt;&lt;D xsi:type="xsd:double"&gt;9.88623166750171&lt;/D&gt;&lt;D xsi:type="xsd:double"&gt;10.9147790831758&lt;/D&gt;&lt;D xsi:type="xsd:double"&gt;10.9053025551057&lt;/D&gt;&lt;D xsi:type="xsd:double"&gt;11.3466104572802&lt;/D&gt;&lt;D xsi:type="xsd:double"&gt;12.2625733256678&lt;/D&gt;&lt;D xsi:type="xsd:double"&gt;12.4456578792068&lt;/D&gt;&lt;D xsi:type="xsd:double"&gt;11.7863427026273&lt;/D&gt;&lt;D xsi:type="xsd:double"&gt;11.7832916889356&lt;/D&gt;&lt;D xsi:type="xsd:double"&gt;11.4507933150915&lt;/D&gt;&lt;D xsi:type="xsd:double"&gt;11.9226161104338&lt;/D&gt;&lt;D xsi:type="xsd:double"&gt;12.2299118799818&lt;/D&gt;&lt;D xsi:type="xsd:double"&gt;12.438757543541&lt;/D&gt;&lt;D xsi:type="xsd:double"&gt;12.490194591503&lt;/D&gt;&lt;D xsi:type="xsd:double"&gt;13.012981899518&lt;/D&gt;&lt;D xsi:type="xsd:double"&gt;12.9336816043073&lt;/D&gt;&lt;D xsi:type="xsd:double"&gt;13.5989185865205&lt;/D&gt;&lt;D xsi:type="xsd:double"&gt;13.4126813631654&lt;/D&gt;&lt;D xsi:type="xsd:double"&gt;13.8538696352086&lt;/D&gt;&lt;D xsi:type="xsd:double"&gt;13.7171406841987&lt;/D&gt;&lt;D xsi:type="xsd:double"&gt;13.2726066000871&lt;/D&gt;&lt;D xsi:type="xsd:double"&gt;13.8922739570897&lt;/D&gt;&lt;D xsi:type="xsd:double"&gt;13.9007595126965&lt;/D&gt;&lt;D xsi:type="xsd:double"&gt;13.0742506964775&lt;/D&gt;&lt;D xsi:type="xsd:double"&gt;12.2265263280432&lt;/D&gt;&lt;D xsi:type="xsd:double"&gt;12.3238366694731&lt;/D&gt;&lt;D xsi:type="xsd:double"&gt;12.7757068086115&lt;/D&gt;&lt;D xsi:type="xsd:double"&gt;11.8273835437127&lt;/D&gt;&lt;D xsi:type="xsd:double"&gt;11.4595253134029&lt;/D&gt;&lt;D xsi:type="xsd:double"&gt;11.3037795898663&lt;/D&gt;&lt;D xsi:type="xsd:double"&gt;10.6658134564188&lt;/D&gt;&lt;D xsi:type="xsd:double"&gt;10.6126914959205&lt;/D&gt;&lt;D xsi:type="xsd:double"&gt;10.9262642592921&lt;/D&gt;&lt;D xsi:type="xsd:double"&gt;10.0939063769319&lt;/D&gt;&lt;D xsi:type="xsd:double"&gt;11.1543803559634&lt;/D&gt;&lt;D xsi:type="xsd:double"&gt;11.7840479929676&lt;/D&gt;&lt;D xsi:type="xsd:double"&gt;12.1708835276241&lt;/D&gt;&lt;D xsi:type="xsd:double"&gt;12.1832501331457&lt;/D&gt;&lt;D xsi:type="xsd:double"&gt;10.8483181871314&lt;/D&gt;&lt;D xsi:type="xsd:double"&gt;11.6671755759087&lt;/D&gt;&lt;D xsi:type="xsd:double"&gt;10.9788127074644&lt;/D&gt;&lt;D xsi:type="xsd:double"&gt;11.3199662483855&lt;/D&gt;&lt;D xsi:type="xsd:double"&gt;11.0173296783094&lt;/D&gt;&lt;D xsi:type="xsd:double"&gt;11.446431908107&lt;/D&gt;&lt;D xsi:type="xsd:double"&gt;11.4535902952969&lt;/D&gt;&lt;D xsi:type="xsd:double"&gt;12.4817542652005&lt;/D&gt;&lt;D xsi:type="xsd:double"&gt;11.958884861042&lt;/D&gt;&lt;D xsi:type="xsd:double"&gt;12.1869418776044&lt;/D&gt;&lt;D xsi:type="xsd:double"&gt;11.610177849893&lt;/D&gt;&lt;D xsi:type="xsd:double"&gt;12.0586590696618&lt;/D&gt;&lt;D xsi:type="xsd:double"&gt;13.7360737312722&lt;/D&gt;&lt;D xsi:type="xsd:double"&gt;14.4628418668138&lt;/D&gt;&lt;D xsi:type="xsd:double"&gt;15.3324425467793&lt;/D&gt;&lt;D xsi:type="xsd:double"&gt;15.2797379483392&lt;/D&gt;&lt;D xsi:type="xsd:double"&gt;14.8223611915978&lt;/D&gt;&lt;D xsi:type="xsd:double"&gt;15.6471546394841&lt;/D&gt;&lt;D xsi:type="xsd:double"&gt;15.5279461525613&lt;/D&gt;&lt;D xsi:type="xsd:double"&gt;15.564239388903&lt;/D&gt;&lt;D xsi:type="xsd:double"&gt;18.0548324312659&lt;/D&gt;&lt;D xsi:type="xsd:double"&gt;16.8756171721635&lt;/D&gt;&lt;D xsi:type="xsd:double"&gt;16.3815813079586&lt;/D&gt;&lt;D xsi:type="xsd:double"&gt;15.6794966745611&lt;/D&gt;&lt;D xsi:type="xsd:double"&gt;16.1331762722547&lt;/D&gt;&lt;D xsi:type="xsd:double"&gt;15.7751096846914&lt;/D&gt;&lt;D xsi:type="xsd:double"&gt;14.1226964728558&lt;/D&gt;&lt;D xsi:type="xsd:double"&gt;14.0601858739223&lt;/D&gt;&lt;D xsi:type="xsd:double"&gt;12.8080766483546&lt;/D&gt;&lt;D xsi:type="xsd:double"&gt;16.0384447173216&lt;/D&gt;&lt;D xsi:type="xsd:double"&gt;12.5243149063625&lt;/D&gt;&lt;D xsi:type="xsd:double"&gt;12.2146588713277&lt;/D&gt;&lt;D xsi:type="xsd:double"&gt;12.2689010389875&lt;/D&gt;&lt;D xsi:type="xsd:double"&gt;10.8912519755887&lt;/D&gt;&lt;D xsi:type="xsd:double"&gt;11.23847967665&lt;/D&gt;&lt;D xsi:type="xsd:double"&gt;10.7364587949611&lt;/D&gt;&lt;D xsi:type="xsd:double"&gt;11.1678807566956&lt;/D&gt;&lt;D xsi:type="xsd:double"&gt;11.9975169338251&lt;/D&gt;&lt;D xsi:type="xsd:double"&gt;10.8610081687022&lt;/D&gt;&lt;D xsi:type="xsd:double"&gt;10.8652988389275&lt;/D&gt;&lt;D xsi:type="xsd:double"&gt;9.73019814464276&lt;/D&gt;&lt;D xsi:type="xsd:double"&gt;9.28343723731051&lt;/D&gt;&lt;D xsi:type="xsd:double"&gt;10.5360693399488&lt;/D&gt;&lt;D xsi:type="xsd:double"&gt;11.3152373184734&lt;/D&gt;&lt;D xsi:type="xsd:double"&gt;11.6615658033497&lt;/D&gt;&lt;D xsi:type="xsd:double"&gt;11.1944339037359&lt;/D&gt;&lt;D xsi:type="xsd:double"&gt;10.9889257620324&lt;/D&gt;&lt;D xsi:type="xsd:double"&gt;10.5041811424977&lt;/D&gt;&lt;D xsi:type="xsd:double"&gt;10.1633638936749&lt;/D&gt;&lt;D xsi:type="xsd:double"&gt;10.3848488608355&lt;/D&gt;&lt;D xsi:type="xsd:double"&gt;10.880802309843&lt;/D&gt;&lt;D xsi:type="xsd:double"&gt;10.387070822474&lt;/D&gt;&lt;D xsi:type="xsd:double"&gt;9.63702380512246&lt;/D&gt;&lt;D xsi:type="xsd:double"&gt;9.87359652009649&lt;/D&gt;&lt;D xsi:type="xsd:double"&gt;9.32390692905268&lt;/D&gt;&lt;D xsi:type="xsd:double"&gt;9.24395144287673&lt;/D&gt;&lt;D xsi:type="xsd:double"&gt;8.44856774930436&lt;/D&gt;&lt;D xsi:type="xsd:double"&gt;10.4707216811937&lt;/D&gt;&lt;/FQL&gt;&lt;FQL&gt;&lt;Q&gt;BRENT-FDS^FG_PRICE_CHANGE(0,-1AY)&lt;/Q&gt;&lt;R&gt;1&lt;/R&gt;&lt;C&gt;1&lt;/C&gt;&lt;D xsi:type="xsd:double"&gt;-1.57056058695404&lt;/D&gt;&lt;/FQL&gt;&lt;FQL&gt;&lt;Q&gt;TUR^FG_PRICE_MAVG(0,,,,60)&lt;/Q&gt;&lt;R&gt;1&lt;/R&gt;&lt;C&gt;1&lt;/C&gt;&lt;D xsi:type="xsd:double"&gt;35.140167&lt;/D&gt;&lt;/FQL&gt;&lt;FQL&gt;&lt;Q&gt;EZA^FG_PRICE(0)&lt;/Q&gt;&lt;R&gt;1&lt;/R&gt;&lt;C&gt;1&lt;/C&gt;&lt;D xsi:type="xsd:double"&gt;37.98&lt;/D&gt;&lt;/FQL&gt;&lt;FQL&gt;&lt;Q&gt;EPU^FG_PRICE_MAVG(0,,,,200)&lt;/Q&gt;&lt;R&gt;1&lt;/R&gt;&lt;C&gt;1&lt;/C&gt;&lt;D xsi:type="xsd:double"&gt;31.705742&lt;/D&gt;&lt;/FQL&gt;&lt;FQL&gt;&lt;Q&gt;KSA^FG_TOTAL_RETURNC(0,-6AM)&lt;/Q&gt;&lt;R&gt;1&lt;/R&gt;&lt;C&gt;1&lt;/C&gt;&lt;D xsi:type="xsd:double"&gt;8.699393&lt;/D&gt;&lt;/FQL&gt;&lt;FQL&gt;&lt;Q&gt;EWY^FG_TOTAL_RETURNC(0,-6AM)&lt;/Q&gt;&lt;R&gt;1&lt;/R&gt;&lt;C&gt;1&lt;/C&gt;&lt;D xsi:type="xsd:double"&gt;6.4956307&lt;/D&gt;&lt;/FQL&gt;&lt;FQL&gt;&lt;Q&gt;SET-BKK^PERCENT_CHANGE(FMA_EPS(+1,0,,,,"PORTAGG","MEAN"),FMA_EPS(+1,-1AM,,,,"PORTAGG","MEAN"))&lt;/Q&gt;&lt;R&gt;1&lt;/R&gt;&lt;C&gt;1&lt;/C&gt;&lt;D xsi:type="xsd:double"&gt;-1.0739783727442&lt;/D&gt;&lt;/FQL&gt;&lt;FQL&gt;&lt;Q&gt;EIDO^FMA_PCT_ABOVE_MAVG(200,0,,,,"PORTAGG")&lt;/Q&gt;&lt;R&gt;1&lt;/R&gt;&lt;C&gt;1&lt;/C&gt;&lt;D xsi:type="xsd:double"&gt;32.4324324324324&lt;/D&gt;&lt;/FQL&gt;&lt;FQL&gt;&lt;Q&gt;EWT^FMA_COS_DOWN("EPS","1M",+1,NOW,,,"PORTAGG","MEANR")&lt;/Q&gt;&lt;R&gt;1&lt;/R&gt;&lt;C&gt;1&lt;/C&gt;&lt;D xsi:type="xsd:double"&gt;34&lt;/D&gt;&lt;/FQL&gt;&lt;FQL&gt;&lt;Q&gt;CNYA^FMA_COS_UP("EPS","1M",+1,NOW,,,"PORTAGG","MEANR")&lt;/Q&gt;&lt;R&gt;1&lt;/R&gt;&lt;C&gt;1&lt;/C&gt;&lt;D xsi:type="xsd:double"&gt;79&lt;/D&gt;&lt;/FQL&gt;&lt;FQL&gt;&lt;Q&gt;EIDO^FG_ROE(0)&lt;/Q&gt;&lt;R&gt;1&lt;/R&gt;&lt;C&gt;1&lt;/C&gt;&lt;D xsi:type="xsd:double"&gt;13.2313129732196&lt;/D&gt;&lt;/FQL&gt;&lt;FQL&gt;&lt;Q&gt;REFQALEND-FDS^(SUBARRAY(NOT_NA(NO_REPEAT_F(FG_YIELD(NOW,-10AY,D))),0,1)-SUBARRAY(NOT_NA(NO_REPEAT_F(FG_YIELD(NOW,-10AY,D))),1,1))*100&lt;/Q&gt;&lt;R&gt;1&lt;/R&gt;&lt;C&gt;1&lt;/C&gt;&lt;D xsi:type="xsd:double"&gt;25&lt;/D&gt;&lt;/FQL&gt;&lt;FQL&gt;&lt;Q&gt;REFKRBASE-FDS^PROPER_NAME(0,,,"SECURITY","NAME")&lt;/Q&gt;&lt;R&gt;1&lt;/R&gt;&lt;C&gt;1&lt;/C&gt;&lt;D xsi:type="xsd:string"&gt;South Korea Base Rate&lt;/D&gt;&lt;/FQL&gt;&lt;FQL&gt;&lt;Q&gt;INDA^FMA_ROE(NTMA,-20AY,NOW,FY,"PORTAGG","MEANR")&lt;/Q&gt;&lt;R&gt;20&lt;/R&gt;&lt;C&gt;1&lt;/C&gt;&lt;D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xsi:type="xsd:double"&gt;15.6108197056138&lt;/D&gt;&lt;D xsi:type="xsd:double"&gt;16.0962597956391&lt;/D&gt;&lt;D xsi:type="xsd:double"&gt;15.7612771435553&lt;/D&gt;&lt;D xsi:type="xsd:double"&gt;15.9055421047158&lt;/D&gt;&lt;D xsi:type="xsd:double"&gt;15.6930916584344&lt;/D&gt;&lt;D xsi:type="xsd:double"&gt;15.3154529754558&lt;/D&gt;&lt;D xsi:type="xsd:double"&gt;14.6122050459717&lt;/D&gt;&lt;D xsi:type="xsd:double"&gt;14.5354845941958&lt;/D&gt;&lt;D xsi:type="xsd:double"&gt;12.8423838581616&lt;/D&gt;&lt;D xsi:type="xsd:double"&gt;15.1612835327609&lt;/D&gt;&lt;D xsi:type="xsd:double"&gt;14.9254235326562&lt;/D&gt;&lt;D xsi:type="xsd:double"&gt;16.0758035604142&lt;/D&gt;&lt;/FQL&gt;&lt;FQL&gt;&lt;Q&gt;CAGDPY@VN^EE_ACTUAL_ANNUAL(MED,0)&lt;/Q&gt;&lt;R&gt;0&lt;/R&gt;&lt;C&gt;0&lt;/C&gt;&lt;/FQL&gt;&lt;FQL&gt;&lt;Q&gt;CAGDPY@PL^EE_ACTUAL_ANNUAL(MED,+1)&lt;/Q&gt;&lt;R&gt;1&lt;/R&gt;&lt;C&gt;1&lt;/C&gt;&lt;D xsi:type="xsd:double"&gt;0.8&lt;/D&gt;&lt;/FQL&gt;&lt;FQL&gt;&lt;Q&gt;USDTRY^FG_PRICE_CHANGE(0,-6AM)&lt;/Q&gt;&lt;R&gt;1&lt;/R&gt;&lt;C&gt;1&lt;/C&gt;&lt;D xsi:type="xsd:double"&gt;17.768002&lt;/D&gt;&lt;/FQL&gt;&lt;FQL&gt;&lt;Q&gt;USDCNH^STD(FG_PRICE_CHANGE(0,-1AY,AM))&lt;/Q&gt;&lt;R&gt;1&lt;/R&gt;&lt;C&gt;1&lt;/C&gt;&lt;D xsi:type="xsd:double"&gt;1.20721251298514&lt;/D&gt;&lt;/FQL&gt;&lt;FQL&gt;&lt;Q&gt;FC0000CL^JULIAN(FMA_EPS(NTMA,-20AY,0,CY,,"PORTAGG","MEANR").DATES)&lt;/Q&gt;&lt;R&gt;20&lt;/R&gt;&lt;C&gt;1&lt;/C&gt;&lt;D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xsi:type="xsd:long"&gt;45289&lt;/D&gt;&lt;/FQL&gt;&lt;FQL&gt;&lt;Q&gt;UAE^FG_TOTAL_RETURNC(-10AY,0,AM)&lt;/Q&gt;&lt;R&gt;121&lt;/R&gt;&lt;C&gt;1&lt;/C&gt;&lt;D xsi:type="xsd:string"&gt;@NA&lt;/D&gt;&lt;D xsi:type="xsd:string"&gt;@NA&lt;/D&gt;&lt;D xsi:type="xsd:string"&gt;@NA&lt;/D&gt;&lt;D xsi:type="xsd:double"&gt;1.0412216&lt;/D&gt;&lt;D xsi:type="xsd:double"&gt;-12.46829&lt;/D&gt;&lt;D xsi:type="xsd:double"&gt;6.9103837&lt;/D&gt;&lt;D xsi:type="xsd:double"&gt;5.170977&lt;/D&gt;&lt;D xsi:type="xsd:double"&gt;-4.084057&lt;/D&gt;&lt;D xsi:type="xsd:double"&gt;-7.110381&lt;/D&gt;&lt;D xsi:type="xsd:double"&gt;-5.6519747&lt;/D&gt;&lt;D xsi:type="xsd:double"&gt;-9.135664&lt;/D&gt;&lt;D xsi:type="xsd:double"&gt;1.0095716&lt;/D&gt;&lt;D xsi:type="xsd:double"&gt;1.5518188&lt;/D&gt;&lt;D xsi:type="xsd:double"&gt;-2.3604393&lt;/D&gt;&lt;D xsi:type="xsd:double"&gt;11.034811&lt;/D&gt;&lt;D xsi:type="xsd:double"&gt;-2.430433&lt;/D&gt;&lt;D xsi:type="xsd:double"&gt;1.2597084&lt;/D&gt;&lt;D xsi:type="xsd:double"&gt;1.0934353&lt;/D&gt;&lt;D xsi:type="xsd:double"&gt;-14.306784&lt;/D&gt;&lt;D xsi:type="xsd:double"&gt;2.1227717&lt;/D&gt;&lt;D xsi:type="xsd:double"&gt;-6.9101095&lt;/D&gt;&lt;D xsi:type="xsd:double"&gt;-4.465902&lt;/D&gt;&lt;D xsi:type="xsd:double"&gt;-2.4988651&lt;/D&gt;&lt;D xsi:type="xsd:double"&gt;-1.844722&lt;/D&gt;&lt;D xsi:type="xsd:double"&gt;8.614969&lt;/D&gt;&lt;D xsi:type="xsd:double"&gt;1.6577125&lt;/D&gt;&lt;D xsi:type="xsd:double"&gt;0.2298832&lt;/D&gt;&lt;D xsi:type="xsd:double"&gt;-2.6646793&lt;/D&gt;&lt;D xsi:type="xsd:double"&gt;6.2384605&lt;/D&gt;&lt;D xsi:type="xsd:double"&gt;2.824521&lt;/D&gt;&lt;D xsi:type="xsd:double"&gt;-0.2630055&lt;/D&gt;&lt;D xsi:type="xsd:double"&gt;-2.2267878&lt;/D&gt;&lt;D xsi:type="xsd:double"&gt;-4.405153&lt;/D&gt;&lt;D xsi:type="xsd:double"&gt;0.72727203&lt;/D&gt;&lt;D xsi:type="xsd:double"&gt;5.919671&lt;/D&gt;&lt;D xsi:type="xsd:double"&gt;0.17803907&lt;/D&gt;&lt;D xsi:type="xsd:double"&gt;0.5337715&lt;/D&gt;&lt;D xsi:type="xsd:double"&gt;0.17619133&lt;/D&gt;&lt;D xsi:type="xsd:double"&gt;0.99999905&lt;/D&gt;&lt;D xsi:type="xsd:double"&gt;0&lt;/D&gt;&lt;D xsi:type="xsd:double"&gt;1.5947104&lt;/D&gt;&lt;D xsi:type="xsd:double"&gt;5.8303833&lt;/D&gt;&lt;D xsi:type="xsd:double"&gt;-0.7234216&lt;/D&gt;&lt;D xsi:type="xsd:double"&gt;-1.6031325&lt;/D&gt;&lt;D xsi:type="xsd:double"&gt;1.1450291&lt;/D&gt;&lt;D xsi:type="xsd:double"&gt;-6.1672745&lt;/D&gt;&lt;D xsi:type="xsd:double"&gt;5.3723574&lt;/D&gt;&lt;D xsi:type="xsd:double"&gt;-0.5077779&lt;/D&gt;&lt;D xsi:type="xsd:double"&gt;-4.205078&lt;/D&gt;&lt;D xsi:type="xsd:double"&gt;1.3229132&lt;/D&gt;&lt;D xsi:type="xsd:double"&gt;-2.6706278&lt;/D&gt;&lt;D xsi:type="xsd:double"&gt;0&lt;/D&gt;&lt;D xsi:type="xsd:double"&gt;-3.8231075&lt;/D&gt;&lt;D xsi:type="xsd:double"&gt;5.360687&lt;/D&gt;&lt;D xsi:type="xsd:double"&gt;-1.5075386&lt;/D&gt;&lt;D xsi:type="xsd:double"&gt;-3.5076559&lt;/D&gt;&lt;D xsi:type="xsd:double"&gt;0.79312325&lt;/D&gt;&lt;D xsi:type="xsd:double"&gt;-6.229508&lt;/D&gt;&lt;D xsi:type="xsd:double"&gt;-0.87478757&lt;/D&gt;&lt;D xsi:type="xsd:double"&gt;0.5673766&lt;/D&gt;&lt;D xsi:type="xsd:double"&gt;2.1149516&lt;/D&gt;&lt;D xsi:type="xsd:double"&gt;2.141583&lt;/D&gt;&lt;D xsi:type="xsd:double"&gt;3.7863493&lt;/D&gt;&lt;D xsi:type="xsd:double"&gt;-6.384367&lt;/D&gt;&lt;D xsi:type="xsd:double"&gt;-1.8584371&lt;/D&gt;&lt;D xsi:type="xsd:double"&gt;3.3431292&lt;/D&gt;&lt;D xsi:type="xsd:double"&gt;-0.036257505&lt;/D&gt;&lt;D xsi:type="xsd:double"&gt;-3.8399994&lt;/D&gt;&lt;D xsi:type="xsd:double"&gt;2.218926&lt;/D&gt;&lt;D xsi:type="xsd:double"&gt;-1.1931956&lt;/D&gt;&lt;D xsi:type="xsd:double"&gt;-2.0878673&lt;/D&gt;&lt;D xsi:type="xsd:double"&gt;-2.8653681&lt;/D&gt;&lt;D xsi:type="xsd:double"&gt;-7.7532053&lt;/D&gt;&lt;D xsi:type="xsd:double"&gt;-23.789644&lt;/D&gt;&lt;D xsi:type="xsd:double"&gt;10.514784&lt;/D&gt;&lt;D xsi:type="xsd:double"&gt;4.5589685&lt;/D&gt;&lt;D xsi:type="xsd:double"&gt;0.98466873&lt;/D&gt;&lt;D xsi:type="xsd:double"&gt;3.811872&lt;/D&gt;&lt;D xsi:type="xsd:double"&gt;3.3857942&lt;/D&gt;&lt;D xsi:type="xsd:double"&gt;-3.1365335&lt;/D&gt;&lt;D xsi:type="xsd:double"&gt;2.5714278&lt;/D&gt;&lt;D xsi:type="xsd:double"&gt;9.420609&lt;/D&gt;&lt;D xsi:type="xsd:double"&gt;1.6365767&lt;/D&gt;&lt;D xsi:type="xsd:double"&gt;10.526312&lt;/D&gt;&lt;D xsi:type="xsd:double"&gt;-1.7384708&lt;/D&gt;&lt;D xsi:type="xsd:double"&gt;3.8461566&lt;/D&gt;&lt;D xsi:type="xsd:double"&gt;1.2592554&lt;/D&gt;&lt;D xsi:type="xsd:double"&gt;7.900512&lt;/D&gt;&lt;D xsi:type="xsd:double"&gt;0.14199018&lt;/D&gt;&lt;D xsi:type="xsd:double"</t>
        </r>
      </text>
    </comment>
    <comment ref="A9" authorId="0" shapeId="0" xr:uid="{58A65F3C-54C4-4CB9-BD33-40864BC48FDE}">
      <text>
        <r>
          <rPr>
            <b/>
            <sz val="9"/>
            <color indexed="81"/>
            <rFont val="Tahoma"/>
            <family val="2"/>
          </rPr>
          <t>&gt;-0.28031468&lt;/D&gt;&lt;D xsi:type="xsd:double"&gt;4.6380997&lt;/D&gt;&lt;D xsi:type="xsd:double"&gt;-1.2760282&lt;/D&gt;&lt;D xsi:type="xsd:double"&gt;6.9387794&lt;/D&gt;&lt;D xsi:type="xsd:double"&gt;4.644406&lt;/D&gt;&lt;D xsi:type="xsd:double"&gt;0.41382313&lt;/D&gt;&lt;D xsi:type="xsd:double"&gt;1.6615391&lt;/D&gt;&lt;D xsi:type="xsd:double"&gt;10.351086&lt;/D&gt;&lt;D xsi:type="xsd:double"&gt;6.198585&lt;/D&gt;&lt;D xsi:type="xsd:double"&gt;-2.5826454&lt;/D&gt;&lt;D xsi:type="xsd:double"&gt;-9.01379&lt;/D&gt;&lt;D xsi:type="xsd:double"&gt;-7.685292&lt;/D&gt;&lt;D xsi:type="xsd:double"&gt;5.487418&lt;/D&gt;&lt;D xsi:type="xsd:double"&gt;-2.5091767&lt;/D&gt;&lt;D xsi:type="xsd:double"&gt;-2.5109887&lt;/D&gt;&lt;D xsi:type="xsd:double"&gt;0.19317865&lt;/D&gt;&lt;D xsi:type="xsd:double"&gt;0.06426573&lt;/D&gt;&lt;D xsi:type="xsd:double"&gt;-3.0174851&lt;/D&gt;&lt;D xsi:type="xsd:double"&gt;-2.1722555&lt;/D&gt;&lt;D xsi:type="xsd:double"&gt;0.06784201&lt;/D&gt;&lt;D xsi:type="xsd:double"&gt;-3.8983047&lt;/D&gt;&lt;D xsi:type="xsd:double"&gt;6.8783045&lt;/D&gt;&lt;D xsi:type="xsd:double"&gt;-2.3762345&lt;/D&gt;&lt;D xsi:type="xsd:double"&gt;1.0546684&lt;/D&gt;&lt;D xsi:type="xsd:double"&gt;5.429554&lt;/D&gt;&lt;D xsi:type="xsd:double"&gt;-1.4341593&lt;/D&gt;&lt;D xsi:type="xsd:double"&gt;2.6455045&lt;/D&gt;&lt;D xsi:type="xsd:double"&gt;-6.25&lt;/D&gt;&lt;D xsi:type="xsd:double"&gt;0.7560134&lt;/D&gt;&lt;D xsi:type="xsd:double"&gt;1.2023568&lt;/D&gt;&lt;D xsi:type="xsd:double"&gt;-0.13568401&lt;/D&gt;&lt;D xsi:type="xsd:double"&gt;-0.57744384&lt;/D&gt;&lt;/FQL&gt;&lt;FQL&gt;&lt;Q&gt;EZA^FMA_PE(LTMA,-10AY,0,AM,"PORTAGG","MEANR")&lt;/Q&gt;&lt;R&gt;121&lt;/R&gt;&lt;C&gt;1&lt;/C&gt;&lt;D xsi:type="xsd:double"&gt;15.7849938023462&lt;/D&gt;&lt;D xsi:type="xsd:double"&gt;15.6924304516273&lt;/D&gt;&lt;D xsi:type="xsd:double"&gt;15.5785740667365&lt;/D&gt;&lt;D xsi:type="xsd:double"&gt;15.6305469704877&lt;/D&gt;&lt;D xsi:type="xsd:double"&gt;15.9281827258159&lt;/D&gt;&lt;D xsi:type="xsd:double"&gt;16.2121515272037&lt;/D&gt;&lt;D xsi:type="xsd:double"&gt;16.7473744156194&lt;/D&gt;&lt;D xsi:type="xsd:double"&gt;16.0881687100127&lt;/D&gt;&lt;D xsi:type="xsd:double"&gt;16.9077126773757&lt;/D&gt;&lt;D xsi:type="xsd:double"&gt;16.2768351592917&lt;/D&gt;&lt;D xsi:type="xsd:double"&gt;16.9127637754384&lt;/D&gt;&lt;D xsi:type="xsd:double"&gt;18.3244614112638&lt;/D&gt;&lt;D xsi:type="xsd:double"&gt;18.4341663472201&lt;/D&gt;&lt;D xsi:type="xsd:double"&gt;18.4516734666941&lt;/D&gt;&lt;D xsi:type="xsd:double"&gt;18.5455535266419&lt;/D&gt;&lt;D xsi:type="xsd:double"&gt;17.8783920434133&lt;/D&gt;&lt;D xsi:type="xsd:double"&gt;18.1490850083144&lt;/D&gt;&lt;D xsi:type="xsd:double"&gt;17.8278517932074&lt;/D&gt;&lt;D xsi:type="xsd:double"&gt;17.0520487449507&lt;/D&gt;&lt;D xsi:type="xsd:double"&gt;17.0965782695215&lt;/D&gt;&lt;D xsi:type="xsd:double"&gt;18.0174623871655&lt;/D&gt;&lt;D xsi:type="xsd:double"&gt;16.4394693552749&lt;/D&gt;&lt;D xsi:type="xsd:double"&gt;16.1264653984129&lt;/D&gt;&lt;D xsi:type="xsd:double"&gt;16.2269605758256&lt;/D&gt;&lt;D xsi:type="xsd:double"&gt;15.9979251756356&lt;/D&gt;&lt;D xsi:type="xsd:double"&gt;15.9965582393024&lt;/D&gt;&lt;D xsi:type="xsd:double"&gt;15.8161332796676&lt;/D&gt;&lt;D xsi:type="xsd:double"&gt;16.0864522589377&lt;/D&gt;&lt;D xsi:type="xsd:double"&gt;16.0521610413542&lt;/D&gt;&lt;D xsi:type="xsd:double"&gt;16.3642582306024&lt;/D&gt;&lt;D xsi:type="xsd:double"&gt;16.5588813408636&lt;/D&gt;&lt;D xsi:type="xsd:double"&gt;16.7057872613695&lt;/D&gt;&lt;D xsi:type="xsd:double"&gt;16.2625937292801&lt;/D&gt;&lt;D xsi:type="xsd:double"&gt;15.8916549012327&lt;/D&gt;&lt;D xsi:type="xsd:double"&gt;17.3248216510676&lt;/D&gt;&lt;D xsi:type="xsd:double"&gt;17.4439318321981&lt;/D&gt;&lt;D xsi:type="xsd:double"&gt;18.4690895188876&lt;/D&gt;&lt;D xsi:type="xsd:double"&gt;18.2846420739568&lt;/D&gt;&lt;D xsi:type="xsd:double"&gt;18.2578230355544&lt;/D&gt;&lt;D xsi:type="xsd:double"&gt;17.95624571326&lt;/D&gt;&lt;D xsi:type="xsd:double"&gt;17.6869230351012&lt;/D&gt;&lt;D xsi:type="xsd:double"&gt;18.0689208140867&lt;/D&gt;&lt;D xsi:type="xsd:double"&gt;18.0271050876085&lt;/D&gt;&lt;D xsi:type="xsd:double"&gt;17.5821490358081&lt;/D&gt;&lt;D xsi:type="xsd:double"&gt;18.3475621755598&lt;/D&gt;&lt;D xsi:type="xsd:double"&gt;18.5769705073522&lt;/D&gt;&lt;D xsi:type="xsd:double"&gt;18.4424919594602&lt;/D&gt;&lt;D xsi:type="xsd:double"&gt;17.9852640280375&lt;/D&gt;&lt;D xsi:type="xsd:double"&gt;18.1034345377524&lt;/D&gt;&lt;D xsi:type="xsd:double"&gt;17.7857040717098&lt;/D&gt;&lt;D xsi:type="xsd:double"&gt;17.679117747075&lt;/D&gt;&lt;D xsi:type="xsd:double"&gt;17.3898622183248&lt;/D&gt;&lt;D xsi:type="xsd:double"&gt;17.0315475754608&lt;/D&gt;&lt;D xsi:type="xsd:double"&gt;16.6155705322358&lt;/D&gt;&lt;D xsi:type="xsd:double"&gt;16.11450351131&lt;/D&gt;&lt;D xsi:type="xsd:double"&gt;15.1554434012268&lt;/D&gt;&lt;D xsi:type="xsd:double"&gt;14.91713072424&lt;/D&gt;&lt;D xsi:type="xsd:double"&gt;15.225837411065&lt;/D&gt;&lt;D xsi:type="xsd:double"&gt;14.8798629508405&lt;/D&gt;&lt;D xsi:type="xsd:double"&gt;15.0886504676674&lt;/D&gt;&lt;D xsi:type="xsd:double"&gt;15.386260748471&lt;/D&gt;&lt;D xsi:type="xsd:double"&gt;15.2854887896266&lt;/D&gt;&lt;D xsi:type="xsd:double"&gt;15.3962090993917&lt;/D&gt;&lt;D xsi:type="xsd:double"&gt;14.9480652998759&lt;/D&gt;&lt;D xsi:type="xsd:double"&gt;14.9260002231804&lt;/D&gt;&lt;D xsi:type="xsd:double"&gt;14.5531808837447&lt;/D&gt;&lt;D xsi:type="xsd:double"&gt;14.0679743804565&lt;/D&gt;&lt;D xsi:type="xsd:double"&gt;13.446469432674&lt;/D&gt;&lt;D xsi:type="xsd:double"&gt;13.6936527714031&lt;/D&gt;&lt;D xsi:type="xsd:double"&gt;13.9549134543003&lt;/D&gt;&lt;D xsi:type="xsd:double"&gt;14.7465320995271&lt;/D&gt;&lt;D xsi:type="xsd:double"&gt;14.0902137499727&lt;/D&gt;&lt;D xsi:type="xsd:double"&gt;12.6979644467944&lt;/D&gt;&lt;D xsi:type="xsd:double"&gt;11.9543302488578&lt;/D&gt;&lt;D xsi:type="xsd:double"&gt;12.421573280315&lt;/D&gt;&lt;D xsi:type="xsd:double"&gt;12.8300011779197&lt;/D&gt;&lt;D xsi:type="xsd:double"&gt;13.039874096535&lt;/D&gt;&lt;D xsi:type="xsd:double"&gt;13.4621310688125&lt;/D&gt;&lt;D xsi:type="xsd:double"&gt;13.1609434311661&lt;/D&gt;&lt;D xsi:type="xsd:double"&gt;13.2107772172765&lt;/D&gt;&lt;D xsi:type="xsd:double"&gt;13.1856020646609&lt;/D&gt;&lt;D xsi:type="xsd:double"&gt;13.5590391581766&lt;/D&gt;&lt;D xsi:type="xsd:double"&gt;14.1256589114787&lt;/D&gt;&lt;D xsi:type="xsd:double"&gt;14.0286638624907&lt;/D&gt;&lt;D xsi:type="xsd:double"&gt;13.6253236493804&lt;/D&gt;&lt;D xsi:type="xsd:double"&gt;13.3134160404435&lt;/D&gt;&lt;D xsi:type="xsd:double"&gt;12.7060169099923&lt;/D&gt;&lt;D xsi:type="xsd:double"&gt;12.5772825284486&lt;/D&gt;&lt;D xsi:type="xsd:double"&gt;11.9980563647593&lt;/D&gt;&lt;D xsi:type="xsd:double"&gt;11.6570534960751&lt;/D&gt;&lt;D xsi:type="xsd:double"&gt;11.1302337979842&lt;/D&gt;&lt;D xsi:type="xsd:double"&gt;10.8123701440289&lt;/D&gt;&lt;D xsi:type="xsd:double"&gt;10.8817343458885&lt;/D&gt;&lt;D xsi:type="xsd:double"&gt;10.5553260195963&lt;/D&gt;&lt;D xsi:type="xsd:double"&gt;10.5949222439921&lt;/D&gt;&lt;D xsi:type="xsd:double"&gt;10.8245199768169&lt;/D&gt;&lt;D xsi:type="xsd:double"&gt;11.1915624546173&lt;/D&gt;&lt;D xsi:type="xsd:double"&gt;11.0736288458322&lt;/D&gt;&lt;D xsi:type="xsd:double"&gt;10.6870201344405&lt;/D&gt;&lt;D xsi:type="xsd:double"&gt;10.5108163188026&lt;/D&gt;&lt;D xsi:type="xsd:double"&gt;10.1410044940954&lt;/D&gt;&lt;D xsi:type="xsd:double"&gt;10.1352500523822&lt;/D&gt;&lt;D xsi:type="xsd:double"&gt;9.95575807069149&lt;/D&gt;&lt;D xsi:type="xsd:double"&gt;9.62819448295141&lt;/D&gt;&lt;D xsi:type="xsd:double"&gt;9.92435930272558&lt;/D&gt;&lt;D xsi:type="xsd:double"&gt;10.1990986787057&lt;/D&gt;&lt;D xsi:type="xsd:double"&gt;10.4226216387603&lt;/D&gt;&lt;D xsi:type="xsd:double"&gt;10.8537359432521&lt;/D&gt;&lt;D xsi:type="xsd:double"&gt;10.3062064076585&lt;/D&gt;&lt;D xsi:type="xsd:double"&gt;10.2648795820502&lt;/D&gt;&lt;D xsi:type="xsd:double"&gt;10.169845182229&lt;/D&gt;&lt;D xsi:type="xsd:double"&gt;9.99804438354169&lt;/D&gt;&lt;D xsi:type="xsd:double"&gt;10.3187904100507&lt;/D&gt;&lt;D xsi:type="xsd:double"&gt;10.6150540028019&lt;/D&gt;&lt;D xsi:type="xsd:double"&gt;10.6292334577537&lt;/D&gt;&lt;D xsi:type="xsd:double"&gt;10.2584969488843&lt;/D&gt;&lt;D xsi:type="xsd:double"&gt;10.8590283543061&lt;/D&gt;&lt;D xsi:type="xsd:double"&gt;11.2340764559995&lt;/D&gt;&lt;D xsi:type="xsd:double"&gt;11.3076007672986&lt;/D&gt;&lt;D xsi:type="xsd:double"&gt;11.1929654662958&lt;/D&gt;&lt;D xsi:type="xsd:double"&gt;10.8345406088191&lt;/D&gt;&lt;/FQL&gt;&lt;FQL&gt;&lt;Q&gt;WL-FDS^FG_PRICE_CHANGE(0,-6AM)&lt;/Q&gt;&lt;R&gt;1&lt;/R&gt;&lt;C&gt;1&lt;/C&gt;&lt;D xsi:type="xsd:double"&gt;-18.543956043956&lt;/D&gt;&lt;/FQL&gt;&lt;FQL&gt;&lt;Q&gt;PLATI-FDS^FG_PRICE_CHANGE(0,-6AM)&lt;/Q&gt;&lt;R&gt;1&lt;/R&gt;&lt;C&gt;1&lt;/C&gt;&lt;D xsi:type="xsd:double"&gt;-9.42249240121581&lt;/D&gt;&lt;/FQL&gt;&lt;FQL&gt;&lt;Q&gt;BRENT-FDS^FG_PRICE_CHANGE(0,-6AM)&lt;/Q&gt;&lt;R&gt;1&lt;/R&gt;&lt;C&gt;1&lt;/C&gt;&lt;D xsi:type="xsd:double"&gt;-4.75873544093178&lt;/D&gt;&lt;/FQL&gt;&lt;FQL&gt;&lt;Q&gt;TUR^FG_PRICE_MAVG(0,,,,30)&lt;/Q&gt;&lt;R&gt;1&lt;/R&gt;&lt;C&gt;1&lt;/C&gt;&lt;D xsi:type="xsd:double"&gt;36.802334&lt;/D&gt;&lt;/FQL&gt;&lt;FQL&gt;&lt;Q&gt;EPU^FG_PRICE_MAVG(0,,,,60)&lt;/Q&gt;&lt;R&gt;1&lt;/R&gt;&lt;C&gt;1&lt;/C&gt;&lt;D xsi:type="xsd:double"&gt;33.74671&lt;/D&gt;&lt;/FQL&gt;&lt;FQL&gt;&lt;Q&gt;CNYA^FG_PRICE(0)&lt;/Q&gt;&lt;R&gt;1&lt;/R&gt;&lt;C&gt;1&lt;/C&gt;&lt;D xsi:type="xsd:double"&gt;26.13&lt;/D&gt;&lt;/FQL&gt;&lt;FQL&gt;&lt;Q&gt;MCHI^P_PRICE(0)/P_PRICE_LOW_PR(0,,,USD,,,"PRICE","INTRA","52W")-1&lt;/Q&gt;&lt;R&gt;1&lt;/R&gt;&lt;C&gt;1&lt;/C&gt;&lt;D xsi:type="xsd:double"&gt;0.09359181&lt;/D&gt;&lt;/FQL&gt;&lt;FQL&gt;&lt;Q&gt;EPHE^P_PRICE(0)/P_PRICE_HIGH_PR(0,,,USD,,,"PRICE","INTRA","52W")&lt;/Q&gt;&lt;R&gt;1&lt;/R&gt;&lt;C&gt;1&lt;/C&gt;&lt;D xsi:type="xsd:double"&gt;0.994614&lt;/D&gt;&lt;/FQL&gt;&lt;FQL&gt;&lt;Q&gt;URTH^PERCENT_CHANGE(FMA_EPS(+1,0,,,,"PORTAGG","MEAN"),FMA_EPS(+1,-1AM,,,,"PORTAGG","MEAN"))&lt;/Q&gt;&lt;R&gt;1&lt;/R&gt;&lt;C&gt;1&lt;/C&gt;&lt;D xsi:type="xsd:double"&gt;-7.93523738852576&lt;/D&gt;&lt;/FQL&gt;&lt;FQL&gt;&lt;Q&gt;EWW^PERCENT_CHANGE(FMA_EPS(+1,0,,,,"PORTAGG","MEAN"),FMA_EPS(+1,-3AM,,,,"PORTAGG","MEAN"))&lt;/Q&gt;&lt;R&gt;1&lt;/R&gt;&lt;C&gt;1&lt;/C&gt;&lt;D xsi:type="xsd:double"&gt;-25.1935041921468&lt;/D&gt;&lt;/FQL&gt;&lt;FQL&gt;&lt;Q&gt;USDBRL^FG_PRICE_CHANGE(0,-6AM)&lt;/Q&gt;&lt;R&gt;1&lt;/R&gt;&lt;C&gt;1&lt;/C&gt;&lt;D xsi:type="xsd:double"&gt;0.64810514&lt;/D&gt;&lt;/FQL&gt;&lt;FQL&gt;&lt;Q&gt;USDTWD^FG_PRICE_CHANGE(0,-3AM)&lt;/Q&gt;&lt;R&gt;1&lt;/R&gt;&lt;C&gt;1&lt;/C&gt;&lt;D xsi:type="xsd:double"&gt;0.36303997&lt;/D&gt;&lt;/FQL&gt;&lt;FQL&gt;&lt;Q&gt;USDPHP^STD(FG_PRICE_CHANGE(0,-3AY,M))&lt;/Q&gt;&lt;R&gt;1&lt;/R&gt;&lt;C&gt;1&lt;/C&gt;&lt;D xsi:type="xsd:double"&gt;1.76743322777503&lt;/D&gt;&lt;/FQL&gt;&lt;FQL&gt;&lt;Q&gt;KSA^P_PRICE_RETURNS_PR('52W',2,-10AY,0,AM)&lt;/Q&gt;&lt;R&gt;121&lt;/R&gt;&lt;C&gt;1&lt;/C&gt;&lt;D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xsi:type="xsd:double"&gt;-18.747353&lt;/D&gt;&lt;D xsi:type="xsd:double"&gt;-7.1842074&lt;/D&gt;&lt;D xsi:type="xsd:double"&gt;3.1193137&lt;/D&gt;&lt;D xsi:type="xsd:double"&gt;11.389505&lt;/D&gt;&lt;D xsi:type="xsd:double"&gt;24.494017&lt;/D&gt;&lt;D xsi:type="xsd:double"&gt;15.744591&lt;/D&gt;&lt;D xsi:type="xsd:double"&gt;19.401073&lt;/D&gt;&lt;D xsi:type="xsd:double"&gt;9.363365&lt;/D&gt;&lt;D xsi:type="xsd:double"&gt;8.776676&lt;/D&gt;&lt;D xsi:type="xsd:double"&gt;20.544683&lt;/D&gt;&lt;D xsi:type="xsd:double"&gt;16.651249&lt;/D&gt;&lt;D xsi:type="xsd:double"&gt;24.208714&lt;/D&gt;&lt;D xsi:type="xsd:double"&gt;32.469223&lt;/D&gt;&lt;D xsi:type="xsd:double"&gt;16.792465&lt;/D&gt;&lt;D xsi:type="xsd:double"&gt;0.926733&lt;/D&gt;&lt;D xsi:type="xsd:double"&gt;7.4059367&lt;/D&gt;&lt;D xsi:type="xsd:double"&gt;10.523569&lt;/D&gt;&lt;D xsi:type="xsd:double"&gt;10.429132&lt;/D&gt;&lt;D xsi:type="xsd:double"&gt;19.273603&lt;/D&gt;&lt;D xsi:type="xsd:double"&gt;23.986816&lt;/D&gt;&lt;D xsi:type="xsd:double"&gt;30.585182&lt;/D&gt;&lt;D xsi:type="xsd:double"&gt;14.497709&lt;/D&gt;&lt;D xsi:type="xsd:double"&gt;26.136744&lt;/D&gt;&lt;D xsi:type="xsd:double"&gt;14.779556&lt;/D&gt;&lt;D xsi:type="xsd:double"&gt;17.152668&lt;/D&gt;&lt;D xsi:type="xsd:double"&gt;21.389843&lt;/D&gt;&lt;D xsi:type="xsd:double"&gt;16.229534&lt;/D&gt;&lt;D xsi:type="xsd:double"&gt;13.045239&lt;/D&gt;&lt;D xsi:type="xsd:double"&gt;20.18969&lt;/D&gt;&lt;D xsi:type="xsd:double"&gt;23.413933&lt;/D&gt;&lt;D xsi:type="xsd:double"&gt;19.97509&lt;/D&gt;&lt;D xsi:type="xsd:double"&gt;22.574377&lt;/D&gt;&lt;D xsi:type="xsd:double"&gt;4.4619203&lt;/D&gt;&lt;D xsi:type="xsd:double"&gt;10.992885&lt;/D&gt;&lt;D xsi:type="xsd:double"&gt;4.678142&lt;/D&gt;&lt;D xsi:type="xsd:double"&gt;6.9599986&lt;/D&gt;&lt;D xsi:type="xsd:double"&gt;2.7741432&lt;/D&gt;&lt;D xsi:type="xsd:double"&gt;-1.2916744&lt;/D&gt;&lt;D xsi:type="xsd:double"&gt;4.6423316&lt;/D&gt;&lt;D xsi:type="xsd:double"&gt;8.443033&lt;/D&gt;&lt;D xsi:type="xsd:double"&gt;-5.0417304&lt;/D&gt;&lt;D xsi:type="xsd:double"&gt;-13.402647&lt;/D&gt;&lt;D xsi:type="xsd:double"&gt;-23.687672&lt;/D&gt;&lt;D xsi:type="xsd:double"&gt;-30.41919&lt;/D&gt;&lt;D xsi:type="xsd:double"&gt;-14.666468&lt;/D&gt;&lt;D xsi:type="xsd:double"&gt;-16.054838&lt;/D&gt;&lt;D xsi:type="xsd:double"&gt;-13.645088&lt;/D&gt;&lt;D xsi:type="xsd:double"&gt;-3.7194192&lt;/D&gt;&lt;D xsi:type="xsd:double"&gt;1.3436317&lt;/D&gt;&lt;D xsi:type="xsd:double"&gt;5.301571&lt;/D&gt;&lt;D xsi:type="xsd:double"&gt;9.498429&lt;/D&gt;&lt;D xsi:type="xsd:double"&gt;3.9059877&lt;/D&gt;&lt;D xsi:type="xsd:double"&gt;6.5715194&lt;/D&gt;&lt;D xsi:type="xsd:double"&gt;24.33629&lt;/D&gt;&lt;D xsi:type="xsd:double"&gt;54.13954&lt;/D&gt;&lt;D xsi:type="xsd:double"&gt;57.769585&lt;/D&gt;&lt;D xsi:type="xsd:double"&gt;48.023926&lt;/D&gt;&lt;D xsi:type="xsd:double"&gt;50.272644&lt;/D&gt;&lt;D xsi:type="xsd:double"&gt;51.914288&lt;/D&gt;&lt;D xsi:type="xsd:double"&gt;47.29029&lt;/D&gt;&lt;D xsi:type="xsd:double"&gt;44.40206&lt;/D&gt;&lt;D xsi:type="xsd:double"&gt;48.207508&lt;/D&gt;&lt;D xsi:type="xsd:double"&gt;29.588366&lt;/D&gt;&lt;D xsi:type="xsd:double"&gt;35.18747&lt;/D&gt;&lt;D xsi:type="xsd:double"&gt;46.558475&lt;/D&gt;&lt;D xsi:type="xsd:double"&gt;43.11477&lt;/D&gt;&lt;D xsi:type="xsd:double"&gt;36.159634&lt;/D&gt;&lt;D xsi:type="xsd:double"&gt;36.322628&lt;/D&gt;&lt;D xsi:type="xsd:double"&gt;18.447649&lt;/D&gt;&lt;D xsi:type="xsd:double"&gt;6.1870694&lt;/D&gt;&lt;D xsi:type="xsd:double"&gt;11.08445&lt;/D&gt;&lt;D xsi:type="xsd:double"&gt;8.042276&lt;/D&gt;&lt;D xsi:type="xsd:double"&gt;5.1245213&lt;/D&gt;&lt;D xsi:type="xsd:double"&gt;0.53368807&lt;/D&gt;&lt;D xsi:type="xsd:double"&gt;-1.0702908&lt;/D&gt;&lt;D xsi:type="xsd:double"&gt;-5.884409&lt;/D&gt;&lt;D xsi:type="xsd:double"&gt;-12.150282&lt;/D&gt;&lt;D xsi:type="xsd:double"&gt;-18.90093&lt;/D&gt;&lt;D xsi:type="xsd:double"&gt;-14.949876&lt;/D&gt;&lt;D xsi:type="xsd:double"&gt;-18.411345&lt;/D&gt;&lt;D xsi:type="xsd:double"&gt;-8.969837&lt;/D&gt;&lt;D xsi:type="xsd:double"&gt;1.8301725&lt;/D&gt;&lt;D xsi:type="xsd:double"&gt;-5.293483&lt;/D&gt;&lt;D xsi:type="xsd:double"&gt;-4.9867687&lt;/D&gt;&lt;D xsi:type="xsd:double"&gt;-10.143841&lt;/D&gt;&lt;D xsi:type="xsd:double"&gt;-3.9469063&lt;/D&gt;&lt;D xsi:type="xsd:double"&gt;3.9957285&lt;/D&gt;&lt;D xsi:type="xsd:double"&gt;14.837503&lt;/D&gt;&lt;D xsi:type="xsd:double"&gt;11.14086&lt;/D&gt;&lt;D xsi:type="xsd:double"&gt;20.65332&lt;/D&gt;&lt;/FQL&gt;&lt;FQL&gt;&lt;Q&gt;EZA^FMA_ROE(NTMA,-20AY,NOW,FY,"PORTAGG","MEANR")&lt;/Q&gt;&lt;R&gt;20&lt;/R&gt;&lt;C&gt;1&lt;/C&gt;&lt;D xsi:type="xsd:double"&gt;17.9443072677306&lt;/D&gt;&lt;D xsi:type="xsd:double"&gt;20.5348928156755&lt;/D&gt;&lt;D xsi:type="xsd:double"&gt;23.3962979706047&lt;/D&gt;&lt;D xsi:type="xsd:double"&gt;22.9309412159492&lt;/D&gt;&lt;D xsi:type="xsd:double"&gt;18.5257233943907&lt;/D&gt;&lt;D xsi:type="xsd:double"&gt;16.4229233067431&lt;/D&gt;&lt;D xsi:type="xsd:double"&gt;17.9081210683932&lt;/D&gt;&lt;D xsi:type="xsd:double"&gt;18.7154492714901&lt;/D&gt;&lt;D xsi:type="xsd:double"&gt;17.1811698307319&lt;/D&gt;&lt;D xsi:type="xsd:double"&gt;15.8177225487006&lt;/D&gt;&lt;D xsi:type="xsd:double"&gt;15.0179384562795&lt;/D&gt;&lt;D xsi:type="xsd:double"&gt;14.1296467541483&lt;/D&gt;&lt;D xsi:type="xsd:double"&gt;12.9857675631351&lt;/D&gt;&lt;D xsi:type="xsd:double"&gt;13.3471903111701&lt;/D&gt;&lt;D xsi:type="xsd:double"&gt;14.1097872522301&lt;/D&gt;&lt;D xsi:type="xsd:double"&gt;13.6185226454453&lt;/D&gt;&lt;D xsi:type="xsd:double"&gt;16.7115371927188&lt;/D&gt;&lt;D xsi:type="xsd:double"&gt;16.932589581546&lt;/D&gt;&lt;D xsi:type="xsd:double"&gt;16.8118349535848&lt;/D&gt;&lt;D xsi:type="xsd:double"&gt;14.5722752976358&lt;/D&gt;&lt;/FQL&gt;&lt;FQL&gt;&lt;Q&gt;TRYCN10Y-FDS^FG_YIELD(-10AY,0,Y,,"YTM")&lt;/Q&gt;&lt;R&gt;10&lt;/R&gt;&lt;C&gt;1&lt;/C&gt;&lt;D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xsi:type="xsd:double"&gt;2.574&lt;/D&gt;&lt;/FQL&gt;&lt;FQL&gt;&lt;Q&gt;CAGDPY@AE^EE_ACTUAL_ANNUAL(MED,+1)&lt;/Q&gt;&lt;R&gt;1&lt;/R&gt;&lt;C&gt;1&lt;/C&gt;&lt;D xsi:type="xsd:double"&gt;12.85&lt;/D&gt;&lt;/FQL&gt;&lt;FQL&gt;&lt;Q&gt;CAGDPY@PH^EE_ACTUAL_ANNUAL(MED,+1)&lt;/Q&gt;&lt;R&gt;1&lt;/R&gt;&lt;C&gt;1&lt;/C&gt;&lt;D xsi:type="xsd:double"&gt;-3.15&lt;/D&gt;&lt;/FQL&gt;&lt;FQL&gt;&lt;Q&gt;USDSAR^FG_PRICE_CHANGE(0,-6AM)&lt;/Q&gt;&lt;R&gt;1&lt;/R&gt;&lt;C&gt;1&lt;/C&gt;&lt;D xsi:type="xsd:double"&gt;-0.021332502&lt;/D&gt;&lt;/FQL&gt;&lt;FQL&gt;&lt;Q&gt;USDTRY^FG_PRICE_CHANGE(0,-3AM)&lt;/Q&gt;&lt;R&gt;1&lt;/R&gt;&lt;C&gt;1&lt;/C&gt;&lt;D xsi:type="xsd:double"&gt;9.081947&lt;/D&gt;&lt;/FQL&gt;&lt;FQL&gt;&lt;Q&gt;USDINR^STD(FG_PRICE_CHANGE(0,-3AY,M))&lt;/Q&gt;&lt;R&gt;1&lt;/R&gt;&lt;C&gt;1&lt;/C&gt;&lt;D xsi:type="xsd:double"&gt;1.09882521072959&lt;/D&gt;&lt;/FQL&gt;&lt;FQL&gt;&lt;Q&gt;USDBRL^FG_PRICE_CHANGE(0,-3AM)&lt;/Q&gt;&lt;R&gt;1&lt;/R&gt;&lt;C&gt;1&lt;/C&gt;&lt;D xsi:type="xsd:double"&gt;0.34793615&lt;/D&gt;&lt;/FQL&gt;&lt;FQL&gt;&lt;Q&gt;USDTWD^FG_PRICE_CHANGE(0,-1AM)&lt;/Q&gt;&lt;R&gt;1&lt;/R&gt;&lt;C&gt;1&lt;/C&gt;&lt;D xsi:type="xsd:double"&gt;0.9675145&lt;/D&gt;&lt;/FQL&gt;&lt;FQL&gt;&lt;Q&gt;CAGDPY@AE^EE_ACTUAL_ANNUAL(MED,0)&lt;/Q&gt;&lt;R&gt;1&lt;/R&gt;&lt;C&gt;1&lt;/C&gt;&lt;D xsi:type="xsd:double"&gt;12.7&lt;/D&gt;&lt;/FQL&gt;&lt;FQL&gt;&lt;Q&gt;USDTWD^FG_PRICE_CHANGE(0,-1AY)&lt;/Q&gt;&lt;R&gt;1&lt;/R&gt;&lt;C&gt;1&lt;/C&gt;&lt;D xsi:type="xsd:double"&gt;2.8909087&lt;/D&gt;&lt;/FQL&gt;&lt;FQL&gt;&lt;Q&gt;USDPHP^STD(FG_PRICE_CHANGE(0,-1AY,AM))&lt;/Q&gt;&lt;R&gt;1&lt;/R&gt;&lt;C&gt;1&lt;/C&gt;&lt;D xsi:type="xsd:double"&gt;1.13851568362207&lt;/D&gt;&lt;/FQL&gt;&lt;FQL&gt;&lt;Q&gt;UAE^P_PRICE_RETURNS_PR('52W',2,-10AY,0,AM)&lt;/Q&gt;&lt;R&gt;121&lt;/R&gt;&lt;C&gt;1&lt;/C&gt;&lt;D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xsi:type="xsd:double"&gt;-15.5306225&lt;/D&gt;&lt;D xsi:type="xsd:double"&gt;-18.432898&lt;/D&gt;&lt;D xsi:type="xsd:double"&gt;-5.640352&lt;/D&gt;&lt;D xsi:type="xsd:double"&gt;-10.774422&lt;/D&gt;&lt;D xsi:type="xsd:double"&gt;-27.299076&lt;/D&gt;&lt;D xsi:type="xsd:double"&gt;-22.78604&lt;/D&gt;&lt;D xsi:type="xsd:double"&gt;-22.427637&lt;/D&gt;&lt;D xsi:type="xsd:double"&gt;-21.452444&lt;/D&gt;&lt;D xsi:type="xsd:double"&gt;-15.715271&lt;/D&gt;&lt;D xsi:type="xsd:double"&gt;-18.096966&lt;/D&gt;&lt;D xsi:type="xsd:double"&gt;-12.400425&lt;/D&gt;&lt;D xsi:type="xsd:double"&gt;-8.795441&lt;/D&gt;&lt;D xsi:type="xsd:double"&gt;-17.670673&lt;/D&gt;&lt;D xsi:type="xsd:double"&gt;-18.198925&lt;/D&gt;&lt;D xsi:type="xsd:double"&gt;-12.657988&lt;/D&gt;&lt;D xsi:type="xsd:double"&gt;-12.354523&lt;/D&gt;&lt;D xsi:type="xsd:double"&gt;1.3694644&lt;/D&gt;&lt;D xsi:type="xsd:double"&gt;-2.3355126&lt;/D&gt;&lt;D xsi:type="xsd:double"&gt;0.2925396&lt;/D&gt;&lt;D xsi:type="xsd:double"&gt;7.0974827&lt;/D&gt;&lt;D xsi:type="xsd:double"&gt;14.8746605&lt;/D&gt;&lt;D xsi:type="xsd:double"&gt;19.136774&lt;/D&gt;&lt;D xsi:type="xsd:double"&gt;7.9262495&lt;/D&gt;&lt;D xsi:type="xsd:double"&gt;6.9373727&lt;/D&gt;&lt;D xsi:type="xsd:double"&gt;7.7590346&lt;/D&gt;&lt;D xsi:type="xsd:double"&gt;10.065805&lt;/D&gt;&lt;D xsi:type="xsd:double"&gt;5.869913&lt;/D&gt;&lt;D xsi:type="xsd:double"&gt;8.964788&lt;/D&gt;&lt;D xsi:type="xsd:double"&gt;9.520721&lt;/D&gt;&lt;D xsi:type="xsd:double"&gt;9.153593&lt;/D&gt;&lt;D xsi:type="xsd:double"&gt;15.370917&lt;/D&gt;&lt;D xsi:type="xsd:double"&gt;7.585907&lt;/D&gt;&lt;D xsi:type="xsd:double"&gt;7.0299745&lt;/D&gt;&lt;D xsi:type="xsd:double"&gt;5.42289&lt;/D&gt;&lt;D xsi:type="xsd:double"&gt;1.0283589&lt;/D&gt;&lt;D xsi:type="xsd:double"&gt;2.4461746&lt;/D&gt;&lt;D xsi:type="xsd:double"&gt;-1.2770057&lt;/D&gt;&lt;D xsi:type="xsd:double"&gt;-1.2770057&lt;/D&gt;&lt;D xsi:type="xsd:double"&gt;-6.5416813&lt;/D&gt;&lt;D xsi:type="xsd:double"&gt;-6.9046617&lt;/D&gt;&lt;D xsi:type="xsd:double"&gt;-7.691354&lt;/D&gt;&lt;D xsi:type="xsd:double"&gt;-9.478026&lt;/D&gt;&lt;D xsi:type="xsd:double"&gt;-9.4103155&lt;/D&gt;&lt;D xsi:type="xsd:double"&gt;-9.852802&lt;/D&gt;&lt;D xsi:type="xsd:double"&gt;-15.197301&lt;/D&gt;&lt;D xsi:type="xsd:double"&gt;-14.280891&lt;/D&gt;&lt;D xsi:type="xsd:double"&gt;-8.625608&lt;/D&gt;&lt;D xsi:type="xsd:double"&gt;-7.8873277&lt;/D&gt;&lt;D xsi:type="xsd:double"&gt;-1.5964329&lt;/D&gt;&lt;D xsi:type="xsd:double"&gt;-8.04739&lt;/D&gt;&lt;D xsi:type="xsd:double"&gt;-6.169009&lt;/D&gt;&lt;D xsi:type="xsd:double"&gt;-7.8500214&lt;/D&gt;&lt;D xsi:type="xsd:double"&gt;-6.5909863&lt;/D&gt;&lt;D xsi:type="xsd:double"&gt;-6.9127083&lt;/D&gt;&lt;D xsi:type="xsd:double"&gt;-5.5959105&lt;/D&gt;&lt;D xsi:type="xsd:double"&gt;-0.52556396&lt;/D&gt;&lt;D xsi:type="xsd:double"&gt;-1.0410786&lt;/D&gt;&lt;D xsi:type="xsd:double"&gt;-5.096799&lt;/D&gt;&lt;D xsi:type="xsd:double"&gt;-14.268028&lt;/D&gt;&lt;D xsi:type="xsd:double"&gt;-35.989983&lt;/D&gt;&lt;D xsi:type="xsd:double"&gt;-31.886314&lt;/D&gt;&lt;D xsi:type="xsd:double"&gt;-23.924065&lt;/D&gt;&lt;D xsi:type="xsd:double"&gt;-21.566313&lt;/D&gt;&lt;D xsi:type="xsd:double"&gt;-21.365118&lt;/D&gt;&lt;D xsi:type="xsd:double"&gt;-18.673212&lt;/D&gt;&lt;D xsi:type="xsd:double"&gt;-17.275501&lt;/D&gt;&lt;D xsi:type="xsd:double"&gt;-17.795753&lt;/D&gt;&lt;D xsi:type="xsd:double"&gt;-8.965391&lt;/D&gt;&lt;D xsi:type="xsd:double"&gt;-5.5025697&lt;/D&gt;&lt;D xsi:type="xsd:double"&gt;7.5255394&lt;/D&gt;&lt;D xsi:type="xsd:double"&gt;14.536476&lt;/D&gt;&lt;D xsi:type="xsd:double"&gt;57.449924&lt;/D&gt;&lt;D xsi:type="xsd:double"&gt;42.99953&lt;/D&gt;&lt;D xsi:type="xsd:double"&gt;47.569572&lt;/D&gt;&lt;D xsi:type="xsd:double"&gt;46.338154&lt;/D&gt;&lt;D xsi:type="xsd:double"&gt;40.569603&lt;/D&gt;&lt;D xsi:type="xsd:double"&gt;41.68414&lt;/D&gt;&lt;D xsi:type="xsd:double"&gt;45.005&lt;/D&gt;&lt;D xsi:type="xsd:double"&gt;51.17911&lt;/D&gt;&lt;D xsi:type="xsd:double"&gt;44.391453&lt;/D&gt;&lt;D xsi:type="xsd:double"&gt;42.840755&lt;/D&gt;&lt;D xsi:type="xsd:double"&gt;31.384218&lt;/D&gt;&lt;D xsi:type="xsd:double"&gt;47.548996&lt;/D&gt;&lt;D xsi:type="xsd:double"&gt;50.89141&lt;/D&gt;&lt;D xsi:type="xsd:double"&gt;45.16641&lt;/D&gt;&lt;D xsi:type="xsd:double"&gt;21.871662&lt;/D&gt;&lt;D xsi:type="xsd:double"&gt;13.558758&lt;/D&gt;&lt;D xsi:type="xsd:double"&gt;19.369305&lt;/D&gt;&lt;D xsi:type="xsd:double"&gt;11.216557&lt;/D&gt;&lt;D xsi:type="xsd:double"&gt;9.824586&lt;/D&gt;&lt;D xsi:type="xsd:double"&gt;2.8969526&lt;/D&gt;&lt;D xsi:type="xsd:double"&gt;-2.9628515&lt;/D&gt;&lt;D xsi:type="xsd:double"&gt;-4.9689713&lt;/D&gt;&lt;D xsi:type="xsd:double"&gt;-8.33075&lt;/D&gt;&lt;D xsi:type="xsd:double"&gt;-17.751139&lt;/D&gt;&lt;D xsi:type="xsd:double"&gt;-24.958574&lt;/D&gt;&lt;D xsi:type="xsd:double"&gt;-17.670727&lt;/D&gt;&lt;D xsi:type="xsd:double"&gt;-12.278146&lt;/D&gt;&lt;D xsi:type="xsd:double"&gt;-3.3014953&lt;/D&gt;&lt;D xsi:type="xsd:double"&gt;-3.3545434&lt;/D&gt;&lt;D xsi:type="xsd:double"&gt;-2.166015&lt;/D&gt;&lt;D xsi:type="xsd:double"&gt;2.879393&lt;/D&gt;&lt;D xsi:type="xsd:double"&gt;-2.4195552&lt;/D&gt;&lt;D xsi:type="xsd:double"&gt;-3.0710459&lt;/D&gt;&lt;D xsi:type="xsd:double"&gt;1.1464715&lt;/D&gt;&lt;D xsi:type="xsd:double"&gt;3.9573908&lt;/D&gt;&lt;D xsi:type="xsd:double"&gt;2.5862932&lt;/D&gt;&lt;/FQL&gt;&lt;FQL&gt;&lt;Q&gt;MCHI^FMA_DIV_YLD(NTMA,-10AY,0,AM,"PORTAGG","MEANR")&lt;/Q&gt;&lt;R&gt;121&lt;/R&gt;&lt;C&gt;1&lt;/C&gt;&lt;D xsi:type="xsd:double"&gt;3.75818734844846&lt;/D&gt;&lt;D xsi:type="xsd:double"&gt;3.75541983543631&lt;/D&gt;&lt;D xsi:type="xsd:double"&gt;3.8189670359937&lt;/D&gt;&lt;D xsi:type="xsd:double"&gt;3.69463674536264&lt;/D&gt;&lt;D xsi:type="xsd:double"&gt;3.59659277175031&lt;/D&gt;&lt;D xsi:type="xsd:double"&gt;3.46489351814289&lt;/D&gt;&lt;D xsi:type="xsd:double"&gt;3.41949861707746&lt;/D&gt;&lt;D xsi:type="xsd:double"&gt;3.76535758800843&lt;/D&gt;&lt;D xsi:type="xsd:double"&gt;3.64296813081775&lt;/D&gt;&lt;D xsi:type="xsd:double"&gt;3.49087010735247&lt;/D&gt;&lt;D xsi:type="xsd:double"&gt;3.31423296218917&lt;/D&gt;&lt;D xsi:type="xsd:double"&gt;3.14161582995343&lt;/D&gt;&lt;D xsi:type="xsd:double"&gt;3.13397309514869&lt;/D&gt;&lt;D xsi:type="xsd:double"&gt;2.85589105893199&lt;/D&gt;&lt;D xsi:type="xsd:double"&gt;2.48344618447611&lt;/D&gt;&lt;D xsi:type="xsd:double"&gt;2.63028435179511&lt;/D&gt;&lt;D xsi:type="xsd:double"&gt;2.88602010857243&lt;/D&gt;&lt;D xsi:type="xsd:double"&gt;3.25743899081223&lt;/D&gt;&lt;D xsi:type="xsd:double"&gt;3.67246458379352&lt;/D&gt;&lt;D xsi:type="xsd:double"&gt;3.42172348471877&lt;/D&gt;&lt;D xsi:type="xsd:double"&gt;3.15158947956512&lt;/D&gt;&lt;D xsi:type="xsd:double"&gt;3.2682451892048&lt;/D&gt;&lt;D xsi:type="xsd:double"&gt;2.99397496791035&lt;/D&gt;&lt;D xsi:type="xsd:double"&gt;3.28208945114716&lt;/D&gt;&lt;D xsi:type="xsd:double"&gt;3.11674379879661&lt;/D&gt;&lt;D xsi:type="xsd:double"&gt;2.95035167718743&lt;/D&gt;&lt;D xsi:type="xsd:double"&gt;2.97135313611965&lt;/D&gt;&lt;D xsi:type="xsd:double"&gt;2.58891236986498&lt;/D&gt;&lt;D xsi:type="xsd:double"&gt;2.57807331184569&lt;/D&gt;&lt;D xsi:type="xsd:double"&gt;2.48648404660223&lt;/D&gt;&lt;D xsi:type="xsd:double"&gt;2.28187575263898&lt;/D&gt;&lt;D xsi:type="xsd:double"&gt;2.24799829781049&lt;/D&gt;&lt;D xsi:type="xsd:double"&gt;2.350352739039&lt;/D&gt;&lt;D xsi:type="xsd:double"&gt;2.34255932866192&lt;/D&gt;&lt;D xsi:type="xsd:double"&gt;2.39626271182952&lt;/D&gt;&lt;D xsi:type="xsd:double"&gt;2.32632020133336&lt;/D&gt;&lt;D xsi:type="xsd:double"&gt;2.27858972222694&lt;/D&gt;&lt;D xsi:type="xsd:double"&gt;2.27786880720362&lt;/D&gt;&lt;D xsi:type="xsd:double"&gt;2.28298899806518&lt;/D&gt;&lt;D xsi:type="xsd:double"&gt;2.17502283249759&lt;/D&gt;&lt;D xsi:type="xsd:double"&gt;2.18307028709543&lt;/D&gt;&lt;D xsi:type="xsd:double"&gt;2.06367552386918&lt;/D&gt;&lt;D xsi:type="xsd:double"&gt;2.12140474426229&lt;/D&gt;&lt;D xsi:type="xsd:double"&gt;2.05762312478338&lt;/D&gt;&lt;D xsi:type="xsd:double"&gt;2.05250310158431&lt;/D&gt;&lt;D xsi:type="xsd:double"&gt;2.09247572870534&lt;/D&gt;&lt;D xsi:type="xsd:double"&gt;2.00341941429611&lt;/D&gt;&lt;D xsi:type="xsd:double"&gt;2.01334864346297&lt;/D&gt;&lt;D xsi:type="xsd:double"&gt;2.13712517925635&lt;/D&gt;&lt;D xsi:type="xsd:double"&gt;2.33014216212021&lt;/D&gt;&lt;D xsi:type="xsd:double"&gt;2.31989861853658&lt;/D&gt;&lt;D xsi:type="xsd:double"&gt;2.23775753416015&lt;/D&gt;&lt;D xsi:type="xsd:double"&gt;2.42337519272596&lt;/D&gt;&lt;D xsi:type="xsd:double"&gt;2.48700853514431&lt;/D&gt;&lt;D xsi:type="xsd:double"&gt;2.56598443063215&lt;/D&gt;&lt;D xsi:type="xsd:double"&gt;2.71525714385535&lt;/D&gt;&lt;D xsi:type="xsd:double"&gt;2.74163442441804&lt;/D&gt;&lt;D xsi:type="xsd:double"&gt;2.65853511389645&lt;/D&gt;&lt;D xsi:type="xsd:double"&gt;2.85269006553974&lt;/D&gt;&lt;D xsi:type="xsd:double"&gt;2.56007587985392&lt;/D&gt;&lt;D xsi:type="xsd:double"&gt;2.42275681517404&lt;/D&gt;&lt;D xsi:type="xsd:double"&gt;2.34764287632464&lt;/D&gt;&lt;D xsi:type="xsd:double"&gt;2.34558351175953&lt;/D&gt;&lt;D xsi:type="xsd:double"&gt;2.63710851135206&lt;/D&gt;&lt;D xsi:type="xsd:double"&gt;2.44839410328893&lt;/D&gt;&lt;D xsi:type="xsd:double"&gt;2.5890573988548&lt;/D&gt;&lt;D xsi:type="xsd:double"&gt;2.50265183727336&lt;/D&gt;&lt;D xsi:type="xsd:double"&gt;2.55579496962957&lt;/D&gt;&lt;D xsi:type="xsd:double"&gt;2.44809824556763&lt;/D&gt;&lt;D xsi:type="xsd:double"&gt;2.42773499288796&lt;/D&gt;&lt;D xsi:type="xsd:double"&gt;2.22450634807051&lt;/D&gt;&lt;D xsi:type="xsd:double"&gt;2.3204264447907&lt;/D&gt;&lt;D xsi:type="xsd:double"&gt;2.26245430961154&lt;/D&gt;&lt;D xsi:type="xsd:double"&gt;2.35877267893996&lt;/D&gt;&lt;D xsi:type="xsd:double"&gt;2.27621044148297&lt;/D&gt;&lt;D xsi:type="xsd:double"&gt;1.96874147745807&lt;/D&gt;&lt;D xsi:type="xsd:double"&gt;1.85801769683506&lt;/D&gt;&lt;D xsi:type="xsd:double"&gt;1.75149498688937&lt;/D&gt;&lt;D xsi:type="xsd:double"&gt;1.74267564130952&lt;/D&gt;&lt;D xsi:type="xsd:double"&gt;1.78927746371118&lt;/D&gt;&lt;D xsi:type="xsd:double"&gt;1.69251944967527&lt;/D&gt;&lt;D xsi:type="xsd:double"&gt;1.67771212224022&lt;/D&gt;&lt;D xsi:type="xsd:double"&gt;1.65169519467998&lt;/D&gt;&lt;D xsi:type="xsd:double"&gt;1.36532750564042&lt;/D&gt;&lt;D xsi:type="xsd:double"&gt;1.46761716514923&lt;/D&gt;&lt;D xsi:type="xsd:double"&gt;1.55612097575381&lt;/D&gt;&lt;D xsi:type="xsd:double"&gt;1.63722423196845&lt;/D&gt;&lt;D xsi:type="xsd:double"&gt;1.61086760979784&lt;/D&gt;&lt;D xsi:type="xsd:double"&gt;1.63419713917721&lt;/D&gt;&lt;D xsi:type="xsd:double"&gt;1.82576926055212&lt;/D&gt;&lt;D xsi:type="xsd:double"&gt;1.84546023247061&lt;/D&gt;&lt;D xsi:type="xsd:double"&gt;2.03018737905157&lt;/D&gt;&lt;D xsi:type="xsd:double"&gt;2.36485227542775&lt;/D&gt;&lt;D xsi:type="xsd:double"&gt;2.14286601668594&lt;/D&gt;&lt;D xsi:type="xsd:double"&gt;2.19086144878243&lt;/D&gt;&lt;D xsi:type="xsd:double"&gt;2.18176543802648&lt;/D&gt;&lt;D xsi:type="xsd:double"&gt;2.46212732943178&lt;/D&gt;&lt;D xsi:type="xsd:double"&gt;2.42984687741256&lt;/D&gt;&lt;D xsi:type="xsd:double"&gt;2.56513536045071&lt;/D&gt;&lt;D xsi:type="xsd:double"&gt;2.50729097704394&lt;/D&gt;&lt;D xsi:type="xsd:double"&gt;2.32707096705057&lt;/D&gt;&lt;D xsi:type="xsd:double"&gt;2.55933582803602&lt;/D&gt;&lt;D xsi:type="xsd:double"&gt;2.536238414981&lt;/D&gt;&lt;D xsi:type="xsd:double"&gt;2.76720047136726&lt;/D&gt;&lt;D xsi:type="xsd:double"&gt;2.91528059426328&lt;/D&gt;&lt;D xsi:type="xsd:double"&gt;2.52928746282102&lt;/D&gt;&lt;D xsi:type="xsd:double"&gt;2.31104048979817&lt;/D&gt;&lt;D xsi:type="xsd:double"&gt;2.24817799818888&lt;/D&gt;&lt;D xsi:type="xsd:double"&gt;2.33430405068832&lt;/D&gt;&lt;D xsi:type="xsd:double"&gt;2.4128100815815&lt;/D&gt;&lt;D xsi:type="xsd:double"&gt;2.52271313733296&lt;/D&gt;&lt;D xsi:type="xsd:double"&gt;2.55556509970806&lt;/D&gt;&lt;D xsi:type="xsd:double"&gt;2.50100522597352&lt;/D&gt;&lt;D xsi:type="xsd:double"&gt;2.36100244940475&lt;/D&gt;&lt;D xsi:type="xsd:double"&gt;2.45107868269842&lt;/D&gt;&lt;D xsi:type="xsd:double"&gt;2.6367428325106&lt;/D&gt;&lt;D xsi:type="xsd:double"&gt;2.58349976724091&lt;/D&gt;&lt;D xsi:type="xsd:double"&gt;2.71226659630633&lt;/D&gt;&lt;D xsi:type="xsd:double"&gt;2.71889655706871&lt;/D&gt;&lt;D xsi:type="xsd:double"&gt;2.98093505652132&lt;/D&gt;&lt;D xsi:type="xsd:double"&gt;2.70138157430184&lt;/D&gt;&lt;/FQL&gt;&lt;FQL&gt;&lt;Q&gt;WL-FDS^FG_PRICE_MAVG(0,,,,30)&lt;/Q&gt;&lt;R&gt;1&lt;/R&gt;&lt;C&gt;1&lt;/C&gt;&lt;D xsi:type="xsd:double"&gt;646.01666&lt;/D&gt;&lt;/FQL&gt;&lt;FQL&gt;&lt;Q&gt;FC0000CL^FG_PRICE(0)&lt;/Q&gt;&lt;R&gt;1&lt;/R&gt;&lt;C&gt;1&lt;/C&gt;&lt;D xsi:type="xsd:double"&gt;196.59589&lt;/D&gt;&lt;/FQL&gt;&lt;FQL&gt;&lt;Q&gt;EWZ^FG_PRICE_MAVG(0,,,,60)&lt;/Q&gt;&lt;R&gt;1&lt;/R&gt;&lt;C&gt;1&lt;/C&gt;&lt;D xsi:type="xsd:double"&gt;33.672333&lt;/D&gt;&lt;/FQL&gt;&lt;FQL&gt;&lt;Q&gt;EPU^FG_PRICE(0)&lt;/Q&gt;&lt;R&gt;1&lt;/R&gt;&lt;C&gt;1&lt;/C&gt;&lt;D xsi:type="xsd:double"&gt;35.6453&lt;/D&gt;&lt;/FQL&gt;&lt;FQL&gt;&lt;Q&gt;SPY^FG_TOTAL_RETURNC(0,-3AM)&lt;/Q&gt;&lt;R&gt;1&lt;/R&gt;&lt;C&gt;1&lt;/C&gt;&lt;D xsi:type="xsd:double"&gt;12.632334&lt;/D&gt;&lt;/FQL&gt;&lt;FQL&gt;&lt;Q&gt;VNM^P_PRICE(0)/P_PRICE_LOW_PR(0,,,USD,,,"PRICE","INTRA","52W")-1&lt;/Q&gt;&lt;R&gt;1&lt;/R&gt;&lt;C&gt;1&lt;/C&gt;&lt;D xsi:type="xsd:double"&gt;0.18914187&lt;/D&gt;&lt;/FQL&gt;&lt;FQL&gt;&lt;Q&gt;VWO^PERCENT_CHANGE(FMA_EPS(+1,0,,,,"PORTAGG","MEAN"),FMA_EPS(+1,-3AM,,,,"PORTAGG","MEAN"))&lt;/Q&gt;&lt;R&gt;1&lt;/R&gt;&lt;C&gt;1&lt;/C&gt;&lt;D xsi:type="xsd:double"&gt;-16.6418570923085&lt;/D&gt;&lt;/FQL&gt;&lt;FQL&gt;&lt;Q&gt;QAT^PERCENT_CHANGE(FMA_EPS(+1,0,,,,"PORTAGG","MEAN"),FMA_EPS(+1,-3AM,,,,"PORTAGG","MEAN"))&lt;/Q&gt;&lt;R&gt;1&lt;/R&gt;&lt;C&gt;1&lt;/C&gt;&lt;D xsi:type="xsd:double"&gt;-5.6776222647678&lt;/D&gt;&lt;/FQL&gt;&lt;FQL&gt;&lt;Q&gt;INDA^FMA_COS_DOWN("EPS","1M",+1,NOW,,,"PORTAGG","MEANR")&lt;/Q&gt;&lt;R&gt;1&lt;/R&gt;&lt;C&gt;1&lt;/C&gt;&lt;D xsi:type="xsd:double"&gt;49&lt;/D&gt;&lt;/FQL&gt;&lt;FQL&gt;&lt;Q&gt;CNYA^FG_ROE(0)&lt;/Q&gt;&lt;R&gt;1&lt;/R&gt;&lt;C&gt;1&lt;/C&gt;&lt;D xsi:type="xsd:double"&gt;10.1269902507728&lt;/D&gt;&lt;/FQL&gt;&lt;FQL&gt;&lt;Q&gt;REFCNRMB-FDS^(SUBARRAY(NOT_NA(NO_REPEAT_F(FG_YIELD(NOW,-10AY,D))),0,1)-SUBARRAY(NOT_NA(NO_REPEAT_F(FG_YIELD(NOW,-10AY,D))),1,1))*100&lt;/Q&gt;&lt;R&gt;1&lt;/R&gt;&lt;C&gt;1&lt;/C&gt;&lt;D xsi:type="xsd:double"&gt;-9.99999999999996&lt;/D&gt;&lt;/FQL&gt;&lt;FQL&gt;&lt;Q&gt;REFMXTON-FDS^FG_YIELD(NOW,,,0)&lt;/Q&gt;&lt;R&gt;1&lt;/R&gt;&lt;C&gt;1&lt;/C&gt;&lt;D xsi:type="xsd:double"&gt;11.25&lt;/D&gt;&lt;/FQL&gt;&lt;FQL&gt;&lt;Q&gt;REFCLMPR-FDS^(SUBARRAY(NOT_NA(NO_REPEAT_F(FG_YIELD(NOW,-10AY,D))),0,1)-SUBARRAY(NOT_NA(NO_REPEAT_F(FG_YIELD(NOW,-10AY,D))),1,1))*100&lt;/Q&gt;&lt;R&gt;1&lt;/R&gt;&lt;C&gt;1&lt;/C&gt;&lt;D xsi:type="xsd:double"&gt;-100&lt;/D&gt;&lt;/FQL&gt;&lt;FQL&gt;&lt;Q&gt;TRYCN10Y-FDS^PCTCHG(FG_YIELD(0,,,,"YTM"),FG_YIELD(-1AM,,,,"YTM"))&lt;/Q&gt;&lt;R&gt;1&lt;/R&gt;&lt;C&gt;1&lt;/C&gt;&lt;D xsi:type="xsd:double"&gt;-2.9023058&lt;/D&gt;&lt;/FQL&gt;&lt;FQL&gt;&lt;Q&gt;TRYMY10Y-FDS^FG_YIELD(0,,,,"YTM")&lt;/Q&gt;&lt;R&gt;1&lt;/R&gt;&lt;C&gt;1&lt;/C&gt;&lt;D xsi:type="xsd:double"&gt;3.812892&lt;/D&gt;&lt;/FQL&gt;&lt;FQL&gt;&lt;Q&gt;CC_QA^IMF_IFS_RCPI_Q(0)&lt;/Q&gt;&lt;R&gt;0&lt;/R&gt;&lt;C&gt;0&lt;/C&gt;&lt;/FQL&gt;&lt;FQL&gt;&lt;Q&gt;VWO^FMA_DIV_YLD(NTMA,NOW,NOW,M,"PORTAGG","MEANR")&lt;/Q&gt;&lt;R&gt;1&lt;/R&gt;&lt;C&gt;1&lt;/C&gt;&lt;D xsi:type="xsd:double"&gt;3.15506497935286&lt;/D&gt;&lt;/FQL&gt;&lt;FQL&gt;&lt;Q&gt;EWW^FMA_DIV_YLD(NTMA,NOW,NOW,M,"PORTAGG","MEANR")&lt;/Q&gt;&lt;R&gt;1&lt;/R&gt;&lt;C&gt;1&lt;/C&gt;&lt;D xsi:type="xsd:double"&gt;3.98326117416942&lt;/D&gt;&lt;/FQL&gt;&lt;FQL&gt;&lt;Q&gt;EPU^FMA_EVAL_EBITDA(NTMA,0,,,"PORTAGG","MEANR")&lt;/Q&gt;&lt;R&gt;1&lt;/R&gt;&lt;C&gt;1&lt;/C&gt;&lt;D xsi:type="xsd:double"&gt;7.2043027028683&lt;/D&gt;&lt;/FQL&gt;&lt;FQL&gt;&lt;Q&gt;BRENT-FDS^FG_PRICE(0)&lt;/Q&gt;&lt;R&gt;1&lt;/R&gt;&lt;C&gt;1&lt;/C&gt;&lt;D xsi:type="xsd:double"&gt;85.86&lt;/D&gt;&lt;/FQL&gt;&lt;FQL&gt;&lt;Q&gt;EPOL^FG_PRICE_MAVG(0,,,,200)&lt;/Q&gt;&lt;R&gt;1&lt;/R&gt;&lt;C&gt;1&lt;/C&gt;&lt;D xsi:type="xsd:double"&gt;20.199274&lt;/D&gt;&lt;/FQL&gt;&lt;FQL&gt;&lt;Q&gt;MCHI^FG_TOTAL_RETURNC(0,-3AM)&lt;/Q&gt;&lt;R&gt;1&lt;/R&gt;&lt;C&gt;1&lt;/C&gt;&lt;D xsi:type="xsd:double"&gt;-4.1221676&lt;/D&gt;&lt;/FQL&gt;&lt;FQL&gt;&lt;Q&gt;EIDO^P_PRICE(0)/P_PRICE_LOW_PR(0,,,USD,,,"PRICE","INTRA","52W")-1&lt;/Q&gt;&lt;R&gt;1&lt;/R&gt;&lt;C&gt;1&lt;/C&gt;&lt;D xsi:type="xsd:double"&gt;0.11205816&lt;/D&gt;&lt;/FQL&gt;&lt;FQL&gt;&lt;Q&gt;EWW^FMA_PCT_ABOVE_MAVG(200,0,,,,"PORTAGG")&lt;/Q&gt;&lt;R&gt;1&lt;/R&gt;&lt;C&gt;1&lt;/C&gt;&lt;D xsi:type="xsd:double"&gt;57.7777777777778&lt;/D&gt;&lt;/FQL&gt;&lt;FQL&gt;&lt;Q&gt;KSA^FMA_COS_UP("EPS","1M",+1,NOW,,,"PORTAGG","MEANR")&lt;/Q&gt;&lt;R&gt;1&lt;/R&gt;&lt;C&gt;1&lt;/C&gt;&lt;D xsi:type="xsd:double"&gt;29&lt;/D&gt;&lt;/FQL&gt;&lt;FQL&gt;&lt;Q&gt;EPU^SIZE(FG_CONSTITUENTS)&lt;/Q&gt;&lt;R&gt;1&lt;/R&gt;&lt;C&gt;1&lt;/C&gt;&lt;D xsi:type="xsd:long"&gt;27&lt;/D&gt;&lt;/FQL&gt;&lt;FQL&gt;&lt;Q&gt;VNM^FG_ROE(0)&lt;/Q&gt;&lt;R&gt;1&lt;/R&gt;&lt;C&gt;1&lt;/C&gt;&lt;D xsi:type="xsd:double"&gt;8.87219101514007&lt;/D&gt;&lt;/FQL&gt;&lt;FQL&gt;&lt;Q&gt;TIPSCL10Y-FDS^FG_YIELD_NAME&lt;/Q&gt;&lt;R&gt;1&lt;/R&gt;&lt;C&gt;1&lt;/C&gt;&lt;D xsi:type="xsd:string"&gt;Treasury - Chile Inflation-Indexed (TIPS) Bond 10Y&lt;/D&gt;&lt;/FQL&gt;&lt;FQL&gt;&lt;Q&gt;SET-BKK^FMA_EVAL_EBIT(LTMA,NOW,NOW,M,"PORTAGG","MEANR")&lt;/Q&gt;&lt;R&gt;1&lt;/R&gt;&lt;C&gt;1&lt;/C&gt;&lt;D xsi:type="xsd:double"&gt;19.1351825033369&lt;/D&gt;&lt;/FQL&gt;&lt;FQL&gt;&lt;Q&gt;INDA^FMA_EVAL_EBIT(LTMA,NOW,NOW,M,"PORTAGG","MEANR")&lt;/Q&gt;&lt;R&gt;1&lt;/R&gt;&lt;C&gt;1&lt;/C&gt;&lt;D xsi:type="xsd:double"&gt;23.0351677825172&lt;/D&gt;&lt;/FQL&gt;&lt;FQL&gt;&lt;Q&gt;EZA^FMA_PE(LTM,0,,,"PORTAGG","MEANR")&lt;/Q&gt;&lt;R&gt;1&lt;/R&gt;&lt;C&gt;1&lt;/C&gt;&lt;D xsi:type="xsd:double"&gt;8.94097425614534&lt;/D&gt;&lt;/FQL&gt;&lt;FQL&gt;&lt;Q&gt;EIDO^FMA_EVAL_EBIT(LTMA,NOW,NOW,M,"PORTAGG","MEANR")&lt;/Q&gt;&lt;R&gt;1&lt;/R&gt;&lt;C&gt;1&lt;/C&gt;&lt;D xsi:type="xsd:double"&gt;9.61505542820637&lt;/D&gt;&lt;/FQL&gt;&lt;FQL&gt;&lt;Q&gt;TRYGB10Y-FDS^FG_YIELD(-10AY,0,Y,,"YTM")&lt;/Q&gt;&lt;R&gt;10&lt;/R&gt;&lt;C&gt;1&lt;/C&gt;&lt;D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xsi:type="xsd:double"&gt;3.534&lt;/D&gt;&lt;/FQL&gt;&lt;FQL&gt;&lt;Q&gt;CAGDPY@PH^EE_ACTUAL_ANNUAL(MED,0)&lt;/Q&gt;&lt;R&gt;1&lt;/R&gt;&lt;C&gt;1&lt;/C&gt;&lt;D xsi:type="xsd:double"&gt;-3.15&lt;/D&gt;&lt;/FQL&gt;&lt;FQL&gt;&lt;Q&gt;USDSAR^FG_PRICE_CHANGE(0,-3AM)&lt;/Q&gt;&lt;R&gt;1&lt;/R&gt;&lt;C&gt;1&lt;/C&gt;&lt;D xsi:type="xsd:double"&gt;-0.026661158&lt;/D&gt;&lt;/FQL&gt;&lt;FQL&gt;&lt;Q&gt;USDTRY^FG_COMPANY_NAME&lt;/Q&gt;&lt;R&gt;1&lt;/R&gt;&lt;C&gt;1&lt;/C&gt;&lt;D xsi:type="xsd:string"&gt;Turkish New Lira per U.S. Dollar&lt;/D&gt;&lt;/FQL&gt;&lt;FQL&gt;&lt;Q&gt;USDINR^STD(FG_PRICE_CHANGE(0,-1AY,AM))&lt;/Q&gt;&lt;R&gt;1&lt;/R&gt;&lt;C&gt;1&lt;/C&gt;&lt;D xsi:type="xsd:double"&gt;0.457101382941814&lt;/D&gt;&lt;/FQL&gt;&lt;FQL&gt;&lt;Q&gt;USDBRL^FG_PRICE_CHANGE(0,-1AM)&lt;/Q&gt;&lt;R&gt;1&lt;/R&gt;&lt;C&gt;1&lt;/C&gt;&lt;D xsi:type="xsd:double"&gt;-0.454849&lt;/D&gt;&lt;/FQL&gt;&lt;FQL&gt;&lt;Q&gt;USDTWD^FG_PRICE(0)&lt;/Q&gt;&lt;R&gt;1&lt;/R&gt;&lt;C&gt;1&lt;/C&gt;&lt;D xsi:type="xsd:double"&gt;31.516&lt;/D&gt;&lt;/FQL&gt;&lt;FQL&gt;&lt;Q&gt;GREK^FMA_DIV_YLD(NTMA,-10AY,0,AM,"PORTAGG","MEANR")&lt;/Q&gt;&lt;R&gt;121&lt;/R&gt;&lt;C&gt;1&lt;/C&gt;&lt;D xsi:type="xsd:double"&gt;2.06872379150175&lt;/D&gt;&lt;D xsi:type="xsd:double"&gt;2.24977695556108&lt;/D&gt;&lt;D xsi:type="xsd:double"&gt;2.13579039460686&lt;/D&gt;&lt;D xsi:type="xsd:double"&gt;1.89023472802029&lt;/D&gt;&lt;D xsi:type="xsd:double"&gt;1.80290767858297&lt;/D&gt;&lt;D xsi:type="xsd:double"&gt;2.07908816229064&lt;/D&gt;&lt;D xsi:type="xsd:double"&gt;1.98896872610267&lt;/D&gt;&lt;D xsi:type="xsd:double"&gt;2.32254632748829&lt;/D&gt;&lt;D xsi:type="xsd:double"&gt;2.60241349354557&lt;/D&gt;&lt;D xsi:type="xsd:double"&gt;2.46415576268819&lt;/D&gt;&lt;D xsi:type="xsd:double"&gt;3.37966910399081&lt;/D&gt;&lt;D xsi:type="xsd:double"&gt;3.20833180259723&lt;/D&gt;&lt;D xsi:type="xsd:double"&gt;3.27670899556031&lt;/D&gt;&lt;D xsi:type="xsd:double"&gt;3.39346206170011&lt;/D&gt;&lt;D xsi:type="xsd:double"&gt;3.20333765305082&lt;/D&gt;&lt;D xsi:type="xsd:double"&gt;3.29833795773011&lt;/D&gt;&lt;D xsi:type="xsd:double"&gt;3.28948286497538&lt;/D&gt;&lt;D xsi:type="xsd:double"&gt;4.13386997787459&lt;/D&gt;&lt;D xsi:type="xsd:double"&gt;3.77759702789696&lt;/D&gt;&lt;D xsi:type="xsd:double"&gt;3.28648585974817&lt;/D&gt;&lt;D xsi:type="xsd:double"&gt;2.90121350984289&lt;/D&gt;&lt;D xsi:type="xsd:double"&gt;2.94436591624293&lt;/D&gt;&lt;D xsi:type="xsd:double"&gt;2.67021606546041&lt;/D&gt;&lt;D xsi:type="xsd:double"&gt;2.95934878209117&lt;/D&gt;&lt;D xsi:type="xsd:double"&gt;2.79769155777613&lt;/D&gt;&lt;D xsi:type="xsd:double"&gt;3.40321242994101&lt;/D&gt;&lt;D xsi:type="xsd:double"&gt;3.02731685066957&lt;/D&gt;&lt;D xsi:type="xsd:double"&gt;2.38267825655244&lt;/D&gt;&lt;D xsi:type="xsd:double"&gt;3.05875670953665&lt;/D&gt;&lt;D xsi:type="xsd:double"&gt;3.01130877328548&lt;/D&gt;&lt;D xsi:type="xsd:double"&gt;2.99073484229522&lt;/D&gt;&lt;D xsi:type="xsd:double"&gt;3.16210014513703&lt;/D&gt;&lt;D xsi:type="xsd:double"&gt;3.12980661179355&lt;/D&gt;&lt;D xsi:type="xsd:double"&gt;2.8182926084825&lt;/D&gt;&lt;D xsi:type="xsd:double"&gt;2.84508726854949&lt;/D&gt;&lt;D xsi:type="xsd:double"&gt;2.96556885798049&lt;/D&gt;&lt;D xsi:type="xsd:double"&gt;2.9037278534157&lt;/D&gt;&lt;D xsi:type="xsd:double"&gt;2.92282756295731&lt;/D&gt;&lt;D xsi:type="xsd:double"&gt;2.41111928968313&lt;/D&gt;&lt;D xsi:type="xsd:double"&gt;2.76428878049542&lt;/D&gt;&lt;D xsi:type="xsd:double"&gt;2.47143611406012&lt;/D&gt;&lt;D xsi:type="xsd:double"&gt;2.54256273843806&lt;/D&gt;&lt;D xsi:type="xsd:double"&gt;2.59503314465284&lt;/D&gt;&lt;D xsi:type="xsd:double"&gt;2.95026286884629&lt;/D&gt;&lt;D xsi:type="xsd:double"&gt;2.8161497865045&lt;/D&gt;&lt;D xsi:type="xsd:double"&gt;2.96922480966932&lt;/D&gt;&lt;D xsi:type="xsd:double"&gt;2.59179829630924&lt;/D&gt;&lt;D xsi:type="xsd:double"&gt;2.58355265006293&lt;/D&gt;&lt;D xsi:type="xsd:double"&gt;3.08773818336958&lt;/D&gt;&lt;D xsi:type="xsd:double"&gt;3.27338785330537&lt;/D&gt;&lt;D xsi:type="xsd:double"&gt;3.08576751928112&lt;/D&gt;&lt;D xsi:type="xsd:double"&gt;3.31242943049751&lt;/D&gt;&lt;D xsi:type="xsd:double"&gt;3.48324858176723&lt;/D&gt;&lt;D xsi:type="xsd:double"&gt;3.</t>
        </r>
      </text>
    </comment>
    <comment ref="A10" authorId="0" shapeId="0" xr:uid="{A9D49E01-41D3-4947-A6DF-F48CC5B34D9E}">
      <text>
        <r>
          <rPr>
            <b/>
            <sz val="9"/>
            <color indexed="81"/>
            <rFont val="Tahoma"/>
            <family val="2"/>
          </rPr>
          <t>49395101226905&lt;/D&gt;&lt;D xsi:type="xsd:double"&gt;3.7681880111014&lt;/D&gt;&lt;D xsi:type="xsd:double"&gt;3.89720489062003&lt;/D&gt;&lt;D xsi:type="xsd:double"&gt;4.22461975109121&lt;/D&gt;&lt;D xsi:type="xsd:double"&gt;4.0261209819649&lt;/D&gt;&lt;D xsi:type="xsd:double"&gt;4.41747073348547&lt;/D&gt;&lt;D xsi:type="xsd:double"&gt;4.35384221112404&lt;/D&gt;&lt;D xsi:type="xsd:double"&gt;3.89492541971883&lt;/D&gt;&lt;D xsi:type="xsd:double"&gt;3.62933606358489&lt;/D&gt;&lt;D xsi:type="xsd:double"&gt;3.59103515623354&lt;/D&gt;&lt;D xsi:type="xsd:double"&gt;3.3620488329148&lt;/D&gt;&lt;D xsi:type="xsd:double"&gt;3.28116903308594&lt;/D&gt;&lt;D xsi:type="xsd:double"&gt;3.06077030424533&lt;/D&gt;&lt;D xsi:type="xsd:double"&gt;3.38362205235725&lt;/D&gt;&lt;D xsi:type="xsd:double"&gt;3.39654808793177&lt;/D&gt;&lt;D xsi:type="xsd:double"&gt;3.24483389243986&lt;/D&gt;&lt;D xsi:type="xsd:double"&gt;3.00149699636979&lt;/D&gt;&lt;D xsi:type="xsd:double"&gt;2.90896342822386&lt;/D&gt;&lt;D xsi:type="xsd:double"&gt;3.15332371882671&lt;/D&gt;&lt;D xsi:type="xsd:double"&gt;3.69070627475142&lt;/D&gt;&lt;D xsi:type="xsd:double"&gt;5.24354612797569&lt;/D&gt;&lt;D xsi:type="xsd:double"&gt;4.91666541633365&lt;/D&gt;&lt;D xsi:type="xsd:double"&gt;3.81000270825061&lt;/D&gt;&lt;D xsi:type="xsd:double"&gt;3.61999514970628&lt;/D&gt;&lt;D xsi:type="xsd:double"&gt;3.55120580760659&lt;/D&gt;&lt;D xsi:type="xsd:double"&gt;3.68688750762882&lt;/D&gt;&lt;D xsi:type="xsd:double"&gt;3.74450219344387&lt;/D&gt;&lt;D xsi:type="xsd:double"&gt;4.26832747944068&lt;/D&gt;&lt;D xsi:type="xsd:double"&gt;3.23262191787335&lt;/D&gt;&lt;D xsi:type="xsd:double"&gt;3.1151446720781&lt;/D&gt;&lt;D xsi:type="xsd:double"&gt;3.45793465856895&lt;/D&gt;&lt;D xsi:type="xsd:double"&gt;3.23831314249572&lt;/D&gt;&lt;D xsi:type="xsd:double"&gt;3.45026262177148&lt;/D&gt;&lt;D xsi:type="xsd:double"&gt;3.3764440949364&lt;/D&gt;&lt;D xsi:type="xsd:double"&gt;3.08590761438566&lt;/D&gt;&lt;D xsi:type="xsd:double"&gt;3.11557906469252&lt;/D&gt;&lt;D xsi:type="xsd:double"&gt;3.02570464718441&lt;/D&gt;&lt;D xsi:type="xsd:double"&gt;3.11448982479971&lt;/D&gt;&lt;D xsi:type="xsd:double"&gt;3.12765671950154&lt;/D&gt;&lt;D xsi:type="xsd:double"&gt;3.07458199141529&lt;/D&gt;&lt;D xsi:type="xsd:double"&gt;3.25429725407646&lt;/D&gt;&lt;D xsi:type="xsd:double"&gt;3.26157401287012&lt;/D&gt;&lt;D xsi:type="xsd:double"&gt;2.97251665645515&lt;/D&gt;&lt;D xsi:type="xsd:double"&gt;3.29286510609587&lt;/D&gt;&lt;D xsi:type="xsd:double"&gt;3.31082207364343&lt;/D&gt;&lt;D xsi:type="xsd:double"&gt;3.40739197126512&lt;/D&gt;&lt;D xsi:type="xsd:double"&gt;3.76535614272359&lt;/D&gt;&lt;D xsi:type="xsd:double"&gt;4.33416349936521&lt;/D&gt;&lt;D xsi:type="xsd:double"&gt;3.9711633701134&lt;/D&gt;&lt;D xsi:type="xsd:double"&gt;4.27129171584458&lt;/D&gt;&lt;D xsi:type="xsd:double"&gt;4.45733113679662&lt;/D&gt;&lt;D xsi:type="xsd:double"&gt;4.19960904096467&lt;/D&gt;&lt;D xsi:type="xsd:double"&gt;4.3424826323325&lt;/D&gt;&lt;D xsi:type="xsd:double"&gt;4.39987683559889&lt;/D&gt;&lt;D xsi:type="xsd:double"&gt;4.12424247138437&lt;/D&gt;&lt;D xsi:type="xsd:double"&gt;3.83088798797253&lt;/D&gt;&lt;D xsi:type="xsd:double"&gt;4.3286896184815&lt;/D&gt;&lt;D xsi:type="xsd:double"&gt;4.15837864750973&lt;/D&gt;&lt;D xsi:type="xsd:double"&gt;4.00023018796717&lt;/D&gt;&lt;D xsi:type="xsd:double"&gt;3.92436738940337&lt;/D&gt;&lt;D xsi:type="xsd:double"&gt;4.13111316103064&lt;/D&gt;&lt;D xsi:type="xsd:double"&gt;4.31341836028859&lt;/D&gt;&lt;D xsi:type="xsd:double"&gt;4.98272007153786&lt;/D&gt;&lt;D xsi:type="xsd:double"&gt;4.84283109907543&lt;/D&gt;&lt;D xsi:type="xsd:double"&gt;4.34023850625314&lt;/D&gt;&lt;D xsi:type="xsd:double"&gt;4.49772395479214&lt;/D&gt;&lt;D xsi:type="xsd:double"&gt;4.56008696357237&lt;/D&gt;&lt;D xsi:type="xsd:double"&gt;4.33728520637973&lt;/D&gt;&lt;/FQL&gt;&lt;FQL&gt;&lt;Q&gt;EWZ^FMA_PE(NTMA,-10AY,0,AM,"PORTAGG","MEANR")&lt;/Q&gt;&lt;R&gt;121&lt;/R&gt;&lt;C&gt;1&lt;/C&gt;&lt;D xsi:type="xsd:double"&gt;9.93166388811764&lt;/D&gt;&lt;D xsi:type="xsd:double"&gt;10.6569455122812&lt;/D&gt;&lt;D xsi:type="xsd:double"&gt;11.1093769511407&lt;/D&gt;&lt;D xsi:type="xsd:double"&gt;10.861321100004&lt;/D&gt;&lt;D xsi:type="xsd:double"&gt;11.2854173670343&lt;/D&gt;&lt;D xsi:type="xsd:double"&gt;11.7091424273467&lt;/D&gt;&lt;D xsi:type="xsd:double"&gt;12.5437290912819&lt;/D&gt;&lt;D xsi:type="xsd:double"&gt;11.3492554668627&lt;/D&gt;&lt;D xsi:type="xsd:double"&gt;11.7111528627023&lt;/D&gt;&lt;D xsi:type="xsd:double"&gt;11.0397457559871&lt;/D&gt;&lt;D xsi:type="xsd:double"&gt;10.8276944177991&lt;/D&gt;&lt;D xsi:type="xsd:double"&gt;11.5434132709414&lt;/D&gt;&lt;D xsi:type="xsd:double"&gt;12.1331089409294&lt;/D&gt;&lt;D xsi:type="xsd:double"&gt;13.2258815903509&lt;/D&gt;&lt;D xsi:type="xsd:double"&gt;14.6886710504433&lt;/D&gt;&lt;D xsi:type="xsd:double"&gt;13.4953584838272&lt;/D&gt;&lt;D xsi:type="xsd:double"&gt;12.917635474485&lt;/D&gt;&lt;D xsi:type="xsd:double"&gt;12.0390049312648&lt;/D&gt;&lt;D xsi:type="xsd:double"&gt;10.947791735324&lt;/D&gt;&lt;D xsi:type="xsd:double"&gt;11.1531501629805&lt;/D&gt;&lt;D xsi:type="xsd:double"&gt;11.1189117206495&lt;/D&gt;&lt;D xsi:type="xsd:double"&gt;10.779599241516&lt;/D&gt;&lt;D xsi:type="xsd:double"&gt;9.96753161544782&lt;/D&gt;&lt;D xsi:type="xsd:double"&gt;10.4262005811891&lt;/D&gt;&lt;D xsi:type="xsd:double"&gt;12.9534479527359&lt;/D&gt;&lt;D xsi:type="xsd:double"&gt;12.9910489017748&lt;/D&gt;&lt;D xsi:type="xsd:double"&gt;12.8957989469974&lt;/D&gt;&lt;D xsi:type="xsd:double"&gt;12.4152741584341&lt;/D&gt;&lt;D xsi:type="xsd:double"&gt;12.6250724275705&lt;/D&gt;&lt;D xsi:type="xsd:double"&gt;13.7923050375783&lt;/D&gt;&lt;D xsi:type="xsd:double"&gt;14.1285946193795&lt;/D&gt;&lt;D xsi:type="xsd:double"&gt;13.8364943109604&lt;/D&gt;&lt;D xsi:type="xsd:double"&gt;14.0283452984168&lt;/D&gt;&lt;D xsi:type="xsd:double"&gt;13.0681667066687&lt;/D&gt;&lt;D xsi:type="xsd:double"&gt;12.9950622263564&lt;/D&gt;&lt;D xsi:type="xsd:double"&gt;13.2452819403279&lt;/D&gt;&lt;D xsi:type="xsd:double"&gt;13.4390209221061&lt;/D&gt;&lt;D xsi:type="xsd:double"&gt;12.868229477402&lt;/D&gt;&lt;D xsi:type="xsd:double"&gt;12.5432164044974&lt;/D&gt;&lt;D xsi:type="xsd:double"&gt;11.9517371678424&lt;/D&gt;&lt;D xsi:type="xsd:double"&gt;11.9589176955177&lt;/D&gt;&lt;D xsi:type="xsd:double"&gt;12.7975959331699&lt;/D&gt;&lt;D xsi:type="xsd:double"&gt;13.4673721949783&lt;/D&gt;&lt;D xsi:type="xsd:double"&gt;14.1309377048904&lt;/D&gt;&lt;D xsi:type="xsd:double"&gt;13.2877405742011&lt;/D&gt;&lt;D xsi:type="xsd:double"&gt;13.0899682092599&lt;/D&gt;&lt;D xsi:type="xsd:double"&gt;13.7608500355508&lt;/D&gt;&lt;D xsi:type="xsd:double"&gt;13.8087048915183&lt;/D&gt;&lt;D xsi:type="xsd:double"&gt;13.2051764947123&lt;/D&gt;&lt;D xsi:type="xsd:double"&gt;12.7690603586767&lt;/D&gt;&lt;D xsi:type="xsd:double"&gt;12.2893793696678&lt;/D&gt;&lt;D xsi:type="xsd:double"&gt;11.5667377447099&lt;/D&gt;&lt;D xsi:type="xsd:double"&gt;10.5683824727424&lt;/D&gt;&lt;D xsi:type="xsd:double"&gt;11.4959642026169&lt;/D&gt;&lt;D xsi:type="xsd:double"&gt;10.3358336001925&lt;/D&gt;&lt;D xsi:type="xsd:double"&gt;10.9786226686253&lt;/D&gt;&lt;D xsi:type="xsd:double"&gt;11.6470351669834&lt;/D&gt;&lt;D xsi:type="xsd:double"&gt;11.6965507063487&lt;/D&gt;&lt;D xsi:type="xsd:double"&gt;12.2333380951812&lt;/D&gt;&lt;D xsi:type="xsd:double"&gt;13.155501189909&lt;/D&gt;&lt;D xsi:type="xsd:double"&gt;12.1918157164467&lt;/D&gt;&lt;D xsi:type="xsd:double"&gt;12.091690417894&lt;/D&gt;&lt;D xsi:type="xsd:double"&gt;11.6511656158787&lt;/D&gt;&lt;D xsi:type="xsd:double"&gt;12.0030929788655&lt;/D&gt;&lt;D xsi:type="xsd:double"&gt;12.5102550459745&lt;/D&gt;&lt;D xsi:type="xsd:double"&gt;12.7891032605868&lt;/D&gt;&lt;D xsi:type="xsd:double"&gt;12.6150381261373&lt;/D&gt;&lt;D xsi:type="xsd:double"&gt;12.752356926699&lt;/D&gt;&lt;D xsi:type="xsd:double"&gt;13.5771770606948&lt;/D&gt;&lt;D xsi:type="xsd:double"&gt;13.6207286367175&lt;/D&gt;&lt;D xsi:type="xsd:double"&gt;14.6145744669941&lt;/D&gt;&lt;D xsi:type="xsd:double"&gt;14.1677128180951&lt;/D&gt;&lt;D xsi:type="xsd:double"&gt;13.2372255736499&lt;/D&gt;&lt;D xsi:type="xsd:double"&gt;10.4025924845956&lt;/D&gt;&lt;D xsi:type="xsd:double"&gt;13.3126861481922&lt;/D&gt;&lt;D xsi:type="xsd:double"&gt;17.6125584724454&lt;/D&gt;&lt;D xsi:type="xsd:double"&gt;26.5587949561219&lt;/D&gt;&lt;D xsi:type="xsd:double"&gt;25.4853081153473&lt;/D&gt;&lt;D xsi:type="xsd:double"&gt;22.610451174022&lt;/D&gt;&lt;D xsi:type="xsd:double"&gt;16.3998989595935&lt;/D&gt;&lt;D xsi:type="xsd:double"&gt;14.3931559550966&lt;/D&gt;&lt;D xsi:type="xsd:double"&gt;14.0165137533599&lt;/D&gt;&lt;D xsi:type="xsd:double"&gt;12.7246334591852&lt;/D&gt;&lt;D xsi:type="xsd:double"&gt;11.2428887489644&lt;/D&gt;&lt;D xsi:type="xsd:double"&gt;9.98640142791518&lt;/D&gt;&lt;D xsi:type="xsd:double"&gt;9.25812503877866&lt;/D&gt;&lt;D xsi:type="xsd:double"&gt;8.7075544058352&lt;/D&gt;&lt;D xsi:type="xsd:double"&gt;9.5167641289732&lt;/D&gt;&lt;D xsi:type="xsd:double"&gt;9.13588199824118&lt;/D&gt;&lt;D xsi:type="xsd:double"&gt;8.26621754683916&lt;/D&gt;&lt;D xsi:type="xsd:double"&gt;7.96545153314648&lt;/D&gt;&lt;D xsi:type="xsd:double"&gt;7.55468435914012&lt;/D&gt;&lt;D xsi:type="xsd:double"&gt;7.49203229175705&lt;/D&gt;&lt;D xsi:type="xsd:double"&gt;7.70259565513879&lt;/D&gt;&lt;D xsi:type="xsd:double"&gt;7.65568273388107&lt;/D&gt;&lt;D xsi:type="xsd:double"&gt;8.07029433866747&lt;/D&gt;&lt;D xsi:type="xsd:double"&gt;8.22320139922252&lt;/D&gt;&lt;D xsi:type="xsd:double"&gt;7.82120681707564&lt;/D&gt;&lt;D xsi:type="xsd:double"&gt;6.6295690079069&lt;/D&gt;&lt;D xsi:type="xsd:double"&gt;6.70554857013452&lt;/D&gt;&lt;D xsi:type="xsd:double"&gt;5.87112953092342&lt;/D&gt;&lt;D xsi:type="xsd:double"&gt;6.34902355592148&lt;/D&gt;&lt;D xsi:type="xsd:double"&gt;6.38508529528418&lt;/D&gt;&lt;D xsi:type="xsd:double"&gt;6.96072722539687&lt;/D&gt;&lt;D xsi:type="xsd:double"&gt;7.19849557889748&lt;/D&gt;&lt;D xsi:type="xsd:double"&gt;6.85855580663527&lt;/D&gt;&lt;D xsi:type="xsd:double"&gt;6.72949566457835&lt;/D&gt;&lt;D xsi:type="xsd:double"&gt;6.99251687685744&lt;/D&gt;&lt;D xsi:type="xsd:double"&gt;6.75061938073582&lt;/D&gt;&lt;D xsi:type="xsd:double"&gt;6.55200060432167&lt;/D&gt;&lt;D xsi:type="xsd:double"&gt;6.60377989934861&lt;/D&gt;&lt;D xsi:type="xsd:double"&gt;7.33939201585617&lt;/D&gt;&lt;D xsi:type="xsd:double"&gt;8.00809868051938&lt;/D&gt;&lt;D xsi:type="xsd:double"&gt;8.01915340819494&lt;/D&gt;&lt;D xsi:type="xsd:double"&gt;7.95875890913232&lt;/D&gt;&lt;D xsi:type="xsd:double"&gt;7.51371335925895&lt;/D&gt;&lt;D xsi:type="xsd:double"&gt;7.4749551860027&lt;/D&gt;&lt;D xsi:type="xsd:double"&gt;7.65075818478791&lt;/D&gt;&lt;D xsi:type="xsd:double"&gt;7.84316531556854&lt;/D&gt;&lt;D xsi:type="xsd:double"&gt;7.69861228416717&lt;/D&gt;&lt;D xsi:type="xsd:double"&gt;8.59103163215807&lt;/D&gt;&lt;/FQL&gt;&lt;FQL&gt;&lt;Q&gt;EWY^FMA_PE(LTMA,-10AY,0,AM,"PORTAGG","MEANR")&lt;/Q&gt;&lt;R&gt;121&lt;/R&gt;&lt;C&gt;1&lt;/C&gt;&lt;D xsi:type="xsd:double"&gt;11.7775043057101&lt;/D&gt;&lt;D xsi:type="xsd:double"&gt;11.5888477417165&lt;/D&gt;&lt;D xsi:type="xsd:double"&gt;11.3902423918792&lt;/D&gt;&lt;D xsi:type="xsd:double"&gt;11.3650219085343&lt;/D&gt;&lt;D xsi:type="xsd:double"&gt;11.3237157078905&lt;/D&gt;&lt;D xsi:type="xsd:double"&gt;11.7186624314049&lt;/D&gt;&lt;D xsi:type="xsd:double"&gt;11.5898806835099&lt;/D&gt;&lt;D xsi:type="xsd:double"&gt;11.160434192008&lt;/D&gt;&lt;D xsi:type="xsd:double"&gt;11.4570274410571&lt;/D&gt;&lt;D xsi:type="xsd:double"&gt;11.9487594128128&lt;/D&gt;&lt;D xsi:type="xsd:double"&gt;11.3477256568773&lt;/D&gt;&lt;D xsi:type="xsd:double"&gt;12.1352299580251&lt;/D&gt;&lt;D xsi:type="xsd:double"&gt;12.2763537212324&lt;/D&gt;&lt;D xsi:type="xsd:double"&gt;12.0572753226166&lt;/D&gt;&lt;D xsi:type="xsd:double"&gt;11.9274868615917&lt;/D&gt;&lt;D xsi:type="xsd:double"&gt;11.5093065967049&lt;/D&gt;&lt;D xsi:type="xsd:double"&gt;11.3535563272901&lt;/D&gt;&lt;D xsi:type="xsd:double"&gt;11.2704673552823&lt;/D&gt;&lt;D xsi:type="xsd:double"&gt;10.6070916034643&lt;/D&gt;&lt;D xsi:type="xsd:double"&gt;10.7949140694987&lt;/D&gt;&lt;D xsi:type="xsd:double"&gt;11.6416362624588&lt;/D&gt;&lt;D xsi:type="xsd:double"&gt;10.9831381874118&lt;/D&gt;&lt;D xsi:type="xsd:double"&gt;9.81927007495487&lt;/D&gt;&lt;D xsi:type="xsd:double"&gt;10.4503473925106&lt;/D&gt;&lt;D xsi:type="xsd:double"&gt;10.6057459743683&lt;/D&gt;&lt;D xsi:type="xsd:double"&gt;10.6472081248311&lt;/D&gt;&lt;D xsi:type="xsd:double"&gt;10.5105731912561&lt;/D&gt;&lt;D xsi:type="xsd:double"&gt;10.4916832204521&lt;/D&gt;&lt;D xsi:type="xsd:double"&gt;10.4927567186224&lt;/D&gt;&lt;D xsi:type="xsd:double"&gt;10.424751153905&lt;/D&gt;&lt;D xsi:type="xsd:double"&gt;10.6615340439299&lt;/D&gt;&lt;D xsi:type="xsd:double"&gt;10.731498200904&lt;/D&gt;&lt;D xsi:type="xsd:double"&gt;10.6664535250632&lt;/D&gt;&lt;D xsi:type="xsd:double"&gt;10.780962019443&lt;/D&gt;&lt;D xsi:type="xsd:double"&gt;11.1571594638878&lt;/D&gt;&lt;D xsi:type="xsd:double"&gt;11.4937027446692&lt;/D&gt;&lt;D xsi:type="xsd:double"&gt;11.6420975796535&lt;/D&gt;&lt;D xsi:type="xsd:double"&gt;11.4193456421805&lt;/D&gt;&lt;D xsi:type="xsd:double"&gt;11.1567141879325&lt;/D&gt;&lt;D xsi:type="xsd:double"&gt;11.1640938656108&lt;/D&gt;&lt;D xsi:type="xsd:double"&gt;10.9735266737277&lt;/D&gt;&lt;D xsi:type="xsd:double"&gt;10.6878906598423&lt;/D&gt;&lt;D xsi:type="xsd:double"&gt;10.3671110345913&lt;/D&gt;&lt;D xsi:type="xsd:double"&gt;10.3461360870266&lt;/D&gt;&lt;D xsi:type="xsd:double"&gt;10.5766415981161&lt;/D&gt;&lt;D xsi:type="xsd:double"&gt;10.3635401850278&lt;/D&gt;&lt;D xsi:type="xsd:double"&gt;10.136540272911&lt;/D&gt;&lt;D xsi:type="xsd:double"&gt;10.5907535311534&lt;/D&gt;&lt;D xsi:type="xsd:double"&gt;10.5214885286688&lt;/D&gt;&lt;D xsi:type="xsd:double"&gt;10.3608067646955&lt;/D&gt;&lt;D xsi:type="xsd:double"&gt;10.2543314109669&lt;/D&gt;&lt;D xsi:type="xsd:double"&gt;10.1292590196374&lt;/D&gt;&lt;D xsi:type="xsd:double"&gt;9.67458650194853&lt;/D&gt;&lt;D xsi:type="xsd:double"&gt;9.54400021494107&lt;/D&gt;&lt;D xsi:type="xsd:double"&gt;9.45838532344786&lt;/D&gt;&lt;D xsi:type="xsd:double"&gt;9.19355526286647&lt;/D&gt;&lt;D xsi:type="xsd:double"&gt;8.66123081140761&lt;/D&gt;&lt;D xsi:type="xsd:double"&gt;8.51978971662787&lt;/D&gt;&lt;D xsi:type="xsd:double"&gt;8.04402370195135&lt;/D&gt;&lt;D xsi:type="xsd:double"&gt;9.7104033774646&lt;/D&gt;&lt;D xsi:type="xsd:double"&gt;9.99846833270023&lt;/D&gt;&lt;D xsi:type="xsd:double"&gt;10.3234324349643&lt;/D&gt;&lt;D xsi:type="xsd:double"&gt;10.588207863198&lt;/D&gt;&lt;D xsi:type="xsd:double"&gt;10.6369130565164&lt;/D&gt;&lt;D xsi:type="xsd:double"&gt;11.0482332823677&lt;/D&gt;&lt;D xsi:type="xsd:double"&gt;11.2091841876942&lt;/D&gt;&lt;D xsi:type="xsd:double"&gt;11.4785559157573&lt;/D&gt;&lt;D xsi:type="xsd:double"&gt;11.9116952151085&lt;/D&gt;&lt;D xsi:type="xsd:double"&gt;13.1897083506546&lt;/D&gt;&lt;D xsi:type="xsd:double"&gt;13.3477023886094&lt;/D&gt;&lt;D xsi:type="xsd:double"&gt;14.4657869260041&lt;/D&gt;&lt;D xsi:type="xsd:double"&gt;15.3226940023771&lt;/D&gt;&lt;D xsi:type="xsd:double"&gt;15.1598156944254&lt;/D&gt;&lt;D xsi:type="xsd:double"&gt;14.5143701868809&lt;/D&gt;&lt;D xsi:type="xsd:double"&gt;14.7903723609517&lt;/D&gt;&lt;D xsi:type="xsd:double"&gt;15.5071318795861&lt;/D&gt;&lt;D xsi:type="xsd:double"&gt;15.4030229854468&lt;/D&gt;&lt;D xsi:type="xsd:double"&gt;15.8567326963909&lt;/D&gt;&lt;D xsi:type="xsd:double"&gt;16.1621142249736&lt;/D&gt;&lt;D xsi:type="xsd:double"&gt;15.9999557918304&lt;/D&gt;&lt;D xsi:type="xsd:double"&gt;15.8961265992908&lt;/D&gt;&lt;D xsi:type="xsd:double"&gt;18.5346019525936&lt;/D&gt;&lt;D xsi:type="xsd:double"&gt;20.1744574129219&lt;/D&gt;&lt;D xsi:type="xsd:double"&gt;21.1760013157963&lt;/D&gt;&lt;D xsi:type="xsd:double"&gt;20.3972656767017&lt;/D&gt;&lt;D xsi:type="xsd:double"&gt;19.7498963447207&lt;/D&gt;&lt;D xsi:type="xsd:double"&gt;18.2499666322377&lt;/D&gt;&lt;D xsi:type="xsd:double"&gt;17.3761086274809&lt;/D&gt;&lt;D xsi:type="xsd:double"&gt;16.5603408881021&lt;/D&gt;&lt;D xsi:type="xsd:double"&gt;15.3185891506263&lt;/D&gt;&lt;D xsi:type="xsd:double"&gt;14.1608118481608&lt;/D&gt;&lt;D xsi:type="xsd:double"&gt;12.6882591744629&lt;/D&gt;&lt;D xsi:type="xsd:double"&gt;11.5055622984479&lt;/D&gt;&lt;D xsi:type="xsd:double"&gt;10.4225654855518&lt;/D&gt;&lt;D xsi:type="xsd:double"&gt;9.52357585582888&lt;/D&gt;&lt;D xsi:type="xsd:double"&gt;9.22506027204236&lt;/D&gt;&lt;D xsi:type="xsd:double"&gt;9.30343080774516&lt;/D&gt;&lt;D xsi:type="xsd:double"&gt;9.37427165219151&lt;/D&gt;&lt;D xsi:type="xsd:double"&gt;9.21913286739987&lt;/D&gt;&lt;D xsi:type="xsd:double"&gt;9.26278968410431&lt;/D&gt;&lt;D xsi:type="xsd:double"&gt;8.78546890503951&lt;/D&gt;&lt;D xsi:type="xsd:double"&gt;9.03594928769541&lt;/D&gt;&lt;D xsi:type="xsd:double"&gt;8.81313942176574&lt;/D&gt;&lt;D xsi:type="xsd:double"&gt;8.46240297878336&lt;/D&gt;&lt;D xsi:type="xsd:double"&gt;9.34940128486634&lt;/D&gt;&lt;D xsi:type="xsd:double"&gt;9.91387528454844&lt;/D&gt;&lt;D xsi:type="xsd:double"&gt;9.46601467142783&lt;/D&gt;&lt;D xsi:type="xsd:double"&gt;10.440869051663&lt;/D&gt;&lt;D xsi:type="xsd:double"&gt;11.0503576959082&lt;/D&gt;&lt;D xsi:type="xsd:double"&gt;11.6451663231222&lt;/D&gt;&lt;D xsi:type="xsd:double"&gt;12.0644001883912&lt;/D&gt;&lt;D xsi:type="xsd:double"&gt;12.4568529733639&lt;/D&gt;&lt;D xsi:type="xsd:double"&gt;12.6695616858723&lt;/D&gt;&lt;D xsi:type="xsd:double"&gt;13.0795448140755&lt;/D&gt;&lt;D xsi:type="xsd:double"&gt;13.5076796862782&lt;/D&gt;&lt;D xsi:type="xsd:double"&gt;13.2835000682765&lt;/D&gt;&lt;D xsi:type="xsd:double"&gt;13.4036022007354&lt;/D&gt;&lt;D xsi:type="xsd:double"&gt;14.4365518227387&lt;/D&gt;&lt;D xsi:type="xsd:double"&gt;15.1222103334261&lt;/D&gt;&lt;D xsi:type="xsd:double"&gt;15.8887033173071&lt;/D&gt;&lt;D xsi:type="xsd:double"&gt;17.3962663956184&lt;/D&gt;&lt;/FQL&gt;&lt;FQL&gt;&lt;Q&gt;PLATI-FDS^FG_PRICE_MAVG(0,,,,30)&lt;/Q&gt;&lt;R&gt;1&lt;/R&gt;&lt;C&gt;1&lt;/C&gt;&lt;D xsi:type="xsd:double"&gt;902.4667&lt;/D&gt;&lt;/FQL&gt;&lt;FQL&gt;&lt;Q&gt;EWW^FG_TOTAL_RETURNC(0,-6AM)&lt;/Q&gt;&lt;R&gt;1&lt;/R&gt;&lt;C&gt;1&lt;/C&gt;&lt;D xsi:type="xsd:double"&gt;8.4329605&lt;/D&gt;&lt;/FQL&gt;&lt;FQL&gt;&lt;Q&gt;VWO^PERCENT_CHANGE(FMA_EPS(+1,0,,,,"PORTAGG","MEAN"),FMA_EPS(+1,-1AM,,,,"PORTAGG","MEAN"))&lt;/Q&gt;&lt;R&gt;1&lt;/R&gt;&lt;C&gt;1&lt;/C&gt;&lt;D xsi:type="xsd:double"&gt;-12.8544819381838&lt;/D&gt;&lt;/FQL&gt;&lt;FQL&gt;&lt;Q&gt;CNYA^PERCENT_CHANGE(FMA_EPS(+1,0,,,,"PORTAGG","MEAN"),FMA_EPS(+1,-3AM,,,,"PORTAGG","MEAN"))&lt;/Q&gt;&lt;R&gt;1&lt;/R&gt;&lt;C&gt;1&lt;/C&gt;&lt;D xsi:type="xsd:double"&gt;-22.304102331476&lt;/D&gt;&lt;/FQL&gt;&lt;FQL&gt;&lt;Q&gt;UAE^FMA_RBICS_REV_CURRENT(30, LOC, "PORTAGG")&lt;/Q&gt;&lt;R&gt;1&lt;/R&gt;&lt;C&gt;1&lt;/C&gt;&lt;D xsi:type="xsd:double"&gt;59.2560889743936&lt;/D&gt;&lt;/FQL&gt;&lt;FQL&gt;&lt;Q&gt;TRYPL10Y-FDS^PCTCHG(FG_YIELD(0,,,,"YTM"),FG_YIELD(-1AM,,,,"YTM"))&lt;/Q&gt;&lt;R&gt;1&lt;/R&gt;&lt;C&gt;1&lt;/C&gt;&lt;D xsi:type="xsd:double"&gt;-0.07057921&lt;/D&gt;&lt;/FQL&gt;&lt;FQL&gt;&lt;Q&gt;VNM^FG_FCF_YIELD_NTM(0)&lt;/Q&gt;&lt;R&gt;1&lt;/R&gt;&lt;C&gt;1&lt;/C&gt;&lt;D xsi:type="xsd:double"&gt;-3.7525351502834&lt;/D&gt;&lt;/FQL&gt;&lt;FQL&gt;&lt;Q&gt;EWY^FMA_ROE(NTMA,-20AY,NOW,FY,"PORTAGG","MEANR")&lt;/Q&gt;&lt;R&gt;20&lt;/R&gt;&lt;C&gt;1&lt;/C&gt;&lt;D xsi:type="xsd:double"&gt;15.9616854074036&lt;/D&gt;&lt;D xsi:type="xsd:double"&gt;15.4849098528827&lt;/D&gt;&lt;D xsi:type="xsd:double"&gt;13.8927001282369&lt;/D&gt;&lt;D xsi:type="xsd:double"&gt;14.4039664402004&lt;/D&gt;&lt;D xsi:type="xsd:double"&gt;9.92456164609465&lt;/D&gt;&lt;D xsi:type="xsd:double"&gt;13.4147036931661&lt;/D&gt;&lt;D xsi:type="xsd:double"&gt;14.0364525270903&lt;/D&gt;&lt;D xsi:type="xsd:double"&gt;12.8930845102886&lt;/D&gt;&lt;D xsi:type="xsd:double"&gt;12.4745249796659&lt;/D&gt;&lt;D xsi:type="xsd:double"&gt;11.4149566191569&lt;/D&gt;&lt;D xsi:type="xsd:double"&gt;9.77047682396504&lt;/D&gt;&lt;D xsi:type="xsd:double"&gt;8.83276683126284&lt;/D&gt;&lt;D xsi:type="xsd:double"&gt;9.34985338936219&lt;/D&gt;&lt;D xsi:type="xsd:double"&gt;11.1969769851489&lt;/D&gt;&lt;D xsi:type="xsd:double"&gt;9.7866294798229&lt;/D&gt;&lt;D xsi:type="xsd:double"&gt;7.67648123982945&lt;/D&gt;&lt;D xsi:type="xsd:double"&gt;8.30770313390174&lt;/D&gt;&lt;D xsi:type="xsd:double"&gt;10.1458776210508&lt;/D&gt;&lt;D xsi:type="xsd:double"&gt;7.50979386649047&lt;/D&gt;&lt;D xsi:type="xsd:double"&gt;8.9018523713911&lt;/D&gt;&lt;/FQL&gt;&lt;FQL&gt;&lt;Q&gt;CAGDPY@TR^EE_ACTUAL_ANNUAL(MED,+1)&lt;/Q&gt;&lt;R&gt;1&lt;/R&gt;&lt;C&gt;1&lt;/C&gt;&lt;D xsi:type="xsd:double"&gt;-3.2&lt;/D&gt;&lt;/FQL&gt;&lt;FQL&gt;&lt;Q&gt;CAGDPY@ID^EE_ACTUAL_ANNUAL(MED,+1)&lt;/Q&gt;&lt;R&gt;1&lt;/R&gt;&lt;C&gt;1&lt;/C&gt;&lt;D xsi:type="xsd:double"&gt;-0.7&lt;/D&gt;&lt;/FQL&gt;&lt;FQL&gt;&lt;Q&gt;USDTHB^STD(FG_PRICE_CHANGE(0,-3AY,M))&lt;/Q&gt;&lt;R&gt;1&lt;/R&gt;&lt;C&gt;1&lt;/C&gt;&lt;D xsi:type="xsd:double"&gt;3.03013931688486&lt;/D&gt;&lt;/FQL&gt;&lt;FQL&gt;&lt;Q&gt;USDBRL^FG_PRICE_CHANGE(0,-1AY)&lt;/Q&gt;&lt;R&gt;1&lt;/R&gt;&lt;C&gt;1&lt;/C&gt;&lt;D xsi:type="xsd:double"&gt;-5.1180305&lt;/D&gt;&lt;/FQL&gt;&lt;FQL&gt;&lt;Q&gt;USDPHP^FG_PRICE_CHANGE(0,-6AM)&lt;/Q&gt;&lt;R&gt;1&lt;/R&gt;&lt;C&gt;1&lt;/C&gt;&lt;D xsi:type="xsd:double"&gt;-1.1432827&lt;/D&gt;&lt;/FQL&gt;&lt;FQL&gt;&lt;Q&gt;TUR^P_PRICE_RETURNS_PR('52W',2,-10AY,0,AM)&lt;/Q&gt;&lt;R&gt;121&lt;/R&gt;&lt;C&gt;1&lt;/C&gt;&lt;D xsi:type="xsd:double"&gt;-35.145466&lt;/D&gt;&lt;D xsi:type="xsd:double"&gt;-25.272364&lt;/D&gt;&lt;D xsi:type="xsd:double"&gt;-26.861858&lt;/D&gt;&lt;D xsi:type="xsd:double"&gt;-10.772461&lt;/D&gt;&lt;D xsi:type="xsd:double"&gt;-0.9931207&lt;/D&gt;&lt;D xsi:type="xsd:double"&gt;1.4252543&lt;/D&gt;&lt;D xsi:type="xsd:double"&gt;17.413235&lt;/D&gt;&lt;D xsi:type="xsd:double"&gt;-13.514816&lt;/D&gt;&lt;D xsi:type="xsd:double"&gt;-3.5069644&lt;/D&gt;&lt;D xsi:type="xsd:double"&gt;9.562135&lt;/D&gt;&lt;D xsi:type="xsd:double"&gt;19.007265&lt;/D&gt;&lt;D xsi:type="xsd:double"&gt;23.414253&lt;/D&gt;&lt;D xsi:type="xsd:double"&gt;11.47846&lt;/D&gt;&lt;D xsi:type="xsd:double"&gt;-4.229331&lt;/D&gt;&lt;D xsi:type="xsd:double"&gt;-12.07686&lt;/D&gt;&lt;D xsi:type="xsd:double"&gt;-16.495848&lt;/D&gt;&lt;D xsi:type="xsd:double"&gt;-15.321332&lt;/D&gt;&lt;D xsi:type="xsd:double"&gt;-26.57883&lt;/D&gt;&lt;D xsi:type="xsd:double"&gt;-35.93383&lt;/D&gt;&lt;D xsi:type="xsd:double"&gt;-20.491909&lt;/D&gt;&lt;D xsi:type="xsd:double"&gt;-18.717216&lt;/D&gt;&lt;D xsi:type="xsd:double"&gt;-32.31625&lt;/D&gt;&lt;D xsi:type="xsd:double"&gt;-32.799946&lt;/D&gt;&lt;D xsi:type="xsd:double"&gt;-24.852085&lt;/D&gt;&lt;D xsi:type="xsd:double"&gt;-13.519245&lt;/D&gt;&lt;D xsi:type="xsd:double"&gt;-4.335904&lt;/D&gt;&lt;D xsi:type="xsd:double"&gt;-13.773346&lt;/D&gt;&lt;D xsi:type="xsd:double"&gt;-10.875583&lt;/D&gt;&lt;D xsi:type="xsd:double"&gt;-9.213316&lt;/D&gt;&lt;D xsi:type="xsd:double"&gt;-7.457614&lt;/D&gt;&lt;D xsi:type="xsd:double"&gt;6.3224077&lt;/D&gt;&lt;D xsi:type="xsd:double"&gt;0.13685226&lt;/D&gt;&lt;D xsi:type="xsd:double"&gt;-16.914446&lt;/D&gt;&lt;D xsi:type="xsd:double"&gt;-18.794065&lt;/D&gt;&lt;D xsi:type="xsd:double"&gt;-8.787287&lt;/D&gt;&lt;D xsi:type="xsd:double"&gt;-4.922068&lt;/D&gt;&lt;D xsi:type="xsd:double"&gt;-7.727468&lt;/D&gt;&lt;D xsi:type="xsd:double"&gt;-17.552876&lt;/D&gt;&lt;D xsi:type="xsd:double"&gt;1.1549592&lt;/D&gt;&lt;D xsi:type="xsd:double"&gt;9.657181&lt;/D&gt;&lt;D xsi:type="xsd:double"&gt;6.1492205&lt;/D&gt;&lt;D xsi:type="xsd:double"&gt;22.285843&lt;/D&gt;&lt;D xsi:type="xsd:double"&gt;26.733292&lt;/D&gt;&lt;D xsi:type="xsd:double"&gt;16.795933&lt;/D&gt;&lt;D xsi:type="xsd:double"&gt;16.517818&lt;/D&gt;&lt;D xsi:type="xsd:double"&gt;30.594301&lt;/D&gt;&lt;D xsi:type="xsd:double"&gt;44.42519&lt;/D&gt;&lt;D xsi:type="xsd:double"&gt;33.384884&lt;/D&gt;&lt;D xsi:type="xsd:double"&gt;29.804075&lt;/D&gt;&lt;D xsi:type="xsd:double"&gt;20.886505&lt;/D&gt;&lt;D xsi:type="xsd:double"&gt;-5.776972&lt;/D&gt;&lt;D xsi:type="xsd:double"&gt;-21.863634&lt;/D&gt;&lt;D xsi:type="xsd:double"&gt;-25.891125&lt;/D&gt;&lt;D xsi:type="xsd:double"&gt;-36.44637&lt;/D&gt;&lt;D xsi:type="xsd:double"&gt;-56.335064&lt;/D&gt;&lt;D xsi:type="xsd:double"&gt;-46.53302&lt;/D&gt;&lt;D xsi:type="xsd:double"&gt;-39.93066&lt;/D&gt;&lt;D xsi:type="xsd:double"&gt;-34.525906&lt;/D&gt;&lt;D xsi:type="xsd:double"&gt;-43.07448&lt;/D&gt;&lt;D xsi:type="xsd:double"&gt;-34.429527&lt;/D&gt;&lt;D xsi:type="xsd:double"&gt;-35.53308&lt;/D&gt;&lt;D xsi:type="xsd:double"&gt;-36.48192&lt;/D&gt;&lt;D xsi:type="xsd:double"&gt;-34.05&lt;/D&gt;&lt;D xsi:type="xsd:double"&gt;-25.908894&lt;/D&gt;&lt;D xsi:type="xsd:double"&gt;-11.540503&lt;/D&gt;&lt;D xsi:type="xsd:double"&gt;-1.0987282&lt;/D&gt;&lt;D xsi:type="xsd:double"&gt;31.885921&lt;/D&gt;&lt;D xsi:type="xsd:double"&gt;24.360716&lt;/D&gt;&lt;D xsi:type="xsd:double"&gt;3.7246346&lt;/D&gt;&lt;D xsi:type="xsd:double"&gt;10.833347&lt;/D&gt;&lt;D xsi:type="xsd:double"&gt;20.33745&lt;/D&gt;&lt;D xsi:type="xsd:double"&gt;4.357946&lt;/D&gt;&lt;D xsi:type="xsd:double"&gt;-3.9984643&lt;/D&gt;&lt;D xsi:type="xsd:double"&gt;-20.813639&lt;/D&gt;&lt;D xsi:type="xsd:double"&gt;-11.235982&lt;/D&gt;&lt;D xsi:type="xsd:double"&gt;2.8623462&lt;/D&gt;&lt;D xsi:type="xsd:double"&gt;-5.529177&lt;/D&gt;&lt;D xsi:type="xsd:double"&gt;-14.909494&lt;/D&gt;&lt;D xsi:type="xsd:double"&gt;-19.823193&lt;/D&gt;&lt;D xsi:type="xsd:double"&gt;-22.99711&lt;/D&gt;&lt;D xsi:type="xsd:double"&gt;-24.652773&lt;/D&gt;&lt;D xsi:type="xsd:double"&gt;-11.478454&lt;/D&gt;&lt;D xsi:type="xsd:double"&gt;0.96530914&lt;/D&gt;&lt;D xsi:type="xsd:double"&gt;2.42517&lt;/D&gt;&lt;D xsi:type="xsd:double"&gt;8.821165&lt;/D&gt;&lt;D xsi:type="xsd:double"&gt;33.510494&lt;/D&gt;&lt;D xsi:type="xsd:double"&gt;20.613838&lt;/D&gt;&lt;D xsi:type="xsd:double"&gt;2.0728588&lt;/D&gt;&lt;D xsi:type="xsd:double"&gt;-5.6723237&lt;/D&gt;&lt;D xsi:type="xsd:double"&gt;7.3975444&lt;/D&gt;&lt;D xsi:type="xsd:double"&gt;25.558067&lt;/D&gt;&lt;D xsi:type="xsd:double"&gt;11.366928&lt;/D&gt;&lt;D xsi:type="xsd:double"&gt;22.751545&lt;/D&gt;&lt;D xsi:type="xsd:double"&gt;-16.896975&lt;/D&gt;&lt;D xsi:type="xsd:double"&gt;-24.050385&lt;/D&gt;&lt;D xsi:type="xsd:double"&gt;-31.570614&lt;/D&gt;&lt;D xsi:type="xsd:double"&gt;-29.705465&lt;/D&gt;&lt;D xsi:type="xsd:double"&gt;-5.7437716&lt;/D&gt;&lt;D xsi:type="xsd:double"&gt;-0.82589984&lt;/D&gt;&lt;D xsi:type="xsd:double"&gt;-1.0930359&lt;/D&gt;&lt;D xsi:type="xsd:double"&gt;-6.993854&lt;/D&gt;&lt;D xsi:type="xsd:double"&gt;-7.0602536&lt;/D&gt;&lt;D xsi:type="xsd:double"&gt;-1.848352&lt;/D&gt;&lt;D xsi:type="xsd:double"&gt;17.707384&lt;/D&gt;&lt;D xsi:type="xsd:double"&gt;33.865692&lt;/D&gt;&lt;D xsi:type="xsd:double"&gt;87.82326&lt;/D&gt;&lt;D xsi:type="xsd:double"&gt;97.2203&lt;/D&gt;&lt;D xsi:type="xsd:double"&gt;81.57275&lt;/D&gt;&lt;D xsi:type="xsd:double"&gt;92.25693&lt;/D&gt;&lt;D xsi:type="xsd:double"&gt;61.29819&lt;/D&gt;&lt;D xsi:type="xsd:double"&gt;38.911175&lt;/D&gt;&lt;D xsi:type="xsd:double"&gt;52.9384&lt;/D&gt;&lt;D xsi:type="xsd:double"&gt;57.712494&lt;/D&gt;&lt;D xsi:type="xsd:double"&gt;79.169395&lt;/D&gt;&lt;D xsi:type="xsd:double"&gt;77.543304&lt;/D&gt;&lt;D xsi:type="xsd:double"&gt;66.5567&lt;/D&gt;&lt;D xsi:type="xsd:double"&gt;30.292368&lt;/D&gt;&lt;D xsi:type="xsd:double"&gt;10.834074&lt;/D&gt;&lt;D xsi:type="xsd:double"&gt;-9.76181&lt;/D&gt;&lt;D xsi:type="xsd:double"&gt;16.39291&lt;/D&gt;&lt;D xsi:type="xsd:double"&gt;7.4559093&lt;/D&gt;&lt;/FQL&gt;&lt;FQL&gt;&lt;Q&gt;MCHI^FG_TOTAL_RETURNC(-10AY,0,AM)&lt;/Q&gt;&lt;R&gt;121&lt;/R&gt;&lt;C&gt;1&lt;/C&gt;&lt;D xsi:type="xsd:double"&gt;4.568529&lt;/D&gt;&lt;D xsi:type="xsd:double"&gt;-0.7281482&lt;/D&gt;&lt;D xsi:type="xsd:double"&gt;-1.9337714&lt;/D&gt;&lt;D xsi:type="xsd:double"&gt;4.805088&lt;/D&gt;&lt;D xsi:type="xsd:double"&gt;5.037689&lt;/D&gt;&lt;D xsi:type="xsd:double"&gt;5.5845976&lt;/D&gt;&lt;D xsi:type="xsd:double"&gt;2.9516697&lt;/D&gt;&lt;D xsi:type="xsd:double"&gt;-9.332312&lt;/D&gt;&lt;D xsi:type="xsd:double"&gt;4.202032&lt;/D&gt;&lt;D xsi:type="xsd:double"&gt;2.6476622&lt;/D&gt;&lt;D xsi:type="xsd:double"&gt;0.6480217&lt;/D&gt;&lt;D xsi:type="xsd:double"&gt;3.9395213&lt;/D&gt;&lt;D xsi:type="xsd:double"&gt;-1.4548302&lt;/D&gt;&lt;D xsi:type="xsd:double"&gt;8.91608&lt;/D&gt;&lt;D xsi:type="xsd:double"&gt;13.750672&lt;/D&gt;&lt;D xsi:type="xsd:double"&gt;-5.377865&lt;/D&gt;&lt;D xsi:type="xsd:double"&gt;-6.7970157&lt;/D&gt;&lt;D xsi:type="xsd:double"&gt;-11.083168&lt;/D&gt;&lt;D xsi:type="xsd:double"&gt;-15.818185&lt;/D&gt;&lt;D xsi:type="xsd:double"&gt;10.007202&lt;/D&gt;&lt;D xsi:type="xsd:double"&gt;5.475569&lt;/D&gt;&lt;D xsi:type="xsd:double"&gt;-3.3092022&lt;/D&gt;&lt;D xsi:type="xsd:double"&gt;-6.58406&lt;/D&gt;&lt;D xsi:type="xsd:double"&gt;-12.3752&lt;/D&gt;&lt;D xsi:type="xsd:double"&gt;9.724426&lt;/D&gt;&lt;D xsi:type="xsd:double"&gt;1.1108398&lt;/D&gt;&lt;D xsi:type="xsd:double"&gt;-2.8421283&lt;/D&gt;&lt;D xsi:type="xsd:double"&gt;3.5398245&lt;/D&gt;&lt;D xsi:type="xsd:double"&gt;2.1152258&lt;/D&gt;&lt;D xsi:type="xsd:double"&gt;3.1615853&lt;/D&gt;&lt;D xsi:type="xsd:double"&gt;8.785475&lt;/D&gt;&lt;D xsi:type="xsd:double"&gt;1.0851383&lt;/D&gt;&lt;D xsi:type="xsd:double"&gt;-5.3468227&lt;/D&gt;&lt;D xsi:type="xsd:double"&gt;0.08723736&lt;/D&gt;&lt;D xsi:type="xsd:double"&gt;-1.4936149&lt;/D&gt;&lt;D xsi:type="xsd:double"&gt;5.2267194&lt;/D&gt;&lt;D xsi:type="xsd:double"&gt;3.2689452&lt;/D&gt;&lt;D xsi:type="xsd:double"&gt;3.5354495&lt;/D&gt;&lt;D xsi:type="xsd:double"&gt;0.15882254&lt;/D&gt;&lt;D xsi:type="xsd:double"&gt;7.9682827&lt;/D&gt;&lt;D xsi:type="xsd:double"&gt;1.3850093&lt;/D&gt;&lt;D xsi:type="xsd:double"&gt;8.30456&lt;/D&gt;&lt;D xsi:type="xsd:double"&gt;4.2281866&lt;/D&gt;&lt;D xsi:type="xsd:double"&gt;4.4108152&lt;/D&gt;&lt;D xsi:type="xsd:double"&gt;1.4955282&lt;/D&gt;&lt;D xsi:type="xsd:double"&gt;-1.200062&lt;/D&gt;&lt;D xsi:type="xsd:double"&gt;9.195089&lt;/D&gt;&lt;D xsi:type="xsd:double"&gt;2.2821307&lt;/D&gt;&lt;D xsi:type="xsd:double"&gt;-3.8069963&lt;/D&gt;&lt;D xsi:type="xsd:double"&gt;-1.928097&lt;/D&gt;&lt;D xsi:type="xsd:double"&gt;-0.6651938&lt;/D&gt;&lt;D xsi:type="xsd:double"&gt;5.744052&lt;/D&gt;&lt;D xsi:type="xsd:double"&gt;-10.16714&lt;/D&gt;&lt;D xsi:type="xsd:double"&gt;-2.8486013&lt;/D&gt;&lt;D xsi:type="xsd:double"&gt;-2.8187215&lt;/D&gt;&lt;D xsi:type="xsd:double"&gt;-5.4675817&lt;/D&gt;&lt;D xsi:type="xsd:double"&gt;-1.0932803&lt;/D&gt;&lt;D xsi:type="xsd:double"&gt;2.37118&lt;/D&gt;&lt;D xsi:type="xsd:double"&gt;-6.6708446&lt;/D&gt;&lt;D xsi:type="xsd:double"&gt;11.400032&lt;/D&gt;&lt;D xsi:type="xsd:double"&gt;4.6346426&lt;/D&gt;&lt;D xsi:type="xsd:double"&gt;3.7665725&lt;/D&gt;&lt;D xsi:type="xsd:double"&gt;0.607574&lt;/D&gt;&lt;D xsi:type="xsd:double"&gt;-13.812327&lt;/D&gt;&lt;D xsi:type="xsd:double"&gt;9.188211&lt;/D&gt;&lt;D xsi:type="xsd:double"&gt;-7.269412&lt;/D&gt;&lt;D xsi:type="xsd:double"&gt;2.1785736&lt;/D&gt;&lt;D xsi:type="xsd:double"&gt;-0.9262562&lt;/D&gt;&lt;D xsi:type="xsd:double"&gt;6.4738035&lt;/D&gt;&lt;D xsi:type="xsd:double"&gt;-1.5241921&lt;/D&gt;&lt;D xsi:type="xsd:double"&gt;10.343063&lt;/D&gt;&lt;D xsi:type="xsd:double"&gt;-2.5850058&lt;/D&gt;&lt;D xsi:type="xsd:double"&gt;0.48965216&lt;/D&gt;&lt;D xsi:type="xsd:double"&gt;-11.662996&lt;/D&gt;&lt;D xsi:type="xsd:double"&gt;3.0249119&lt;/D&gt;&lt;D xsi:type="xsd:double"&gt;9.861827&lt;/D&gt;&lt;D xsi:type="xsd:double"&gt;7.67864&lt;/D&gt;&lt;D xsi:type="xsd:double"&gt;8.455456&lt;/D&gt;&lt;D xsi:type="xsd:double"&gt;1.0809302&lt;/D&gt;&lt;D xsi:type="xsd:double"&gt;-1.0961115&lt;/D&gt;&lt;D xsi:type="xsd:double"&gt;10.06893&lt;/D&gt;&lt;D xsi:type="xsd:double"&gt;-0.85953474&lt;/D&gt;&lt;D xsi:type="xsd:double"&gt;1.3928056&lt;/D&gt;&lt;D xsi:type="xsd:double"&gt;13.035452&lt;/D&gt;&lt;D xsi:type="xsd:double"&gt;-7.655448&lt;/D&gt;&lt;D xsi:type="xsd:double"&gt;-2.2169888&lt;/D&gt;&lt;D xsi:type="xsd:double"&gt;-2.5687397&lt;/D&gt;&lt;D xsi:type="xsd:double"&gt;2.3641467&lt;/D&gt;&lt;D xsi:type="xsd:double"&gt;-2.3641765&lt;/D&gt;&lt;D xsi:type="xsd:double"&gt;-10.140246&lt;/D&gt;&lt;D xsi:type="xsd:double"&gt;-0.49723983&lt;/D&gt;&lt;D xsi:type="xsd:double"&gt;-9.147703&lt;/D&gt;&lt;D xsi:type="xsd:double"&gt;5.07257&lt;/D&gt;&lt;D xsi:type="xsd:double"&gt;-8.25941&lt;/D&gt;&lt;D xsi:type="xsd:double"&gt;-1.6531885&lt;/D&gt;&lt;D xsi:type="xsd:double"&gt;1.3151526&lt;/D&gt;&lt;D xsi:type="xsd:double"&gt;-11.10577&lt;/D&gt;&lt;D xsi:type="xsd:double"&gt;1.8388271&lt;/D&gt;&lt;D xsi:type="xsd:double"&gt;-8.709508&lt;/D&gt;&lt;D xsi:type="xsd:double"&gt;0.6592989&lt;/D&gt;&lt;D xsi:type="xsd:double"&gt;8.180857&lt;/D&gt;&lt;D xsi:type="xsd:double"&gt;-10.442418&lt;/D&gt;&lt;D xsi:type="xsd:double"&gt;-3.3600032&lt;/D&gt;&lt;D xsi:type="xsd:double"&gt;-7.8849373&lt;/D&gt;&lt;D xsi:type="xsd:double"&gt;-8.582342&lt;/D&gt;&lt;D xsi:type="xsd:double"&gt;17.375278&lt;/D&gt;&lt;D xsi:type="xsd:double"&gt;10.51222&lt;/D&gt;&lt;D xsi:type="xsd:double"&gt;1.0190368&lt;/D&gt;&lt;D xsi:type="xsd:double"&gt;-3.863728&lt;/D&gt;&lt;D xsi:type="xsd:double"&gt;-1.5640438&lt;/D&gt;&lt;D xsi:type="xsd:double"&gt;-4.74658&lt;/D&gt;&lt;D xsi:type="xsd:double"&gt;-3.885138&lt;/D&gt;&lt;D xsi:type="xsd:double"&gt;0.8424401&lt;/D&gt;&lt;D xsi:type="xsd:double"&gt;5.454147&lt;/D&gt;&lt;D xsi:type="xsd:double"&gt;-4.2961416&lt;/D&gt;&lt;D xsi:type="xsd:double"&gt;-8.607542&lt;/D&gt;&lt;D xsi:type="xsd:double"&gt;3.12351&lt;/D&gt;&lt;D xsi:type="xsd:double"&gt;-3.7919044&lt;/D&gt;&lt;D xsi:type="xsd:double"&gt;-2.0030499&lt;/D&gt;&lt;D xsi:type="xsd:double"&gt;-9.378928&lt;/D&gt;&lt;D xsi:type="xsd:double"&gt;7.9633713&lt;/D&gt;&lt;/FQL&gt;&lt;FQL&gt;&lt;Q&gt;WL-FDS^FG_PRICE(0)&lt;/Q&gt;&lt;R&gt;1&lt;/R&gt;&lt;C&gt;1&lt;/C&gt;&lt;D xsi:type="xsd:double"&gt;593&lt;/D&gt;&lt;/FQL&gt;&lt;FQL&gt;&lt;Q&gt;EWJ^P_PRICE(0)/P_PRICE_LOW_PR(0,,,USD,,,"PRICE","INTRA","52W")-1&lt;/Q&gt;&lt;R&gt;1&lt;/R&gt;&lt;C&gt;1&lt;/C&gt;&lt;D xsi:type="xsd:double"&gt;0.28164232&lt;/D&gt;&lt;/FQL&gt;&lt;FQL&gt;&lt;Q&gt;VNM^P_PRICE(0)/P_PRICE_HIGH_PR(0,,,USD,,,"PRICE","INTRA","52W")&lt;/Q&gt;&lt;R&gt;1&lt;/R&gt;&lt;C&gt;1&lt;/C&gt;&lt;D xsi:type="xsd:double"&gt;0.8680089&lt;/D&gt;&lt;/FQL&gt;&lt;FQL&gt;&lt;Q&gt;QAT^PERCENT_CHANGE(FMA_EPS(+1,0,,,,"PORTAGG","MEAN"),FMA_EPS(+1,-1AM,,,,"PORTAGG","MEAN"))&lt;/Q&gt;&lt;R&gt;1&lt;/R&gt;&lt;C&gt;1&lt;/C&gt;&lt;D xsi:type="xsd:double"&gt;-4.98242020930368&lt;/D&gt;&lt;/FQL&gt;&lt;FQL&gt;&lt;Q&gt;INDA^FMA_COS_UP("EPS","1M",+1,NOW,,,"PORTAGG","MEANR")&lt;/Q&gt;&lt;R&gt;1&lt;/R&gt;&lt;C&gt;1&lt;/C&gt;&lt;D xsi:type="xsd:double"&gt;63&lt;/D&gt;&lt;/FQL&gt;&lt;FQL&gt;&lt;Q&gt;REFCNRMB-FDS^FG_YIELD(NOW,,,0)&lt;/Q&gt;&lt;R&gt;1&lt;/R&gt;&lt;C&gt;1&lt;/C&gt;&lt;D xsi:type="xsd:double"&gt;3.45&lt;/D&gt;&lt;/FQL&gt;&lt;FQL&gt;&lt;Q&gt;REFTWDISC-FDS^(SUBARRAY(NOT_NA(NO_REPEAT_F(FG_YIELD(NOW,-10AY,D))),0,1)-SUBARRAY(NOT_NA(NO_REPEAT_F(FG_YIELD(NOW,-10AY,D))),1,1))*100&lt;/Q&gt;&lt;R&gt;1&lt;/R&gt;&lt;C&gt;1&lt;/C&gt;&lt;D xsi:type="xsd:double"&gt;12.5&lt;/D&gt;&lt;/FQL&gt;&lt;FQL&gt;&lt;Q&gt;REFCLMPR-FDS^FG_YIELD(NOW,,,0)&lt;/Q&gt;&lt;R&gt;1&lt;/R&gt;&lt;C&gt;1&lt;/C&gt;&lt;D xsi:type="xsd:double"&gt;7.25&lt;/D&gt;&lt;/FQL&gt;&lt;FQL&gt;&lt;Q&gt;TRYIN10Y-FDS^PCTCHG(FG_YIELD(0,,,,"YTM"),FG_YIELD(-3AM,,,,"YTM"))&lt;/Q&gt;&lt;R&gt;1&lt;/R&gt;&lt;C&gt;1&lt;/C&gt;&lt;D xsi:type="xsd:double"&gt;-2.9986236&lt;/D&gt;&lt;/FQL&gt;&lt;FQL&gt;&lt;Q&gt;TRYQA10Y-FDS^FG_YIELD(0,,,,"YTM")&lt;/Q&gt;&lt;R&gt;0&lt;/R&gt;&lt;C&gt;0&lt;/C&gt;&lt;/FQL&gt;&lt;FQL&gt;&lt;Q&gt;TRYMY10Y-FDS^FG_YIELD_NAME&lt;/Q&gt;&lt;R&gt;1&lt;/R&gt;&lt;C&gt;1&lt;/C&gt;&lt;D xsi:type="xsd:string"&gt;Treasury - Malaysia Benchmark Bond 10Y&lt;/D&gt;&lt;/FQL&gt;&lt;FQL&gt;&lt;Q&gt;CC_CN^IMF_IFS_RCPI_Q(0)&lt;/Q&gt;&lt;R&gt;1&lt;/R&gt;&lt;C&gt;1&lt;/C&gt;&lt;D xsi:type="xsd:double"&gt;-0.322581&lt;/D&gt;&lt;/FQL&gt;&lt;FQL&gt;&lt;Q&gt;VWO^FG_PE_NTM(0,,,90,0)&lt;/Q&gt;&lt;R&gt;1&lt;/R&gt;&lt;C&gt;1&lt;/C&gt;&lt;D xsi:type="xsd:double"&gt;13.5805423201849&lt;/D&gt;&lt;/FQL&gt;&lt;FQL&gt;&lt;Q&gt;EWW^FMA_PE(NTMA,0,,,"PORTAGG","MEANR")&lt;/Q&gt;&lt;R&gt;1&lt;/R&gt;&lt;C&gt;1&lt;/C&gt;&lt;D xsi:type="xsd:double"&gt;16.0921488989221&lt;/D&gt;&lt;/FQL&gt;&lt;FQL&gt;&lt;Q&gt;EZA^FMA_DIV_YLD(NTMA,-10AY,0,AM,"PORTAGG","MEANR")&lt;/Q&gt;&lt;R&gt;121&lt;/R&gt;&lt;C&gt;1&lt;/C&gt;&lt;D xsi:type="xsd:double"&gt;3.39819931997613&lt;/D&gt;&lt;D xsi:type="xsd:double"&gt;3.43661257044826&lt;/D&gt;&lt;D xsi:type="xsd:double"&gt;3.42941166463549&lt;/D&gt;&lt;D xsi:type="xsd:double"&gt;3.39408252707186&lt;/D&gt;&lt;D xsi:type="xsd:double"&gt;3.29327681000706&lt;/D&gt;&lt;D xsi:type="xsd:double"&gt;3.22699246728023&lt;/D&gt;&lt;D xsi:type="xsd:double"&gt;3.16968116572538&lt;/D&gt;&lt;D xsi:type="xsd:double"&gt;3.47937952032174&lt;/D&gt;&lt;D xsi:type="xsd:double"&gt;3.32744707260425&lt;/D&gt;&lt;D xsi:type="xsd:double"&gt;3.39705718764249&lt;/D&gt;&lt;D xsi:type="xsd:double"&gt;3.33537304380904&lt;/D&gt;&lt;D xsi:type="xsd:double"&gt;3.12291295018923&lt;/D&gt;&lt;D xsi:type="xsd:double"&gt;3.09251709102815&lt;/D&gt;&lt;D xsi:type="xsd:double"&gt;3.01691527505304&lt;/D&gt;&lt;D xsi:type="xsd:double"&gt;3.00399127266403&lt;/D&gt;&lt;D xsi:type="xsd:double"&gt;3.30572021828075&lt;/D&gt;&lt;D xsi:type="xsd:double"&gt;3.12496256124264&lt;/D&gt;&lt;D xsi:type="xsd:double"&gt;3.19937974968132&lt;/D&gt;&lt;D xsi:type="xsd:double"&gt;3.43140876663447&lt;/D&gt;&lt;D xsi:type="xsd:double"&gt;3.36213896189831&lt;/D&gt;&lt;D xsi:type="xsd:double"&gt;3.20010723552755&lt;/D&gt;&lt;D xsi:type="xsd:double"&gt;3.54593013855329&lt;/D&gt;&lt;D xsi:type="xsd:double"&gt;3.58973654261791&lt;/D&gt;&lt;D xsi:type="xsd:double"&gt;3.50322533589402&lt;/D&gt;&lt;D xsi:type="xsd:double"&gt;3.34780948665184&lt;/D&gt;&lt;D xsi:type="xsd:double"&gt;3.25235608194654&lt;/D&gt;&lt;D xsi:type="xsd:double"&gt;3.36401311115634&lt;/D&gt;&lt;D xsi:type="xsd:double"&gt;3.09353172413319&lt;/D&gt;&lt;D xsi:type="xsd:double"&gt;3.12709876186308&lt;/D&gt;&lt;D xsi:type="xsd:double"&gt;2.98692694199078&lt;/D&gt;&lt;D xsi:type="xsd:double"&gt;3.06032382993485&lt;/D&gt;&lt;D xsi:type="xsd:double"&gt;3.15809870586891&lt;/D&gt;&lt;D xsi:type="xsd:double"&gt;3.34570216312535&lt;/D&gt;&lt;D xsi:type="xsd:double"&gt;3.42970156803328&lt;/D&gt;&lt;D xsi:type="xsd:double"&gt;3.18148296692517&lt;/D&gt;&lt;D xsi:type="xsd:double"&gt;3.18588776141629&lt;/D&gt;&lt;D xsi:type="xsd:double"&gt;3.19361840433527&lt;/D&gt;&lt;D xsi:type="xsd:double"&gt;3.18408778681846&lt;/D&gt;&lt;D xsi:type="xsd:double"&gt;3.10758463499182&lt;/D&gt;&lt;D xsi:type="xsd:double"&gt;3.25694282204563&lt;/D&gt;&lt;D xsi:type="xsd:double"&gt;3.33505335689456&lt;/D&gt;&lt;D xsi:type="xsd:double"&gt;3.17614970602598&lt;/D&gt;&lt;D xsi:type="xsd:double"&gt;3.25551733498554&lt;/D&gt;&lt;D xsi:type="xsd:double"&gt;3.31544558488636&lt;/D&gt;&lt;D xsi:type="xsd:double"&gt;3.2139951401164&lt;/D&gt;&lt;D xsi:type="xsd:double"&gt;3.3218286228074&lt;/D&gt;&lt;D xsi:type="xsd:double"&gt;3.35663438388352&lt;/D&gt;&lt;D xsi:type="xsd:double"&gt;3.4111390387239&lt;/D&gt;&lt;D xsi:type="xsd:double"&gt;3.29184376885821&lt;/D&gt;&lt;D xsi:type="xsd:double"&gt;3.39571860982661&lt;/D&gt;&lt;D xsi:type="xsd:double"&gt;3.32761324559411&lt;/D&gt;&lt;D xsi:type="xsd:double"&gt;3.39248249899318&lt;/D&gt;&lt;D xsi:type="xsd:double"&gt;3.52024860628124&lt;/D&gt;&lt;D xsi:type="xsd:double"&gt;3.57346282587986&lt;/D&gt;&lt;D xsi:type="xsd:double"&gt;3.69039864279999&lt;/D&gt;&lt;D xsi:type="xsd:double"&gt;3.94778469504535&lt;/D&gt;&lt;D xsi:type="xsd:double"&gt;3.97301093385788&lt;/D&gt;&lt;D xsi:type="xsd:double"&gt;3.81483022718507&lt;/D&gt;&lt;D xsi:type="xsd:double"&gt;3.81651999463714&lt;/D&gt;&lt;D xsi:type="xsd:double"&gt;3.76098610204244&lt;/D&gt;&lt;D xsi:type="xsd:double"&gt;3.92203096888269&lt;/D&gt;&lt;D xsi:type="xsd:double"&gt;3.78299914566544&lt;/D&gt;&lt;D xsi:type="xsd:double"&gt;3.61790129698659&lt;/D&gt;&lt;D xsi:type="xsd:double"&gt;3.85264087581843&lt;/D&gt;&lt;D xsi:type="xsd:double"&gt;3.79163793059635&lt;/D&gt;&lt;D xsi:type="xsd:double"&gt;3.89615401716463&lt;/D&gt;&lt;D xsi:type="xsd:double"&gt;4.0462705547951&lt;/D&gt;&lt;D xsi:type="xsd:double"&gt;4.3389062031777&lt;/D&gt;&lt;D xsi:type="xsd:double"&gt;4.1430022353961&lt;/D&gt;&lt;D xsi:type="xsd:double"&gt;3.86089515862614&lt;/D&gt;&lt;D xsi:type="xsd:double"&gt;3.66963219966301&lt;/D&gt;&lt;D xsi:type="xsd:double"&gt;3.72935622511654&lt;/D&gt;&lt;D xsi:type="xsd:double"&gt;4.29763139490955&lt;/D&gt;&lt;D xsi:type="xsd:double"&gt;5.11608416906425&lt;/D&gt;&lt;D xsi:type="xsd:double"&gt;3.57553731111662&lt;/D&gt;&lt;D xsi:type="xsd:double"&gt;3.4787548311744&lt;/D&gt;&lt;D xsi:type="xsd:double"&gt;3.4404556454913&lt;/D&gt;&lt;D xsi:type="xsd:double"&gt;3.39102331395105&lt;/D&gt;&lt;D xsi:type="xsd:double"&gt;3.4694070932547&lt;/D&gt;&lt;D xsi:type="xsd:double"&gt;3.577351431353&lt;/D&gt;&lt;D xsi:type="xsd:double"&gt;3.6303105687128&lt;/D&gt;&lt;D xsi:type="xsd:double"&gt;3.76582077601187&lt;/D&gt;&lt;D xsi:type="xsd:double"&gt;3.81966132110725&lt;/D&gt;&lt;D xsi:type="xsd:double"&gt;3.87938450940402&lt;/D&gt;&lt;D xsi:type="xsd:double"&gt;3.8088035949825&lt;/D&gt;&lt;D xsi:type="xsd:double"&gt;3.79696768439555&lt;/D&gt;&lt;D xsi:type="xsd:double"&gt;4.43035109301754&lt;/D&gt;&lt;D xsi:type="xsd:double"&gt;4.10062663931384&lt;/D&gt;&lt;D xsi:type="xsd:double"&gt;4.43424569676151&lt;/D&gt;&lt;D xsi:type="xsd:double"&gt;4.49810052022369&lt;/D&gt;&lt;D xsi:type="xsd:double"&gt;4.86246783008552&lt;/D&gt;&lt;D xsi:type="xsd:double"&gt;4.80469410687443&lt;/D&gt;&lt;D xsi:type="xsd:double"&gt;4.56318120802398&lt;/D&gt;&lt;D xsi:type="xsd:double"&gt;4.57014416615601&lt;/D&gt;&lt;D xsi:type="xsd:double"&gt;4.51634261535758&lt;/D&gt;&lt;D xsi:type="xsd:double"&gt;4.38620495656099&lt;/D&gt;&lt;D xsi:type="xsd:double"&gt;4.37897388183597&lt;/D&gt;&lt;D xsi:type="xsd:double"&gt;4.45441002886902&lt;/D&gt;&lt;D xsi:type="xsd:double"&gt;4.81049002239953&lt;/D&gt;&lt;D xsi:type="xsd:double"&gt;4.89650546452611&lt;/D&gt;&lt;D xsi:type="xsd:double"&gt;5.14082555127967&lt;/D&gt;&lt;D xsi:type="xsd:double"&gt;5.06536787460518&lt;/D&gt;&lt;D xsi:type="xsd:double"&gt;5.20505602407485&lt;/D&gt;&lt;D xsi:type="xsd:double"&gt;5.44177109765656&lt;/D&gt;&lt;D xsi:type="xsd:double"&gt;5.17801656634813&lt;/D&gt;&lt;D xsi:type="xsd:double"&gt;4.94800939498926&lt;/D&gt;&lt;D xsi:type="xsd:double"&gt;4.81731202625676&lt;/D&gt;&lt;D xsi:type="xsd:double"&gt;4.53848398416018&lt;/D&gt;&lt;D xsi:type="xsd:double"&gt;4.69906498980055&lt;/D&gt;&lt;D xsi:type="xsd:double"&gt;4.54297340647566&lt;/D&gt;&lt;D xsi:type="xsd:double"&gt;4.55263723997341&lt;/D&gt;&lt;D xsi:type="xsd:double"&gt;4.73625117092296&lt;/D&gt;&lt;D xsi:type="xsd:double"&gt;4.45503794366681&lt;/D&gt;&lt;D xsi:type="xsd:double"&gt;4.24370386248478&lt;/D&gt;&lt;D xsi:type="xsd:double"&gt;4.44062936</t>
        </r>
      </text>
    </comment>
    <comment ref="A11" authorId="0" shapeId="0" xr:uid="{045B520A-02DE-44C5-B8F7-1D6CE8876409}">
      <text>
        <r>
          <rPr>
            <b/>
            <sz val="9"/>
            <color indexed="81"/>
            <rFont val="Tahoma"/>
            <family val="2"/>
          </rPr>
          <t>88247&lt;/D&gt;&lt;D xsi:type="xsd:double"&gt;4.67706931322415&lt;/D&gt;&lt;D xsi:type="xsd:double"&gt;4.39830102150168&lt;/D&gt;&lt;D xsi:type="xsd:double"&gt;4.21738774296427&lt;/D&gt;&lt;D xsi:type="xsd:double"&gt;4.28136450292493&lt;/D&gt;&lt;D xsi:type="xsd:double"&gt;4.26758609214823&lt;/D&gt;&lt;D xsi:type="xsd:double"&gt;4.02701324855851&lt;/D&gt;&lt;/FQL&gt;&lt;FQL&gt;&lt;Q&gt;EWW^FMA_PE(LTMA,-10AY,0,AM,"PORTAGG","MEANR")&lt;/Q&gt;&lt;R&gt;121&lt;/R&gt;&lt;C&gt;1&lt;/C&gt;&lt;D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xsi:type="xsd:double"&gt;23.3501623185879&lt;/D&gt;&lt;D xsi:type="xsd:double"&gt;23.2567778663221&lt;/D&gt;&lt;D xsi:type="xsd:double"&gt;24.938209322387&lt;/D&gt;&lt;D xsi:type="xsd:double"&gt;24.4380346304805&lt;/D&gt;&lt;D xsi:type="xsd:double"&gt;24.4632666177641&lt;/D&gt;&lt;D xsi:type="xsd:double"&gt;23.5076643473772&lt;/D&gt;&lt;D xsi:type="xsd:double"&gt;23.2156570861323&lt;/D&gt;&lt;D xsi:type="xsd:double"&gt;22.927744755746&lt;/D&gt;&lt;D xsi:type="xsd:double"&gt;22.5706065305414&lt;/D&gt;&lt;D xsi:type="xsd:double"&gt;22.1637311226755&lt;/D&gt;&lt;D xsi:type="xsd:double"&gt;21.889084678675&lt;/D&gt;&lt;D xsi:type="xsd:double"&gt;20.348007377959&lt;/D&gt;&lt;D xsi:type="xsd:double"&gt;20.6495648292446&lt;/D&gt;&lt;D xsi:type="xsd:double"&gt;21.8740421654678&lt;/D&gt;&lt;D xsi:type="xsd:double"&gt;21.5053431134297&lt;/D&gt;&lt;D xsi:type="xsd:double"&gt;21.2421715362192&lt;/D&gt;&lt;D xsi:type="xsd:double"&gt;20.6708617251873&lt;/D&gt;&lt;D xsi:type="xsd:double"&gt;20.3579411593017&lt;/D&gt;&lt;D xsi:type="xsd:double"&gt;19.9704349426412&lt;/D&gt;&lt;D xsi:type="xsd:double"&gt;19.9759392080828&lt;/D&gt;&lt;D xsi:type="xsd:double"&gt;19.5462620694914&lt;/D&gt;&lt;D xsi:type="xsd:double"&gt;18.9749719093974&lt;/D&gt;&lt;D xsi:type="xsd:double"&gt;17.2631463892165&lt;/D&gt;&lt;D xsi:type="xsd:double"&gt;16.9562435500587&lt;/D&gt;&lt;D xsi:type="xsd:double"&gt;17.2694723500071&lt;/D&gt;&lt;D xsi:type="xsd:double"&gt;17.7002566003844&lt;/D&gt;&lt;D xsi:type="xsd:double"&gt;17.948038455705&lt;/D&gt;&lt;D xsi:type="xsd:double"&gt;17.7597710441832&lt;/D&gt;&lt;D xsi:type="xsd:double"&gt;17.5108859474604&lt;/D&gt;&lt;D xsi:type="xsd:double"&gt;17.0561769367545&lt;/D&gt;&lt;D xsi:type="xsd:double"&gt;17.2296636213899&lt;/D&gt;&lt;D xsi:type="xsd:double"&gt;17.4226644984233&lt;/D&gt;&lt;D xsi:type="xsd:double"&gt;17.139382556144&lt;/D&gt;&lt;D xsi:type="xsd:double"&gt;16.915460039421&lt;/D&gt;&lt;D xsi:type="xsd:double"&gt;15.8896047682539&lt;/D&gt;&lt;D xsi:type="xsd:double"&gt;14.7030451081785&lt;/D&gt;&lt;D xsi:type="xsd:double"&gt;14.9081283618333&lt;/D&gt;&lt;D xsi:type="xsd:double"&gt;15.3276945477251&lt;/D&gt;&lt;D xsi:type="xsd:double"&gt;15.5000330319213&lt;/D&gt;&lt;D xsi:type="xsd:double"&gt;15.4059621451523&lt;/D&gt;&lt;D xsi:type="xsd:double"&gt;15.3159627170976&lt;/D&gt;&lt;D xsi:type="xsd:double"&gt;15.0022926177481&lt;/D&gt;&lt;D xsi:type="xsd:double"&gt;14.9077427982119&lt;/D&gt;&lt;D xsi:type="xsd:double"&gt;14.3704117585964&lt;/D&gt;&lt;D xsi:type="xsd:double"&gt;14.7730493920026&lt;/D&gt;&lt;D xsi:type="xsd:double"&gt;15.2166742154617&lt;/D&gt;&lt;D xsi:type="xsd:double"&gt;15.5369974559936&lt;/D&gt;&lt;D xsi:type="xsd:double"&gt;15.0999553405432&lt;/D&gt;&lt;D xsi:type="xsd:double"&gt;15.8962443859231&lt;/D&gt;&lt;D xsi:type="xsd:double"&gt;16.1241771409209&lt;/D&gt;&lt;D xsi:type="xsd:double"&gt;15.24586478538&lt;/D&gt;&lt;D xsi:type="xsd:double"&gt;14.2809909548962&lt;/D&gt;&lt;D xsi:type="xsd:double"&gt;15.5519280633805&lt;/D&gt;&lt;D xsi:type="xsd:double"&gt;16.9971347025571&lt;/D&gt;&lt;D xsi:type="xsd:double"&gt;18.1361507871447&lt;/D&gt;&lt;D xsi:type="xsd:double"&gt;19.3745892991803&lt;/D&gt;&lt;D xsi:type="xsd:double"&gt;19.4408707876382&lt;/D&gt;&lt;D xsi:type="xsd:double"&gt;20.038355746311&lt;/D&gt;&lt;D xsi:type="xsd:double"&gt;20.911216779727&lt;/D&gt;&lt;D xsi:type="xsd:double"&gt;27.2447927282181&lt;/D&gt;&lt;D xsi:type="xsd:double"&gt;32.7050910438253&lt;/D&gt;&lt;D xsi:type="xsd:double"&gt;29.7576392314289&lt;/D&gt;&lt;D xsi:type="xsd:double"&gt;27.3339713122782&lt;/D&gt;&lt;D xsi:type="xsd:double"&gt;26.2719765077182&lt;/D&gt;&lt;D xsi:type="xsd:double"&gt;24.950957895085&lt;/D&gt;&lt;D xsi:type="xsd:double"&gt;23.9531078760364&lt;/D&gt;&lt;D xsi:type="xsd:double"&gt;22.7988707580799&lt;/D&gt;&lt;D xsi:type="xsd:double"&gt;21.2465739721123&lt;/D&gt;&lt;D xsi:type="xsd:double"&gt;19.9964232856431&lt;/D&gt;&lt;D xsi:type="xsd:double"&gt;18.2154409025222&lt;/D&gt;&lt;D xsi:type="xsd:double"&gt;17.0849891701356&lt;/D&gt;&lt;D xsi:type="xsd:double"&gt;15.442365679636&lt;/D&gt;&lt;D xsi:type="xsd:double"&gt;15.3506841069038&lt;/D&gt;&lt;D xsi:type="xsd:double"&gt;14.6219155550718&lt;/D&gt;&lt;D xsi:type="xsd:double"&gt;15.004682345107&lt;/D&gt;&lt;D xsi:type="xsd:double"&gt;15.1237497710178&lt;/D&gt;&lt;D xsi:type="xsd:double"&gt;14.620826294271&lt;/D&gt;&lt;D xsi:type="xsd:double"&gt;14.3322770941291&lt;/D&gt;&lt;D xsi:type="xsd:double"&gt;13.7524268668577&lt;/D&gt;&lt;D xsi:type="xsd:double"&gt;13.485708142179&lt;/D&gt;&lt;D xsi:type="xsd:double"&gt;12.991286127011&lt;/D&gt;&lt;D xsi:type="xsd:double"&gt;12.8598615216751&lt;/D&gt;&lt;D xsi:type="xsd:double"&gt;13.7015231094714&lt;/D&gt;&lt;D xsi:type="xsd:double"&gt;13.4772010865336&lt;/D&gt;&lt;D xsi:type="xsd:double"&gt;13.1091818705376&lt;/D&gt;&lt;D xsi:type="xsd:double"&gt;14.0058469266577&lt;/D&gt;&lt;D xsi:type="xsd:double"&gt;14.6454476152628&lt;/D&gt;&lt;D xsi:type="xsd:double"&gt;14.4588044499329&lt;/D&gt;&lt;D xsi:type="xsd:double"&gt;14.212043714003&lt;/D&gt;&lt;D xsi:type="xsd:double"&gt;13.7322721017309&lt;/D&gt;&lt;D xsi:type="xsd:double"&gt;13.5992105536561&lt;/D&gt;&lt;D xsi:type="xsd:double"&gt;13.4084799167025&lt;/D&gt;&lt;D xsi:type="xsd:double"&gt;13.1005400467289&lt;/D&gt;&lt;D xsi:type="xsd:double"&gt;12.4741971082405&lt;/D&gt;&lt;D xsi:type="xsd:double"&gt;12.7321360928606&lt;/D&gt;&lt;D xsi:type="xsd:double"&gt;13.266943751523&lt;/D&gt;&lt;D xsi:type="xsd:double"&gt;13.5232556324487&lt;/D&gt;&lt;D xsi:type="xsd:double"&gt;14.2195058127476&lt;/D&gt;&lt;D xsi:type="xsd:double"&gt;16.7458630014088&lt;/D&gt;&lt;/FQL&gt;&lt;FQL&gt;&lt;Q&gt;USDSAR^FG_PRICE_CHANGE(0,-1AM)&lt;/Q&gt;&lt;R&gt;1&lt;/R&gt;&lt;C&gt;1&lt;/C&gt;&lt;D xsi:type="xsd:double"&gt;0.0053286552&lt;/D&gt;&lt;/FQL&gt;&lt;FQL&gt;&lt;Q&gt;USDINR^FG_PRICE_CHANGE(0,-3AM)&lt;/Q&gt;&lt;R&gt;1&lt;/R&gt;&lt;C&gt;1&lt;/C&gt;&lt;D xsi:type="xsd:double"&gt;-0.56150556&lt;/D&gt;&lt;/FQL&gt;&lt;FQL&gt;&lt;Q&gt;USDBRL^FG_PRICE(0)&lt;/Q&gt;&lt;R&gt;1&lt;/R&gt;&lt;C&gt;1&lt;/C&gt;&lt;D xsi:type="xsd:double"&gt;4.94615&lt;/D&gt;&lt;/FQL&gt;&lt;FQL&gt;&lt;Q&gt;USDMYR^STD(FG_PRICE_CHANGE(0,-1AY,AM))&lt;/Q&gt;&lt;R&gt;1&lt;/R&gt;&lt;C&gt;1&lt;/C&gt;&lt;D xsi:type="xsd:double"&gt;2.02253540594652&lt;/D&gt;&lt;/FQL&gt;&lt;FQL&gt;&lt;Q&gt;EWW^FMA_ROE(NTMA,-20AY,NOW,FY,"PORTAGG","MEANR")&lt;/Q&gt;&lt;R&gt;20&lt;/R&gt;&lt;C&gt;1&lt;/C&gt;&lt;D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xsi:type="xsd:double"&gt;12.2361967072767&lt;/D&gt;&lt;D xsi:type="xsd:double"&gt;12.6640790394995&lt;/D&gt;&lt;D xsi:type="xsd:double"&gt;12.8972143418882&lt;/D&gt;&lt;D xsi:type="xsd:double"&gt;12.0869262506609&lt;/D&gt;&lt;D xsi:type="xsd:double"&gt;11.7827107678515&lt;/D&gt;&lt;D xsi:type="xsd:double"&gt;13.6871625469253&lt;/D&gt;&lt;D xsi:type="xsd:double"&gt;13.3394699415518&lt;/D&gt;&lt;D xsi:type="xsd:double"&gt;13.6990101017234&lt;/D&gt;&lt;/FQL&gt;&lt;FQL&gt;&lt;Q&gt;TRYAU10Y-FDS^FG_YIELD(-10AY,0,Y,,"YTM")&lt;/Q&gt;&lt;R&gt;10&lt;/R&gt;&lt;C&gt;1&lt;/C&gt;&lt;D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xsi:type="xsd:double"&gt;3.955&lt;/D&gt;&lt;/FQL&gt;&lt;FQL&gt;&lt;Q&gt;CAGDPY@TR^EE_ACTUAL_ANNUAL(MED,0)&lt;/Q&gt;&lt;R&gt;1&lt;/R&gt;&lt;C&gt;1&lt;/C&gt;&lt;D xsi:type="xsd:double"&gt;-5.07476227051166&lt;/D&gt;&lt;/FQL&gt;&lt;FQL&gt;&lt;Q&gt;CAGDPY@CL^EE_ACTUAL_ANNUAL(MED,0)&lt;/Q&gt;&lt;R&gt;1&lt;/R&gt;&lt;C&gt;1&lt;/C&gt;&lt;D xsi:type="xsd:double"&gt;-2.9&lt;/D&gt;&lt;/FQL&gt;&lt;FQL&gt;&lt;Q&gt;USDTHB^STD(FG_PRICE_CHANGE(0,-1AY,AM))&lt;/Q&gt;&lt;R&gt;1&lt;/R&gt;&lt;C&gt;1&lt;/C&gt;&lt;D xsi:type="xsd:double"&gt;2.6542872696201&lt;/D&gt;&lt;/FQL&gt;&lt;FQL&gt;&lt;Q&gt;USDINR^FG_PRICE_CHANGE(0,-1AM)&lt;/Q&gt;&lt;R&gt;1&lt;/R&gt;&lt;C&gt;1&lt;/C&gt;&lt;D xsi:type="xsd:double"&gt;-0.036895275&lt;/D&gt;&lt;/FQL&gt;&lt;FQL&gt;&lt;Q&gt;USDMYR^FG_PRICE_CHANGE(0,-3AM)&lt;/Q&gt;&lt;R&gt;1&lt;/R&gt;&lt;C&gt;1&lt;/C&gt;&lt;D xsi:type="xsd:double"&gt;1.4170647&lt;/D&gt;&lt;/FQL&gt;&lt;FQL&gt;&lt;Q&gt;USDPHP^FG_PRICE_CHANGE(0,-3AM)&lt;/Q&gt;&lt;R&gt;1&lt;/R&gt;&lt;C&gt;1&lt;/C&gt;&lt;D xsi:type="xsd:double"&gt;1.1974692&lt;/D&gt;&lt;/FQL&gt;&lt;FQL&gt;&lt;Q&gt;SET-BKK^P_PRICE_RETURNS_PR('52W',2,-10AY,0,AM)&lt;/Q&gt;&lt;R&gt;121&lt;/R&gt;&lt;C&gt;1&lt;/C&gt;&lt;D xsi:type="xsd:double"&gt;-12.649929&lt;/D&gt;&lt;D xsi:type="xsd:double"&gt;-8.927286&lt;/D&gt;&lt;D xsi:type="xsd:double"&gt;-10.553175&lt;/D&gt;&lt;D xsi:type="xsd:double"&gt;-6.827545&lt;/D&gt;&lt;D xsi:type="xsd:double"&gt;4.539156&lt;/D&gt;&lt;D xsi:type="xsd:double"&gt;6.927812&lt;/D&gt;&lt;D xsi:type="xsd:double"&gt;21.218384&lt;/D&gt;&lt;D xsi:type="xsd:double"&gt;9.872794&lt;/D&gt;&lt;D xsi:type="xsd:double"&gt;14.170992&lt;/D&gt;&lt;D xsi:type="xsd:double"&gt;16.06314&lt;/D&gt;&lt;D xsi:type="xsd:double"&gt;15.319824&lt;/D&gt;&lt;D xsi:type="xsd:double"&gt;25.294483&lt;/D&gt;&lt;D xsi:type="xsd:double"&gt;16.698647&lt;/D&gt;&lt;D xsi:type="xsd:double"&gt;10.410297&lt;/D&gt;&lt;D xsi:type="xsd:double"&gt;7.9013944&lt;/D&gt;&lt;D xsi:type="xsd:double"&gt;2.8632522&lt;/D&gt;&lt;D xsi:type="xsd:double"&gt;-0.24242997&lt;/D&gt;&lt;D xsi:type="xsd:double"&gt;-5.7404995&lt;/D&gt;&lt;D xsi:type="xsd:double"&gt;-13.22884&lt;/D&gt;&lt;D xsi:type="xsd:double"&gt;-14.230472&lt;/D&gt;&lt;D xsi:type="xsd:double"&gt;-10.202819&lt;/D&gt;&lt;D xsi:type="xsd:double"&gt;-16.535027&lt;/D&gt;&lt;D xsi:type="xsd:double"&gt;-15.64163&lt;/D&gt;&lt;D xsi:type="xsd:double"&gt;-18.921&lt;/D&gt;&lt;D xsi:type="xsd:double"&gt;-11.729282&lt;/D&gt;&lt;D xsi:type="xsd:double"&gt;-8.83956&lt;/D&gt;&lt;D xsi:type="xsd:double"&gt;-8.910489&lt;/D&gt;&lt;D xsi:type="xsd:double"&gt;-3.079468&lt;/D&gt;&lt;D xsi:type="xsd:double"&gt;-2.3516476&lt;/D&gt;&lt;D xsi:type="xsd:double"&gt;5.2906156&lt;/D&gt;&lt;D xsi:type="xsd:double"&gt;10.85869&lt;/D&gt;&lt;D xsi:type="xsd:double"&gt;12.138748&lt;/D&gt;&lt;D xsi:type="xsd:double"&gt;4.3753743&lt;/D&gt;&lt;D xsi:type="xsd:double"&gt;12.110197&lt;/D&gt;&lt;D xsi:type="xsd:double"&gt;23.758709&lt;/D&gt;&lt;D xsi:type="xsd:double"&gt;22.541153&lt;/D&gt;&lt;D xsi:type="xsd:double"&gt;13.547886&lt;/D&gt;&lt;D xsi:type="xsd:double"&gt;13.108182&lt;/D&gt;&lt;D xsi:type="xsd:double"&gt;13.112104&lt;/D&gt;&lt;D xsi:type="xsd:double"&gt;10.079622&lt;/D&gt;&lt;D xsi:type="xsd:double"&gt;8.21898&lt;/D&gt;&lt;D xsi:type="xsd:double"&gt;4.664004&lt;/D&gt;&lt;D xsi:type="xsd:double"&gt;6.416774&lt;/D&gt;&lt;D xsi:type="xsd:double"&gt;11.789131&lt;/D&gt;&lt;D xsi:type="xsd:double"&gt;13.95706&lt;/D&gt;&lt;D xsi:type="xsd:double"&gt;13.048887&lt;/D&gt;&lt;D xsi:type="xsd:double"&gt;14.546108&lt;/D&gt;&lt;D xsi:type="xsd:double"&gt;16.194105&lt;/D&gt;&lt;D xsi:type="xsd:double"&gt;15.417158&lt;/D&gt;&lt;D xsi:type="xsd:double"&gt;8.912635&lt;/D&gt;&lt;D xsi:type="xsd:double"&gt;13.147699&lt;/D&gt;&lt;D xsi:type="xsd:double"&gt;9.804165&lt;/D&gt;&lt;D xsi:type="xsd:double"&gt;3.4997582&lt;/D&gt;&lt;D xsi:type="xsd:double"&gt;8.480274&lt;/D&gt;&lt;D xsi:type="xsd:double"&gt;5.8859587&lt;/D&gt;&lt;D xsi:type="xsd:double"&gt;2.4665713&lt;/D&gt;&lt;D xsi:type="xsd:double"&gt;-1.1804283&lt;/D&gt;&lt;D xsi:type="xsd:double"&gt;-1.4897466&lt;/D&gt;&lt;D xsi:type="xsd:double"&gt;-12.054026&lt;/D&gt;&lt;D xsi:type="xsd:double"&gt;-9.507209&lt;/D&gt;&lt;D xsi:type="xsd:double"&gt;-9.750658&lt;/D&gt;&lt;D xsi:type="xsd:double"&gt;-4.681796&lt;/D&gt;&lt;D xsi:type="xsd:double"&gt;-6.240225&lt;/D&gt;&lt;D xsi:type="xsd:double"&gt;-4.8568306&lt;/D&gt;&lt;D xsi:type="xsd:double"&gt;5.8415174&lt;/D&gt;&lt;D xsi:type="xsd:double"&gt;-1.3797522&lt;/D&gt;&lt;D xsi:type="xsd:double"&gt;-3.253013&lt;/D&gt;&lt;D xsi:type="xsd:double"&gt;-7.1377397&lt;/D&gt;&lt;D xsi:type="xsd:double"&gt;-3.5431385&lt;/D&gt;&lt;D xsi:type="xsd:double"&gt;-6.390524&lt;/D&gt;&lt;D xsi:type="xsd:double"&gt;2.2396922&lt;/D&gt;&lt;D xsi:type="xsd:double"&gt;-8.117944&lt;/D&gt;&lt;D xsi:type="xsd:double"&gt;-15.696817&lt;/D&gt;&lt;D xsi:type="xsd:double"&gt;-30.940056&lt;/D&gt;&lt;D xsi:type="xsd:double"&gt;-22.22023&lt;/D&gt;&lt;D xsi:type="xsd:double"&gt;-13.841444&lt;/D&gt;&lt;D xsi:type="xsd:double"&gt;-21.066315&lt;/D&gt;&lt;D xsi:type="xsd:double"&gt;-21.006578&lt;/D&gt;&lt;D xsi:type="xsd:double"&gt;-20.112652&lt;/D&gt;&lt;D xsi:type="xsd:double"&gt;-23.30755&lt;/D&gt;&lt;D xsi:type="xsd:double"&gt;-24.645407&lt;/D&gt;&lt;D xsi:type="xsd:double"&gt;-7.3857365&lt;/D&gt;&lt;D xsi:type="xsd:double"&gt;-7.9456034&lt;/D&gt;&lt;D xsi:type="xsd:double"&gt;-2.3957133&lt;/D&gt;&lt;D xsi:type="xsd:double"&gt;11.279476&lt;/D&gt;&lt;D xsi:type="xsd:double"&gt;40.236496&lt;/D&gt;&lt;D xsi:type="xsd:double"&gt;21.62392&lt;/D&gt;&lt;D xsi:type="xsd:double"&gt;14.211094&lt;/D&gt;&lt;D xsi:type="xsd:double"&gt;14.871955&lt;/D&gt;&lt;D xsi:type="xsd:double"&gt;16.15932&lt;/D&gt;&lt;D xsi:type="xsd:double"&gt;25.792145&lt;/D&gt;&lt;D xsi:type="xsd:double"&gt;30.458809&lt;/D&gt;&lt;D xsi:type="xsd:double"&gt;33.03475&lt;/D&gt;&lt;D xsi:type="xsd:double"&gt;10.419798&lt;/D&gt;&lt;D xsi:type="xsd:double"&gt;13.760698&lt;/D&gt;&lt;D xsi:type="xsd:double"&gt;12.895656&lt;/D&gt;&lt;D xsi:type="xsd:double"&gt;8.970022&lt;/D&gt;&lt;D xsi:type="xsd:double"&gt;6.6818237&lt;/D&gt;&lt;D xsi:type="xsd:double"&gt;4.3685675&lt;/D&gt;&lt;D xsi:type="xsd:double"&gt;1.862073&lt;/D&gt;&lt;D xsi:type="xsd:double"&gt;-1.1542678&lt;/D&gt;&lt;D xsi:type="xsd:double"&gt;3.421402&lt;/D&gt;&lt;D xsi:type="xsd:double"&gt;-1.5536308&lt;/D&gt;&lt;D xsi:type="xsd:double"&gt;-2.2595525&lt;/D&gt;&lt;D xsi:type="xsd:double"&gt;0.0030755997&lt;/D&gt;&lt;D xsi:type="xsd:double"&gt;3.1278253&lt;/D&gt;&lt;D xsi:type="xsd:double"&gt;0.17781258&lt;/D&gt;&lt;D xsi:type="xsd:double"&gt;1.1569381&lt;/D&gt;&lt;D xsi:type="xsd:double"&gt;-5.259186&lt;/D&gt;&lt;D xsi:type="xsd:double"&gt;-6.393689&lt;/D&gt;&lt;D xsi:type="xsd:double"&gt;-7.2015166&lt;/D&gt;&lt;D xsi:type="xsd:double"&gt;-7.068777&lt;/D&gt;&lt;D xsi:type="xsd:double"&gt;-2.8815508&lt;/D&gt;&lt;D xsi:type="xsd:double"&gt;-4.2714653&lt;/D&gt;&lt;D xsi:type="xsd:double"&gt;-4.529172&lt;/D&gt;&lt;D xsi:type="xsd:double"&gt;-8.032322&lt;/D&gt;&lt;D xsi:type="xsd:double"&gt;-12.663478&lt;/D&gt;&lt;D xsi:type="xsd:double"&gt;-15.721565&lt;/D&gt;&lt;D xsi:type="xsd:double"&gt;-14.26326&lt;/D&gt;&lt;D xsi:type="xsd:double"&gt;-17.740614&lt;/D&gt;&lt;D xsi:type="xsd:double"&gt;-15.202755&lt;/D&gt;&lt;/FQL&gt;&lt;FQL&gt;&lt;Q&gt;INDA^FG_TOTAL_RETURNC(-10AY,0,AM)&lt;/Q&gt;&lt;R&gt;121&lt;/R&gt;&lt;C&gt;1&lt;/C&gt;&lt;D xsi:type="xsd:double"&gt;4.6075106&lt;/D&gt;&lt;D xsi:type="xsd:double"&gt;7.626426&lt;/D&gt;&lt;D xsi:type="xsd:double"&gt;0.5305052&lt;/D&gt;&lt;D xsi:type="xsd:double"&gt;9.988689&lt;/D&gt;&lt;D xsi:type="xsd:double"&gt;4.9966693&lt;/D&gt;&lt;D xsi:type="xsd:double"&gt;-1.9633532&lt;/D&gt;&lt;D xsi:type="xsd:double"&gt;5.3070784&lt;/D&gt;&lt;D xsi:type="xsd:double"&gt;-3.8034856&lt;/D&gt;&lt;D xsi:type="xsd:double"&gt;5.0082445&lt;/D&gt;&lt;D xsi:type="xsd:double"&gt;0.69030523&lt;/D&gt;&lt;D xsi:type="xsd:double"&gt;-4.9330354&lt;/D&gt;&lt;D xsi:type="xsd:double"&gt;6.6140294&lt;/D&gt;&lt;D xsi:type="xsd:double"&gt;2.9320836&lt;/D&gt;&lt;D xsi:type="xsd:double"&gt;-2.5487185&lt;/D&gt;&lt;D xsi:type="xsd:double"&gt;-6.8923054&lt;/D&gt;&lt;D xsi:type="xsd:double"&gt;-3.3046901&lt;/D&gt;&lt;D xsi:type="xsd:double"&gt;5.7389736&lt;/D&gt;&lt;D xsi:type="xsd:double"&gt;0.45440197&lt;/D&gt;&lt;D xsi:type="xsd:double"&gt;-13.602591&lt;/D&gt;&lt;D xsi:type="xsd:double"&gt;7.8908086&lt;/D&gt;&lt;D xsi:type="xsd:double"&gt;-1.59446&lt;/D&gt;&lt;D xsi:type="xsd:double"&gt;-4.7199726&lt;/D&gt;&lt;D xsi:type="xsd:double"&gt;0.24853945&lt;/D&gt;&lt;D xsi:type="xsd:double"&gt;-5.349183&lt;/D&gt;&lt;D xsi:type="xsd:double"&gt;3.0219793&lt;/D&gt;&lt;D xsi:type="xsd:double"&gt;2.7428508&lt;/D&gt;&lt;D xsi:type="xsd:double"&gt;-2.0393014&lt;/D&gt;&lt;D xsi:type="xsd:double"&gt;6.58592&lt;/D&gt;&lt;D xsi:type="xsd:double"&gt;1.0428071&lt;/D&gt;&lt;D xsi:type="xsd:double"&gt;3.4653425&lt;/D&gt;&lt;D xsi:type="xsd:double"&gt;3.0416965&lt;/D&gt;&lt;D xsi:type="xsd:double"&gt;-1.127696&lt;/D&gt;&lt;D xsi:type="xsd:double"&gt;-5.803418&lt;/D&gt;&lt;D xsi:type="xsd:double"&gt;-5.4843245&lt;/D&gt;&lt;D xsi:type="xsd:double"&gt;2.3185968&lt;/D&gt;&lt;D xsi:type="xsd:double"&gt;7.274735&lt;/D&gt;&lt;D xsi:type="xsd:double"&gt;2.7883053&lt;/D&gt;&lt;D xsi:type="xsd:double"&gt;6.229067&lt;/D&gt;&lt;D xsi:type="xsd:double"&gt;1.0088325&lt;/D&gt;&lt;D xsi:type="xsd:double"&gt;2.840197&lt;/D&gt;&lt;D xsi:type="xsd:double"&gt;-1.2587488&lt;/D&gt;&lt;D xsi:type="xsd:double"&gt;7.4668407&lt;/D&gt;&lt;D xsi:type="xsd:double"&gt;-0.8613348&lt;/D&gt;&lt;D xsi:type="xsd:double"&gt;-3.417319&lt;/D&gt;&lt;D xsi:type="xsd:double"&gt;6.776619&lt;/D&gt;&lt;D xsi:type="xsd:double"&gt;-3.5102487&lt;/D&gt;&lt;D xsi:type="xsd:double"&gt;6.824267&lt;/D&gt;&lt;D xsi:type="xsd:double"&gt;-2.8822362&lt;/D&gt;&lt;D xsi:type="xsd:double"&gt;-2.600342&lt;/D&gt;&lt;D xsi:type="xsd:double"&gt;-0.40626526&lt;/D&gt;&lt;D xsi:type="xsd:double"&gt;-0.23309588&lt;/D&gt;&lt;D xsi:type="xsd:double"&gt;-2.5993109&lt;/D&gt;&lt;D xsi:type="xsd:double"&gt;-0.37181973&lt;/D&gt;&lt;D xsi:type="xsd:double"&gt;7.7456236&lt;/D&gt;&lt;D xsi:type="xsd:double"&gt;-2.9930055&lt;/D&gt;&lt;D xsi:type="xsd:double"&gt;-12.197232&lt;/D&gt;&lt;D xsi:type="xsd:double"&gt;2.6929379&lt;/D&gt;&lt;D xsi:type="xsd:double"&gt;4.828906&lt;/D&gt;&lt;D xsi:type="xsd:double"&gt;2.4074793&lt;/D&gt;&lt;D xsi:type="xsd:double"&gt;-2.3123145&lt;/D&gt;&lt;D xsi:type="xsd:double"&gt;-0.2459228&lt;/D&gt;&lt;D xsi:type="xsd:double"&gt;9.4607115&lt;/D&gt;&lt;D xsi:type="xsd:double"&gt;0.16891956&lt;/D&gt;&lt;D xsi:type="xsd:double"&gt;1.9673944&lt;/D&gt;&lt;D xsi:type="xsd:double"&gt;-0.4769683&lt;/D&gt;&lt;D xsi:type="xsd:double"&gt;-9.390724&lt;/D&gt;&lt;D xsi:type="xsd:double"&gt;-2.59099&lt;/D&gt;&lt;D xsi:type="xsd:double"&gt;3.7682056&lt;/D&gt;&lt;D xsi:type="xsd:double"&gt;6.713462&lt;/D&gt;&lt;D xsi:type="xsd:double"&gt;-0.45753717&lt;/D&gt;&lt;D xsi:type="xsd:double"&gt;0.5821705&lt;/D&gt;&lt;D xsi:type="xsd:double"&gt;-0.31446815&lt;/D&gt;&lt;D xsi:type="xsd:double"&gt;-8.259249&lt;/D&gt;&lt;D xsi:type="xsd:double"&gt;-31.19725&lt;/D&gt;&lt;D xsi:type="xsd:double"&gt;20.854164&lt;/D&gt;&lt;D xsi:type="xsd:double"&gt;7.2932363&lt;/D&gt;&lt;D xsi:type="xsd:double"&gt;6.6994905&lt;/D&gt;&lt;D xsi:type="xsd:double"&gt;6.6183686&lt;/D&gt;&lt;D xsi:type="xsd:double"&gt;3.242743&lt;/D&gt;&lt;D xsi:type="xsd:double"&gt;1.9443631&lt;/D&gt;&lt;D xsi:type="xsd:double"&gt;2.2300363&lt;/D&gt;&lt;D xsi:type="xsd:double"&gt;9.156143&lt;/D&gt;&lt;D xsi:type="xsd:double"&gt;6.0824037&lt;/D&gt;&lt;D xsi:type="xsd:double"&gt;4.713464&lt;/D&gt;&lt;D xsi:type="xsd:double"&gt;0.3790617&lt;/D&gt;&lt;D xsi:type="xsd:double"&gt;0.02360344&lt;/D&gt;&lt;D xsi:type="xsd:double"&gt;-3.3270419&lt;/D&gt;&lt;D xsi:type="xsd:double"&gt;10.7639675&lt;/D&gt;&lt;D xsi:type="xsd:double"&gt;-2.0912945&lt;/D&gt;&lt;D xsi:type="xsd:double"&gt;2.861011&lt;/D&gt;&lt;D xsi:type="xsd:double"&gt;8.848011&lt;/D&gt;&lt;D xsi:type="xsd:double"&gt;-1.5895367&lt;/D&gt;&lt;D xsi:type="xsd:double"&gt;1.4720917&lt;/D&gt;&lt;D xsi:type="xsd:double"&gt;-3.8283348&lt;/D&gt;&lt;D xsi:type="xsd:double"&gt;4.3580055&lt;/D&gt;&lt;D xsi:type="xsd:double"&gt;-2.971989&lt;/D&gt;&lt;D xsi:type="xsd:double"&gt;-8.550024&lt;/D&gt;&lt;D xsi:type="xsd:double"&gt;11.903608&lt;/D&gt;&lt;D xsi:type="xsd:double"&gt;-5.5555525&lt;/D&gt;&lt;D xsi:type="xsd:double"&gt;-5.6771574&lt;/D&gt;&lt;D xsi:type="xsd:double"&gt;-4.568529&lt;/D&gt;&lt;D xsi:type="xsd:double"&gt;9.042549&lt;/D&gt;&lt;D xsi:type="xsd:double"&gt;-0.41812062&lt;/D&gt;&lt;D xsi:type="xsd:double"&gt;-2.682525&lt;/D&gt;&lt;D xsi:type="xsd:double"&gt;3.2118917&lt;/D&gt;&lt;D xsi:type="xsd:double"&gt;2.1829963&lt;/D&gt;&lt;D xsi:type="xsd:double"&gt;-4.863638&lt;/D&gt;&lt;D xsi:type="xsd:double"&gt;-4.300046&lt;/D&gt;&lt;D xsi:type="xsd:double"&gt;0.074887276&lt;/D&gt;&lt;D xsi:type="xsd:double"&gt;-1.2222528&lt;/D&gt;&lt;D xsi:type="xsd:double"&gt;4.191923&lt;/D&gt;&lt;D xsi:type="xsd:double"&gt;2.4721265&lt;/D&gt;&lt;D xsi:type="xsd:double"&gt;3.7673473&lt;/D&gt;&lt;D xsi:type="xsd:double"&gt;0.5480647&lt;/D&gt;&lt;D xsi:type="xsd:double"&gt;0.47695637&lt;/D&gt;&lt;D xsi:type="xsd:double"&gt;-0.8363545&lt;/D&gt;&lt;D xsi:type="xsd:double"&gt;0.63825846&lt;/D&gt;&lt;D xsi:type="xsd:double"&gt;6.0928583&lt;/D&gt;&lt;D xsi:type="xsd:double"&gt;4.632783&lt;/D&gt;&lt;D xsi:type="xsd:double"&gt;2.7851462&lt;/D&gt;&lt;D xsi:type="xsd:double"&gt;3.0471444&lt;/D&gt;&lt;/FQL&gt;&lt;FQL&gt;&lt;Q&gt;EWW^FMA_PE(NTMA,-10AY,0,AM,"PORTAGG","MEANR")&lt;/Q&gt;&lt;R&gt;121&lt;/R&gt;&lt;C&gt;1&lt;/C&gt;&lt;D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xsi:type="xsd:double"&gt;16.7915038465012&lt;/D&gt;&lt;D xsi:type="xsd:double"&gt;17.3561602443858&lt;/D&gt;&lt;D xsi:type="xsd:double"&gt;18.1652450562289&lt;/D&gt;&lt;D xsi:type="xsd:double"&gt;18.512008480635&lt;/D&gt;&lt;D xsi:type="xsd:double"&gt;19.5880755315749&lt;/D&gt;&lt;D xsi:type="xsd:double"&gt;18.5202352604345&lt;/D&gt;&lt;D xsi:type="xsd:double"&gt;18.6331712599211&lt;/D&gt;&lt;D xsi:type="xsd:double"&gt;18.5326590204535&lt;/D&gt;&lt;D xsi:type="xsd:double"&gt;18.3508253972159&lt;/D&gt;&lt;D xsi:type="xsd:double"&gt;18.0026829581523&lt;/D&gt;&lt;D xsi:type="xsd:double"&gt;17.6061650998688&lt;/D&gt;&lt;D xsi:type="xsd:double"&gt;16.1594671729047&lt;/D&gt;&lt;D xsi:type="xsd:double"&gt;16.3810020477219&lt;/D&gt;&lt;D xsi:type="xsd:double"&gt;16.5559071971008&lt;/D&gt;&lt;D xsi:type="xsd:double"&gt;16.493397697044&lt;/D&gt;&lt;D xsi:type="xsd:double"&gt;17.1174204759793&lt;/D&gt;&lt;D xsi:type="xsd:double"&gt;16.4899205241962&lt;/D&gt;&lt;D xsi:type="xsd:double"&gt;16.5911114822529&lt;/D&gt;&lt;D xsi:type="xsd:double"&gt;16.7688118854481&lt;/D&gt;&lt;D xsi:type="xsd:double"&gt;17.3195185965947&lt;/D&gt;&lt;D xsi:type="xsd:double"&gt;17.0925632441505&lt;/D&gt;&lt;D xsi:type="xsd:double"&gt;16.6905537555065&lt;/D&gt;&lt;D xsi:type="xsd:double"&gt;15.8713798836702&lt;/D&gt;&lt;D xsi:type="xsd:double"&gt;15.4234715662539&lt;/D&gt;&lt;D xsi:type="xsd:double"&gt;16.1108592423381&lt;/D&gt;&lt;D xsi:type="xsd:double"&gt;16.1173402816073&lt;/D&gt;&lt;D xsi:type="xsd:double"&gt;15.2943401621829&lt;/D&gt;&lt;D xsi:type="xsd:double"&gt;15.4138204190742&lt;/D&gt;&lt;D xsi:type="xsd:double"&gt;15.0894727116139&lt;/D&gt;&lt;D xsi:type="xsd:double"&gt;14.3578102258578&lt;/D&gt;&lt;D xsi:type="xsd:double"&gt;14.921452211506&lt;/D&gt;&lt;D xsi:type="xsd:double"&gt;15.3814680736225&lt;/D&gt;&lt;D xsi:type="xsd:double"&gt;14.9602221339381&lt;/D&gt;&lt;D xsi:type="xsd:double"&gt;14.7326198577541&lt;/D&gt;&lt;D xsi:type="xsd:double"&gt;13.6280974059752&lt;/D&gt;&lt;D xsi:type="xsd:double"&gt;12.4060439843544&lt;/D&gt;&lt;D xsi:type="xsd:double"&gt;12.7076997549204&lt;/D&gt;&lt;D xsi:type="xsd:double"&gt;13.1893771490766&lt;/D&gt;&lt;D xsi:type="xsd:double"&gt;12.759665442753&lt;/D&gt;&lt;D xsi:type="xsd:double"&gt;13.2457236417308&lt;/D&gt;&lt;D xsi:type="xsd:double"&gt;13.4341598491392&lt;/D&gt;&lt;D xsi:type="xsd:double"&gt;12.9740737844983&lt;/D&gt;&lt;D xsi:type="xsd:double"&gt;13.0412207623721&lt;/D&gt;&lt;D xsi:type="xsd:double"&gt;12.2408233436568&lt;/D&gt;&lt;D xsi:type="xsd:double"&gt;13.0402875015041&lt;/D&gt;&lt;D xsi:type="xsd:double"&gt;13.5749172962654&lt;/D&gt;&lt;D xsi:type="xsd:double"&gt;13.8861498656727&lt;/D&gt;&lt;D xsi:type="xsd:double"&gt;13.4505582149437&lt;/D&gt;&lt;D xsi:type="xsd:double"&gt;14.1282272371992&lt;/D&gt;&lt;D xsi:type="xsd:double"&gt;14.4205241052084&lt;/D&gt;&lt;D xsi:type="xsd:double"&gt;13.7716449463892&lt;/D&gt;&lt;D xsi:type="xsd:double"&gt;10.4205614105389&lt;/D&gt;&lt;D xsi:type="xsd:double"&gt;14.1813711286389&lt;/D&gt;&lt;D xsi:type="xsd:double"&gt;16.5162234415221&lt;/D&gt;&lt;D xsi:type="xsd:double"&gt;16.9844636495356&lt;/D&gt;&lt;D xsi:type="xsd:double"&gt;16.8829143480785&lt;/D&gt;&lt;D xsi:type="xsd:double"&gt;15.5745576416456&lt;/D&gt;&lt;D xsi:type="xsd:double"&gt;15.0363516104775&lt;/D&gt;&lt;D xsi:type="xsd:double"&gt;14.2623046483923&lt;/D&gt;&lt;D xsi:type="xsd:double"&gt;15.743414478256&lt;/D&gt;&lt;D xsi:type="xsd:double"&gt;15.1090504335071&lt;/D&gt;&lt;D xsi:type="xsd:double"&gt;14.4189675715027&lt;/D&gt;&lt;D xsi:type="xsd:double"&gt;14.536210847649&lt;/D&gt;&lt;D xsi:type="xsd:double"&gt;14.7572324650823&lt;/D&gt;&lt;D xsi:type="xsd:double"&gt;14.6570602943167&lt;/D&gt;&lt;D xsi:type="xsd:double"&gt;15.112509848782&lt;/D&gt;&lt;D xsi:type="xsd:double"&gt;14.8202950378832&lt;/D&gt;&lt;D xsi:type="xsd:double"&gt;14.5366749090284&lt;/D&gt;&lt;D xsi:type="xsd:double"&gt;14.3895123392596&lt;/D&gt;&lt;D xsi:type="xsd:double"&gt;13.7500654804131&lt;/D&gt;&lt;D xsi:type="xsd:double"&gt;13.8839674489081&lt;/D&gt;&lt;D xsi:type="xsd:double"&gt;13.1257247819747&lt;/D&gt;&lt;D xsi:type="xsd:double"&gt;13.8613088592581&lt;/D&gt;&lt;D xsi:type="xsd:double"&gt;13.3840643228907&lt;/D&gt;&lt;D xsi:type="xsd:double"&gt;13.5290480896501&lt;/D&gt;&lt;D xsi:type="xsd:double"&gt;14.2817645205092&lt;/D&gt;&lt;D xsi:type="xsd:double"&gt;12.8308196620807&lt;/D&gt;&lt;D xsi:type="xsd:double"&gt;12.4159319962174&lt;/D&gt;&lt;D xsi:type="xsd:double"&gt;11.5779493070441&lt;/D&gt;&lt;D xsi:type="xsd:double"&gt;11.5856516794338&lt;/D&gt;&lt;D xsi:type="xsd:double"&gt;11.1172619441789&lt;/D&gt;&lt;D xsi:type="xsd:double"&gt;11.3647684288882&lt;/D&gt;&lt;D xsi:type="xsd:double"&gt;12.5099694560287&lt;/D&gt;&lt;D xsi:type="xsd:double"&gt;12.5055818253103&lt;/D&gt;&lt;D xsi:type="xsd:double"&gt;12.1415068950051&lt;/D&gt;&lt;D xsi:type="xsd:double"&gt;12.8966244138649&lt;/D&gt;&lt;D xsi:type="xsd:double"&gt;12.9496305261656&lt;/D&gt;&lt;D xsi:type="xsd:double"&gt;12.6780394799159&lt;/D&gt;&lt;D xsi:type="xsd:double"&gt;12.3361670723208&lt;/D&gt;&lt;D xsi:type="xsd:double"&gt;11.7244888676062&lt;/D&gt;&lt;D xsi:type="xsd:double"&gt;11.94598393258&lt;/D&gt;&lt;D xsi:type="xsd:double"&gt;11.9594099452276&lt;/D&gt;&lt;D xsi:type="xsd:double"&gt;11.7739112351924&lt;/D&gt;&lt;D xsi:type="xsd:double"&gt;11.2500565731474&lt;/D&gt;&lt;D xsi:type="xsd:double"&gt;11.6120153514428&lt;/D&gt;&lt;D xsi:type="xsd:double"&gt;12.2196911876838&lt;/D&gt;&lt;D xsi:type="xsd:double"&gt;12.5054192568115&lt;/D&gt;&lt;D xsi:type="xsd:double"&gt;13.1191122696811&lt;/D&gt;&lt;D xsi:type="xsd:double"&gt;16.0921488989221&lt;/D&gt;&lt;/FQL&gt;&lt;FQL&gt;&lt;Q&gt;PASP-FDS^MAX(FG_PRICE(0,-5AY))&lt;/Q&gt;&lt;R&gt;1&lt;/R&gt;&lt;C&gt;1&lt;/C&gt;&lt;D xsi:type="xsd:double"&gt;3158.12&lt;/D&gt;&lt;/FQL&gt;&lt;FQL&gt;&lt;Q&gt;CPALM-FDS^MAX(FG_PRICE(0,-5AY))&lt;/Q&gt;&lt;R&gt;1&lt;/R&gt;&lt;C&gt;1&lt;/C&gt;&lt;D xsi:type="xsd:double"&gt;8163&lt;/D&gt;&lt;/FQL&gt;&lt;FQL&gt;&lt;Q&gt;FC0000AE^FG_PRICE(0)&lt;/Q&gt;&lt;R&gt;1&lt;/R&gt;&lt;C&gt;1&lt;/C&gt;&lt;D xsi:type="xsd:double"&gt;146.48503&lt;/D&gt;&lt;/FQL&gt;&lt;FQL&gt;&lt;Q&gt;EPOL^FG_PRICE_MAVG(0,,,,30)&lt;/Q&gt;&lt;R&gt;1&lt;/R&gt;&lt;C&gt;1&lt;/C&gt;&lt;D xsi:type="xsd:double"&gt;22.471333&lt;/D&gt;&lt;/FQL&gt;&lt;FQL&gt;&lt;Q&gt;EWJ^P_PRICE(0)/P_PRICE_HIGH_PR(0,,,USD,,,"PRICE","INTRA","52W")&lt;/Q&gt;&lt;R&gt;1&lt;/R&gt;&lt;C&gt;1&lt;/C&gt;&lt;D xsi:type="xsd:double"&gt;0.9932524&lt;/D&gt;&lt;/FQL&gt;&lt;FQL&gt;&lt;Q&gt;EWT^P_PRICE(0)/P_PRICE_LOW_PR(0,,,USD,,,"PRICE","INTRA","52W")-1&lt;/Q&gt;&lt;R&gt;1&lt;/R&gt;&lt;C&gt;1&lt;/C&gt;&lt;D xsi:type="xsd:double"&gt;0.12237382&lt;/D&gt;&lt;/FQL&gt;&lt;FQL&gt;&lt;Q&gt;EIDO^FG_TOTAL_RETURNC(0,-6AM)&lt;/Q&gt;&lt;R&gt;1&lt;/R&gt;&lt;C&gt;1&lt;/C&gt;&lt;D xsi:type="xsd:double"&gt;-3.7066758&lt;/D&gt;&lt;/FQL&gt;&lt;FQL&gt;&lt;Q&gt;MCHI^PERCENT_CHANGE(FMA_EPS(+1,0,,,,"PORTAGG","MEAN"),FMA_EPS(+1,-1AM,,,,"PORTAGG","MEAN"))&lt;/Q&gt;&lt;R&gt;1&lt;/R&gt;&lt;C&gt;1&lt;/C&gt;&lt;D xsi:type="xsd:double"&gt;-13.5724765373815&lt;/D&gt;&lt;/FQL&gt;&lt;FQL&gt;&lt;Q&gt;GREK^FMA_COS_UP("EPS","1M",+1,NOW,,,"PORTAGG","MEANR")&lt;/Q&gt;&lt;R&gt;1&lt;/R&gt;&lt;C&gt;1&lt;/C&gt;&lt;D xsi:type="xsd:double"&gt;10&lt;/D&gt;&lt;/FQL&gt;&lt;FQL&gt;&lt;Q&gt;TRYVN10Y-FDS^FG_YIELD_NAME&lt;/Q&gt;&lt;R&gt;1&lt;/R&gt;&lt;C&gt;1&lt;/C&gt;&lt;D xsi:type="xsd:string"&gt;Treasury - Vietnam Benchmark Bond 10Y&lt;/D&gt;&lt;/FQL&gt;&lt;FQL&gt;&lt;Q&gt;REFSAREPO-FDS^FG_YIELD(NOW,,,0)&lt;/Q&gt;&lt;R&gt;1&lt;/R&gt;&lt;C&gt;1&lt;/C&gt;&lt;D xsi:type="xsd:double"&gt;6&lt;/D&gt;&lt;/FQL&gt;&lt;FQL&gt;&lt;Q&gt;REFINREPO-FDS^(SUBARRAY(NOT_NA(NO_REPEAT_F(FG_YIELD(NOW,-10AY,D))),0,1)-SUBARRAY(NOT_NA(NO_REPEAT_F(FG_YIELD(NOW,-10AY,D))),1,1))*100&lt;/Q&gt;&lt;R&gt;1&lt;/R&gt;&lt;C&gt;1&lt;/C&gt;&lt;D xsi:type="xsd:double"&gt;25&lt;/D&gt;&lt;/FQL&gt;&lt;FQL&gt;&lt;Q&gt;REFTWDISC-FDS^FG_YIELD(NOW,,,0)&lt;/Q&gt;&lt;R&gt;1&lt;/R&gt;&lt;C&gt;1&lt;/C&gt;&lt;D xsi:type="xsd:double"&gt;1.875&lt;/D&gt;&lt;/FQL&gt;&lt;FQL&gt;&lt;Q&gt;REFCLMPR-FDS^PROPER_NAME(0,,,"SECURITY","NAME")&lt;/Q&gt;&lt;R&gt;1&lt;/R&gt;&lt;C&gt;1&lt;/C&gt;&lt;D xsi:type="xsd:string"&gt;Chile Monetary Policy Rate&lt;/D&gt;&lt;/FQL&gt;&lt;FQL&gt;&lt;Q&gt;TRYIN10Y-FDS^PCTCHG(FG_YIELD(0,,,,"YTM"),FG_YIELD(-1AM,,,,"YTM"))&lt;/Q&gt;&lt;R&gt;1&lt;/R&gt;&lt;C&gt;1&lt;/C&gt;&lt;D xsi:type="xsd:double"&gt;-0.11331299&lt;/D&gt;&lt;/FQL&gt;&lt;FQL&gt;&lt;Q&gt;TRYPH10Y-FDS^PCTCHG(FG_YIELD(0,,,,"YTM"),FG_YIELD(-1AM,,,,"YTM"))&lt;/Q&gt;&lt;R&gt;1&lt;/R&gt;&lt;C&gt;1&lt;/C&gt;&lt;D xsi:type="xsd:double"&gt;2.7664492&lt;/D&gt;&lt;/FQL&gt;&lt;FQL&gt;&lt;Q&gt;TRYPE10Y-FDS^FG_YIELD(0,,,,"YTM")&lt;/Q&gt;&lt;R&gt;1&lt;/R&gt;&lt;C&gt;1&lt;/C&gt;&lt;D xsi:type="xsd:double"&gt;6.860573&lt;/D&gt;&lt;/FQL&gt;&lt;FQL&gt;&lt;Q&gt;CC_IN^IMF_IFS_RCPI_Q(0)&lt;/Q&gt;&lt;R&gt;0&lt;/R&gt;&lt;C&gt;0&lt;/C&gt;&lt;/FQL&gt;&lt;FQL&gt;&lt;Q&gt;EWW^FMA_PE(LTM,0,,,"PORTAGG","MEANR")&lt;/Q&gt;&lt;R&gt;1&lt;/R&gt;&lt;C&gt;1&lt;/C&gt;&lt;D xsi:type="xsd:double"&gt;12.7466594496671&lt;/D&gt;&lt;/FQL&gt;&lt;FQL&gt;&lt;Q&gt;ECH^FG_COMPANY_NAME&lt;/Q&gt;&lt;R&gt;1&lt;/R&gt;&lt;C&gt;1&lt;/C&gt;&lt;D xsi:type="xsd:string"&gt;iShares MSCI Chile ETF&lt;/D&gt;&lt;/FQL&gt;&lt;FQL&gt;&lt;Q&gt;USDSAR^FG_PRICE_CHANGE(0,-1AY)&lt;/Q&gt;&lt;R&gt;1&lt;/R&gt;&lt;C&gt;1&lt;/C&gt;&lt;D xsi:type="xsd:double"&gt;-0.074607134&lt;/D&gt;&lt;/FQL&gt;&lt;FQL&gt;&lt;Q&gt;USDINR^FG_PRICE_CHANGE(0,-1AY)&lt;/Q&gt;&lt;R&gt;1&lt;/R&gt;&lt;C&gt;1&lt;/C&gt;&lt;D xsi:type="xsd:double"&gt;1.1107564&lt;/D&gt;&lt;/FQL&gt;&lt;FQL&gt;&lt;Q&gt;USDBRL^FG_COMPANY_NAME&lt;/Q&gt;&lt;R&gt;1&lt;/R&gt;&lt;C&gt;1&lt;/C&gt;&lt;D xsi:type="xsd:string"&gt;Brazilian Real per U.S. Dollar&lt;/D&gt;&lt;/FQL&gt;&lt;FQL&gt;&lt;Q&gt;USDPHP^FG_PRICE_CHANGE(0,-1AM)&lt;/Q&gt;&lt;R&gt;1&lt;/R&gt;&lt;C&gt;1&lt;/C&gt;&lt;D xsi:type="xsd:double"&gt;0.10280609&lt;/D&gt;&lt;/FQL&gt;&lt;FQL&gt;&lt;Q&gt;EWY^FMA_DIV_YLD(NTMA,-10AY,0,AM,"PORTAGG","MEANR")&lt;/Q&gt;&lt;R&gt;121&lt;/R&gt;&lt;C&gt;1&lt;/C&gt;&lt;D xsi:type="xsd:double"&gt;1.29412916426892&lt;/D&gt;&lt;D xsi:type="xsd:double"&gt;1.27450149868068&lt;/D&gt;&lt;D xsi:type="xsd:double"&gt;1.30173438755569&lt;/D&gt;&lt;D xsi:type="xsd:double"&gt;1.25459357935738&lt;/D&gt;&lt;D xsi:type="xsd:double"&gt;1.26642244803206&lt;/D&gt;&lt;D xsi:type="xsd:double"&gt;1.24977712436445&lt;/D&gt;&lt;D xsi:type="xsd:double"&gt;1.29812159973108&lt;/D&gt;&lt;D xsi:type="xsd:double"&gt;1.40587363088667&lt;/D&gt;&lt;D xsi:type="xsd:double"&gt;1.43992675010112&lt;/D&gt;&lt;D xsi:type="xsd:double"&gt;1.36878684155922&lt;/D&gt;&lt;D xsi:type="xsd:double"&gt;1.45746516012808&lt;/D&gt;&lt;D xsi:type="xsd:double"&gt;1.57307594715874&lt;/D&gt;&lt;D xsi:type="xsd:double"&gt;1.56428869763717&lt;/D&gt;&lt;D xsi:type="xsd:double"&gt;1.55605808384862&lt;/D&gt;&lt;D xsi:type="xsd:double"&gt;1.53240176059014&lt;/D&gt;&lt;D xsi:type="xsd:double"&gt;1.62468664506958&lt;/D&gt;&lt;D xsi:type="xsd:double"&gt;1.63901809547929&lt;/D&gt;&lt;D xsi:type="xsd:double"&gt;1.74645095305986&lt;/D&gt;&lt;D xsi:type="xsd:double"&gt;1.8783028326147&lt;/D&gt;&lt;D xsi:type="xsd:double"&gt;1.79908719145489&lt;/D&gt;&lt;D xsi:type="xsd:double"&gt;1.78247621270204&lt;/D&gt;&lt;D xsi:type="xsd:double"&gt;1.90208103936792&lt;/D&gt;&lt;D xsi:type="xsd:double"&gt;1.99806118445332&lt;/D&gt;&lt;D xsi:type="xsd:double"&gt;1.96196541961348&lt;/D&gt;&lt;D xsi:type="xsd:double"&gt;1.92962903688572&lt;/D&gt;&lt;D xsi:type="xsd:double"&gt;1.93666777476755&lt;/D&gt;&lt;D xsi:type="xsd:double"&gt;1.95959921439415&lt;/D&gt;&lt;D xsi:type="xsd:double"&gt;1.96397899974752&lt;/D&gt;&lt;D xsi:type="xsd:double"&gt;1.94872055256937&lt;/D&gt;&lt;D xsi:type="xsd:double"&gt;1.93091209822343&lt;/D&gt;&lt;D xsi:type="xsd:double"&gt;1.88053953163954&lt;/D&gt;&lt;D xsi:type="xsd:double"&gt;1.88549684968276&lt;/D&gt;&lt;D xsi:type="xsd:double"&gt;1.97964329686457&lt;/D&gt;&lt;D xsi:type="xsd:double"&gt;2.00313025683038&lt;/D&gt;&lt;D xsi:type="xsd:double"&gt;1.94704929875552&lt;/D&gt;&lt;D xsi:type="xsd:double"&gt;1.92893572833299&lt;/D&gt;&lt;D xsi:type="xsd:double"&gt;1.93586532137856&lt;/D&gt;&lt;D xsi:type="xsd:double"&gt;1.89793404040521&lt;/D&gt;&lt;D xsi:type="xsd:double"&gt;1.86875798499322&lt;/D&gt;&lt;D xsi:type="xsd:double"&gt;1.76321313394379&lt;/D&gt;&lt;D xsi:type="xsd:double"&gt;1.75513742835078&lt;/D&gt;&lt;D xsi:type="xsd:double"&gt;1.79979949883612&lt;/D&gt;&lt;D xsi:type="xsd:double"&gt;1.83741792008458&lt;/D&gt;&lt;D xsi:type="xsd:double"&gt;1.79569959359091&lt;/D&gt;&lt;D xsi:type="xsd:double"&gt;1.92974672005206&lt;/D&gt;&lt;D xsi:type="xsd:double"&gt;2.00242303470697&lt;/D&gt;&lt;D xsi:type="xsd:double"&gt;2.0676897611832&lt;/D&gt;&lt;D xsi:type="xsd:double"&gt;2.05999958879405&lt;/D&gt;&lt;D xsi:type="xsd:double"&gt;2.2369737834544&lt;/D&gt;&lt;D xsi:type="xsd:double"&gt;2.25415957085135&lt;/D&gt;&lt;D xsi:type="xsd:double"&gt;2.23767503690587&lt;/D&gt;&lt;D xsi:type="xsd:double"&gt;2.22208153027803&lt;/D&gt;&lt;D xsi:type="xsd:double"&gt;2.41075362112673&lt;/D&gt;&lt;D xsi:type="xsd:double"&gt;2.38292598890963&lt;/D&gt;&lt;D xsi:type="xsd:double"&gt;2.37512096601935&lt;/D&gt;&lt;D xsi:type="xsd:double"&gt;2.45199163358863&lt;/D&gt;&lt;D xsi:type="xsd:double"&gt;2.58583525236482&lt;/D&gt;&lt;D xsi:type="xsd:double"&gt;2.56754333661981&lt;/D&gt;&lt;D xsi:type="xsd:double"&gt;2.72042879453104&lt;/D&gt;&lt;D xsi:type="xsd:double"&gt;2.44353766649569&lt;/D&gt;&lt;D xsi:type="xsd:double"&gt;2.48291131506514&lt;/D&gt;&lt;D xsi:type="xsd:double"&gt;2.45482724016004&lt;/D&gt;&lt;D xsi:type="xsd:double"&gt;2.44783994780756&lt;/D&gt;&lt;D xsi:type="xsd:double"&gt;2.57771043179776&lt;/D&gt;&lt;D xsi:type="xsd:double"&gt;2.53020259304864&lt;/D&gt;&lt;D xsi:type="xsd:double"&gt;2.62474527389519&lt;/D&gt;&lt;D xsi:type="xsd:double"&gt;2.61076275287984&lt;/D&gt;&lt;D xsi:type="xsd:double"&gt;2.56662708954375&lt;/D&gt;&lt;D xsi:type="xsd:double"&gt;2.4083353008667&lt;/D&gt;&lt;D xsi:type="xsd:double"&gt;2.46859379352166&lt;/D&gt;&lt;D xsi:type="xsd:double"&gt;2.36036547019539&lt;/D&gt;&lt;D xsi:type="xsd:double"&gt;2.32008909901782&lt;/D&gt;&lt;D xsi:type="xsd:double"&gt;2.43648707343525&lt;/D&gt;&lt;D xsi:type="xsd:double"&gt;2.86647545796526&lt;/D&gt;&lt;D xsi:type="xsd:double"&gt;2.54065192428417&lt;/D&gt;&lt;D xsi:type="xsd:double"&gt;2.22819639732105&lt;/D&gt;&lt;D xsi:type="xsd:double"&gt;2.25537912945288&lt;/D&gt;&lt;D xsi:type="xsd:double"&gt;2.16514537771069&lt;/D&gt;&lt;D xsi:type="xsd:double"&gt;2.13732625275577&lt;/D&gt;&lt;D xsi:type="xsd:double"&gt;2.14995376797596&lt;/D&gt;&lt;D xsi:type="xsd:double"&gt;2.15157765741118&lt;/D&gt;&lt;D xsi:type="xsd:double"&gt;1.84286973007367&lt;/D&gt;&lt;D xsi:type="xsd:double"&gt;1.75832121109532&lt;/D&gt;&lt;D xsi:type="xsd:double"&gt;1.64001173700543&lt;/D&gt;&lt;D xsi:type="xsd:double"&gt;1.68190051380181&lt;/D&gt;&lt;D xsi:type="xsd:double"&gt;1.69036667782963&lt;/D&gt;&lt;D xsi:type="xsd:double"&gt;1.74116966114131&lt;/D&gt;&lt;D xsi:type="xsd:double"&gt;1.67589696338838&lt;/D&gt;&lt;D xsi:type="xsd:double"&gt;1.68080339757635&lt;/D&gt;&lt;D xsi:type="xsd:double"&gt;1.71574007402945&lt;/D&gt;&lt;D xsi:type="xsd:double"&gt;1.79442255668231&lt;/D&gt;&lt;D xsi:type="xsd:double"&gt;1.90907166577798&lt;/D&gt;&lt;D xsi:type="xsd:double"&gt;1.9714648116669&lt;/D&gt;&lt;D xsi:type="xsd:double"&gt;1.95737728614729&lt;/D&gt;&lt;D xsi:type="xsd:double"&gt;1.95625343233611&lt;/D&gt;&lt;D xsi:type="xsd:double"&gt;2.21248238320185&lt;/D&gt;&lt;D xsi:type="xsd:double"&gt;2.23092723408232&lt;/D&gt;&lt;D xsi:type="xsd:double"&gt;2.227886326887&lt;/D&gt;&lt;D xsi:type="xsd:double"&gt;2.29860415074112&lt;/D&gt;&lt;D xsi:type="xsd:double"&gt;2.3336921132647&lt;/D&gt;&lt;D xsi:type="xsd:double"&gt;2.65614503421737&lt;/D&gt;&lt;D xsi:type="xsd:double"&gt;2.51109570420596&lt;/D&gt;&lt;D xsi:type="xsd:double"&gt;2.60371625909276&lt;/D&gt;&lt;D xsi:type="xsd:double"&gt;2.80176760546458&lt;/D&gt;&lt;D xsi:type="xsd:double"&gt;2.61938355883691&lt;/D&gt;&lt;D xsi:type="xsd:double"&gt;2.48667066763412&lt;/D&gt;&lt;D xsi:type="xsd:double"&gt;2.65311165191589&lt;/D&gt;&lt;D xsi:type="xsd:double"&gt;2.46956757125893&lt;/D&gt;&lt;D xsi:type="xsd:double"&gt;2.45053550603056&lt;/D&gt;&lt;D xsi:type="xsd:double"&gt;2.38937062825944&lt;/D&gt;&lt;D xsi:type="xsd:double"&gt;2.42554871718116&lt;/D&gt;&lt;D xsi:type="xsd:double"&gt;2.31726376043275&lt;/D&gt;&lt;D xsi:type="xsd:double"&gt;2.34013597381356&lt;/D&gt;&lt;D xsi:type="xsd:double"&gt;2.35190327601675&lt;/D&gt;&lt;D xsi:type="xsd:double"&gt;2.3674537504594&lt;/D&gt;&lt;D xsi:type="xsd:double"&gt;2.54831939232372&lt;/D&gt;&lt;D xsi:type="xsd:double"&gt;2.58016876248238&lt;/D&gt;&lt;D xsi:type="xsd:double"&gt;2.36753449933856&lt;/D&gt;&lt;D xsi:type="xsd:double"&gt;2.29990327973533&lt;/D&gt;&lt;D xsi:type="xsd:double"&gt;2.25709262124578&lt;/D&gt;&lt;D xsi:type="xsd:double"&gt;2.16317829337138&lt;/D&gt;&lt;/FQL&gt;&lt;FQL&gt;&lt;Q&gt;COPP-FDS^FG_PRICE(0)/MAX(FG_PRICE(0,-1AY))&lt;/Q&gt;&lt;R&gt;1&lt;/R&gt;&lt;C&gt;1&lt;/C&gt;&lt;D xsi:type="xsd:double"&gt;0.929088277858176&lt;/D&gt;&lt;/FQL&gt;&lt;FQL&gt;&lt;Q&gt;QAT^FG_PRICE_MAVG(0,,,,60)&lt;/Q&gt;&lt;R&gt;1&lt;/R&gt;&lt;C&gt;1&lt;/C&gt;&lt;D xsi:type="xsd:double"&gt;17.595543&lt;/D&gt;&lt;/FQL&gt;&lt;FQL&gt;&lt;Q&gt;EWY^FG_PRICE_MAVG(0,,,,200)&lt;/Q&gt;&lt;R&gt;1&lt;/R&gt;&lt;C&gt;1&lt;/C&gt;&lt;D xsi:type="xsd:double"&gt;62.47405&lt;/D&gt;&lt;/FQL&gt;&lt;FQL&gt;&lt;Q&gt;EPHE^FG_PRICE_MAVG(0,,,,200)&lt;/Q&gt;&lt;R&gt;1&lt;/R&gt;&lt;C&gt;1&lt;/C&gt;&lt;D xsi:type="xsd:double"&gt;25.616972&lt;/D&gt;&lt;/FQL&gt;&lt;FQL&gt;&lt;Q&gt;UAE^P_PRICE(0)/P_PRICE_LOW_PR(0,,,USD,,,"PRICE","INTRA","52W")-1&lt;/Q&gt;&lt;R&gt;1&lt;/R&gt;&lt;C&gt;1&lt;/C&gt;&lt;D xsi:type="xsd:double"&gt;0.099549174&lt;/D&gt;&lt;/FQL&gt;&lt;FQL&gt;&lt;Q&gt;INDA^P_PRICE(0)/P_PRICE_HIGH_PR(0,,,USD,,,"PRICE","INTRA","52W")&lt;/Q&gt;&lt;R&gt;1&lt;/R&gt;&lt;C&gt;1&lt;/C&gt;&lt;D xsi:type="xsd:double"&gt;0.99865335&lt;/D&gt;&lt;/FQL&gt;&lt;FQL&gt;&lt;Q&gt;VGK^PERCENT_CHANGE(FMA_EPS(+1,0,,,,"PORTAGG","MEAN"),FMA_EPS(+1,-3AM,,,,"PORTAGG","MEAN"))&lt;/Q&gt;&lt;R&gt;1&lt;/R&gt;&lt;C&gt;1&lt;/C&gt;&lt;D xsi:type="xsd:double"&gt;-8.27748470091232&lt;/D&gt;&lt;/FQL&gt;&lt;FQL&gt;&lt;Q&gt;EWT^FMA_PCT_ABOVE_MAVG(200,0,,,,"PORTAGG")&lt;/Q&gt;&lt;R&gt;1&lt;/R&gt;&lt;C&gt;1&lt;/C&gt;&lt;D xsi:type="xsd:double"&gt;57.1428571428571&lt;/D&gt;&lt;/FQL&gt;&lt;FQL&gt;&lt;Q&gt;CNYA^FMA_PCT_ABOVE_MAVG(200,0,,,,"PORTAGG")&lt;/Q&gt;&lt;R&gt;1&lt;/R&gt;&lt;C&gt;1&lt;/C&gt;&lt;D xsi:type="xsd:double"&gt;27.886323268206&lt;/D&gt;&lt;/FQL&gt;&lt;FQL&gt;&lt;Q&gt;VNM^FMA_COS_DOWN("EPS","1M",+1,NOW,,,"PORTAGG","MEANR")&lt;/Q&gt;&lt;R&gt;1&lt;/R&gt;&lt;C&gt;1&lt;/C&gt;&lt;D xsi:type="xsd:double"&gt;8&lt;/D&gt;&lt;/FQL&gt;&lt;FQL&gt;&lt;Q&gt;EPU^FMA_COS_UP("EPS","1M",+1,NOW,,,"PORTAGG","MEANR")&lt;/Q&gt;&lt;R&gt;1&lt;/R&gt;&lt;C&gt;1&lt;/C&gt;&lt;D xsi:type="xsd:double"&gt;9&lt;/D&gt;&lt;/FQL&gt;&lt;FQL&gt;&lt;Q&gt;SET-BKK^FMA_RBICS_REV_CURRENT(30, LOC, "PORTAGG")&lt;/Q&gt;&lt;R&gt;1&lt;/R&gt;&lt;C&gt;1&lt;/C&gt;&lt;D xsi:type="xsd:double"&gt;24.0678590465577&lt;/D&gt;&lt;/FQL&gt;&lt;FQL&gt;&lt;Q&gt;TUR^FG_ROE(0)&lt;/Q&gt;&lt;R&gt;1&lt;/R&gt;&lt;C&gt;1&lt;/C&gt;&lt;D xsi:type="xsd:double"&gt;30.3948542375514&lt;/D&gt;&lt;/FQL&gt;&lt;FQL&gt;&lt;Q&gt;TRYGR10Y-FDS^PCTCHG(FG_YIELD(0,,,,"YTM"),FG_YIELD(-3AM,,,,"YTM"))&lt;/Q&gt;&lt;R&gt;1&lt;/R&gt;&lt;C&gt;1&lt;/C&gt;&lt;D xsi:type="xsd:double"&gt;-1.0583507&lt;/D&gt;&lt;/FQL&gt;&lt;FQL&gt;&lt;Q&gt;EWT^FMA_ROE(NTMA,-20AY,NOW,FY,"PORTAGG","MEANR")&lt;/Q&gt;&lt;R&gt;20&lt;/R&gt;&lt;C&gt;1&lt;/C&gt;&lt;D xsi:type="xsd:double"&gt;14.2091388164968&lt;/D&gt;&lt;D xsi:type="xsd:double"&gt;14.0985457137066&lt;/D&gt;&lt;D xsi:type="xsd:double"&gt;14.4590710347444&lt;/D&gt;&lt;D xsi:type="xsd:double"&gt;16.4807805647515&lt;/D&gt;&lt;D xsi:type="xsd:double"&gt;6.19596421132224&lt;/D&gt;&lt;D xsi:type="xsd:double"&gt;11.63760</t>
        </r>
      </text>
    </comment>
    <comment ref="A12" authorId="0" shapeId="0" xr:uid="{3DE2BE7F-C9D1-46E7-AC44-0DA30A32E832}">
      <text>
        <r>
          <rPr>
            <b/>
            <sz val="9"/>
            <color indexed="81"/>
            <rFont val="Tahoma"/>
            <family val="2"/>
          </rPr>
          <t>50166428&lt;/D&gt;&lt;D xsi:type="xsd:double"&gt;14.2189185035578&lt;/D&gt;&lt;D xsi:type="xsd:double"&gt;11.6486429529888&lt;/D&gt;&lt;D xsi:type="xsd:double"&gt;11.5182166875632&lt;/D&gt;&lt;D xsi:type="xsd:double"&gt;11.7877597873521&lt;/D&gt;&lt;D xsi:type="xsd:double"&gt;13.127345554296&lt;/D&gt;&lt;D xsi:type="xsd:double"&gt;12.3828245738855&lt;/D&gt;&lt;D xsi:type="xsd:double"&gt;11.7924660472797&lt;/D&gt;&lt;D xsi:type="xsd:double"&gt;12.5855614416921&lt;/D&gt;&lt;D xsi:type="xsd:double"&gt;11.5125837952604&lt;/D&gt;&lt;D xsi:type="xsd:double"&gt;10.8983134823894&lt;/D&gt;&lt;D xsi:type="xsd:double"&gt;11.6209108675926&lt;/D&gt;&lt;D xsi:type="xsd:double"&gt;14.724411980088&lt;/D&gt;&lt;D xsi:type="xsd:double"&gt;12.9407920839873&lt;/D&gt;&lt;D xsi:type="xsd:double"&gt;11.9152161134331&lt;/D&gt;&lt;/FQL&gt;&lt;FQL&gt;&lt;Q&gt;TRYEU10Y-FDS^FG_YIELD(-10AY,0,Y,,"YTM")&lt;/Q&gt;&lt;R&gt;10&lt;/R&gt;&lt;C&gt;1&lt;/C&gt;&lt;D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xsi:type="xsd:double"&gt;2.004&lt;/D&gt;&lt;/FQL&gt;&lt;FQL&gt;&lt;Q&gt;CAGDPY@TH^EE_ACTUAL_ANNUAL(MED,0)&lt;/Q&gt;&lt;R&gt;1&lt;/R&gt;&lt;C&gt;1&lt;/C&gt;&lt;D xsi:type="xsd:double"&gt;1.10427993908671&lt;/D&gt;&lt;/FQL&gt;&lt;FQL&gt;&lt;Q&gt;USDSAR^FG_PRICE(0)&lt;/Q&gt;&lt;R&gt;1&lt;/R&gt;&lt;C&gt;1&lt;/C&gt;&lt;D xsi:type="xsd:double"&gt;3.7503&lt;/D&gt;&lt;/FQL&gt;&lt;FQL&gt;&lt;Q&gt;USDTHB^FG_PRICE_CHANGE(0,-6AM)&lt;/Q&gt;&lt;R&gt;1&lt;/R&gt;&lt;C&gt;1&lt;/C&gt;&lt;D xsi:type="xsd:double"&gt;1.6750693&lt;/D&gt;&lt;/FQL&gt;&lt;FQL&gt;&lt;Q&gt;USDMYR^FG_PRICE_CHANGE(0,-1AM)&lt;/Q&gt;&lt;R&gt;1&lt;/R&gt;&lt;C&gt;1&lt;/C&gt;&lt;D xsi:type="xsd:double"&gt;0.14309883&lt;/D&gt;&lt;/FQL&gt;&lt;FQL&gt;&lt;Q&gt;USDPHP^FG_PRICE_CHANGE(0,-1AY)&lt;/Q&gt;&lt;R&gt;1&lt;/R&gt;&lt;C&gt;1&lt;/C&gt;&lt;D xsi:type="xsd:double"&gt;2.1203756&lt;/D&gt;&lt;/FQL&gt;&lt;FQL&gt;&lt;Q&gt;QAT^P_PRICE_RETURNS_PR('52W',2,-10AY,0,AM)&lt;/Q&gt;&lt;R&gt;121&lt;/R&gt;&lt;C&gt;1&lt;/C&gt;&lt;D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xsi:type="xsd:double"&gt;-1.7718315&lt;/D&gt;&lt;D xsi:type="xsd:double"&gt;-9.485376&lt;/D&gt;&lt;D xsi:type="xsd:double"&gt;0.45963526&lt;/D&gt;&lt;D xsi:type="xsd:double"&gt;-8.903276&lt;/D&gt;&lt;D xsi:type="xsd:double"&gt;-16.843128&lt;/D&gt;&lt;D xsi:type="xsd:double"&gt;-15.132242&lt;/D&gt;&lt;D xsi:type="xsd:double"&gt;-15.531868&lt;/D&gt;&lt;D xsi:type="xsd:double"&gt;-16.898376&lt;/D&gt;&lt;D xsi:type="xsd:double"&gt;-18.912941&lt;/D&gt;&lt;D xsi:type="xsd:double"&gt;-21.276772&lt;/D&gt;&lt;D xsi:type="xsd:double"&gt;-16.449362&lt;/D&gt;&lt;D xsi:type="xsd:double"&gt;-13.787186&lt;/D&gt;&lt;D xsi:type="xsd:double"&gt;-19.60703&lt;/D&gt;&lt;D xsi:type="xsd:double"&gt;-20.299465&lt;/D&gt;&lt;D xsi:type="xsd:double"&gt;-15.562648&lt;/D&gt;&lt;D xsi:type="xsd:double"&gt;-8.009851&lt;/D&gt;&lt;D xsi:type="xsd:double"&gt;-3.298229&lt;/D&gt;&lt;D xsi:type="xsd:double"&gt;-8.142871&lt;/D&gt;&lt;D xsi:type="xsd:double"&gt;-10.882968&lt;/D&gt;&lt;D xsi:type="xsd:double"&gt;-2.6905298&lt;/D&gt;&lt;D xsi:type="xsd:double"&gt;11.428857&lt;/D&gt;&lt;D xsi:type="xsd:double"&gt;12.46978&lt;/D&gt;&lt;D xsi:type="xsd:double"&gt;7.6781034&lt;/D&gt;&lt;D xsi:type="xsd:double"&gt;2.6149988&lt;/D&gt;&lt;D xsi:type="xsd:double"&gt;2.2679567&lt;/D&gt;&lt;D xsi:type="xsd:double"&gt;6.2918305&lt;/D&gt;&lt;D xsi:type="xsd:double"&gt;-5.997479&lt;/D&gt;&lt;D xsi:type="xsd:double"&gt;-6.783998&lt;/D&gt;&lt;D xsi:type="xsd:double"&gt;-14.604139&lt;/D&gt;&lt;D xsi:type="xsd:double"&gt;-16.737902&lt;/D&gt;&lt;D xsi:type="xsd:double"&gt;-15.487396&lt;/D&gt;&lt;D xsi:type="xsd:double"&gt;-18.001694&lt;/D&gt;&lt;D xsi:type="xsd:double"&gt;-13.478411&lt;/D&gt;&lt;D xsi:type="xsd:double"&gt;-11.692232&lt;/D&gt;&lt;D xsi:type="xsd:double"&gt;-17.028648&lt;/D&gt;&lt;D xsi:type="xsd:double"&gt;-10.421205&lt;/D&gt;&lt;D xsi:type="xsd:double"&gt;-6.7213774&lt;/D&gt;&lt;D xsi:type="xsd:double"&gt;-1.9464612&lt;/D&gt;&lt;D xsi:type="xsd:double"&gt;6.07239&lt;/D&gt;&lt;D xsi:type="xsd:double"&gt;8.299053&lt;/D&gt;&lt;D xsi:type="xsd:double"&gt;14.22168&lt;/D&gt;&lt;D xsi:type="xsd:double"&gt;19.70849&lt;/D&gt;&lt;D xsi:type="xsd:double"&gt;28.008343&lt;/D&gt;&lt;D xsi:type="xsd:double"&gt;39.817776&lt;/D&gt;&lt;D xsi:type="xsd:double"&gt;20.168627&lt;/D&gt;&lt;D xsi:type="xsd:double"&gt;23.684692&lt;/D&gt;&lt;D xsi:type="xsd:double"&gt;21.584713&lt;/D&gt;&lt;D xsi:type="xsd:double"&gt;16.561436&lt;/D&gt;&lt;D xsi:type="xsd:double"&gt;22.152496&lt;/D&gt;&lt;D xsi:type="xsd:double"&gt;10.156691&lt;/D&gt;&lt;D xsi:type="xsd:double"&gt;15.032792&lt;/D&gt;&lt;D xsi:type="xsd:double"&gt;-0.69815516&lt;/D&gt;&lt;D xsi:type="xsd:double"&gt;1.4036775&lt;/D&gt;&lt;D xsi:type="xsd:double"&gt;4.1363835&lt;/D&gt;&lt;D xsi:type="xsd:double"&gt;-1.0314465&lt;/D&gt;&lt;D xsi:type="xsd:double"&gt;-2.1244824&lt;/D&gt;&lt;D xsi:type="xsd:double"&gt;1.316154&lt;/D&gt;&lt;D xsi:type="xsd:double"&gt;-4.763383&lt;/D&gt;&lt;D xsi:type="xsd:double"&gt;-9.009009&lt;/D&gt;&lt;D xsi:type="xsd:double"&gt;-15.022696&lt;/D&gt;&lt;D xsi:type="xsd:double"&gt;-13.771439&lt;/D&gt;&lt;D xsi:type="xsd:double"&gt;-7.0029497&lt;/D&gt;&lt;D xsi:type="xsd:double"&gt;-6.170833&lt;/D&gt;&lt;D xsi:type="xsd:double"&gt;0.06352663&lt;/D&gt;&lt;D xsi:type="xsd:double"&gt;2.4410486&lt;/D&gt;&lt;D xsi:type="xsd:double"&gt;4.619086&lt;/D&gt;&lt;D xsi:type="xsd:double"&gt;1.1003137&lt;/D&gt;&lt;D xsi:type="xsd:double"&gt;7.935095&lt;/D&gt;&lt;D xsi:type="xsd:double"&gt;6.778288&lt;/D&gt;&lt;D xsi:type="xsd:double"&gt;6.6415906&lt;/D&gt;&lt;D xsi:type="xsd:double"&gt;14.95961&lt;/D&gt;&lt;D xsi:type="xsd:double"&gt;34.92478&lt;/D&gt;&lt;D xsi:type="xsd:double"&gt;27.410746&lt;/D&gt;&lt;D xsi:type="xsd:double"&gt;20.935928&lt;/D&gt;&lt;D xsi:type="xsd:double"&gt;18.851757&lt;/D&gt;&lt;D xsi:type="xsd:double"&gt;15.147102&lt;/D&gt;&lt;D xsi:type="xsd:double"&gt;15.424526&lt;/D&gt;&lt;D xsi:type="xsd:double"&gt;17.39006&lt;/D&gt;&lt;D xsi:type="xsd:double"&gt;23.846388&lt;/D&gt;&lt;D xsi:type="xsd:double"&gt;13.114035&lt;/D&gt;&lt;D xsi:type="xsd:double"&gt;11.869204&lt;/D&gt;&lt;D xsi:type="xsd:double"&gt;24.76697&lt;/D&gt;&lt;D xsi:type="xsd:double"&gt;37.514732&lt;/D&gt;&lt;D xsi:type="xsd:double"&gt;31.163895&lt;/D&gt;&lt;D xsi:type="xsd:double"&gt;26.315653&lt;/D&gt;&lt;D xsi:type="xsd:double"&gt;20.333408&lt;/D&gt;&lt;D xsi:type="xsd:double"&gt;14.027691&lt;/D&gt;&lt;D xsi:type="xsd:double"&gt;22.564852&lt;/D&gt;&lt;D xsi:type="xsd:double"&gt;17.949068&lt;/D&gt;&lt;D xsi:type="xsd:double"&gt;12.029993&lt;/D&gt;&lt;D xsi:type="xsd:double"&gt;6.9689393&lt;/D&gt;&lt;D xsi:type="xsd:double"&gt;2.647829&lt;/D&gt;&lt;D xsi:type="xsd:double"&gt;-3.7605166&lt;/D&gt;&lt;D xsi:type="xsd:double"&gt;-15.299064&lt;/D&gt;&lt;D xsi:type="xsd:double"&gt;-19.70433&lt;/D&gt;&lt;D xsi:type="xsd:double"&gt;-22.073381&lt;/D&gt;&lt;D xsi:type="xsd:double"&gt;-17.430145&lt;/D&gt;&lt;D xsi:type="xsd:double"&gt;-12.497282&lt;/D&gt;&lt;D xsi:type="xsd:double"&gt;-10.796565&lt;/D&gt;&lt;D xsi:type="xsd:double"&gt;-12.578547&lt;/D&gt;&lt;D xsi:type="xsd:double"&gt;-15.54817&lt;/D&gt;&lt;D xsi:type="xsd:double"&gt;-17.755604&lt;/D&gt;&lt;D xsi:type="xsd:double"&gt;-15.881997&lt;/D&gt;&lt;D xsi:type="xsd:double"&gt;-12.038887&lt;/D&gt;&lt;D xsi:type="xsd:double"&gt;-0.938493&lt;/D&gt;&lt;D xsi:type="xsd:double"&gt;-2.8621674&lt;/D&gt;&lt;D xsi:type="xsd:double"&gt;1.8988967&lt;/D&gt;&lt;/FQL&gt;&lt;FQL&gt;&lt;Q&gt;GREK^FG_TOTAL_RETURNC(-10AY,0,AM)&lt;/Q&gt;&lt;R&gt;121&lt;/R&gt;&lt;C&gt;1&lt;/C&gt;&lt;D xsi:type="xsd:double"&gt;10.926258&lt;/D&gt;&lt;D xsi:type="xsd:double"&gt;-2.0267546&lt;/D&gt;&lt;D xsi:type="xsd:double"&gt;-5.3785744&lt;/D&gt;&lt;D xsi:type="xsd:double"&gt;1.8801928&lt;/D&gt;&lt;D xsi:type="xsd:double"&gt;0.64378977&lt;/D&gt;&lt;D xsi:type="xsd:double"&gt;-9.211093&lt;/D&gt;&lt;D xsi:type="xsd:double"&gt;-0.89243054&lt;/D&gt;&lt;D xsi:type="xsd:double"&gt;-14.691949&lt;/D&gt;&lt;D xsi:type="xsd:double"&gt;-10.166669&lt;/D&gt;&lt;D xsi:type="xsd:double"&gt;5.6895614&lt;/D&gt;&lt;D xsi:type="xsd:double"&gt;-18.843508&lt;/D&gt;&lt;D xsi:type="xsd:double"&gt;-13.391572&lt;/D&gt;&lt;D xsi:type="xsd:double"&gt;4.3697715&lt;/D&gt;&lt;D xsi:type="xsd:double"&gt;-10.386491&lt;/D&gt;&lt;D xsi:type="xsd:double"&gt;7.0080996&lt;/D&gt;&lt;D xsi:type="xsd:double"&gt;0.8396268&lt;/D&gt;&lt;D xsi:type="xsd:double"&gt;-9.658605&lt;/D&gt;&lt;D xsi:type="xsd:double"&gt;-11.244249&lt;/D&gt;&lt;D xsi:type="xsd:double"&gt;-3.0114174&lt;/D&gt;&lt;D xsi:type="xsd:double"&gt;2.0342588&lt;/D&gt;&lt;D xsi:type="xsd:double"&gt;8.604407&lt;/D&gt;&lt;D xsi:type="xsd:double"&gt;-17.198074&lt;/D&gt;&lt;D xsi:type="xsd:double"&gt;-4.551375&lt;/D&gt;&lt;D xsi:type="xsd:double"&gt;-17.990076&lt;/D&gt;&lt;D xsi:type="xsd:double"&gt;7.715583&lt;/D&gt;&lt;D xsi:type="xsd:double"&gt;2.2471905&lt;/D&gt;&lt;D xsi:type="xsd:double"&gt;7.1428657&lt;/D&gt;&lt;D xsi:type="xsd:double"&gt;10.897422&lt;/D&gt;&lt;D xsi:type="xsd:double"&gt;-18.616182&lt;/D&gt;&lt;D xsi:type="xsd:double"&gt;1.5668273&lt;/D&gt;&lt;D xsi:type="xsd:double"&gt;6.5734267&lt;/D&gt;&lt;D xsi:type="xsd:double"&gt;-5.380583&lt;/D&gt;&lt;D xsi:type="xsd:double"&gt;-0.97087026&lt;/D&gt;&lt;D xsi:type="xsd:double"&gt;10.504198&lt;/D&gt;&lt;D xsi:type="xsd:double"&gt;5.3337455&lt;/D&gt;&lt;D xsi:type="xsd:double"&gt;-3.3128858&lt;/D&gt;&lt;D xsi:type="xsd:double"&gt;-0.38071275&lt;/D&gt;&lt;D xsi:type="xsd:double"&gt;2.4203777&lt;/D&gt;&lt;D xsi:type="xsd:double"&gt;15.049755&lt;/D&gt;&lt;D xsi:type="xsd:double"&gt;5.513513&lt;/D&gt;&lt;D xsi:type="xsd:double"&gt;4.713106&lt;/D&gt;&lt;D xsi:type="xsd:double"&gt;2.8375864&lt;/D&gt;&lt;D xsi:type="xsd:double"&gt;-2.7592897&lt;/D&gt;&lt;D xsi:type="xsd:double"&gt;-9.540111&lt;/D&gt;&lt;D xsi:type="xsd:double"&gt;1.5684247&lt;/D&gt;&lt;D xsi:type="xsd:double"&gt;-0.7454753&lt;/D&gt;&lt;D xsi:type="xsd:double"&gt;16.495632&lt;/D&gt;&lt;D xsi:type="xsd:double"&gt;5.268121&lt;/D&gt;&lt;D xsi:type="xsd:double"&gt;-8.310991&lt;/D&gt;&lt;D xsi:type="xsd:double"&gt;-4.678363&lt;/D&gt;&lt;D xsi:type="xsd:double"&gt;5.112469&lt;/D&gt;&lt;D xsi:type="xsd:double"&gt;-8.463031&lt;/D&gt;&lt;D xsi:type="xsd:double"&gt;-3.719443&lt;/D&gt;&lt;D xsi:type="xsd:double"&gt;1.7660022&lt;/D&gt;&lt;D xsi:type="xsd:double"&gt;-9.86985&lt;/D&gt;&lt;D xsi:type="xsd:double"&gt;-3.4897804&lt;/D&gt;&lt;D xsi:type="xsd:double"&gt;-6.6084805&lt;/D&gt;&lt;D xsi:type="xsd:double"&gt;2.536714&lt;/D&gt;&lt;D xsi:type="xsd:double"&gt;-5.553174&lt;/D&gt;&lt;D xsi:type="xsd:double"&gt;4.5197725&lt;/D&gt;&lt;D xsi:type="xsd:double"&gt;5.810809&lt;/D&gt;&lt;D xsi:type="xsd:double"&gt;5.4917097&lt;/D&gt;&lt;D xsi:type="xsd:double"&gt;2.9055595&lt;/D&gt;&lt;D xsi:type="xsd:double"&gt;6.352949&lt;/D&gt;&lt;D xsi:type="xsd:double"&gt;8.667421&lt;/D&gt;&lt;D xsi:type="xsd:double"&gt;-2.351737&lt;/D&gt;&lt;D xsi:type="xsd:double"&gt;-4.8167586&lt;/D&gt;&lt;D xsi:type="xsd:double"&gt;-1.6501606&lt;/D&gt;&lt;D xsi:type="xsd:double"&gt;11.297536&lt;/D&gt;&lt;D xsi:type="xsd:double"&gt;-1.3065338&lt;/D&gt;&lt;D xsi:type="xsd:double"&gt;4.1337013&lt;/D&gt;&lt;D xsi:type="xsd:double"&gt;-4.880476&lt;/D&gt;&lt;D xsi:type="xsd:double"&gt;-16.020948&lt;/D&gt;&lt;D xsi:type="xsd:double"&gt;-34.0399&lt;/D&gt;&lt;D xsi:type="xsd:double"&gt;13.421679&lt;/D&gt;&lt;D xsi:type="xsd:double"&gt;12.944448&lt;/D&gt;&lt;D xsi:type="xsd:double"&gt;-1.2571216&lt;/D&gt;&lt;D xsi:type="xsd:double"&gt;1.8054128&lt;/D&gt;&lt;D xsi:type="xsd:double"&gt;2.4630547&lt;/D&gt;&lt;D xsi:type="xsd:double"&gt;-4.6634555&lt;/D&gt;&lt;D xsi:type="xsd:double"&gt;-5.7992935&lt;/D&gt;&lt;D xsi:type="xsd:double"&gt;39.052464&lt;/D&gt;&lt;D xsi:type="xsd:double"&gt;1.0723472&lt;/D&gt;&lt;D xsi:type="xsd:double"&gt;-8.087092&lt;/D&gt;&lt;D xsi:type="xsd:double"&gt;7.487309&lt;/D&gt;&lt;D xsi:type="xsd:double"&gt;6.0212493&lt;/D&gt;&lt;D xsi:type="xsd:double"&gt;4.417217&lt;/D&gt;&lt;D xsi:type="xsd:double"&gt;3.9459705&lt;/D&gt;&lt;D xsi:type="xsd:double"&gt;-4.3433666&lt;/D&gt;&lt;D xsi:type="xsd:double"&gt;0.28601885&lt;/D&gt;&lt;D xsi:type="xsd:double"&gt;3.565061&lt;/D&gt;&lt;D xsi:type="xsd:double"&gt;-6.161785&lt;/D&gt;&lt;D xsi:type="xsd:double"&gt;2.971387&lt;/D&gt;&lt;D xsi:type="xsd:double"&gt;-5.4862795&lt;/D&gt;&lt;D xsi:type="xsd:double"&gt;2.7245164&lt;/D&gt;&lt;D xsi:type="xsd:double"&gt;9.111357&lt;/D&gt;&lt;D xsi:type="xsd:double"&gt;-16.254293&lt;/D&gt;&lt;D xsi:type="xsd:double"&gt;11.407459&lt;/D&gt;&lt;D xsi:type="xsd:double"&gt;-0.99447966&lt;/D&gt;&lt;D xsi:type="xsd:double"&gt;-0.2976179&lt;/D&gt;&lt;D xsi:type="xsd:double"&gt;-13.062244&lt;/D&gt;&lt;D xsi:type="xsd:double"&gt;5.2491426&lt;/D&gt;&lt;D xsi:type="xsd:double"&gt;-7.562989&lt;/D&gt;&lt;D xsi:type="xsd:double"&gt;0.39805174&lt;/D&gt;&lt;D xsi:type="xsd:double"&gt;8.237886&lt;/D&gt;&lt;D xsi:type="xsd:double"&gt;7.651615&lt;/D&gt;&lt;D xsi:type="xsd:double"&gt;4.8479557&lt;/D&gt;&lt;D xsi:type="xsd:double"&gt;12.245655&lt;/D&gt;&lt;D xsi:type="xsd:double"&gt;7.1522713&lt;/D&gt;&lt;D xsi:type="xsd:double"&gt;-5.5367527&lt;/D&gt;&lt;D xsi:type="xsd:double"&gt;3.2237053&lt;/D&gt;&lt;D xsi:type="xsd:double"&gt;8.23344&lt;/D&gt;&lt;D xsi:type="xsd:double"&gt;9.734273&lt;/D&gt;&lt;D xsi:type="xsd:double"&gt;2.9655337&lt;/D&gt;&lt;D xsi:type="xsd:double"&gt;-3.8401663&lt;/D&gt;&lt;D xsi:type="xsd:double"&gt;-12.844044&lt;/D&gt;&lt;D xsi:type="xsd:double"&gt;8.111453&lt;/D&gt;&lt;D xsi:type="xsd:double"&gt;5.8705688&lt;/D&gt;&lt;D xsi:type="xsd:double"&gt;2.992165&lt;/D&gt;&lt;D xsi:type="xsd:double"&gt;5.8413744&lt;/D&gt;&lt;D xsi:type="xsd:double"&gt;3.3417702&lt;/D&gt;&lt;/FQL&gt;&lt;FQL&gt;&lt;Q&gt;EWW^FMA_DIV_YLD(NTMA,-10AY,0,AM,"PORTAGG","MEANR")&lt;/Q&gt;&lt;R&gt;121&lt;/R&gt;&lt;C&gt;1&lt;/C&gt;&lt;D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xsi:type="xsd:double"&gt;2.11807875799019&lt;/D&gt;&lt;D xsi:type="xsd:double"&gt;2.08811685435723&lt;/D&gt;&lt;D xsi:type="xsd:double"&gt;2.05502380400337&lt;/D&gt;&lt;D xsi:type="xsd:double"&gt;2.03609526590713&lt;/D&gt;&lt;D xsi:type="xsd:double"&gt;2.07551272753951&lt;/D&gt;&lt;D xsi:type="xsd:double"&gt;2.09499204406732&lt;/D&gt;&lt;D xsi:type="xsd:double"&gt;2.09012463317296&lt;/D&gt;&lt;D xsi:type="xsd:double"&gt;2.07984231231918&lt;/D&gt;&lt;D xsi:type="xsd:double"&gt;2.05659175606335&lt;/D&gt;&lt;D xsi:type="xsd:double"&gt;2.0806200369164&lt;/D&gt;&lt;D xsi:type="xsd:double"&gt;2.16444845222069&lt;/D&gt;&lt;D xsi:type="xsd:double"&gt;2.36212546346927&lt;/D&gt;&lt;D xsi:type="xsd:double"&gt;2.35613159020618&lt;/D&gt;&lt;D xsi:type="xsd:double"&gt;2.36746013765925&lt;/D&gt;&lt;D xsi:type="xsd:double"&gt;2.36529399535609&lt;/D&gt;&lt;D xsi:type="xsd:double"&gt;2.35147469668491&lt;/D&gt;&lt;D xsi:type="xsd:double"&gt;2.45456231803688&lt;/D&gt;&lt;D xsi:type="xsd:double"&gt;2.44279072878381&lt;/D&gt;&lt;D xsi:type="xsd:double"&gt;2.4314482328268&lt;/D&gt;&lt;D xsi:type="xsd:double"&gt;2.39506114181344&lt;/D&gt;&lt;D xsi:type="xsd:double"&gt;2.39950308145103&lt;/D&gt;&lt;D xsi:type="xsd:double"&gt;2.46465864991131&lt;/D&gt;&lt;D xsi:type="xsd:double"&gt;2.55160984958648&lt;/D&gt;&lt;D xsi:type="xsd:double"&gt;2.60016916092467&lt;/D&gt;&lt;D xsi:type="xsd:double"&gt;2.46223464278269&lt;/D&gt;&lt;D xsi:type="xsd:double"&gt;2.48348734825341&lt;/D&gt;&lt;D xsi:type="xsd:double"&gt;2.63624089274369&lt;/D&gt;&lt;D xsi:type="xsd:double"&gt;2.641453871286&lt;/D&gt;&lt;D xsi:type="xsd:double"&gt;2.75076591217139&lt;/D&gt;&lt;D xsi:type="xsd:double"&gt;2.93610713510558&lt;/D&gt;&lt;D xsi:type="xsd:double"&gt;2.80516012859126&lt;/D&gt;&lt;D xsi:type="xsd:double"&gt;2.7275071026813&lt;/D&gt;&lt;D xsi:type="xsd:double"&gt;2.82631428333769&lt;/D&gt;&lt;D xsi:type="xsd:double"&gt;2.83496843894033&lt;/D&gt;&lt;D xsi:type="xsd:double"&gt;3.1607231171665&lt;/D&gt;&lt;D xsi:type="xsd:double"&gt;3.46629388305012&lt;/D&gt;&lt;D xsi:type="xsd:double"&gt;3.370357446172&lt;/D&gt;&lt;D xsi:type="xsd:double"&gt;3.30559621810491&lt;/D&gt;&lt;D xsi:type="xsd:double"&gt;3.41357809935218&lt;/D&gt;&lt;D xsi:type="xsd:double"&gt;3.360231045879&lt;/D&gt;&lt;D xsi:type="xsd:double"&gt;3.34975816591931&lt;/D&gt;&lt;D xsi:type="xsd:double"&gt;3.52266951303086&lt;/D&gt;&lt;D xsi:type="xsd:double"&gt;3.55493024560658&lt;/D&gt;&lt;D xsi:type="xsd:double"&gt;3.88302339972188&lt;/D&gt;&lt;D xsi:type="xsd:double"&gt;3.697382841375&lt;/D&gt;&lt;D xsi:type="xsd:double"&gt;3.55547527263477&lt;/D&gt;&lt;D xsi:type="xsd:double"&gt;3.4882966788786&lt;/D&gt;&lt;D xsi:type="xsd:double"&gt;3.62631866734198&lt;/D&gt;&lt;D xsi:type="xsd:double"&gt;3.41656793133017&lt;/D&gt;&lt;D xsi:type="xsd:double"&gt;3.42499905918889&lt;/D&gt;&lt;D xsi:type="xsd:double"&gt;3.40534042942197&lt;/D&gt;&lt;D xsi:type="xsd:double"&gt;4.73041717955908&lt;/D&gt;&lt;D xsi:type="xsd:double"&gt;3.84307541436839&lt;/D&gt;&lt;D xsi:type="xsd:double"&gt;3.08556764032754&lt;/D&gt;&lt;D xsi:type="xsd:double"&gt;3.03466489018709&lt;/D&gt;&lt;D xsi:type="xsd:double"&gt;3.06005474997427&lt;/D&gt;&lt;D xsi:type="xsd:double"&gt;3.23016635932066&lt;/D&gt;&lt;D xsi:type="xsd:double"&gt;3.41724314655261&lt;/D&gt;&lt;D xsi:type="xsd:double"&gt;3.51256502516518&lt;/D&gt;&lt;D xsi:type="xsd:double"&gt;3.29433692470713&lt;/D&gt;&lt;D xsi:type="xsd:double"&gt;3.43048653359491&lt;/D&gt;&lt;D xsi:type="xsd:double"&gt;3.50838875786448&lt;/D&gt;&lt;D xsi:type="xsd:double"&gt;3.45865839775115&lt;/D&gt;&lt;D xsi:type="xsd:double"&gt;3.38756468018915&lt;/D&gt;&lt;D xsi:type="xsd:double"&gt;3.17008659146618&lt;/D&gt;&lt;D xsi:type="xsd:double"&gt;3.10940292031102&lt;/D&gt;&lt;D xsi:type="xsd:double"&gt;3.15951863402033&lt;/D&gt;&lt;D xsi:type="xsd:double"&gt;3.11695500060611&lt;/D&gt;&lt;D xsi:type="xsd:double"&gt;3.09834586065972&lt;/D&gt;&lt;D xsi:type="xsd:double"&gt;3.30962772858593&lt;/D&gt;&lt;D xsi:type="xsd:double"&gt;3.45293926091665&lt;/D&gt;&lt;D xsi:type="xsd:double"&gt;3.49886425123123&lt;/D&gt;&lt;D xsi:type="xsd:double"&gt;3.38976431415661&lt;/D&gt;&lt;D xsi:type="xsd:double"&gt;3.69017520352238&lt;/D&gt;&lt;D xsi:type="xsd:double"&gt;3.62716085344877&lt;/D&gt;&lt;D xsi:type="xsd:double"&gt;3.41125761956622&lt;/D&gt;&lt;D xsi:type="xsd:double"&gt;3.7552414544469&lt;/D&gt;&lt;D xsi:type="xsd:double"&gt;3.86474902459792&lt;/D&gt;&lt;D xsi:type="xsd:double"&gt;4.12665048719015&lt;/D&gt;&lt;D xsi:type="xsd:double"&gt;4.11633597343836&lt;/D&gt;&lt;D xsi:type="xsd:double"&gt;4.25514815738133&lt;/D&gt;&lt;D xsi:type="xsd:double"&gt;4.14112801150491&lt;/D&gt;&lt;D xsi:type="xsd:double"&gt;3.66043617199247&lt;/D&gt;&lt;D xsi:type="xsd:double"&gt;3.7801146593534&lt;/D&gt;&lt;D xsi:type="xsd:double"&gt;3.86058734660835&lt;/D&gt;&lt;D xsi:type="xsd:double"&gt;3.58956063589519&lt;/D&gt;&lt;D xsi:type="xsd:double"&gt;3.60420413988999&lt;/D&gt;&lt;D xsi:type="xsd:double"&gt;3.690475664369&lt;/D&gt;&lt;D xsi:type="xsd:double"&gt;3.59248768475&lt;/D&gt;&lt;D xsi:type="xsd:double"&gt;3.78176193961431&lt;/D&gt;&lt;D xsi:type="xsd:double"&gt;3.81902966725757&lt;/D&gt;&lt;D xsi:type="xsd:double"&gt;3.90765445148963&lt;/D&gt;&lt;D xsi:type="xsd:double"&gt;4.07570000887635&lt;/D&gt;&lt;D xsi:type="xsd:double"&gt;4.25586219812111&lt;/D&gt;&lt;D xsi:type="xsd:double"&gt;4.20454914308927&lt;/D&gt;&lt;D xsi:type="xsd:double"&gt;3.97815224349344&lt;/D&gt;&lt;D xsi:type="xsd:double"&gt;3.94471268834165&lt;/D&gt;&lt;D xsi:type="xsd:double"&gt;3.70547754454352&lt;/D&gt;&lt;D xsi:type="xsd:double"&gt;3.6789842430158&lt;/D&gt;&lt;/FQL&gt;&lt;FQL&gt;&lt;Q&gt;EWT^FMA_PE(NTMA,-10AY,0,AM,"PORTAGG","MEANR")&lt;/Q&gt;&lt;R&gt;121&lt;/R&gt;&lt;C&gt;1&lt;/C&gt;&lt;D xsi:type="xsd:double"&gt;14.0908138170053&lt;/D&gt;&lt;D xsi:type="xsd:double"&gt;14.5694302971449&lt;/D&gt;&lt;D xsi:type="xsd:double"&gt;14.0817276628217&lt;/D&gt;&lt;D xsi:type="xsd:double"&gt;14.2320460937803&lt;/D&gt;&lt;D xsi:type="xsd:double"&gt;14.7534060192728&lt;/D&gt;&lt;D xsi:type="xsd:double"&gt;13.8575801661027&lt;/D&gt;&lt;D xsi:type="xsd:double"&gt;13.838121265884&lt;/D&gt;&lt;D xsi:type="xsd:double"&gt;13.253779108288&lt;/D&gt;&lt;D xsi:type="xsd:double"&gt;13.0865115625861&lt;/D&gt;&lt;D xsi:type="xsd:double"&gt;13.2238568616651&lt;/D&gt;&lt;D xsi:type="xsd:double"&gt;13.1254679895667&lt;/D&gt;&lt;D xsi:type="xsd:double"&gt;12.82600308043&lt;/D&gt;&lt;D xsi:type="xsd:double"&gt;12.8379375459958&lt;/D&gt;&lt;D xsi:type="xsd:double"&gt;12.6065540599903&lt;/D&gt;&lt;D xsi:type="xsd:double"&gt;13.072686403361&lt;/D&gt;&lt;D xsi:type="xsd:double"&gt;12.4373267943581&lt;/D&gt;&lt;D xsi:type="xsd:double"&gt;12.6129960868857&lt;/D&gt;&lt;D xsi:type="xsd:double"&gt;11.9373736301146&lt;/D&gt;&lt;D xsi:type="xsd:double"&gt;11.2495421754546&lt;/D&gt;&lt;D xsi:type="xsd:double"&gt;11.7152162015626&lt;/D&gt;&lt;D xsi:type="xsd:double"&gt;12.6313479649222&lt;/D&gt;&lt;D xsi:type="xsd:double"&gt;11.8711681189259&lt;/D&gt;&lt;D xsi:type="xsd:double"&gt;11.4670743398015&lt;/D&gt;&lt;D xsi:type="xsd:double"&gt;11.7761088865477&lt;/D&gt;&lt;D xsi:type="xsd:double"&gt;12.5459501304551&lt;/D&gt;&lt;D xsi:type="xsd:double"&gt;12.7298301771367&lt;/D&gt;&lt;D xsi:type="xsd:double"&gt;11.9714960166425&lt;/D&gt;&lt;D xsi:type="xsd:double"&gt;12.9902093895443&lt;/D&gt;&lt;D xsi:type="xsd:double"&gt;13.2171437499916&lt;/D&gt;&lt;D xsi:type="xsd:double"&gt;13.5893987245236&lt;/D&gt;&lt;D xsi:type="xsd:double"&gt;13.4102865476984&lt;/D&gt;&lt;D xsi:type="xsd:double"&gt;13.7811057820595&lt;/D&gt;&lt;D xsi:type="xsd:double"&gt;13.184295977033&lt;/D&gt;&lt;D xsi:type="xsd:double"&gt;12.9707625808825&lt;/D&gt;&lt;D xsi:type="xsd:double"&gt;12.9483873488442&lt;/D&gt;&lt;D xsi:type="xsd:double"&gt;13.0028639434866&lt;/D&gt;&lt;D xsi:type="xsd:double"&gt;12.9000372702394&lt;/D&gt;&lt;D xsi:type="xsd:double"&gt;12.9915132517849&lt;/D&gt;&lt;D xsi:type="xsd:double"&gt;13.3500041244467&lt;/D&gt;&lt;D xsi:type="xsd:double"&gt;13.5806430829211&lt;/D&gt;&lt;D xsi:type="xsd:double"&gt;13.9564714038353&lt;/D&gt;&lt;D xsi:type="xsd:double"&gt;14.0985192596181&lt;/D&gt;&lt;D xsi:type="xsd:double"&gt;13.9758036137347&lt;/D&gt;&lt;D xsi:type="xsd:double"&gt;13.4113253813012&lt;/D&gt;&lt;D xsi:type="xsd:double"&gt;13.8799869168277&lt;/D&gt;&lt;D xsi:type="xsd:double"&gt;13.48506762719&lt;/D&gt;&lt;D xsi:type="xsd:double"&gt;13.4644508937113&lt;/D&gt;&lt;D xsi:type="xsd:double"&gt;13.8662396619782&lt;/D&gt;&lt;D xsi:type="xsd:double"&gt;13.2306237226533&lt;/D&gt;&lt;D xsi:type="xsd:double"&gt;13.3695857608728&lt;/D&gt;&lt;D xsi:type="xsd:double"&gt;13.063289253021&lt;/D&gt;&lt;D xsi:type="xsd:double"&gt;13.7594163177787&lt;/D&gt;&lt;D xsi:type="xsd:double"&gt;13.0948988725777&lt;/D&gt;&lt;D xsi:type="xsd:double"&gt;13.5947638525096&lt;/D&gt;&lt;D xsi:type="xsd:double"&gt;13.3492680393149&lt;/D&gt;&lt;D xsi:type="xsd:double"&gt;12.878059584775&lt;/D&gt;&lt;D xsi:type="xsd:double"&gt;12.261562102802&lt;/D&gt;&lt;D xsi:type="xsd:double"&gt;12.6956725183118&lt;/D&gt;&lt;D xsi:type="xsd:double"&gt;12.0427364416449&lt;/D&gt;&lt;D xsi:type="xsd:double"&gt;13.5291442359871&lt;/D&gt;&lt;D xsi:type="xsd:double"&gt;14.2079844204282&lt;/D&gt;&lt;D xsi:type="xsd:double"&gt;14.8286906603835&lt;/D&gt;&lt;D xsi:type="xsd:double"&gt;15.457926594307&lt;/D&gt;&lt;D xsi:type="xsd:double"&gt;14.4114025833321&lt;/D&gt;&lt;D xsi:type="xsd:double"&gt;14.9729317144137&lt;/D&gt;&lt;D xsi:type="xsd:double"&gt;14.6668118685441&lt;/D&gt;&lt;D xsi:type="xsd:double"&gt;14.8069929737701&lt;/D&gt;&lt;D xsi:type="xsd:double"&gt;15.1501228101161&lt;/D&gt;&lt;D xsi:type="xsd:double"&gt;15.9118356222925&lt;/D&gt;&lt;D xsi:type="xsd:double"&gt;15.2285758582396&lt;/D&gt;&lt;D xsi:type="xsd:double"&gt;15.7702413482061&lt;/D&gt;&lt;D xsi:type="xsd:double"&gt;14.8934418837103&lt;/D&gt;&lt;D xsi:type="xsd:double"&gt;14.6283116827206&lt;/D&gt;&lt;D xsi:type="xsd:double"&gt;13.377822260338&lt;/D&gt;&lt;D xsi:type="xsd:double"&gt;14.9466869257847&lt;/D&gt;&lt;D xsi:type="xsd:double"&gt;16.1645097030127&lt;/D&gt;&lt;D xsi:type="xsd:double"&gt;16.4971245041973&lt;/D&gt;&lt;D xsi:type="xsd:double"&gt;17.008353221207&lt;/D&gt;&lt;D xsi:type="xsd:double"&gt;15.5768444481835&lt;/D&gt;&lt;D xsi:type="xsd:double"&gt;15.194562237866&lt;/D&gt;&lt;D xsi:type="xsd:double"&gt;14.855307706789&lt;/D&gt;&lt;D xsi:type="xsd:double"&gt;15.66908268763&lt;/D&gt;&lt;D xsi:type="xsd:double"&gt;16.1268250945106&lt;/D&gt;&lt;D xsi:type="xsd:double"&gt;15.7844411986625&lt;/D&gt;&lt;D xsi:type="xsd:double"&gt;15.3514429357773&lt;/D&gt;&lt;D xsi:type="xsd:double"&gt;15.4461670955149&lt;/D&gt;&lt;D xsi:type="xsd:double"&gt;14.3388250722841&lt;/D&gt;&lt;D xsi:type="xsd:double"&gt;13.8444101810979&lt;/D&gt;&lt;D xsi:type="xsd:double"&gt;13.8883423723967&lt;/D&gt;&lt;D xsi:type="xsd:double"&gt;13.5311335582738&lt;/D&gt;&lt;D xsi:type="xsd:double"&gt;13.2991406750771&lt;/D&gt;&lt;D xsi:type="xsd:double"&gt;12.4618597897413&lt;/D&gt;&lt;D xsi:type="xsd:double"&gt;12.935175369728&lt;/D&gt;&lt;D xsi:type="xsd:double"&gt;13.340427958014&lt;/D&gt;&lt;D xsi:type="xsd:double"&gt;13.9482659246546&lt;/D&gt;&lt;D xsi:type="xsd:double"&gt;12.5768885942864&lt;/D&gt;&lt;D xsi:type="xsd:double"&gt;12.5267784982686&lt;/D&gt;&lt;D xsi:type="xsd:double"&gt;12.2673926623655&lt;/D&gt;&lt;D xsi:type="xsd:double"&gt;11.5871341566632&lt;/D&gt;&lt;D xsi:type="xsd:double"&gt;11.5626943190475&lt;/D&gt;&lt;D xsi:type="xsd:double"&gt;10.1088662647697&lt;/D&gt;&lt;D xsi:type="xsd:double"&gt;10.5458385171366&lt;/D&gt;&lt;D xsi:type="xsd:double"&gt;10.7721630049745&lt;/D&gt;&lt;D xsi:type="xsd:double"&gt;10.2397670726678&lt;/D&gt;&lt;D xsi:type="xsd:double"&gt;10.8056217774564&lt;/D&gt;&lt;D xsi:type="xsd:double"&gt;13.012161636202&lt;/D&gt;&lt;D xsi:type="xsd:double"&gt;12.616926319795&lt;/D&gt;&lt;D xsi:type="xsd:double"&gt;14.4224451677139&lt;/D&gt;&lt;D xsi:type="xsd:double"&gt;14.5100104567214&lt;/D&gt;&lt;D xsi:type="xsd:double"&gt;15.060149394203&lt;/D&gt;&lt;D xsi:type="xsd:double"&gt;15.1464274556981&lt;/D&gt;&lt;D xsi:type="xsd:double"&gt;16.2756187418086&lt;/D&gt;&lt;D xsi:type="xsd:double"&gt;16.2967913213988&lt;/D&gt;&lt;D xsi:type="xsd:double"&gt;16.3682970415819&lt;/D&gt;&lt;D xsi:type="xsd:double"&gt;15.7229279854811&lt;/D&gt;&lt;D xsi:type="xsd:double"&gt;15.1429521619187&lt;/D&gt;&lt;D xsi:type="xsd:double"&gt;15.1721058032919&lt;/D&gt;&lt;D xsi:type="xsd:double"&gt;15.768167272465&lt;/D&gt;&lt;D xsi:type="xsd:double"&gt;15.8200832051545&lt;/D&gt;&lt;D xsi:type="xsd:double"&gt;15.9934458896585&lt;/D&gt;&lt;D xsi:type="xsd:double"&gt;19.6608504675566&lt;/D&gt;&lt;/FQL&gt;&lt;FQL&gt;&lt;Q&gt;EPHE^FMA_PE(LTMA,-10AY,0,AM,"PORTAGG","MEANR")&lt;/Q&gt;&lt;R&gt;121&lt;/R&gt;&lt;C&gt;1&lt;/C&gt;&lt;D xsi:type="xsd:double"&gt;19.3495933713033&lt;/D&gt;&lt;D xsi:type="xsd:double"&gt;19.3065055829758&lt;/D&gt;&lt;D xsi:type="xsd:double"&gt;19.2572062441827&lt;/D&gt;&lt;D xsi:type="xsd:double"&gt;19.2588491302069&lt;/D&gt;&lt;D xsi:type="xsd:double"&gt;19.2957259151999&lt;/D&gt;&lt;D xsi:type="xsd:double"&gt;19.4256206430953&lt;/D&gt;&lt;D xsi:type="xsd:double"&gt;19.8240142822179&lt;/D&gt;&lt;D xsi:type="xsd:double"&gt;19.6620860513922&lt;/D&gt;&lt;D xsi:type="xsd:double"&gt;19.8517525678196&lt;/D&gt;&lt;D xsi:type="xsd:double"&gt;20.1451757278109&lt;/D&gt;&lt;D xsi:type="xsd:double"&gt;20.0203367462338&lt;/D&gt;&lt;D xsi:type="xsd:double"&gt;20.9869837383392&lt;/D&gt;&lt;D xsi:type="xsd:double"&gt;21.0795993964331&lt;/D&gt;&lt;D xsi:type="xsd:double"&gt;20.9578228638535&lt;/D&gt;&lt;D xsi:type="xsd:double"&gt;20.5957528717704&lt;/D&gt;&lt;D xsi:type="xsd:double"&gt;20.2693230933908&lt;/D&gt;&lt;D xsi:type="xsd:double"&gt;20.1576784176844&lt;/D&gt;&lt;D xsi:type="xsd:double"&gt;20.1751344596398&lt;/D&gt;&lt;D xsi:type="xsd:double"&gt;19.086994040815&lt;/D&gt;&lt;D xsi:type="xsd:double"&gt;18.6399686878029&lt;/D&gt;&lt;D xsi:type="xsd:double"&gt;19.3431871672458&lt;/D&gt;&lt;D xsi:type="xsd:double"&gt;18.3129246245651&lt;/D&gt;&lt;D xsi:type="xsd:double"&gt;17.7987324970714&lt;/D&gt;&lt;D xsi:type="xsd:double"&gt;17.1835310919575&lt;/D&gt;&lt;D xsi:type="xsd:double"&gt;16.6916656181954&lt;/D&gt;&lt;D xsi:type="xsd:double"&gt;16.9716290619267&lt;/D&gt;&lt;D xsi:type="xsd:double"&gt;16.7667650002392&lt;/D&gt;&lt;D xsi:type="xsd:double"&gt;17.1392906380134&lt;/D&gt;&lt;D xsi:type="xsd:double"&gt;17.6914312231362&lt;/D&gt;&lt;D xsi:type="xsd:double"&gt;18.0455671276902&lt;/D&gt;&lt;D xsi:type="xsd:double"&gt;18.5959775172638&lt;/D&gt;&lt;D xsi:type="xsd:double"&gt;18.0530661808543&lt;/D&gt;&lt;D xsi:type="xsd:double"&gt;17.1531226400806&lt;/D&gt;&lt;D xsi:type="xsd:double"&gt;16.8359978150879&lt;/D&gt;&lt;D xsi:type="xsd:double"&gt;17.5954646115291&lt;/D&gt;&lt;D xsi:type="xsd:double"&gt;18.0125591538828&lt;/D&gt;&lt;D xsi:type="xsd:double"&gt;17.7777334505183&lt;/D&gt;&lt;D xsi:type="xsd:double"&gt;17.8750483163846&lt;/D&gt;&lt;D xsi:type="xsd:double"&gt;18.1187181060162&lt;/D&gt;&lt;D xsi:type="xsd:double"&gt;18.2381978843815&lt;/D&gt;&lt;D xsi:type="xsd:double"&gt;18.0609571052203&lt;/D&gt;&lt;D xsi:type="xsd:double"&gt;17.7618816625261&lt;/D&gt;&lt;D xsi:type="xsd:double"&gt;18.1699401194153&lt;/D&gt;&lt;D xsi:type="xsd:double"&gt;19.1963587853183&lt;/D&gt;&lt;D xsi:type="xsd:double"&gt;19.5375408348401&lt;/D&gt;&lt;D xsi:type="xsd:double"&gt;18.6319637595952&lt;/D&gt;&lt;D xsi:type="xsd:double"&gt;20.2248556183664&lt;/D&gt;&lt;D xsi:type="xsd:double"&gt;19.9943592965906&lt;/D&gt;&lt;D xsi:type="xsd:double"&gt;19.3856773601046&lt;/D&gt;&lt;D xsi:type="xsd:double"&gt;18.9416054975058&lt;/D&gt;&lt;D xsi:type="xsd:double"&gt;18.5273652597817&lt;/D&gt;&lt;D xsi:type="xsd:double"&gt;18.452893950943&lt;/D&gt;&lt;D xsi:type="xsd:double"&gt;17.7621831468148&lt;/D&gt;&lt;D xsi:type="xsd:double"&gt;18.105625192561&lt;/D&gt;&lt;D xsi:type="xsd:double"&gt;17.5765768617487&lt;/D&gt;&lt;D xsi:type="xsd:double"&gt;16.0390277591429&lt;/D&gt;&lt;D xsi:type="xsd:double"&gt;16.0506981672799&lt;/D&gt;&lt;D xsi:type="xsd:double"&gt;16.9328500568905&lt;/D&gt;&lt;D xsi:type="xsd:double"&gt;17.483353743689&lt;/D&gt;&lt;D xsi:type="xsd:double"&gt;17.6556784337632&lt;/D&gt;&lt;D xsi:type="xsd:double"&gt;16.786761296753&lt;/D&gt;&lt;D xsi:type="xsd:double"&gt;16.716295431776&lt;/D&gt;&lt;D xsi:type="xsd:double"&gt;16.795710610923&lt;/D&gt;&lt;D xsi:type="xsd:double"&gt;16.6702288107081&lt;/D&gt;&lt;D xsi:type="xsd:double"&gt;16.758838766501&lt;/D&gt;&lt;D xsi:type="xsd:double"&gt;16.6679205588759&lt;/D&gt;&lt;D xsi:type="xsd:double"&gt;15.4263991574188&lt;/D&gt;&lt;D xsi:type="xsd:double"&gt;15.0457233426378&lt;/D&gt;&lt;D xsi:type="xsd:double"&gt;15.3965967602032&lt;/D&gt;&lt;D xsi:type="xsd:double"&gt;14.7234563939513&lt;/D&gt;&lt;D xsi:type="xsd:double"&gt;15.0821133303162&lt;/D&gt;&lt;D xsi:type="xsd:double"&gt;13.823039458682&lt;/D&gt;&lt;D xsi:type="xsd:double"&gt;13.0412432956176&lt;/D&gt;&lt;D xsi:type="xsd:double"&gt;12.3950827029151&lt;/D&gt;&lt;D xsi:type="xsd:double"&gt;12.905076930921&lt;/D&gt;&lt;D xsi:type="xsd:double"&gt;15.2087475669131&lt;/D&gt;&lt;D xsi:type="xsd:double"&gt;15.7428279853292&lt;/D&gt;&lt;D xsi:type="xsd:double"&gt;15.8989183253537&lt;/D&gt;&lt;D xsi:type="xsd:double"&gt;17.6551118985637&lt;/D&gt;&lt;D xsi:type="xsd:double"&gt;19.5593259816203&lt;/D&gt;&lt;D xsi:type="xsd:double"&gt;21.7167172182078&lt;/D&gt;&lt;D xsi:type="xsd:double"&gt;24.4214986080489&lt;/D&gt;&lt;D xsi:type="xsd:double"&gt;25.5533178617935&lt;/D&gt;&lt;D xsi:type="xsd:double"&gt;24.3510263143881&lt;/D&gt;&lt;D xsi:type="xsd:double"&gt;22.9253134269719&lt;/D&gt;&lt;D xsi:type="xsd:double"&gt;22.109377354273&lt;/D&gt;&lt;D xsi:type="xsd:double"&gt;21.3928271371296&lt;/D&gt;&lt;D xsi:type="xsd:double"&gt;21.6930844960036&lt;/D&gt;&lt;D xsi:type="xsd:double"&gt;21.4165329426641&lt;/D&gt;&lt;D xsi:type="xsd:double"&gt;20.3149450658846&lt;/D&gt;&lt;D xsi:type="xsd:double"&gt;20.5023457562426&lt;/D&gt;&lt;D xsi:type="xsd:double"&gt;20.4091694105998&lt;/D&gt;&lt;D xsi:type="xsd:double"&gt;20.6580527053009&lt;/D&gt;&lt;D xsi:type="xsd:double"&gt;19.721722276093&lt;/D&gt;&lt;D xsi:type="xsd:double"&gt;19.1910155954179&lt;/D&gt;&lt;D xsi:type="xsd:double"&gt;19.7908245279448&lt;/D&gt;&lt;D xsi:type="xsd:double"&gt;19.3222523085848&lt;/D&gt;&lt;D xsi:type="xsd:double"&gt;18.8884079138244&lt;/D&gt;&lt;D xsi:type="xsd:double"&gt;18.1624038618522&lt;/D&gt;&lt;D xsi:type="xsd:double"&gt;17.7528258974007&lt;/D&gt;&lt;D xsi:type="xsd:double"&gt;16.746933270558&lt;/D&gt;&lt;D xsi:type="xsd:double"&gt;16.5022161614986&lt;/D&gt;&lt;D xsi:type="xsd:double"&gt;16.198251193796&lt;/D&gt;&lt;D xsi:type="xsd:double"&gt;14.3916815337468&lt;/D&gt;&lt;D xsi:type="xsd:double"&gt;13.9865317337665&lt;/D&gt;&lt;D xsi:type="xsd:double"&gt;14.0979663376986&lt;/D&gt;&lt;D xsi:type="xsd:double"&gt;14.1186450988531&lt;/D&gt;&lt;D xsi:type="xsd:double"&gt;14.4553259390582&lt;/D&gt;&lt;D xsi:type="xsd:double"&gt;13.2612789746702&lt;/D&gt;&lt;D xsi:type="xsd:double"&gt;13.1139157540727&lt;/D&gt;&lt;D xsi:type="xsd:double"&gt;12.989937706277&lt;/D&gt;&lt;D xsi:type="xsd:double"&gt;12.2931642258437&lt;/D&gt;&lt;D xsi:type="xsd:double"&gt;12.0141173907774&lt;/D&gt;&lt;D xsi:type="xsd:double"&gt;11.6933448137556&lt;/D&gt;&lt;D xsi:type="xsd:double"&gt;11.0585362374976&lt;/D&gt;&lt;D xsi:type="xsd:double"&gt;11.1895846354167&lt;/D&gt;&lt;D xsi:type="xsd:double"&gt;10.5547552412547&lt;/D&gt;&lt;D xsi:type="xsd:double"&gt;10.3044337942323&lt;/D&gt;&lt;D xsi:type="xsd:double"&gt;10.1098818312012&lt;/D&gt;&lt;D xsi:type="xsd:double"&gt;10.214309524925&lt;/D&gt;&lt;D xsi:type="xsd:double"&gt;10.7792793566275&lt;/D&gt;&lt;/FQL&gt;&lt;FQL&gt;&lt;Q&gt;PASP-FDS^FG_PRICE(0)/MAX(FG_PRICE(0,-1AY))&lt;/Q&gt;&lt;R&gt;1&lt;/R&gt;&lt;C&gt;1&lt;/C&gt;&lt;D xsi:type="xsd:double"&gt;0.585365853658537&lt;/D&gt;&lt;/FQL&gt;&lt;FQL&gt;&lt;Q&gt;CPALM-FDS^FG_PRICE(0)/MAX(FG_PRICE(0,-1AY))&lt;/Q&gt;&lt;R&gt;1&lt;/R&gt;&lt;C&gt;1&lt;/C&gt;&lt;D xsi:type="xsd:double"&gt;0.928356829211925&lt;/D&gt;&lt;/FQL&gt;&lt;FQL&gt;&lt;Q&gt;COPP-FDS^FG_PRICE_CHANGE(0,-1AY)&lt;/Q&gt;&lt;R&gt;1&lt;/R&gt;&lt;C&gt;1&lt;/C&gt;&lt;D xsi:type="xsd:double"&gt;-5.5419323197646&lt;/D&gt;&lt;/FQL&gt;&lt;FQL&gt;&lt;Q&gt;QAT^FG_PRICE_MAVG(0,,,,30)&lt;/Q&gt;&lt;R&gt;1&lt;/R&gt;&lt;C&gt;1&lt;/C&gt;&lt;D xsi:type="xsd:double"&gt;17.590754&lt;/D&gt;&lt;/FQL&gt;&lt;FQL&gt;&lt;Q&gt;EWY^FG_PRICE_MAVG(0,,,,60)&lt;/Q&gt;&lt;R&gt;1&lt;/R&gt;&lt;C&gt;1&lt;/C&gt;&lt;D xsi:type="xsd:double"&gt;62.648335&lt;/D&gt;&lt;/FQL&gt;&lt;FQL&gt;&lt;Q&gt;EWJ^FG_TOTAL_RETURNC(0,-6AM)&lt;/Q&gt;&lt;R&gt;1&lt;/R&gt;&lt;C&gt;1&lt;/C&gt;&lt;D xsi:type="xsd:double"&gt;14.29001&lt;/D&gt;&lt;/FQL&gt;&lt;FQL&gt;&lt;Q&gt;INDA^FG_TOTAL_RETURNC(0,-6AM)&lt;/Q&gt;&lt;R&gt;1&lt;/R&gt;&lt;C&gt;1&lt;/C&gt;&lt;D xsi:type="xsd:double"&gt;17.33725&lt;/D&gt;&lt;/FQL&gt;&lt;FQL&gt;&lt;Q&gt;EWT^P_PRICE(0)/P_PRICE_HIGH_PR(0,,,USD,,,"PRICE","INTRA","52W")&lt;/Q&gt;&lt;R&gt;1&lt;/R&gt;&lt;C&gt;1&lt;/C&gt;&lt;D xsi:type="xsd:double"&gt;0.9420203&lt;/D&gt;&lt;/FQL&gt;&lt;FQL&gt;&lt;Q&gt;MCHI^FMA_PCT_ABOVE_MAVG(200,0,,,,"PORTAGG")&lt;/Q&gt;&lt;R&gt;1&lt;/R&gt;&lt;C&gt;1&lt;/C&gt;&lt;D xsi:type="xsd:double"&gt;34.6581875993641&lt;/D&gt;&lt;/FQL&gt;&lt;FQL&gt;&lt;Q&gt;VNM^FMA_COS_UP("EPS","1M",+1,NOW,,,"PORTAGG","MEANR")&lt;/Q&gt;&lt;R&gt;1&lt;/R&gt;&lt;C&gt;1&lt;/C&gt;&lt;D xsi:type="xsd:double"&gt;9&lt;/D&gt;&lt;/FQL&gt;&lt;FQL&gt;&lt;Q&gt;EZA^SIZE(FG_CONSTITUENTS)&lt;/Q&gt;&lt;R&gt;1&lt;/R&gt;&lt;C&gt;1&lt;/C&gt;&lt;D xsi:type="xsd:long"&gt;33&lt;/D&gt;&lt;/FQL&gt;&lt;FQL&gt;&lt;Q&gt;TRYAE10Y-FDS^FG_YIELD_NAME&lt;/Q&gt;&lt;R&gt;1&lt;/R&gt;&lt;C&gt;1&lt;/C&gt;&lt;D xsi:type="xsd:string"&gt;Treasury - United Arab Emirates USD Benchmark Bond 10Y&lt;/D&gt;&lt;/FQL&gt;&lt;FQL&gt;&lt;Q&gt;REFSAREPO-FDS^PROPER_NAME(0,,,"SECURITY","NAME")&lt;/Q&gt;&lt;R&gt;1&lt;/R&gt;&lt;C&gt;1&lt;/C&gt;&lt;D xsi:type="xsd:string"&gt;Saudi Arabia Repo Rate&lt;/D&gt;&lt;/FQL&gt;&lt;FQL&gt;&lt;Q&gt;REFINREPO-FDS^FG_YIELD(NOW,,,0)&lt;/Q&gt;&lt;R&gt;1&lt;/R&gt;&lt;C&gt;1&lt;/C&gt;&lt;D xsi:type="xsd:double"&gt;6.5&lt;/D&gt;&lt;/FQL&gt;&lt;FQL&gt;&lt;Q&gt;REFTWDISC-FDS^PROPER_NAME(0,,,"SECURITY","NAME")&lt;/Q&gt;&lt;R&gt;1&lt;/R&gt;&lt;C&gt;1&lt;/C&gt;&lt;D xsi:type="xsd:string"&gt;Taiwan China Discount Rate&lt;/D&gt;&lt;/FQL&gt;&lt;FQL&gt;&lt;Q&gt;TRYGR10Y-FDS^PCTCHG(FG_YIELD(0,,,,"YTM"),FG_YIELD(-1AM,,,,"YTM"))&lt;/Q&gt;&lt;R&gt;1&lt;/R&gt;&lt;C&gt;1&lt;/C&gt;&lt;D xsi:type="xsd:double"&gt;5.5860834&lt;/D&gt;&lt;/FQL&gt;&lt;FQL&gt;&lt;Q&gt;TRYID10Y-FDS^PCTCHG(FG_YIELD(0,,,,"YTM"),FG_YIELD(-1AM,,,,"YTM"))&lt;/Q&gt;&lt;R&gt;1&lt;/R&gt;&lt;C&gt;1&lt;/C&gt;&lt;D xsi:type="xsd:double"&gt;2.2948084&lt;/D&gt;&lt;/FQL&gt;&lt;FQL&gt;&lt;Q&gt;TRYCN10Y-FDS^FG_YIELD(0,,,,"YTM")&lt;/Q&gt;&lt;R&gt;1&lt;/R&gt;&lt;C&gt;1&lt;/C&gt;&lt;D xsi:type="xsd:double"&gt;2.3653&lt;/D&gt;&lt;/FQL&gt;&lt;FQL&gt;&lt;Q&gt;EPHE^FMA_ROE(NTMA,-20AY,NOW,FY,"PORTAGG","MEANR")&lt;/Q&gt;&lt;R&gt;20&lt;/R&gt;&lt;C&gt;1&lt;/C&gt;&lt;D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xsi:type="xsd:double"&gt;14.7602970828313&lt;/D&gt;&lt;D xsi:type="xsd:double"&gt;15.1929773886247&lt;/D&gt;&lt;D xsi:type="xsd:double"&gt;13.700399154582&lt;/D&gt;&lt;D xsi:type="xsd:double"&gt;13.6976116734629&lt;/D&gt;&lt;D xsi:type="xsd:double"&gt;14.2196145027033&lt;/D&gt;&lt;D xsi:type="xsd:double"&gt;13.3322794237975&lt;/D&gt;&lt;D xsi:type="xsd:double"&gt;12.7182053290138&lt;/D&gt;&lt;D xsi:type="xsd:double"&gt;12.3434443766015&lt;/D&gt;&lt;D xsi:type="xsd:double"&gt;11.7069295115669&lt;/D&gt;&lt;D xsi:type="xsd:double"&gt;12.0539318289059&lt;/D&gt;&lt;D xsi:type="xsd:double"&gt;8.91575729825207&lt;/D&gt;&lt;D xsi:type="xsd:double"&gt;9.59945410192867&lt;/D&gt;&lt;D xsi:type="xsd:double"&gt;10.6731246353468&lt;/D&gt;&lt;D xsi:type="xsd:double"&gt;11.9407094450334&lt;/D&gt;&lt;/FQL&gt;&lt;FQL&gt;&lt;Q&gt;TIPSCL10Y-FDS^FG_YIELD(-10AY,0,Y,,"YTM")&lt;/Q&gt;&lt;R&gt;10&lt;/R&gt;&lt;C&gt;1&lt;/C&gt;&lt;D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xsi:type="xsd:double"&gt;5.3314&lt;/D&gt;&lt;/FQL&gt;&lt;FQL&gt;&lt;Q&gt;USDVND^STD(FG_PRICE_CHANGE(0,-3AY,M))&lt;/Q&gt;&lt;R&gt;1&lt;/R&gt;&lt;C&gt;1&lt;/C&gt;&lt;D xsi:type="xsd:double"&gt;1.23729396290071&lt;/D&gt;&lt;/FQL&gt;&lt;FQL&gt;&lt;Q&gt;USDINR^FG_COMPANY_NAME&lt;/Q&gt;&lt;R&gt;1&lt;/R&gt;&lt;C&gt;1&lt;/C&gt;&lt;D xsi:type="xsd:string"&gt;Indian Rupee per U.S. Dollar&lt;/D&gt;&lt;/FQL&gt;&lt;FQL&gt;&lt;Q&gt;USDKRW^STD(FG_PRICE_CHANGE(0,-3AY,M))&lt;/Q&gt;&lt;R&gt;1&lt;/R&gt;&lt;C&gt;1&lt;/C&gt;&lt;D xsi:type="xsd:double"&gt;3.0108874403505&lt;/D&gt;&lt;/FQL&gt;&lt;FQL&gt;&lt;Q&gt;USDPHP^FG_COMPANY_NAME&lt;/Q&gt;&lt;R&gt;1&lt;/R&gt;&lt;C&gt;1&lt;/C&gt;&lt;D xsi:type="xsd:string"&gt;Philippines Peso per U.S. Dollar&lt;/D&gt;&lt;/FQL&gt;&lt;FQL&gt;&lt;Q&gt;FC0000AE^FMA_EPS(NTMA,-20AY,0,CY,,"PORTAGG","MEANR")&lt;/Q&gt;&lt;R&gt;20&lt;/R&gt;&lt;C&gt;1&lt;/C&gt;&lt;D xsi:type="xsd:string"&gt;@NA&lt;/D&gt;&lt;D xsi:type="xsd:string"&gt;@NA&lt;/D&gt;&lt;D xsi:type="xsd:double"&gt;9.51942202383999&lt;/D&gt;&lt;D xsi:type="xsd:double"&gt;6.27417255991747&lt;/D&gt;&lt;D xsi:type="xsd:double"&gt;8.02074819362704&lt;/D&gt;&lt;D xsi:type="xsd:double"&gt;5.61305265783873&lt;/D&gt;&lt;D xsi:type="xsd:double"&gt;4.48773354464463&lt;/D&gt;&lt;D xsi:type="xsd:double"&gt;4.36276532972229&lt;/D&gt;&lt;D xsi:type="xsd:double"&gt;4.57776089413252&lt;/D&gt;&lt;D xsi:type="xsd:double"&gt;5.61852556037871&lt;/D&gt;&lt;D xsi:type="xsd:double"&gt;6.62765839680209&lt;/D&gt;&lt;D xsi:type="xsd:double"&gt;6.49328499289418&lt;/D&gt;&lt;D xsi:type="xsd:double"&gt;6.08610782877682&lt;/D&gt;&lt;D xsi:type="xsd:double"&gt;7.11967239035059&lt;/D&gt;&lt;D xsi:type="xsd:double"&gt;7.13788542966966&lt;/D&gt;&lt;D xsi:type="xsd:double"&gt;7.02066550129132&lt;/D&gt;&lt;D xsi:type="xsd:double"&gt;5.12773396532515&lt;/D&gt;&lt;D xsi:type="xsd:double"&gt;7.54796836303461&lt;/D&gt;&lt;D xsi:type="xsd:double"&gt;11.3918613611305&lt;/D&gt;&lt;D xsi:type="xsd:double"&gt;11.0560462162474&lt;/D&gt;&lt;/FQL&gt;&lt;FQL&gt;&lt;Q&gt;EZA^FG_TOTAL_RETURNC(-10AY,0,AM)&lt;/Q&gt;&lt;R&gt;121&lt;/R&gt;&lt;C&gt;1&lt;/C&gt;&lt;D xsi:type="xsd:double"&gt;10.795652&lt;/D&gt;&lt;D xsi:type="xsd:double"&gt;3.3375502&lt;/D&gt;&lt;D xsi:type="xsd:double"&gt;3.7501812&lt;/D&gt;&lt;D xsi:type="xsd:double"&gt;-1.5343785&lt;/D&gt;&lt;D xsi:type="xsd:double"&gt;4.836595&lt;/D&gt;&lt;D xsi:type="xsd:double"&gt;2.7257085&lt;/D&gt;&lt;D xsi:type="xsd:double"&gt;0.78618526&lt;/D&gt;&lt;D xsi:type="xsd:double"&gt;-10.767519&lt;/D&gt;&lt;D xsi:type="xsd:double"&gt;7.040274&lt;/D&gt;&lt;D xsi:type="xsd:double"&gt;-2.6833832&lt;/D&gt;&lt;D xsi:type="xsd:double"&gt;-3.5823762&lt;/D&gt;&lt;D xsi:type="xsd:double"&gt;8.896244&lt;/D&gt;&lt;D xsi:type="xsd:double"&gt;-2.9207706&lt;/D&gt;&lt;D xsi:type="xsd:double"&gt;3.1724691&lt;/D&gt;&lt;D xsi:type="xsd:double"&gt;0.7651329&lt;/D&gt;&lt;D xsi:type="xsd:double"&gt;-11.489975&lt;/D&gt;&lt;D xsi:type="xsd:double"&gt;7.1732044&lt;/D&gt;&lt;D xsi:type="xsd:double"&gt;-5.437928&lt;/D&gt;&lt;D xsi:type="xsd:double"&gt;-14.4813175&lt;/D&gt;&lt;D xsi:type="xsd:double"&gt;6.630254&lt;/D&gt;</t>
        </r>
      </text>
    </comment>
    <comment ref="A13" authorId="0" shapeId="0" xr:uid="{CA74CE21-127D-42CC-8F6E-12EE31048FB9}">
      <text>
        <r>
          <rPr>
            <b/>
            <sz val="9"/>
            <color indexed="81"/>
            <rFont val="Tahoma"/>
            <family val="2"/>
          </rPr>
          <t>&lt;D xsi:type="xsd:double"&gt;1.254189&lt;/D&gt;&lt;D xsi:type="xsd:double"&gt;-11.304956&lt;/D&gt;&lt;D xsi:type="xsd:double"&gt;-8.692604&lt;/D&gt;&lt;D xsi:type="xsd:double"&gt;-1.0304809&lt;/D&gt;&lt;D xsi:type="xsd:double"&gt;10.035443&lt;/D&gt;&lt;D xsi:type="xsd:double"&gt;5.8586717&lt;/D&gt;&lt;D xsi:type="xsd:double"&gt;-4.6595693&lt;/D&gt;&lt;D xsi:type="xsd:double"&gt;8.098936&lt;/D&gt;&lt;D xsi:type="xsd:double"&gt;0.9441376&lt;/D&gt;&lt;D xsi:type="xsd:double"&gt;8.909392&lt;/D&gt;&lt;D xsi:type="xsd:double"&gt;-4.946387&lt;/D&gt;&lt;D xsi:type="xsd:double"&gt;-0.20014644&lt;/D&gt;&lt;D xsi:type="xsd:double"&gt;-4.138553&lt;/D&gt;&lt;D xsi:type="xsd:double"&gt;-4.450363&lt;/D&gt;&lt;D xsi:type="xsd:double"&gt;7.642722&lt;/D&gt;&lt;D xsi:type="xsd:double"&gt;3.757012&lt;/D&gt;&lt;D xsi:type="xsd:double"&gt;1.5492678&lt;/D&gt;&lt;D xsi:type="xsd:double"&gt;-1.6498148&lt;/D&gt;&lt;D xsi:type="xsd:double"&gt;2.3448825&lt;/D&gt;&lt;D xsi:type="xsd:double"&gt;6.8910837&lt;/D&gt;&lt;D xsi:type="xsd:double"&gt;-5.569786&lt;/D&gt;&lt;D xsi:type="xsd:double"&gt;5.4929614&lt;/D&gt;&lt;D xsi:type="xsd:double"&gt;5.440593&lt;/D&gt;&lt;D xsi:type="xsd:double"&gt;-6.3944283&lt;/D&gt;&lt;D xsi:type="xsd:double"&gt;1.0990858&lt;/D&gt;&lt;D xsi:type="xsd:double"&gt;6.6064596&lt;/D&gt;&lt;D xsi:type="xsd:double"&gt;10.801876&lt;/D&gt;&lt;D xsi:type="xsd:double"&gt;-1.7007351&lt;/D&gt;&lt;D xsi:type="xsd:double"&gt;4.3035746&lt;/D&gt;&lt;D xsi:type="xsd:double"&gt;-5.1853952&lt;/D&gt;&lt;D xsi:type="xsd:double"&gt;-3.4989655&lt;/D&gt;&lt;D xsi:type="xsd:double"&gt;-0.4875064&lt;/D&gt;&lt;D xsi:type="xsd:double"&gt;-10.754633&lt;/D&gt;&lt;D xsi:type="xsd:double"&gt;3.762412&lt;/D&gt;&lt;D xsi:type="xsd:double"&gt;-14.420009&lt;/D&gt;&lt;D xsi:type="xsd:double"&gt;-2.8246343&lt;/D&gt;&lt;D xsi:type="xsd:double"&gt;5.4905057&lt;/D&gt;&lt;D xsi:type="xsd:double"&gt;2.1814108&lt;/D&gt;&lt;D xsi:type="xsd:double"&gt;1.758492&lt;/D&gt;&lt;D xsi:type="xsd:double"&gt;4.6437383&lt;/D&gt;&lt;D xsi:type="xsd:double"&gt;-4.8329115&lt;/D&gt;&lt;D xsi:type="xsd:double"&gt;4.0588975&lt;/D&gt;&lt;D xsi:type="xsd:double"&gt;4.100144&lt;/D&gt;&lt;D xsi:type="xsd:double"&gt;-7.790172&lt;/D&gt;&lt;D xsi:type="xsd:double"&gt;5.7207108&lt;/D&gt;&lt;D xsi:type="xsd:double"&gt;-8.19282&lt;/D&gt;&lt;D xsi:type="xsd:double"&gt;-1.8766165&lt;/D&gt;&lt;D xsi:type="xsd:double"&gt;-1.4242113&lt;/D&gt;&lt;D xsi:type="xsd:double"&gt;5.2012444&lt;/D&gt;&lt;D xsi:type="xsd:double"&gt;-2.8055727&lt;/D&gt;&lt;D xsi:type="xsd:double"&gt;6.8903804&lt;/D&gt;&lt;D xsi:type="xsd:double"&gt;-4.4444504&lt;/D&gt;&lt;D xsi:type="xsd:double"&gt;-8.758963&lt;/D&gt;&lt;D xsi:type="xsd:double"&gt;-36.96999&lt;/D&gt;&lt;D xsi:type="xsd:double"&gt;18.065012&lt;/D&gt;&lt;D xsi:type="xsd:double"&gt;17.73367&lt;/D&gt;&lt;D xsi:type="xsd:double"&gt;1.5841126&lt;/D&gt;&lt;D xsi:type="xsd:double"&gt;1.3355136&lt;/D&gt;&lt;D xsi:type="xsd:double"&gt;0.026893616&lt;/D&gt;&lt;D xsi:type="xsd:double"&gt;0.86044073&lt;/D&gt;&lt;D xsi:type="xsd:double"&gt;5.9450865&lt;/D&gt;&lt;D xsi:type="xsd:double"&gt;10.468042&lt;/D&gt;&lt;D xsi:type="xsd:double"&gt;4.4986486&lt;/D&gt;&lt;D xsi:type="xsd:double"&gt;4.7683835&lt;/D&gt;&lt;D xsi:type="xsd:double"&gt;2.405727&lt;/D&gt;&lt;D xsi:type="xsd:double"&gt;6.4761877&lt;/D&gt;&lt;D xsi:type="xsd:double"&gt;-2.6038587&lt;/D&gt;&lt;D xsi:type="xsd:double"&gt;11.632657&lt;/D&gt;&lt;D xsi:type="xsd:double"&gt;-9.411198&lt;/D&gt;&lt;D xsi:type="xsd:double"&gt;-0.08146167&lt;/D&gt;&lt;D xsi:type="xsd:double"&gt;0.2853632&lt;/D&gt;&lt;D xsi:type="xsd:double"&gt;-4.8983755&lt;/D&gt;&lt;D xsi:type="xsd:double"&gt;2.7356267&lt;/D&gt;&lt;D xsi:type="xsd:double"&gt;-4.8054934&lt;/D&gt;&lt;D xsi:type="xsd:double"&gt;3.4171343&lt;/D&gt;&lt;D xsi:type="xsd:double"&gt;6.554222&lt;/D&gt;&lt;D xsi:type="xsd:double"&gt;4.367864&lt;/D&gt;&lt;D xsi:type="xsd:double"&gt;7.813394&lt;/D&gt;&lt;D xsi:type="xsd:double"&gt;-12.909544&lt;/D&gt;&lt;D xsi:type="xsd:double"&gt;-2.228582&lt;/D&gt;&lt;D xsi:type="xsd:double"&gt;-9.41292&lt;/D&gt;&lt;D xsi:type="xsd:double"&gt;-0.519228&lt;/D&gt;&lt;D xsi:type="xsd:double"&gt;-6.0023785&lt;/D&gt;&lt;D xsi:type="xsd:double"&gt;-2.0444155&lt;/D&gt;&lt;D xsi:type="xsd:double"&gt;4.9471736&lt;/D&gt;&lt;D xsi:type="xsd:double"&gt;5.646944&lt;/D&gt;&lt;D xsi:type="xsd:double"&gt;7.049036&lt;/D&gt;&lt;D xsi:type="xsd:double"&gt;-0.4848957&lt;/D&gt;&lt;D xsi:type="xsd:double"&gt;-6.578076&lt;/D&gt;&lt;D xsi:type="xsd:double"&gt;2.7264118&lt;/D&gt;&lt;D xsi:type="xsd:double"&gt;-3.161788&lt;/D&gt;&lt;D xsi:type="xsd:double"&gt;-7.5071454&lt;/D&gt;&lt;D xsi:type="xsd:double"&gt;4.5663238&lt;/D&gt;&lt;D xsi:type="xsd:double"&gt;3.9608955&lt;/D&gt;&lt;D xsi:type="xsd:double"&gt;-4.991561&lt;/D&gt;&lt;D xsi:type="xsd:double"&gt;-8.248729&lt;/D&gt;&lt;D xsi:type="xsd:double"&gt;12.11617&lt;/D&gt;&lt;D xsi:type="xsd:double"&gt;-0.6908417&lt;/D&gt;&lt;D xsi:type="xsd:double"&gt;-0.53788424&lt;/D&gt;&lt;D xsi:type="xsd:double"&gt;-1.340419&lt;/D&gt;&lt;D xsi:type="xsd:double"&gt;-2.6403427&lt;/D&gt;&lt;/FQL&gt;&lt;FQL&gt;&lt;Q&gt;EWT^FMA_DIV_YLD(NTMA,-10AY,0,AM,"PORTAGG","MEANR")&lt;/Q&gt;&lt;R&gt;121&lt;/R&gt;&lt;C&gt;1&lt;/C&gt;&lt;D xsi:type="xsd:double"&gt;3.38635923028935&lt;/D&gt;&lt;D xsi:type="xsd:double"&gt;3.24235337537054&lt;/D&gt;&lt;D xsi:type="xsd:double"&gt;3.25720849263201&lt;/D&gt;&lt;D xsi:type="xsd:double"&gt;3.21037453776594&lt;/D&gt;&lt;D xsi:type="xsd:double"&gt;3.03976975343355&lt;/D&gt;&lt;D xsi:type="xsd:double"&gt;3.22120159763743&lt;/D&gt;&lt;D xsi:type="xsd:double"&gt;3.22544135215011&lt;/D&gt;&lt;D xsi:type="xsd:double"&gt;3.43212312067036&lt;/D&gt;&lt;D xsi:type="xsd:double"&gt;3.47149432314766&lt;/D&gt;&lt;D xsi:type="xsd:double"&gt;3.38520497414904&lt;/D&gt;&lt;D xsi:type="xsd:double"&gt;3.41773328043405&lt;/D&gt;&lt;D xsi:type="xsd:double"&gt;3.40615992718089&lt;/D&gt;&lt;D xsi:type="xsd:double"&gt;3.38545050650861&lt;/D&gt;&lt;D xsi:type="xsd:double"&gt;3.53917696889273&lt;/D&gt;&lt;D xsi:type="xsd:double"&gt;3.48225281950104&lt;/D&gt;&lt;D xsi:type="xsd:double"&gt;3.84279599272722&lt;/D&gt;&lt;D xsi:type="xsd:double"&gt;3.84605150443461&lt;/D&gt;&lt;D xsi:type="xsd:double"&gt;4.15515816910438&lt;/D&gt;&lt;D xsi:type="xsd:double"&gt;4.45016037112001&lt;/D&gt;&lt;D xsi:type="xsd:double"&gt;4.30792811813771&lt;/D&gt;&lt;D xsi:type="xsd:double"&gt;3.93864463111506&lt;/D&gt;&lt;D xsi:type="xsd:double"&gt;4.18351519242003&lt;/D&gt;&lt;D xsi:type="xsd:double"&gt;4.39812065804578&lt;/D&gt;&lt;D xsi:type="xsd:double"&gt;4.41330651483617&lt;/D&gt;&lt;D xsi:type="xsd:double"&gt;4.20408201591351&lt;/D&gt;&lt;D xsi:type="xsd:double"&gt;4.17687220741894&lt;/D&gt;&lt;D xsi:type="xsd:double"&gt;4.54461049547785&lt;/D&gt;&lt;D xsi:type="xsd:double"&gt;4.22304342834836&lt;/D&gt;&lt;D xsi:type="xsd:double"&gt;4.1462086573054&lt;/D&gt;&lt;D xsi:type="xsd:double"&gt;4.06079442058257&lt;/D&gt;&lt;D xsi:type="xsd:double"&gt;4.11919236799307&lt;/D&gt;&lt;D xsi:type="xsd:double"&gt;3.97842622116317&lt;/D&gt;&lt;D xsi:type="xsd:double"&gt;4.11880863323515&lt;/D&gt;&lt;D xsi:type="xsd:double"&gt;4.23272697144186&lt;/D&gt;&lt;D xsi:type="xsd:double"&gt;4.19923773156005&lt;/D&gt;&lt;D xsi:type="xsd:double"&gt;4.16053866889644&lt;/D&gt;&lt;D xsi:type="xsd:double"&gt;4.19074607538359&lt;/D&gt;&lt;D xsi:type="xsd:double"&gt;4.15305222259877&lt;/D&gt;&lt;D xsi:type="xsd:double"&gt;4.0519997474322&lt;/D&gt;&lt;D xsi:type="xsd:double"&gt;4.04317918906606&lt;/D&gt;&lt;D xsi:type="xsd:double"&gt;3.9817722341158&lt;/D&gt;&lt;D xsi:type="xsd:double"&gt;3.95240155841132&lt;/D&gt;&lt;D xsi:type="xsd:double"&gt;4.00753234625683&lt;/D&gt;&lt;D xsi:type="xsd:double"&gt;4.11095949065962&lt;/D&gt;&lt;D xsi:type="xsd:double"&gt;4.04308960550724&lt;/D&gt;&lt;D xsi:type="xsd:double"&gt;4.08926377698325&lt;/D&gt;&lt;D xsi:type="xsd:double"&gt;4.12732357008165&lt;/D&gt;&lt;D xsi:type="xsd:double"&gt;4.03478658675344&lt;/D&gt;&lt;D xsi:type="xsd:double"&gt;4.25419118256891&lt;/D&gt;&lt;D xsi:type="xsd:double"&gt;4.20045636123168&lt;/D&gt;&lt;D xsi:type="xsd:double"&gt;4.45336440914322&lt;/D&gt;&lt;D xsi:type="xsd:double"&gt;4.27405107880328&lt;/D&gt;&lt;D xsi:type="xsd:double"&gt;4.51129840917985&lt;/D&gt;&lt;D xsi:type="xsd:double"&gt;4.34899860674742&lt;/D&gt;&lt;D xsi:type="xsd:double"&gt;4.36376449136935&lt;/D&gt;&lt;D xsi:type="xsd:double"&gt;4.55840377713031&lt;/D&gt;&lt;D xsi:type="xsd:double"&gt;4.87458984908639&lt;/D&gt;&lt;D xsi:type="xsd:double"&gt;4.82741686030435&lt;/D&gt;&lt;D xsi:type="xsd:double"&gt;5.11024124213986&lt;/D&gt;&lt;D xsi:type="xsd:double"&gt;4.63744870200274&lt;/D&gt;&lt;D xsi:type="xsd:double"&gt;4.46834257505539&lt;/D&gt;&lt;D xsi:type="xsd:double"&gt;4.24765208374896&lt;/D&gt;&lt;D xsi:type="xsd:double"&gt;4.16145566492493&lt;/D&gt;&lt;D xsi:type="xsd:double"&gt;4.52663974034053&lt;/D&gt;&lt;D xsi:type="xsd:double"&gt;4.35012415425778&lt;/D&gt;&lt;D xsi:type="xsd:double"&gt;4.40649335125511&lt;/D&gt;&lt;D xsi:type="xsd:double"&gt;4.3597891393366&lt;/D&gt;&lt;D xsi:type="xsd:double"&gt;4.26195753208098&lt;/D&gt;&lt;D xsi:type="xsd:double"&gt;4.02503038600969&lt;/D&gt;&lt;D xsi:type="xsd:double"&gt;4.1314325172383&lt;/D&gt;&lt;D xsi:type="xsd:double"&gt;3.97493935784746&lt;/D&gt;&lt;D xsi:type="xsd:double"&gt;4.14952115632182&lt;/D&gt;&lt;D xsi:type="xsd:double"&gt;4.18011555777635&lt;/D&gt;&lt;D xsi:type="xsd:double"&gt;4.71419114387273&lt;/D&gt;&lt;D xsi:type="xsd:double"&gt;4.18421283258586&lt;/D&gt;&lt;D xsi:type="xsd:double"&gt;3.95169858764489&lt;/D&gt;&lt;D xsi:type="xsd:double"&gt;3.83530017374111&lt;/D&gt;&lt;D xsi:type="xsd:double"&gt;3.61705460808283&lt;/D&gt;&lt;D xsi:type="xsd:double"&gt;3.87751018788279&lt;/D&gt;&lt;D xsi:type="xsd:double"&gt;3.91404932605108&lt;/D&gt;&lt;D xsi:type="xsd:double"&gt;3.90696062509182&lt;/D&gt;&lt;D xsi:type="xsd:double"&gt;3.6934694539303&lt;/D&gt;&lt;D xsi:type="xsd:double"&gt;3.58548057878137&lt;/D&gt;&lt;D xsi:type="xsd:double"&gt;3.55319714344353&lt;/D&gt;&lt;D xsi:type="xsd:double"&gt;3.6436229950495&lt;/D&gt;&lt;D xsi:type="xsd:double"&gt;3.6512275586899&lt;/D&gt;&lt;D xsi:type="xsd:double"&gt;3.85862196635022&lt;/D&gt;&lt;D xsi:type="xsd:double"&gt;4.00441089419233&lt;/D&gt;&lt;D xsi:type="xsd:double"&gt;4.0097172175639&lt;/D&gt;&lt;D xsi:type="xsd:double"&gt;4.13504882413711&lt;/D&gt;&lt;D xsi:type="xsd:double"&gt;4.18468749806361&lt;/D&gt;&lt;D xsi:type="xsd:double"&gt;4.51393544707845&lt;/D&gt;&lt;D xsi:type="xsd:double"&gt;4.37277564072929&lt;/D&gt;&lt;D xsi:type="xsd:double"&gt;4.23830431602271&lt;/D&gt;&lt;D xsi:type="xsd:double"&gt;4.04149711373517&lt;/D&gt;&lt;D xsi:type="xsd:double"&gt;4.41333125964086&lt;/D&gt;&lt;D xsi:type="xsd:double"&gt;4.40656866511315&lt;/D&gt;&lt;D xsi:type="xsd:double"&gt;4.48581322572753&lt;/D&gt;&lt;D xsi:type="xsd:double"&gt;4.74747168675863&lt;/D&gt;&lt;D xsi:type="xsd:double"&gt;4.69686878661694&lt;/D&gt;&lt;D xsi:type="xsd:double"&gt;5.34541247318255&lt;/D&gt;&lt;D xsi:type="xsd:double"&gt;5.17610583581178&lt;/D&gt;&lt;D xsi:type="xsd:double"&gt;5.10002331434993&lt;/D&gt;&lt;D xsi:type="xsd:double"&gt;5.36069031323151&lt;/D&gt;&lt;D xsi:type="xsd:double"&gt;5.11404803137275&lt;/D&gt;&lt;D xsi:type="xsd:double"&gt;4.2967092497577&lt;/D&gt;&lt;D xsi:type="xsd:double"&gt;4.50583178553399&lt;/D&gt;&lt;D xsi:type="xsd:double"&gt;4.02043187075168&lt;/D&gt;&lt;D xsi:type="xsd:double"&gt;3.96180160682935&lt;/D&gt;&lt;D xsi:type="xsd:double"&gt;3.86085278775995&lt;/D&gt;&lt;D xsi:type="xsd:double"&gt;3.77426794678973&lt;/D&gt;&lt;D xsi:type="xsd:double"&gt;3.53622398565209&lt;/D&gt;&lt;D xsi:type="xsd:double"&gt;3.47569812394774&lt;/D&gt;&lt;D xsi:type="xsd:double"&gt;3.49339406578319&lt;/D&gt;&lt;D xsi:type="xsd:double"&gt;3.58622592723257&lt;/D&gt;&lt;D xsi:type="xsd:double"&gt;3.67922867676337&lt;/D&gt;&lt;D xsi:type="xsd:double"&gt;3.58464429312699&lt;/D&gt;&lt;D xsi:type="xsd:double"&gt;3.43177336060956&lt;/D&gt;&lt;D xsi:type="xsd:double"&gt;3.39272294534788&lt;/D&gt;&lt;D xsi:type="xsd:double"&gt;3.38436234295928&lt;/D&gt;&lt;D xsi:type="xsd:double"&gt;2.96912129030213&lt;/D&gt;&lt;/FQL&gt;&lt;FQL&gt;&lt;Q&gt;EWM^FMA_PE(NTMA,-10AY,0,AM,"PORTAGG","MEANR")&lt;/Q&gt;&lt;R&gt;121&lt;/R&gt;&lt;C&gt;1&lt;/C&gt;&lt;D xsi:type="xsd:double"&gt;15.6037682641767&lt;/D&gt;&lt;D xsi:type="xsd:double"&gt;15.6376033388966&lt;/D&gt;&lt;D xsi:type="xsd:double"&gt;15.6871598588644&lt;/D&gt;&lt;D xsi:type="xsd:double"&gt;15.6650283903979&lt;/D&gt;&lt;D xsi:type="xsd:double"&gt;15.8061622305644&lt;/D&gt;&lt;D xsi:type="xsd:double"&gt;15.7250153076364&lt;/D&gt;&lt;D xsi:type="xsd:double"&gt;15.8413369455344&lt;/D&gt;&lt;D xsi:type="xsd:double"&gt;15.6398239514591&lt;/D&gt;&lt;D xsi:type="xsd:double"&gt;15.5094641131656&lt;/D&gt;&lt;D xsi:type="xsd:double"&gt;14.9810277598012&lt;/D&gt;&lt;D xsi:type="xsd:double"&gt;15.0459092177901&lt;/D&gt;&lt;D xsi:type="xsd:double"&gt;15.4092505969002&lt;/D&gt;&lt;D xsi:type="xsd:double"&gt;15.92454449203&lt;/D&gt;&lt;D xsi:type="xsd:double"&gt;15.9733342772787&lt;/D&gt;&lt;D xsi:type="xsd:double"&gt;15.8189889884566&lt;/D&gt;&lt;D xsi:type="xsd:double"&gt;15.4210885050251&lt;/D&gt;&lt;D xsi:type="xsd:double"&gt;15.3759407445356&lt;/D&gt;&lt;D xsi:type="xsd:double"&gt;15.2789605879621&lt;/D&gt;&lt;D xsi:type="xsd:double"&gt;14.3389488397287&lt;/D&gt;&lt;D xsi:type="xsd:double"&gt;14.7946087100118&lt;/D&gt;&lt;D xsi:type="xsd:double"&gt;15.3426401768858&lt;/D&gt;&lt;D xsi:type="xsd:double"&gt;15.3584177904402&lt;/D&gt;&lt;D xsi:type="xsd:double"&gt;15.1457933168304&lt;/D&gt;&lt;D xsi:type="xsd:double"&gt;15.3378741894006&lt;/D&gt;&lt;D xsi:type="xsd:double"&gt;15.9108429780035&lt;/D&gt;&lt;D xsi:type="xsd:double"&gt;16.3310188129475&lt;/D&gt;&lt;D xsi:type="xsd:double"&gt;15.6195884419013&lt;/D&gt;&lt;D xsi:type="xsd:double"&gt;16.0394485830964&lt;/D&gt;&lt;D xsi:type="xsd:double"&gt;16.213493407559&lt;/D&gt;&lt;D xsi:type="xsd:double"&gt;16.3584636221512&lt;/D&gt;&lt;D xsi:type="xsd:double"&gt;16.7771564830914&lt;/D&gt;&lt;D xsi:type="xsd:double"&gt;16.6679350430044&lt;/D&gt;&lt;D xsi:type="xsd:double"&gt;16.5217044992188&lt;/D&gt;&lt;D xsi:type="xsd:double"&gt;16.3067639619041&lt;/D&gt;&lt;D xsi:type="xsd:double"&gt;16.4664413372821&lt;/D&gt;&lt;D xsi:type="xsd:double"&gt;16.6500915996771&lt;/D&gt;&lt;D xsi:type="xsd:double"&gt;16.7537377738384&lt;/D&gt;&lt;D xsi:type="xsd:double"&gt;16.9337355697414&lt;/D&gt;&lt;D xsi:type="xsd:double"&gt;16.95681751252&lt;/D&gt;&lt;D xsi:type="xsd:double"&gt;16.6625890000538&lt;/D&gt;&lt;D xsi:type="xsd:double"&gt;16.5205270694884&lt;/D&gt;&lt;D xsi:type="xsd:double"&gt;16.3722882683419&lt;/D&gt;&lt;D xsi:type="xsd:double"&gt;16.4096979658246&lt;/D&gt;&lt;D xsi:type="xsd:double"&gt;16.1939846514786&lt;/D&gt;&lt;D xsi:type="xsd:double"&gt;15.8819865010396&lt;/D&gt;&lt;D xsi:type="xsd:double"&gt;15.8423657113985&lt;/D&gt;&lt;D xsi:type="xsd:double"&gt;16.5071143624968&lt;/D&gt;&lt;D xsi:type="xsd:double"&gt;17.0378065407833&lt;/D&gt;&lt;D xsi:type="xsd:double"&gt;16.5208983284045&lt;/D&gt;&lt;D xsi:type="xsd:double"&gt;16.0350168240934&lt;/D&gt;&lt;D xsi:type="xsd:double"&gt;16.1643388424885&lt;/D&gt;&lt;D xsi:type="xsd:double"&gt;15.9502111613893&lt;/D&gt;&lt;D xsi:type="xsd:double"&gt;15.3779945620972&lt;/D&gt;&lt;D xsi:type="xsd:double"&gt;16.2697034761985&lt;/D&gt;&lt;D xsi:type="xsd:double"&gt;16.6318138225201&lt;/D&gt;&lt;D xsi:type="xsd:double"&gt;16.3194339603432&lt;/D&gt;&lt;D xsi:type="xsd:double"&gt;15.7663897059986&lt;/D&gt;&lt;D xsi:type="xsd:double"&gt;16.0220911767601&lt;/D&gt;&lt;D xsi:type="xsd:double"&gt;15.8139695910341&lt;/D&gt;&lt;D xsi:type="xsd:double"&gt;16.1517974904858&lt;/D&gt;&lt;D xsi:type="xsd:double"&gt;16.4994819491167&lt;/D&gt;&lt;D xsi:type="xsd:double"&gt;16.1405913721112&lt;/D&gt;&lt;D xsi:type="xsd:double"&gt;16.0377099789817&lt;/D&gt;&lt;D xsi:type="xsd:double"&gt;16.4818080370652&lt;/D&gt;&lt;D xsi:type="xsd:double"&gt;16.8312296504898&lt;/D&gt;&lt;D xsi:type="xsd:double"&gt;16.2078058628354&lt;/D&gt;&lt;D xsi:type="xsd:double"&gt;16.0947674057844&lt;/D&gt;&lt;D xsi:type="xsd:double"&gt;15.6442458610263&lt;/D&gt;&lt;D xsi:type="xsd:double"&gt;16.0565473032938&lt;/D&gt;&lt;D xsi:type="xsd:double"&gt;15.79349336464&lt;/D&gt;&lt;D xsi:type="xsd:double"&gt;16.2545433717556&lt;/D&gt;&lt;D xsi:type="xsd:double"&gt;15.424509122183&lt;/D&gt;&lt;D xsi:type="xsd:double"&gt;15.6799795033535&lt;/D&gt;&lt;D xsi:type="xsd:double"&gt;14.738925136124&lt;/D&gt;&lt;D xsi:type="xsd:double"&gt;15.9720783099195&lt;/D&gt;&lt;D xsi:type="xsd:double"&gt;19.8356467611782&lt;/D&gt;&lt;D xsi:type="xsd:double"&gt;19.5471387220439&lt;/D&gt;&lt;D xsi:type="xsd:double"&gt;19.0717986165415&lt;/D&gt;&lt;D xsi:type="xsd:double"&gt;18.5588201411466&lt;/D&gt;&lt;D xsi:type="xsd:double"&gt;17.3609448081312&lt;/D&gt;&lt;D xsi:type="xsd:double"&gt;15.8588793103048&lt;/D&gt;&lt;D xsi:type="xsd:double"&gt;16.0244519991179&lt;/D&gt;&lt;D xsi:type="xsd:double"&gt;14.5665539513971&lt;/D&gt;&lt;D xsi:type="xsd:double"&gt;14.2367331749073&lt;/D&gt;&lt;D xsi:type="xsd:double"&gt;14.1658610681107&lt;/D&gt;&lt;D xsi:type="xsd:double"&gt;14.0601673321322&lt;/D&gt;&lt;D xsi:type="xsd:double"&gt;14.0757827323705&lt;/D&gt;&lt;D xsi:type="xsd:double"&gt;13.8601812079414&lt;/D&gt;&lt;D xsi:type="xsd:double"&gt;13.5432608218969&lt;/D&gt;&lt;D xsi:type="xsd:double"&gt;13.2770931698273&lt;/D&gt;&lt;D xsi:type="xsd:double"&gt;14.1162110999526&lt;/D&gt;&lt;D xsi:type="xsd:double"&gt;13.98396797714&lt;/D&gt;&lt;D xsi:type="xsd:double"&gt;14.3266215448279&lt;/D&gt;&lt;D xsi:type="xsd:double"&gt;14.8196247837466&lt;/D&gt;&lt;D xsi:type="xsd:double"&gt;15.5337537519096&lt;/D&gt;&lt;D xsi:type="xsd:double"&gt;15.1561089932349&lt;/D&gt;&lt;D xsi:type="xsd:double"&gt;15.4033636725602&lt;/D&gt;&lt;D xsi:type="xsd:double"&gt;15.33052287583&lt;/D&gt;&lt;D xsi:type="xsd:double"&gt;15.0391307368798&lt;/D&gt;&lt;D xsi:type="xsd:double"&gt;14.3628513440706&lt;/D&gt;&lt;D xsi:type="xsd:double"&gt;13.5191000961397&lt;/D&gt;&lt;D xsi:type="xsd:double"&gt;13.9763634380395&lt;/D&gt;&lt;D xsi:type="xsd:double"&gt;13.7654864295414&lt;/D&gt;&lt;D xsi:type="xsd:double"&gt;12.9187157439941&lt;/D&gt;&lt;D xsi:type="xsd:double"&gt;13.0348057304188&lt;/D&gt;&lt;D xsi:type="xsd:double"&gt;13.5147926127302&lt;/D&gt;&lt;D xsi:type="xsd:double"&gt;13.3177305879333&lt;/D&gt;&lt;D xsi:type="xsd:double"&gt;13.5194730239414&lt;/D&gt;&lt;D xsi:type="xsd:double"&gt;13.2459999171556&lt;/D&gt;&lt;D xsi:type="xsd:double"&gt;13.112793976489&lt;/D&gt;&lt;D xsi:type="xsd:double"&gt;13.085530049514&lt;/D&gt;&lt;D xsi:type="xsd:double"&gt;13.2140696001971&lt;/D&gt;&lt;D xsi:type="xsd:double"&gt;13.3893041706967&lt;/D&gt;&lt;D xsi:type="xsd:double"&gt;13.7297709266931&lt;/D&gt;&lt;D xsi:type="xsd:double"&gt;13.9368001025816&lt;/D&gt;&lt;D xsi:type="xsd:double"&gt;13.4200553588646&lt;/D&gt;&lt;D xsi:type="xsd:double"&gt;13.6423223643442&lt;/D&gt;&lt;D xsi:type="xsd:double"&gt;13.6446854724642&lt;/D&gt;&lt;D xsi:type="xsd:double"&gt;13.7438852134016&lt;/D&gt;&lt;D xsi:type="xsd:double"&gt;13.8977523407337&lt;/D&gt;&lt;D xsi:type="xsd:double"&gt;15.8657406208458&lt;/D&gt;&lt;/FQL&gt;&lt;FQL&gt;&lt;Q&gt;PASP-FDS^FG_PRICE_CHANGE(0,-1AY)&lt;/Q&gt;&lt;R&gt;1&lt;/R&gt;&lt;C&gt;1&lt;/C&gt;&lt;D xsi:type="xsd:double"&gt;-34.6938775510204&lt;/D&gt;&lt;/FQL&gt;&lt;FQL&gt;&lt;Q&gt;KSA^FG_PRICE_MAVG(0,,,,200)&lt;/Q&gt;&lt;R&gt;1&lt;/R&gt;&lt;C&gt;1&lt;/C&gt;&lt;D xsi:type="xsd:double"&gt;40.88995&lt;/D&gt;&lt;/FQL&gt;&lt;FQL&gt;&lt;Q&gt;EWY^FG_PRICE_MAVG(0,,,,30)&lt;/Q&gt;&lt;R&gt;1&lt;/R&gt;&lt;C&gt;1&lt;/C&gt;&lt;D xsi:type="xsd:double"&gt;62.582333&lt;/D&gt;&lt;/FQL&gt;&lt;FQL&gt;&lt;Q&gt;EPHE^FG_PRICE_MAVG(0,,,,60)&lt;/Q&gt;&lt;R&gt;1&lt;/R&gt;&lt;C&gt;1&lt;/C&gt;&lt;D xsi:type="xsd:double"&gt;26.513268&lt;/D&gt;&lt;/FQL&gt;&lt;FQL&gt;&lt;Q&gt;UAE^P_PRICE(0)/P_PRICE_HIGH_PR(0,,,USD,,,"PRICE","INTRA","52W")&lt;/Q&gt;&lt;R&gt;1&lt;/R&gt;&lt;C&gt;1&lt;/C&gt;&lt;D xsi:type="xsd:double"&gt;0.9330452&lt;/D&gt;&lt;/FQL&gt;&lt;FQL&gt;&lt;Q&gt;EWT^FG_TOTAL_RETURNC(0,-6AM)&lt;/Q&gt;&lt;R&gt;1&lt;/R&gt;&lt;C&gt;1&lt;/C&gt;&lt;D xsi:type="xsd:double"&gt;16.47055&lt;/D&gt;&lt;/FQL&gt;&lt;FQL&gt;&lt;Q&gt;ECH^P_PRICE(0)/P_PRICE_LOW_PR(0,,,USD,,,"PRICE","INTRA","52W")-1&lt;/Q&gt;&lt;R&gt;1&lt;/R&gt;&lt;C&gt;1&lt;/C&gt;&lt;D xsi:type="xsd:double"&gt;0.08153784&lt;/D&gt;&lt;/FQL&gt;&lt;FQL&gt;&lt;Q&gt;VGK^PERCENT_CHANGE(FMA_EPS(+1,0,,,,"PORTAGG","MEAN"),FMA_EPS(+1,-1AM,,,,"PORTAGG","MEAN"))&lt;/Q&gt;&lt;R&gt;1&lt;/R&gt;&lt;C&gt;1&lt;/C&gt;&lt;D xsi:type="xsd:double"&gt;-4.73495093263294&lt;/D&gt;&lt;/FQL&gt;&lt;FQL&gt;&lt;Q&gt;EWM^PERCENT_CHANGE(FMA_EPS(+1,0,,,,"PORTAGG","MEAN"),FMA_EPS(+1,-3AM,,,,"PORTAGG","MEAN"))&lt;/Q&gt;&lt;R&gt;1&lt;/R&gt;&lt;C&gt;1&lt;/C&gt;&lt;D xsi:type="xsd:double"&gt;-14.1063333460165&lt;/D&gt;&lt;/FQL&gt;&lt;FQL&gt;&lt;Q&gt;SPY^SIZE(FG_CONSTITUENTS)&lt;/Q&gt;&lt;R&gt;1&lt;/R&gt;&lt;C&gt;1&lt;/C&gt;&lt;D xsi:type="xsd:long"&gt;504&lt;/D&gt;&lt;/FQL&gt;&lt;FQL&gt;&lt;Q&gt;UAE^SIZE(FG_CONSTITUENTS)&lt;/Q&gt;&lt;R&gt;1&lt;/R&gt;&lt;C&gt;1&lt;/C&gt;&lt;D xsi:type="xsd:long"&gt;42&lt;/D&gt;&lt;/FQL&gt;&lt;FQL&gt;&lt;Q&gt;EPOL^SIZE(FG_CONSTITUENTS)&lt;/Q&gt;&lt;R&gt;1&lt;/R&gt;&lt;C&gt;1&lt;/C&gt;&lt;D xsi:type="xsd:long"&gt;34&lt;/D&gt;&lt;/FQL&gt;&lt;FQL&gt;&lt;Q&gt;QAT^FMA_RBICS_REV_CURRENT(30, LOC, "PORTAGG")&lt;/Q&gt;&lt;R&gt;1&lt;/R&gt;&lt;C&gt;1&lt;/C&gt;&lt;D xsi:type="xsd:double"&gt;59.7326733309618&lt;/D&gt;&lt;/FQL&gt;&lt;FQL&gt;&lt;Q&gt;SET-BKK^FG_ROE(0)&lt;/Q&gt;&lt;R&gt;1&lt;/R&gt;&lt;C&gt;1&lt;/C&gt;&lt;D xsi:type="xsd:double"&gt;7.94237877059886&lt;/D&gt;&lt;/FQL&gt;&lt;FQL&gt;&lt;Q&gt;VGK^FMA_EVAL_EBIT(LTMA,NOW,NOW,M,"PORTAGG","MEANR")&lt;/Q&gt;&lt;R&gt;1&lt;/R&gt;&lt;C&gt;1&lt;/C&gt;&lt;D xsi:type="xsd:double"&gt;13.0698985396901&lt;/D&gt;&lt;/FQL&gt;&lt;FQL&gt;&lt;Q&gt;VNM^JULIAN(FMA_DIV_YLD(NTMA,NOW,NOW,M,"PORTAGG","MEANR").DATES)&lt;/Q&gt;&lt;R&gt;1&lt;/R&gt;&lt;C&gt;1&lt;/C&gt;&lt;D xsi:type="xsd:long"&gt;45351&lt;/D&gt;&lt;/FQL&gt;&lt;FQL&gt;&lt;Q&gt;SET-BKK^FMA_PE(LTM,0,,,"PORTAGG","MEANR")&lt;/Q&gt;&lt;R&gt;1&lt;/R&gt;&lt;C&gt;1&lt;/C&gt;&lt;D xsi:type="xsd:double"&gt;16.7552594711412&lt;/D&gt;&lt;/FQL&gt;&lt;FQL&gt;&lt;Q&gt;INDA^FMA_DIV_YLD(NTMA,NOW,NOW,M,"PORTAGG","MEANR")&lt;/Q&gt;&lt;R&gt;1&lt;/R&gt;&lt;C&gt;1&lt;/C&gt;&lt;D xsi:type="xsd:double"&gt;1.36035116055069&lt;/D&gt;&lt;/FQL&gt;&lt;FQL&gt;&lt;Q&gt;EWT^FMA_EVAL_EBIT(LTMA,NOW,NOW,M,"PORTAGG","MEANR")&lt;/Q&gt;&lt;R&gt;1&lt;/R&gt;&lt;C&gt;1&lt;/C&gt;&lt;D xsi:type="xsd:double"&gt;20.3770999914576&lt;/D&gt;&lt;/FQL&gt;&lt;FQL&gt;&lt;Q&gt;EPU^FMA_PE(LTM,0,,,"PORTAGG","MEANR")&lt;/Q&gt;&lt;R&gt;1&lt;/R&gt;&lt;C&gt;1&lt;/C&gt;&lt;D xsi:type="xsd:double"&gt;14.9509840901102&lt;/D&gt;&lt;/FQL&gt;&lt;FQL&gt;&lt;Q&gt;EIDO^FMA_PE(NTMA,0,,,"PORTAGG","MEANR")&lt;/Q&gt;&lt;R&gt;1&lt;/R&gt;&lt;C&gt;1&lt;/C&gt;&lt;D xsi:type="xsd:double"&gt;14.2382728957425&lt;/D&gt;&lt;/FQL&gt;&lt;FQL&gt;&lt;Q&gt;VNM^FG_COMPANY_NAME&lt;/Q&gt;&lt;R&gt;1&lt;/R&gt;&lt;C&gt;1&lt;/C&gt;&lt;D xsi:type="xsd:string"&gt;VanEck Vietnam ETF&lt;/D&gt;&lt;/FQL&gt;&lt;FQL&gt;&lt;Q&gt;CAGDPY@ZA^EE_ACTUAL_ANNUAL(MED,0)&lt;/Q&gt;&lt;R&gt;1&lt;/R&gt;&lt;C&gt;1&lt;/C&gt;&lt;D xsi:type="xsd:double"&gt;-1.9&lt;/D&gt;&lt;/FQL&gt;&lt;FQL&gt;&lt;Q&gt;USDVND^FG_PRICE_CHANGE(0,-1AM)&lt;/Q&gt;&lt;R&gt;1&lt;/R&gt;&lt;C&gt;1&lt;/C&gt;&lt;D xsi:type="xsd:double"&gt;1.3798714&lt;/D&gt;&lt;/FQL&gt;&lt;FQL&gt;&lt;Q&gt;USDIDR^FG_PRICE_CHANGE(0,-1AM)&lt;/Q&gt;&lt;R&gt;1&lt;/R&gt;&lt;C&gt;1&lt;/C&gt;&lt;D xsi:type="xsd:double"&gt;0.52690506&lt;/D&gt;&lt;/FQL&gt;&lt;FQL&gt;&lt;Q&gt;FC0000IN^FMA_EPS(NTMA,-20AY,0,CY,,"PORTAGG","MEANR")&lt;/Q&gt;&lt;R&gt;20&lt;/R&gt;&lt;C&gt;1&lt;/C&gt;&lt;D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xsi:type="xsd:double"&gt;36.3066520784&lt;/D&gt;&lt;D xsi:type="xsd:double"&gt;33.7047876442092&lt;/D&gt;&lt;D xsi:type="xsd:double"&gt;47.0171429959445&lt;/D&gt;&lt;D xsi:type="xsd:double"&gt;46.0352095905373&lt;/D&gt;&lt;D xsi:type="xsd:double"&gt;54.6770306960927&lt;/D&gt;&lt;/FQL&gt;&lt;FQL&gt;&lt;Q&gt;EWY^P_PRICE_RETURNS_PR('52W',2,-10AY,0,AM)&lt;/Q&gt;&lt;R&gt;121&lt;/R&gt;&lt;C&gt;1&lt;/C&gt;&lt;D xsi:type="xsd:double"&gt;0.48816204&lt;/D&gt;&lt;D xsi:type="xsd:double"&gt;11.145842&lt;/D&gt;&lt;D xsi:type="xsd:double"&gt;9.288263&lt;/D&gt;&lt;D xsi:type="xsd:double"&gt;12.997997&lt;/D&gt;&lt;D xsi:type="xsd:double"&gt;27.604723&lt;/D&gt;&lt;D xsi:type="xsd:double"&gt;19.469154&lt;/D&gt;&lt;D xsi:type="xsd:double"&gt;11.853218&lt;/D&gt;&lt;D xsi:type="xsd:double"&gt;-4.2666793&lt;/D&gt;&lt;D xsi:type="xsd:double"&gt;-9.292096&lt;/D&gt;&lt;D xsi:type="xsd:double"&gt;-7.924032&lt;/D&gt;&lt;D xsi:type="xsd:double"&gt;-10.17704&lt;/D&gt;&lt;D xsi:type="xsd:double"&gt;0.08221865&lt;/D&gt;&lt;D xsi:type="xsd:double"&gt;-5.493045&lt;/D&gt;&lt;D xsi:type="xsd:double"&gt;-5.7680607&lt;/D&gt;&lt;D xsi:type="xsd:double"&gt;-0.42980313&lt;/D&gt;&lt;D xsi:type="xsd:double"&gt;-11.977005&lt;/D&gt;&lt;D xsi:type="xsd:double"&gt;-14.199448&lt;/D&gt;&lt;D xsi:type="xsd:double"&gt;-22.713154&lt;/D&gt;&lt;D xsi:type="xsd:double"&gt;-28.343369&lt;/D&gt;&lt;D xsi:type="xsd:double"&gt;-13.692451&lt;/D&gt;&lt;D xsi:type="xsd:double"&gt;-2.485472&lt;/D&gt;&lt;D xsi:type="xsd:double"&gt;-7.0134583&lt;/D&gt;&lt;D xsi:type="xsd:double"&gt;-9.228921&lt;/D&gt;&lt;D xsi:type="xsd:double"&gt;-13.965702&lt;/D&gt;&lt;D xsi:type="xsd:double"&gt;-10.729247&lt;/D&gt;&lt;D xsi:type="xsd:double"&gt;-8.780729&lt;/D&gt;&lt;D xsi:type="xsd:double"&gt;-16.117023&lt;/D&gt;&lt;D xsi:type="xsd:double"&gt;-7.0884585&lt;/D&gt;&lt;D xsi:type="xsd:double"&gt;-2.9198587&lt;/D&gt;&lt;D xsi:type="xsd:double"&gt;10.945379&lt;/D&gt;&lt;D xsi:type="xsd:double"&gt;22.889853&lt;/D&gt;&lt;D xsi:type="xsd:double"&gt;16.37782&lt;/D&gt;&lt;D xsi:type="xsd:double"&gt;0.6875038&lt;/D&gt;&lt;D xsi:type="xsd:double"&gt;3.4399986&lt;/D&gt;&lt;D xsi:type="xsd:double"&gt;13.498473&lt;/D&gt;&lt;D xsi:type="xsd:double"&gt;26.238955&lt;/D&gt;&lt;D xsi:type="xsd:double"&gt;19.387794&lt;/D&gt;&lt;D xsi:type="xsd:double"&gt;20.437443&lt;/D&gt;&lt;D xsi:type="xsd:double"&gt;26.181757&lt;/D&gt;&lt;D xsi:type="xsd:double"&gt;37.605167&lt;/D&gt;&lt;D xsi:type="xsd:double"&gt;29.888725&lt;/D&gt;&lt;D xsi:type="xsd:double"&gt;27.003265&lt;/D&gt;&lt;D xsi:type="xsd:double"&gt;22.75325&lt;/D&gt;&lt;D xsi:type="xsd:double"&gt;24.414026&lt;/D&gt;&lt;D xsi:type="xsd:double"&gt;40.643322&lt;/D&gt;&lt;D xsi:type="xsd:double"&gt;43.08766&lt;/D&gt;&lt;D xsi:type="xsd:double"&gt;43.860363&lt;/D&gt;&lt;D xsi:type="xsd:double"&gt;30.478775&lt;/D&gt;&lt;D xsi:type="xsd:double"&gt;28.025818&lt;/D&gt;&lt;D xsi:type="xsd:double"&gt;24.88736&lt;/D&gt;&lt;D xsi:type="xsd:double"&gt;21.473026&lt;/D&gt;&lt;D xsi:type="xsd:double"&gt;10.667086&lt;/D&gt;&lt;D xsi:type="xsd:double"&gt;-0.14182925&lt;/D&gt;&lt;D xsi:type="xsd:double"&gt;-1.0914147&lt;/D&gt;&lt;D xsi:type="xsd:double"&gt;0.13735294&lt;/D&gt;&lt;D xsi:type="xsd:double"&gt;-5.2993894&lt;/D&gt;&lt;D xsi:type="xsd:double"&gt;-17.496151&lt;/D&gt;&lt;D xsi:type="xsd:double"&gt;-16.943085&lt;/D&gt;&lt;D xsi:type="xsd:double"&gt;-21.815037&lt;/D&gt;&lt;D xsi:type="xsd:double"&gt;-12.049049&lt;/D&gt;&lt;D xsi:type="xsd:double"&gt;-12.315494&lt;/D&gt;&lt;D xsi:type="xsd:double"&gt;-14.015585&lt;/D&gt;&lt;D xsi:type="xsd:double"&gt;-16.381252&lt;/D&gt;&lt;D xsi:type="xsd:double"&gt;-21.671032&lt;/D&gt;&lt;D xsi:type="xsd:double"&gt;-10.303009&lt;/D&gt;&lt;D xsi:type="xsd:double"&gt;-16.651022&lt;/D&gt;&lt;D xsi:type="xsd:double"&gt;-17.624647&lt;/D&gt;&lt;D xsi:type="xsd:double"&gt;-11.5962925&lt;/D&gt;&lt;D xsi:type="xsd:double"&gt;1.1355877&lt;/D&gt;&lt;D xsi:type="xsd:double"&gt;-4.018843&lt;/D&gt;&lt;D xsi:type="xsd:double"&gt;9.522427&lt;/D&gt;&lt;D xsi:type="xsd:double"&gt;-4.208386&lt;/D&gt;&lt;D xsi:type="xsd:double"&gt;-5.94973&lt;/D&gt;&lt;D xsi:type="xsd:double"&gt;-26.96495&lt;/D&gt;&lt;D xsi:type="xsd:double"&gt;-16.57263&lt;/D&gt;&lt;D xsi:type="xsd:double"&gt;2.9744864&lt;/D&gt;&lt;D xsi:type="xsd:double"&gt;0.7702589&lt;/D&gt;&lt;D xsi:type="xsd:double"&gt;17.35561&lt;/D&gt;&lt;D xsi:type="xsd:double"&gt;20.018435&lt;/D&gt;&lt;D xsi:type="xsd:double"&gt;21.053146&lt;/D&gt;&lt;D xsi:type="xsd:double"&gt;15.930975&lt;/D&gt;&lt;D xsi:type="xsd:double"&gt;47.35726&lt;/D&gt;&lt;D xsi:type="xsd:double"&gt;46.12422&lt;/D&gt;&lt;D xsi:type="xsd:double"&gt;53.253258&lt;/D&gt;&lt;D xsi:type="xsd:double"&gt;53.22734&lt;/D&gt;&lt;D xsi:type="xsd:double"&gt;109.18433&lt;/D&gt;&lt;D xsi:type="xsd:double"&gt;81.48295&lt;/D&gt;&lt;D xsi:type="xsd:double"&gt;64.48012&lt;/D&gt;&lt;D xsi:type="xsd:double"&gt;60.507847&lt;/D&gt;&lt;D xsi:type="xsd:double"&gt;49.007572&lt;/D&gt;&lt;D xsi:type="xsd:double"&gt;39.620007&lt;/D&gt;&lt;D xsi:type="xsd:double"&gt;22.679626&lt;/D&gt;&lt;D xsi:type="xsd:double"&gt;16.516245&lt;/D&gt;&lt;D xsi:type="xsd:double"&gt;-1.80825&lt;/D&gt;&lt;D xsi:type="xsd:double"&gt;-10.143566&lt;/D&gt;&lt;D xsi:type="xsd:double"&gt;-18.912458&lt;/D&gt;&lt;D xsi:type="xsd:double"&gt;-18.337446&lt;/D&gt;&lt;D xsi:type="xsd:double"&gt;-18.867075&lt;/D&gt;&lt;D xsi:type="xsd:double"&gt;-22.824175&lt;/D&gt;&lt;D xsi:type="xsd:double"&gt;-26.162994&lt;/D&gt;&lt;D xsi:type="xsd:double"&gt;-36.679535&lt;/D&gt;&lt;D xsi:type="xsd:double"&gt;-32.04472&lt;/D&gt;&lt;D xsi:type="xsd:double"&gt;-34.02642&lt;/D&gt;&lt;D xsi:type="xsd:double"&gt;-34.739643&lt;/D&gt;&lt;D xsi:type="xsd:double"&gt;-30.765236&lt;/D&gt;&lt;D xsi:type="xsd:double"&gt;-23.199314&lt;/D&gt;&lt;D xsi:type="xsd:double"&gt;-24.945467&lt;/D&gt;&lt;D xsi:type="xsd:double"&gt;-10.865414&lt;/D&gt;&lt;D xsi:type="xsd:double"&gt;-14.849281&lt;/D&gt;&lt;D xsi:type="xsd:double"&gt;-14.931345&lt;/D&gt;&lt;D xsi:type="xsd:double"&gt;-10.21818&lt;/D&gt;&lt;D xsi:type="xsd:double"&gt;-3.8773298&lt;/D&gt;&lt;D xsi:type="xsd:double"&gt;14.225971&lt;/D&gt;&lt;D xsi:type="xsd:double"&gt;8.029306&lt;/D&gt;&lt;D xsi:type="xsd:double"&gt;12.85603&lt;/D&gt;&lt;D xsi:type="xsd:double"&gt;15.269089&lt;/D&gt;&lt;D xsi:type="xsd:double"&gt;16.05692&lt;/D&gt;&lt;D xsi:type="xsd:double"&gt;5.6408405&lt;/D&gt;&lt;D xsi:type="xsd:double"&gt;11.698305&lt;/D&gt;&lt;D xsi:type="xsd:double"&gt;-1.3092458&lt;/D&gt;&lt;D xsi:type="xsd:double"&gt;11.082315&lt;/D&gt;&lt;/FQL&gt;&lt;FQL&gt;&lt;Q&gt;EPOL^FG_TOTAL_RETURNC(-10AY,0,AM)&lt;/Q&gt;&lt;R&gt;121&lt;/R&gt;&lt;C&gt;1&lt;/C&gt;&lt;D xsi:type="xsd:double"&gt;5.29474&lt;/D&gt;&lt;D xsi:type="xsd:double"&gt;0&lt;/D&gt;&lt;D xsi:type="xsd:double"&gt;0.7375121&lt;/D&gt;&lt;D xsi:type="xsd:double"&gt;0.7986784&lt;/D&gt;&lt;D xsi:type="xsd:double"&gt;-3.8567662&lt;/D&gt;&lt;D xsi:type="xsd:double"&gt;-0.93489885&lt;/D&gt;&lt;D xsi:type="xsd:double"&gt;0.73400736&lt;/D&gt;&lt;D xsi:type="xsd:double"&gt;-3.6432981&lt;/D&gt;&lt;D xsi:type="xsd:double"&gt;-1.224345&lt;/D&gt;&lt;D xsi:type="xsd:double"&gt;-1.0572374&lt;/D&gt;&lt;D xsi:type="xsd:double"&gt;-10.772162&lt;/D&gt;&lt;D xsi:type="xsd:double"&gt;-1.3941705&lt;/D&gt;&lt;D xsi:type="xsd:double"&gt;-0.25706887&lt;/D&gt;&lt;D xsi:type="xsd:double"&gt;2.4055004&lt;/D&gt;&lt;D xsi:type="xsd:double"&gt;8.30537&lt;/D&gt;&lt;D xsi:type="xsd:double"&gt;-8.288145&lt;/D&gt;&lt;D xsi:type="xsd:double"&gt;-3.757882&lt;/D&gt;&lt;D xsi:type="xsd:double"&gt;-2.7445793&lt;/D&gt;&lt;D xsi:type="xsd:double"&gt;-3.7323594&lt;/D&gt;&lt;D xsi:type="xsd:double"&gt;-0.56737065&lt;/D&gt;&lt;D xsi:type="xsd:double"&gt;-3.518784&lt;/D&gt;&lt;D xsi:type="xsd:double"&gt;-9.561359&lt;/D&gt;&lt;D xsi:type="xsd:double"&gt;-3.0614972&lt;/D&gt;&lt;D xsi:type="xsd:double"&gt;-1.3675213&lt;/D&gt;&lt;D xsi:type="xsd:double"&gt;5.3726196&lt;/D&gt;&lt;D xsi:type="xsd:double"&gt;10.361838&lt;/D&gt;&lt;D xsi:type="xsd:double"&gt;-8.743161&lt;/D&gt;&lt;D xsi:type="xsd:double"&gt;-3.592825&lt;/D&gt;&lt;D xsi:type="xsd:double"&gt;-4.968911&lt;/D&gt;&lt;D xsi:type="xsd:double"&gt;8.933889&lt;/D&gt;&lt;D xsi:type="xsd:double"&gt;-1.9682944&lt;/D&gt;&lt;D xsi:type="xsd:double"&gt;1.6731739&lt;/D&gt;&lt;D xsi:type="xsd:double"&gt;-1.1519432&lt;/D&gt;&lt;D xsi:type="xsd:double"&gt;-5.3829136&lt;/D&gt;&lt;D xsi:type="xsd:double"&gt;11.396456&lt;/D&gt;&lt;D xsi:type="xsd:double"&gt;9.125066&lt;/D&gt;&lt;D xsi:type="xsd:double"&gt;6.3944817&lt;/D&gt;&lt;D xsi:type="xsd:double"&gt;1.4332056&lt;/D&gt;&lt;D xsi:type="xsd:double"&gt;8.614397&lt;/D&gt;&lt;D xsi:type="xsd:double"&gt;1.7624855&lt;/D&gt;&lt;D xsi:type="xsd:double"&gt;0.38032532&lt;/D&gt;&lt;D xsi:type="xsd:double"&gt;6.596458&lt;/D&gt;&lt;D xsi:type="xsd:double"&gt;5.9925795&lt;/D&gt;&lt;D xsi:type="xsd:double"&gt;-4.450929&lt;/D&gt;&lt;D xsi:type="xsd:double"&gt;1.9854903&lt;/D&gt;&lt;D xsi:type="xsd:double"&gt;-1.0857344&lt;/D&gt;&lt;D xsi:type="xsd:double"&gt;8.612453&lt;/D&gt;&lt;D xsi:type="xsd:double"&gt;1.1685491&lt;/D&gt;&lt;D xsi:type="xsd:double"&gt;-7.9103947&lt;/D&gt;&lt;D xsi:type="xsd:double"&gt;-4.294944&lt;/D&gt;&lt;D xsi:type="xsd:double"&gt;-3.4551263&lt;/D&gt;&lt;D xsi:type="xsd:double"&gt;-4.2369366&lt;/D&gt;&lt;D xsi:type="xsd:double"&gt;-5.8941245&lt;/D&gt;&lt;D xsi:type="xsd:double"&gt;8.99955&lt;/D&gt;&lt;D xsi:type="xsd:double"&gt;-0.62867403&lt;/D&gt;&lt;D xsi:type="xsd:double"&gt;-1.8557489&lt;/D&gt;&lt;D xsi:type="xsd:double"&gt;-3.996563&lt;/D&gt;&lt;D xsi:type="xsd:double"&gt;5.7296395&lt;/D&gt;&lt;D xsi:type="xsd:double"&gt;-0.6807208&lt;/D&gt;&lt;D xsi:type="xsd:double"&gt;4.578829&lt;/D&gt;&lt;D xsi:type="xsd:double"&gt;-3.7587762&lt;/D&gt;&lt;D xsi:type="xsd:double"&gt;1.8884182&lt;/D&gt;&lt;D xsi:type="xsd:double"&gt;-2.4852574&lt;/D&gt;&lt;D xsi:type="xsd:double"&gt;-3.5421133&lt;/D&gt;&lt;D xsi:type="xsd:double"&gt;6.7263007&lt;/D&gt;&lt;D xsi:type="xsd:double"&gt;-8.070618&lt;/D&gt;&lt;D xsi:type="xsd:double"&gt;-5.3955197&lt;/D&gt;&lt;D xsi:type="xsd:double"&gt;-0.19333363&lt;/D&gt;&lt;D xsi:type="xsd:double"&gt;8.66828&lt;/D&gt;&lt;D xsi:type="xsd:double"&gt;-8.021397&lt;/D&gt;&lt;D xsi:type="xsd:double"&gt;5.2371025&lt;/D&gt;&lt;D xsi:type="xsd:double"&gt;-3.817153&lt;/D&gt;&lt;D xsi:type="xsd:double"&gt;-10.877019&lt;/D&gt;&lt;D xsi:type="xsd:double"&gt;-27.377684&lt;/D&gt;&lt;D xsi:type="xsd:double"&gt;11.203634&lt;/D&gt;&lt;D xsi:type="xsd:double"&gt;18.03949&lt;/D&gt;&lt;D xsi:type="xsd:double"&gt;-1.0094583&lt;/D&gt;&lt;D xsi:type="xsd:double"&gt;6.709826&lt;/D&gt;&lt;D xsi:type="xsd:double"&gt;-3.9713144&lt;/D&gt;&lt;D xsi:type="xsd:double"&gt;-5.973572&lt;/D&gt;&lt;D xsi:type="xsd:double"&gt;-5.8033047&lt;/D&gt;&lt;D xsi:type="xsd:double"&gt;23.735405&lt;/D&gt;&lt;D xsi:type="xsd:double"&gt;1.8900633&lt;/D&gt;&lt;D xsi:type="xsd:double"&gt;-2.895552&lt;/D&gt;&lt;D xsi:type="xsd:double"&gt;-0.90521574&lt;/D&gt;&lt;D xsi:type="xsd:double"&gt;-0.21494031&lt;/D&gt;&lt;D xsi:type="xsd:double"&gt;5.492735&lt;/D&gt;&lt;D xsi:type="xsd:double"&gt;16.692198&lt;/D&gt;&lt;D xsi:type="xsd:double"&gt;-3.808862&lt;/D&gt;&lt;D xsi:type="xsd:double"&gt;0.22799969&lt;/D&gt;&lt;D xsi:type="xsd:double"&gt;6.596911&lt;/D&gt;&lt;D xsi:type="xsd:double"&gt;-3.926593&lt;/D&gt;&lt;D xsi:type="xsd:double"&gt;4.398048&lt;/D&gt;&lt;D xsi:type="xsd:double"&gt;-11.6595745&lt;/D&gt;&lt;D xsi:type="xsd:double"&gt;4.6771765&lt;/D&gt;&lt;D xsi:type="xsd:double"&gt;-3.1627893&lt;/D&gt;&lt;D xsi:type="xsd:double"&gt;-22.430355&lt;/D&gt;&lt;D xsi:type="xsd:double"&gt;19.31889&lt;/D&gt;&lt;D xsi:type="xsd:double"&gt;-16.087187&lt;/D&gt;&lt;D xsi:type="xsd:double"&gt;0.4328966&lt;/D&gt;&lt;D xsi:type="xsd:double"&gt;-9.528947&lt;/D&gt;&lt;D xsi:type="xsd:double"&gt;-2.6785731&lt;/D&gt;&lt;D xsi:type="xsd:double"&gt;-14.537758&lt;/D&gt;&lt;D xsi:type="xsd:double"&gt;-2.8901696&lt;/D&gt;&lt;D xsi:type="xsd:double"&gt;12.925159&lt;/D&gt;&lt;D xsi:type="xsd:double"&gt;13.62952&lt;/D&gt;&lt;D xsi:type="xsd:double"&gt;9.374201&lt;/D&gt;&lt;D xsi:type="xsd:double"&gt;1.1713982&lt;/D&gt;&lt;D xsi:type="xsd:double"&gt;-3.1078637&lt;/D&gt;&lt;D xsi:type="xsd:double"&gt;-0.8804977&lt;/D&gt;&lt;D xsi:type="xsd:double"&gt;9.327412&lt;/D&gt;&lt;D xsi:type="xsd:double"&gt;6.2101007&lt;/D&gt;&lt;D xsi:type="xsd:double"&gt;5.95628&lt;/D&gt;&lt;D xsi:type="xsd:double"&gt;5.2604437&lt;/D&gt;&lt;D xsi:type="xsd:double"&gt;-5.5854917&lt;/D&gt;&lt;D xsi:type="xsd:double"&gt;-12.610274&lt;/D&gt;&lt;D xsi:type="xsd:double"&gt;21.140135&lt;/D&gt;&lt;D xsi:type="xsd:double"&gt;10.049021&lt;/D&gt;&lt;D xsi:type="xsd:double"&gt;0.26414394&lt;/D&gt;&lt;D xsi:type="xsd:double"&gt;3.795147&lt;/D&gt;&lt;D xsi:type="xsd:double"&gt;1.982379&lt;/D&gt;&lt;/FQL&gt;&lt;FQL&gt;&lt;Q&gt;EPHE^FMA_DIV_YLD(NTMA,-10AY,0,AM,"PORTAGG","MEANR")&lt;/Q&gt;&lt;R&gt;121&lt;/R&gt;&lt;C&gt;1&lt;/C&gt;&lt;D xsi:type="xsd:double"&gt;2.10372912751297&lt;/D&gt;&lt;D xsi:type="xsd:double"&gt;2.15529565272546&lt;/D&gt;&lt;D xsi:type="xsd:double"&gt;2.11556889874864&lt;/D&gt;&lt;D xsi:type="xsd:double"&gt;2.11791592558583&lt;/D&gt;&lt;D xsi:type="xsd:double"&gt;2.0585366458937&lt;/D&gt;&lt;D xsi:type="xsd:double"&gt;2.06896037676692&lt;/D&gt;&lt;D xsi:type="xsd:double"&gt;1.95591421502977&lt;/D&gt;&lt;D xsi:type="xsd:double"&gt;2.21399526393493&lt;/D&gt;&lt;D xsi:type="xsd:double"&gt;2.17530444195238&lt;/D&gt;&lt;D xsi:type="xsd:double"&gt;2.1290942427453&lt;/D&gt;&lt;D xsi:type="xsd:double"&gt;2.15059004096773&lt;/D&gt;&lt;D xsi:type="xsd:double"&gt;2.05743950408651&lt;/D&gt;&lt;D xsi:type="xsd:double"&gt;1.90163273707151&lt;/D&gt;&lt;D xsi:type="xsd:double"&gt;1.86848574331595&lt;/D&gt;&lt;D xsi:type="xsd:double"&gt;1.91886999601957&lt;/D&gt;&lt;D xsi:type="xsd:double"&gt;1.99679066473957&lt;/D&gt;&lt;D xsi:type="xsd:double"&gt;1.90756656094583&lt;/D&gt;&lt;D xsi:type="xsd:double"&gt;1.88112551784934&lt;/D&gt;&lt;D xsi:type="xsd:double"&gt;2.0616710352475&lt;/D&gt;&lt;D xsi:type="xsd:double"&gt;2.09852916372992&lt;/D&gt;&lt;D xsi:type="xsd:double"&gt;1.95990513058392&lt;/D&gt;&lt;D xsi:type="xsd:double"&gt;1.96688008450714&lt;/D&gt;&lt;D xsi:type="xsd:double"&gt;1.99621175168149&lt;/D&gt;&lt;D xsi:type="xsd:double"&gt;2.03544791176999&lt;/D&gt;&lt;D xsi:type="xsd:double"&gt;1.95848645047982&lt;/D&gt;&lt;D xsi:type="xsd:double"&gt;1.78226849007297&lt;/D&gt;&lt;D xsi:type="xsd:double"&gt;1.84562196801862&lt;/D&gt;&lt;D xsi:type="xsd:double"&gt;1.70259383973435&lt;/D&gt;&lt;D xsi:type="xsd:double"&gt;1.66614110030201&lt;/D&gt;&lt;D xsi:type="xsd:double"&gt;1.59613379904802&lt;/D&gt;&lt;D xsi:type="xsd:double"&gt;1.63567887555133&lt;/D&gt;&lt;D xsi:type="xsd:double"&gt;1.6434604460345&lt;/D&gt;&lt;D xsi:type="xsd:double"&gt;1.71922581043384&lt;/D&gt;&lt;D xsi:type="xsd:double"&gt;1.75601660160834&lt;/D&gt;&lt;D xsi:type="xsd:double"&gt;1.6793405874545&lt;/D&gt;&lt;D xsi:type="xsd:double"&gt;1.65595234939009&lt;/D&gt;&lt;D xsi:type="xsd:double"&gt;1.64121672336929&lt;/D&gt;&lt;D xsi:type="xsd:double"&gt;1.63574230813213&lt;/D&gt;&lt;D xsi:type="xsd:double"&gt;1.55577278208523&lt;/D&gt;&lt;D xsi:type="xsd:double"&gt;1.5285293103591&lt;/D&gt;&lt;D xsi:type="xsd:double"&gt;1.56484487324527&lt;/D&gt;&lt;D xsi:type="xsd:double"&gt;1.57147397054395&lt;/D&gt;&lt;D xsi:type="xsd:double"&gt;1.56751816200129&lt;/D&gt;&lt;D xsi:type="xsd:double"&gt;1.44869945661585&lt;/D&gt;&lt;D xsi:type="xsd:double"&gt;1.46076153512265&lt;/D&gt;&lt;D xsi:type="xsd:double"&gt;1.63602745450526&lt;/D&gt;&lt;D xsi:type="xsd:double"&gt;1.51998852741836&lt;/D&gt;&lt;D xsi:type="xsd:double"&gt;1.51257421273406&lt;/D&gt;&lt;D xsi:type="xsd:double"&gt;1.56631926436469&lt;/D&gt;&lt;D xsi:type="xsd:double"&gt;1.66303687876095&lt;/D&gt;&lt;D xsi:type="xsd:double"&gt;1.77717579654394&lt;/D&gt;&lt;D xsi:type="xsd:double"&gt;1.75719969201814&lt;/D&gt;&lt;D xsi:type="xsd:double"&gt;1.8415139236627&lt;/D&gt;&lt;D xsi:type="xsd:double"&gt;1.70961836792328&lt;/D&gt;&lt;D xsi:type="xsd:double"&gt;1.69670264675041&lt;/D&gt;&lt;D xsi:type="xsd:double"&gt;1.9086242495253&lt;/D&gt;&lt;D xsi:type="xsd:double"&gt;1.90589676575849&lt;/D&gt;&lt;D xsi:type="xsd:double"&gt;1.75075460546821&lt;/D&gt;&lt;D xsi:type="xsd:double"&gt;1.7121764791419&lt;/D&gt;&lt;D xsi:type="xsd:double"&gt;1.65880653073704&lt;/D&gt;&lt;D xsi:type="xsd:double"&gt;1.76788717521704&lt;/D&gt;&lt;D xsi:type="xsd:double"&gt;1.73151740825387&lt;/D&gt;&lt;D xsi:type="xsd:double"&gt;1.69951191397854&lt;/D&gt;&lt;D xsi:type="xsd:double"&gt;1.76740220459127&lt;/D&gt;&lt;D xsi:type="xsd:double"&gt;1.71555349002929&lt;/D&gt;&lt;D xsi:type="xsd:double"&gt;1.75541256869737&lt;/D&gt;&lt;D xsi:type="xsd:double"&gt;1.85357437502584&lt;/D&gt;&lt;D xsi:type="xsd:double"&gt;1.91190658298559&lt;/D&gt;&lt;D xsi:type="xsd:double"&gt;1.8311032358004&lt;/D&gt;&lt;D xsi:type="xsd:double"&gt;1.88031550756707&lt;/D&gt;&lt;D xsi:type="xsd:double"&gt;1.84460885162284&lt;/D&gt;&lt;D xsi:type="xsd:double"&gt;1.92871657347592&lt;/D&gt;&lt;D xsi:type="xsd:double"&gt;2.03360206933751&lt;/D&gt;&lt;D xsi:type="xsd:double"&gt;2.67155429027444&lt;/D&gt;&lt;D xsi:type="xsd:double"&gt;2.47975577049419&lt;/D&gt;&lt;D xsi:type="xsd:double"&gt;2.05486540415292&lt;/D&gt;&lt;D xsi:type="xsd:double"&gt;2.03031434659969&lt;/D&gt;&lt;D xsi:type="xsd:double"&gt;2.22864419104699&lt;/D&gt;&lt;D xsi:type="xsd:double"&gt;2.14893559648301&lt;/D&gt;&lt;D xsi:type="xsd:double"&gt;1.97879528409488&lt;/D&gt;&lt;D xsi:type="xsd:double"&gt;1.78208140708875&lt;/D&gt;&lt;D xsi:type="xsd:double"&gt;1.6953856878336&lt;/D&gt;&lt;D xsi:type="xsd:double"&gt;1.70129571399491&lt;/D&gt;&lt;D xsi:type="xsd:double"&gt;1.78821820776158&lt;/D&gt;&lt;D xsi:type="xsd:double"&gt;1.76695680838828&lt;/D&gt;&lt;D xsi:type="xsd:double"&gt;1.91976173929783&lt;/D&gt;&lt;D xsi:type="xsd:double"&gt;2.02687043246881&lt;/D&gt;&lt;D xsi:type="xsd:double"&gt;1.8975218512228&lt;/D&gt;&lt;D xsi:type="xsd:double"&gt;1.89421709477744&lt;/D&gt;&lt;D xsi:type="xsd:double"&gt;1.99740054327517&lt;/D&gt;&lt;D xsi:type="xsd:double"&gt;1.93536312080613&lt;/D&gt;&lt;D xsi:type="xsd:double"&gt;1.90128894901711&lt;/D&gt;&lt;D xsi:type="xsd:double"&gt;1.81183202781791&lt;/D&gt;&lt;D xsi:type="xsd:double"&gt;1.81566526159363&lt;/D&gt;&lt;D xsi:type="xsd:double"&gt;1.81911952978785&lt;/D&gt;&lt;D xsi:type="xsd:double"&gt;1.80830128016168&lt;/D&gt;&lt;D xsi:type="xsd:double"&gt;1.89012358365903&lt;/D&gt;&lt;D xsi:type="xsd:double"&gt;1.94737572234941&lt;/D&gt;&lt;D xsi:type="xsd:double"&gt;2.26678495816043&lt;/D&gt;&lt;D xsi:type="xsd:double"&gt;2.20278922548586&lt;/D&gt;&lt;D xsi:type="xsd:double"&gt;2.4688592730730</t>
        </r>
      </text>
    </comment>
    <comment ref="A14" authorId="0" shapeId="0" xr:uid="{506EC04E-CAF8-4119-B326-2156E45398CE}">
      <text>
        <r>
          <rPr>
            <b/>
            <sz val="9"/>
            <color indexed="81"/>
            <rFont val="Tahoma"/>
            <family val="2"/>
          </rPr>
          <t>3&lt;/D&gt;&lt;D xsi:type="xsd:double"&gt;2.36452672669101&lt;/D&gt;&lt;D xsi:type="xsd:double"&gt;2.31498247340419&lt;/D&gt;&lt;D xsi:type="xsd:double"&gt;2.67223014567149&lt;/D&gt;&lt;D xsi:type="xsd:double"&gt;2.55853956126305&lt;/D&gt;&lt;D xsi:type="xsd:double"&gt;2.41283175990005&lt;/D&gt;&lt;D xsi:type="xsd:double"&gt;2.30398569393864&lt;/D&gt;&lt;D xsi:type="xsd:double"&gt;2.28287605951607&lt;/D&gt;&lt;D xsi:type="xsd:double"&gt;2.45333766641307&lt;/D&gt;&lt;D xsi:type="xsd:double"&gt;2.76114528698617&lt;/D&gt;&lt;D xsi:type="xsd:double"&gt;2.67874693428008&lt;/D&gt;&lt;D xsi:type="xsd:double"&gt;2.9570278505746&lt;/D&gt;&lt;D xsi:type="xsd:double"&gt;2.93789832674776&lt;/D&gt;&lt;D xsi:type="xsd:double"&gt;3.02190684940171&lt;/D&gt;&lt;D xsi:type="xsd:double"&gt;2.96417986033097&lt;/D&gt;&lt;D xsi:type="xsd:double"&gt;2.83491464073075&lt;/D&gt;&lt;D xsi:type="xsd:double"&gt;3.11448233583057&lt;/D&gt;&lt;D xsi:type="xsd:double"&gt;3.13227409461968&lt;/D&gt;&lt;D xsi:type="xsd:double"&gt;3.1216753600091&lt;/D&gt;&lt;D xsi:type="xsd:double"&gt;2.84826095070943&lt;/D&gt;&lt;D xsi:type="xsd:double"&gt;2.62932267222762&lt;/D&gt;&lt;/FQL&gt;&lt;FQL&gt;&lt;Q&gt;ECH^JULIAN(FMA_DIV_YLD(LTMA,-10AY,0,AM,"PORTAGG","MEANR").DATES)&lt;/Q&gt;&lt;R&gt;121&lt;/R&gt;&lt;C&gt;1&lt;/C&gt;&lt;D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xsi:type="xsd:long"&gt;44503&lt;/D&gt;&lt;D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xsi:type="xsd:long"&gt;45351&lt;/D&gt;&lt;/FQL&gt;&lt;FQL&gt;&lt;Q&gt;EIDO^FG_PRICE_MAVG(0,,,,30)&lt;/Q&gt;&lt;R&gt;1&lt;/R&gt;&lt;C&gt;1&lt;/C&gt;&lt;D xsi:type="xsd:double"&gt;22.253666&lt;/D&gt;&lt;/FQL&gt;&lt;FQL&gt;&lt;Q&gt;TUR^P_PRICE(0)/P_PRICE_HIGH_PR(0,,,USD,,,"PRICE","INTRA","52W")&lt;/Q&gt;&lt;R&gt;1&lt;/R&gt;&lt;C&gt;1&lt;/C&gt;&lt;D xsi:type="xsd:double"&gt;0.91046286&lt;/D&gt;&lt;/FQL&gt;&lt;FQL&gt;&lt;Q&gt;CNYA^P_PRICE(0)/P_PRICE_LOW_PR(0,,,USD,,,"PRICE","INTRA","52W")-1&lt;/Q&gt;&lt;R&gt;1&lt;/R&gt;&lt;C&gt;1&lt;/C&gt;&lt;D xsi:type="xsd:double"&gt;0.13460696&lt;/D&gt;&lt;/FQL&gt;&lt;FQL&gt;&lt;Q&gt;GREK^PERCENT_CHANGE(FMA_EPS(+1,0,,,,"PORTAGG","MEAN"),FMA_EPS(+1,-1AM,,,,"PORTAGG","MEAN"))&lt;/Q&gt;&lt;R&gt;1&lt;/R&gt;&lt;C&gt;1&lt;/C&gt;&lt;D xsi:type="xsd:double"&gt;6.01834713230495&lt;/D&gt;&lt;/FQL&gt;&lt;FQL&gt;&lt;Q&gt;TUR^FMA_COS_UP("EPS","1M",+1,NOW,,,"PORTAGG","MEANR")&lt;/Q&gt;&lt;R&gt;1&lt;/R&gt;&lt;C&gt;1&lt;/C&gt;&lt;D xsi:type="xsd:double"&gt;24&lt;/D&gt;&lt;/FQL&gt;&lt;FQL&gt;&lt;Q&gt;EZA^FMA_RBICS_REV_CURRENT(30, LOC, "PORTAGG")&lt;/Q&gt;&lt;R&gt;1&lt;/R&gt;&lt;C&gt;1&lt;/C&gt;&lt;D xsi:type="xsd:double"&gt;42.9462830321381&lt;/D&gt;&lt;/FQL&gt;&lt;FQL&gt;&lt;Q&gt;TRYZA10Y-FDS^FG_YIELD_NAME&lt;/Q&gt;&lt;R&gt;1&lt;/R&gt;&lt;C&gt;1&lt;/C&gt;&lt;D xsi:type="xsd:string"&gt;South Africa Benchmark Bond - 10 Year&lt;/D&gt;&lt;/FQL&gt;&lt;FQL&gt;&lt;Q&gt;REFAEREPO-FDS^FG_YIELD(NOW,,,0)&lt;/Q&gt;&lt;R&gt;1&lt;/R&gt;&lt;C&gt;1&lt;/C&gt;&lt;D xsi:type="xsd:double"&gt;5.4&lt;/D&gt;&lt;/FQL&gt;&lt;FQL&gt;&lt;Q&gt;REFEUREFI-FDS^PROPER_NAME(0,,,"SECURITY","NAME")&lt;/Q&gt;&lt;R&gt;1&lt;/R&gt;&lt;C&gt;1&lt;/C&gt;&lt;D xsi:type="xsd:string"&gt;Eurozone Main Refinancing Operations Minimum Bid Rate&lt;/D&gt;&lt;/FQL&gt;&lt;FQL&gt;&lt;Q&gt;TRYVN10Y-FDS^PCTCHG(FG_YIELD(0,,,,"YTM"),FG_YIELD(-3AM,,,,"YTM"))&lt;/Q&gt;&lt;R&gt;1&lt;/R&gt;&lt;C&gt;1&lt;/C&gt;&lt;D xsi:type="xsd:double"&gt;-3.0539482&lt;/D&gt;&lt;/FQL&gt;&lt;FQL&gt;&lt;Q&gt;TRYKR10Y-FDS^PCTCHG(FG_YIELD(0,,,,"YTM"),FG_YIELD(-3AM,,,,"YTM"))&lt;/Q&gt;&lt;R&gt;1&lt;/R&gt;&lt;C&gt;1&lt;/C&gt;&lt;D xsi:type="xsd:double"&gt;-5.2332516&lt;/D&gt;&lt;/FQL&gt;&lt;FQL&gt;&lt;Q&gt;TRYGR10Y-FDS^FG_YIELD(0,,,,"YTM")&lt;/Q&gt;&lt;R&gt;1&lt;/R&gt;&lt;C&gt;1&lt;/C&gt;&lt;D xsi:type="xsd:double"&gt;3.459&lt;/D&gt;&lt;/FQL&gt;&lt;FQL&gt;&lt;Q&gt;TRYPH10Y-FDS^FG_YIELD_NAME&lt;/Q&gt;&lt;R&gt;1&lt;/R&gt;&lt;C&gt;1&lt;/C&gt;&lt;D xsi:type="xsd:string"&gt;Philippines Benchmark Bond - 10 Year&lt;/D&gt;&lt;/FQL&gt;&lt;FQL&gt;&lt;Q&gt;QAT^FG_FCF_YIELD_NTM(0)&lt;/Q&gt;&lt;R&gt;0&lt;/R&gt;&lt;C&gt;0&lt;/C&gt;&lt;/FQL&gt;&lt;FQL&gt;&lt;Q&gt;MCHI^FG_COMPANY_NAME&lt;/Q&gt;&lt;R&gt;1&lt;/R&gt;&lt;C&gt;1&lt;/C&gt;&lt;D xsi:type="xsd:string"&gt;iShares MSCI China ETF&lt;/D&gt;&lt;/FQL&gt;&lt;FQL&gt;&lt;Q&gt;^FG_YIELD(-10AY,0,Y,,"YTM")&lt;/Q&gt;&lt;R&gt;10&lt;/R&gt;&lt;C&gt;1&lt;/C&gt;&lt;D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xsi:type="xsd:string"&gt;@NA&lt;/D&gt;&lt;/FQL&gt;&lt;FQL&gt;&lt;Q&gt;CC_GR^FG_COMPANY_NAME&lt;/Q&gt;&lt;R&gt;1&lt;/R&gt;&lt;C&gt;1&lt;/C&gt;&lt;D xsi:type="xsd:string"&gt;Greece&lt;/D&gt;&lt;/FQL&gt;&lt;FQL&gt;&lt;Q&gt;USDQAR^FG_PRICE_CHANGE(0,-6AM)&lt;/Q&gt;&lt;R&gt;1&lt;/R&gt;&lt;C&gt;1&lt;/C&gt;&lt;D xsi:type="xsd:double"&gt;0.02746582&lt;/D&gt;&lt;/FQL&gt;&lt;FQL&gt;&lt;Q&gt;USDEUR^FG_PRICE_CHANGE(0,-1AM)&lt;/Q&gt;&lt;R&gt;1&lt;/R&gt;&lt;C&gt;1&lt;/C&gt;&lt;D xsi:type="xsd:double"&gt;-0.56611896&lt;/D&gt;&lt;/FQL&gt;&lt;FQL&gt;&lt;Q&gt;USDMXN^STD(FG_PRICE_CHANGE(0,-1AY,AM))&lt;/Q&gt;&lt;R&gt;1&lt;/R&gt;&lt;C&gt;1&lt;/C&gt;&lt;D xsi:type="xsd:double"&gt;2.57228012865194&lt;/D&gt;&lt;/FQL&gt;&lt;FQL&gt;&lt;Q&gt;USDPEN^FG_PRICE_CHANGE(0,-6AM)&lt;/Q&gt;&lt;R&gt;1&lt;/R&gt;&lt;C&gt;1&lt;/C&gt;&lt;D xsi:type="xsd:double"&gt;1.8693328&lt;/D&gt;&lt;/FQL&gt;&lt;FQL&gt;&lt;Q&gt;NI-FDS^MAX(FG_PRICE(0,-5AY))&lt;/Q&gt;&lt;R&gt;1&lt;/R&gt;&lt;C&gt;1&lt;/C&gt;&lt;D xsi:type="xsd:double"&gt;48241&lt;/D&gt;&lt;/FQL&gt;&lt;FQL&gt;&lt;Q&gt;W-FDS^MAX(FG_PRICE(0,-5AY))&lt;/Q&gt;&lt;R&gt;1&lt;/R&gt;&lt;C&gt;1&lt;/C&gt;&lt;D xsi:type="xsd:double"&gt;14.2525&lt;/D&gt;&lt;/FQL&gt;&lt;FQL&gt;&lt;Q&gt;TIOS-FDS^MAX(FG_PRICE(0,-5AY))&lt;/Q&gt;&lt;R&gt;1&lt;/R&gt;&lt;C&gt;1&lt;/C&gt;&lt;D xsi:type="xsd:double"&gt;219.77&lt;/D&gt;&lt;/FQL&gt;&lt;FQL&gt;&lt;Q&gt;VNM^FG_PRICE_MAVG(0,,,,200)&lt;/Q&gt;&lt;R&gt;1&lt;/R&gt;&lt;C&gt;1&lt;/C&gt;&lt;D xsi:type="xsd:double"&gt;13.499775&lt;/D&gt;&lt;/FQL&gt;&lt;FQL&gt;&lt;Q&gt;EWT^FG_PRICE_MAVG(0,,,,200)&lt;/Q&gt;&lt;R&gt;1&lt;/R&gt;&lt;C&gt;1&lt;/C&gt;&lt;D xsi:type="xsd:double"&gt;46.2097&lt;/D&gt;&lt;/FQL&gt;&lt;FQL&gt;&lt;Q&gt;VWO^P_PRICE(0)/P_PRICE_LOW_PR(0,,,USD,,,"PRICE","INTRA","52W")-1&lt;/Q&gt;&lt;R&gt;1&lt;/R&gt;&lt;C&gt;1&lt;/C&gt;&lt;D xsi:type="xsd:double"&gt;0.105326414&lt;/D&gt;&lt;/FQL&gt;&lt;FQL&gt;&lt;Q&gt;EZA^P_PRICE(0)/P_PRICE_HIGH_PR(0,,,USD,,,"PRICE","INTRA","52W")&lt;/Q&gt;&lt;R&gt;1&lt;/R&gt;&lt;C&gt;1&lt;/C&gt;&lt;D xsi:type="xsd:double"&gt;0.8435313&lt;/D&gt;&lt;/FQL&gt;&lt;FQL&gt;&lt;Q&gt;EWM^FG_TOTAL_RETURNC(0,-3AM)&lt;/Q&gt;&lt;R&gt;1&lt;/R&gt;&lt;C&gt;1&lt;/C&gt;&lt;D xsi:type="xsd:double"&gt;3.687644&lt;/D&gt;&lt;/FQL&gt;&lt;FQL&gt;&lt;Q&gt;VNM^FMA_PCT_ABOVE_MAVG(200,0,,,,"PORTAGG")&lt;/Q&gt;&lt;R&gt;1&lt;/R&gt;&lt;C&gt;1&lt;/C&gt;&lt;D xsi:type="xsd:double"&gt;71.1111111111111&lt;/D&gt;&lt;/FQL&gt;&lt;FQL&gt;&lt;Q&gt;EPU^FMA_PCT_ABOVE_MAVG(200,0,,,,"PORTAGG")&lt;/Q&gt;&lt;R&gt;1&lt;/R&gt;&lt;C&gt;1&lt;/C&gt;&lt;D xsi:type="xsd:double"&gt;74.0740740740741&lt;/D&gt;&lt;/FQL&gt;&lt;FQL&gt;&lt;Q&gt;EWJ^FMA_COS_UP("EPS","1M",+1,NOW,,,"PORTAGG","MEANR")&lt;/Q&gt;&lt;R&gt;1&lt;/R&gt;&lt;C&gt;1&lt;/C&gt;&lt;D xsi:type="xsd:double"&gt;108&lt;/D&gt;&lt;/FQL&gt;&lt;FQL&gt;&lt;Q&gt;EWZ^FMA_COS_UP("EPS","1M",+1,NOW,,,"PORTAGG","MEANR")&lt;/Q&gt;&lt;R&gt;1&lt;/R&gt;&lt;C&gt;1&lt;/C&gt;&lt;D xsi:type="xsd:double"&gt;19&lt;/D&gt;&lt;/FQL&gt;&lt;FQL&gt;&lt;Q&gt;EPHE^FMA_COS_DOWN("EPS","1M",+1,NOW,,,"PORTAGG","MEANR")&lt;/Q&gt;&lt;R&gt;1&lt;/R&gt;&lt;C&gt;1&lt;/C&gt;&lt;D xsi:type="xsd:double"&gt;11&lt;/D&gt;&lt;/FQL&gt;&lt;FQL&gt;&lt;Q&gt;EWY^FG_ROE(0)&lt;/Q&gt;&lt;R&gt;1&lt;/R&gt;&lt;C&gt;1&lt;/C&gt;&lt;D xsi:type="xsd:double"&gt;5.2338747749351&lt;/D&gt;&lt;/FQL&gt;&lt;FQL&gt;&lt;Q&gt;REFZAREPO-FDS^(SUBARRAY(NOT_NA(NO_REPEAT_F(FG_YIELD(NOW,-10AY,D))),0,1)-SUBARRAY(NOT_NA(NO_REPEAT_F(FG_YIELD(NOW,-10AY,D))),1,1))*100&lt;/Q&gt;&lt;R&gt;1&lt;/R&gt;&lt;C&gt;1&lt;/C&gt;&lt;D xsi:type="xsd:double"&gt;50&lt;/D&gt;&lt;/FQL&gt;&lt;FQL&gt;&lt;Q&gt;REFPEMPR-FDS^FG_YIELD(NOW,,,0)&lt;/Q&gt;&lt;R&gt;1&lt;/R&gt;&lt;C&gt;1&lt;/C&gt;&lt;D xsi:type="xsd:double"&gt;6.25&lt;/D&gt;&lt;/FQL&gt;&lt;FQL&gt;&lt;Q&gt;TRYID10Y-FDS^FG_YIELD_NAME&lt;/Q&gt;&lt;R&gt;1&lt;/R&gt;&lt;C&gt;1&lt;/C&gt;&lt;D xsi:type="xsd:string"&gt;Treasury - Indonesia Benchmark Bond 10Y&lt;/D&gt;&lt;/FQL&gt;&lt;FQL&gt;&lt;Q&gt;CC_MY^IMF_IFS_RCPI_Q(0)&lt;/Q&gt;&lt;R&gt;0&lt;/R&gt;&lt;C&gt;0&lt;/C&gt;&lt;/FQL&gt;&lt;FQL&gt;&lt;Q&gt;VGK^JULIAN(FMA_DIV_YLD(NTMA,NOW,NOW,M,"PORTAGG","MEANR").DATES)&lt;/Q&gt;&lt;R&gt;1&lt;/R&gt;&lt;C&gt;1&lt;/C&gt;&lt;D xsi:type="xsd:long"&gt;45322&lt;/D&gt;&lt;/FQL&gt;&lt;FQL&gt;&lt;Q&gt;UAE^FMA_PE(NTMA,0,,,"PORTAGG","MEANR")&lt;/Q&gt;&lt;R&gt;1&lt;/R&gt;&lt;C&gt;1&lt;/C&gt;&lt;D xsi:type="xsd:double"&gt;9.50010995017441&lt;/D&gt;&lt;/FQL&gt;&lt;FQL&gt;&lt;Q&gt;GREK^FMA_EVAL_EBITDA(NTMA,0,,,"PORTAGG","MEANR")&lt;/Q&gt;&lt;R&gt;1&lt;/R&gt;&lt;C&gt;1&lt;/C&gt;&lt;D xsi:type="xsd:double"&gt;5.26720144166751&lt;/D&gt;&lt;/FQL&gt;&lt;FQL&gt;&lt;Q&gt;EWZ^JULIAN(FMA_DIV_YLD(NTMA,NOW,NOW,M,"PORTAGG","MEANR").DATES)&lt;/Q&gt;&lt;R&gt;1&lt;/R&gt;&lt;C&gt;1&lt;/C&gt;&lt;D xsi:type="xsd:long"&gt;45350&lt;/D&gt;&lt;/FQL&gt;&lt;FQL&gt;&lt;Q&gt;EWT^FMA_PE(NTMA,0,,,"PORTAGG","MEANR")&lt;/Q&gt;&lt;R&gt;1&lt;/R&gt;&lt;C&gt;1&lt;/C&gt;&lt;D xsi:type="xsd:double"&gt;19.6608504675566&lt;/D&gt;&lt;/FQL&gt;&lt;FQL&gt;&lt;Q&gt;EPOL^FMA_DIV_YLD(NTMA,NOW,NOW,M,"PORTAGG","MEANR")&lt;/Q&gt;&lt;R&gt;1&lt;/R&gt;&lt;C&gt;1&lt;/C&gt;&lt;D xsi:type="xsd:double"&gt;4.75946767925141&lt;/D&gt;&lt;/FQL&gt;&lt;FQL&gt;&lt;Q&gt;ECH^FMA_EVAL_EBITDA(NTMA,0,,,"PORTAGG","MEANR")&lt;/Q&gt;&lt;R&gt;1&lt;/R&gt;&lt;C&gt;1&lt;/C&gt;&lt;D xsi:type="xsd:double"&gt;6.39274257048275&lt;/D&gt;&lt;/FQL&gt;&lt;FQL&gt;&lt;Q&gt;CAGDPY@BR^EE_ACTUAL_ANNUAL(MED,+1)&lt;/Q&gt;&lt;R&gt;1&lt;/R&gt;&lt;C&gt;1&lt;/C&gt;&lt;D xsi:type="xsd:double"&gt;-1.65&lt;/D&gt;&lt;/FQL&gt;&lt;FQL&gt;&lt;Q&gt;USDVND^FG_COMPANY_NAME&lt;/Q&gt;&lt;R&gt;1&lt;/R&gt;&lt;C&gt;1&lt;/C&gt;&lt;D xsi:type="xsd:string"&gt;Vietnam Dong per U.S. Dollar&lt;/D&gt;&lt;/FQL&gt;&lt;FQL&gt;&lt;Q&gt;USDQAR^FG_PRICE_CHANGE(0,-3AM)&lt;/Q&gt;&lt;R&gt;1&lt;/R&gt;&lt;C&gt;1&lt;/C&gt;&lt;D xsi:type="xsd:double"&gt;0&lt;/D&gt;&lt;/FQL&gt;&lt;FQL&gt;&lt;Q&gt;USDIDR^FG_COMPANY_NAME&lt;/Q&gt;&lt;R&gt;1&lt;/R&gt;&lt;C&gt;1&lt;/C&gt;&lt;D xsi:type="xsd:string"&gt;Indonesian Rupiah per U.S. Dollar&lt;/D&gt;&lt;/FQL&gt;&lt;FQL&gt;&lt;Q&gt;FC0000BR^FMA_EPS(NTMA,-20AY,0,CY,,"PORTAGG","MEANR")&lt;/Q&gt;&lt;R&gt;20&lt;/R&gt;&lt;C&gt;1&lt;/C&gt;&lt;D xsi:type="xsd:double"&gt;15.9634949001004&lt;/D&gt;&lt;D xsi:type="xsd:double"&gt;22.2696791655794&lt;/D&gt;&lt;D xsi:type="xsd:double"&gt;25.3174251708984&lt;/D&gt;&lt;D xsi:type="xsd:double"&gt;34.9736621173337&lt;/D&gt;&lt;D xsi:type="xsd:double"&gt;24.6574673527732&lt;/D&gt;&lt;D xsi:type="xsd:double"&gt;33.0231081589585&lt;/D&gt;&lt;D xsi:type="xsd:double"&gt;41.0114711872356&lt;/D&gt;&lt;D xsi:type="xsd:double"&gt;37.007882634304&lt;/D&gt;&lt;D xsi:type="xsd:double"&gt;30.1094290911466&lt;/D&gt;&lt;D xsi:type="xsd:double"&gt;25.6248810860719&lt;/D&gt;&lt;D xsi:type="xsd:double"&gt;21.0352241233002&lt;/D&gt;&lt;D xsi:type="xsd:double"&gt;13.1501919917959&lt;/D&gt;&lt;D xsi:type="xsd:double"&gt;17.125192658189&lt;/D&gt;&lt;D xsi:type="xsd:double"&gt;19.0183216245735&lt;/D&gt;&lt;D xsi:type="xsd:double"&gt;20.4219604225124&lt;/D&gt;&lt;D xsi:type="xsd:double"&gt;20.1300196594025&lt;/D&gt;&lt;D xsi:type="xsd:double"&gt;14.9311683661002&lt;/D&gt;&lt;D xsi:type="xsd:double"&gt;18.5635369775184&lt;/D&gt;&lt;D xsi:type="xsd:double"&gt;21.0795022542981&lt;/D&gt;&lt;D xsi:type="xsd:double"&gt;24.0594592101981&lt;/D&gt;&lt;/FQL&gt;&lt;FQL&gt;&lt;Q&gt;EWW^P_PRICE_RETURNS_PR('52W',2,-10AY,0,AM)&lt;/Q&gt;&lt;R&gt;121&lt;/R&gt;&lt;C&gt;1&lt;/C&gt;&lt;D xsi:type="xsd:double"&gt;-13.36165&lt;/D&gt;&lt;D xsi:type="xsd:double"&gt;-10.62541&lt;/D&gt;&lt;D xsi:type="xsd:double"&gt;-8.315897&lt;/D&gt;&lt;D xsi:type="xsd:double"&gt;0.89668036&lt;/D&gt;&lt;D xsi:type="xsd:double"&gt;8.172846&lt;/D&gt;&lt;D xsi:type="xsd:double"&gt;2.5310516&lt;/D&gt;&lt;D xsi:type="xsd:double"&gt;18.1134&lt;/D&gt;&lt;D xsi:type="xsd:double"&gt;6.9183707&lt;/D&gt;&lt;D xsi:type="xsd:double"&gt;4.5637965&lt;/D&gt;&lt;D xsi:type="xsd:double"&gt;-5.6734443&lt;/D&gt;&lt;D xsi:type="xsd:double"&gt;-11.387051&lt;/D&gt;&lt;D xsi:type="xsd:double"&gt;-5.7225285&lt;/D&gt;&lt;D xsi:type="xsd:double"&gt;-2.3530364&lt;/D&gt;&lt;D xsi:type="xsd:double"&gt;-5.93158&lt;/D&gt;&lt;D xsi:type="xsd:double"&gt;-7.4726877&lt;/D&gt;&lt;D xsi:type="xsd:double"&gt;-12.114543&lt;/D&gt;&lt;D xsi:type="xsd:double"&gt;-14.599216&lt;/D&gt;&lt;D xsi:type="xsd:double"&gt;-17.751629&lt;/D&gt;&lt;D xsi:type="xsd:double"&gt;-28.056765&lt;/D&gt;&lt;D xsi:type="xsd:double"&gt;-22.052723&lt;/D&gt;&lt;D xsi:type="xsd:double"&gt;-16.528898&lt;/D&gt;&lt;D xsi:type="xsd:double"&gt;-13.404131&lt;/D&gt;&lt;D xsi:type="xsd:double"&gt;-13.353938&lt;/D&gt;&lt;D xsi:type="xsd:double"&gt;-14.164877&lt;/D&gt;&lt;D xsi:type="xsd:double"&gt;-10.688895&lt;/D&gt;&lt;D xsi:type="xsd:double"&gt;-9.457326&lt;/D&gt;&lt;D xsi:type="xsd:double"&gt;-10.52525&lt;/D&gt;&lt;D xsi:type="xsd:double"&gt;-12.332546&lt;/D&gt;&lt;D xsi:type="xsd:double"&gt;-8.623916&lt;/D&gt;&lt;D xsi:type="xsd:double"&gt;-9.743148&lt;/D&gt;&lt;D xsi:type="xsd:double"&gt;1.8731236&lt;/D&gt;&lt;D xsi:type="xsd:double"&gt;-2.5809646&lt;/D&gt;&lt;D xsi:type="xsd:double"&gt;-9.039479&lt;/D&gt;&lt;D xsi:type="xsd:double"&gt;-16.953636&lt;/D&gt;&lt;D xsi:type="xsd:double"&gt;-10.734391&lt;/D&gt;&lt;D xsi:type="xsd:double"&gt;-2.195239&lt;/D&gt;&lt;D xsi:type="xsd:double"&gt;-3.3474803&lt;/D&gt;&lt;D xsi:type="xsd:double"&gt;-0.8452654&lt;/D&gt;&lt;D xsi:type="xsd:double"&gt;-0.041627884&lt;/D&gt;&lt;D xsi:type="xsd:double"&gt;7.065904&lt;/D&gt;&lt;D xsi:type="xsd:double"&gt;8.382738&lt;/D&gt;&lt;D xsi:type="xsd:double"&gt;15.610493&lt;/D&gt;&lt;D xsi:type="xsd:double"&gt;13.661087&lt;/D&gt;&lt;D xsi:type="xsd:double"&gt;12.339473&lt;/D&gt;&lt;D xsi:type="xsd:double"&gt;4.227388&lt;/D&gt;&lt;D xsi:type="xsd:double"&gt;18.344915&lt;/D&gt;&lt;D xsi:type="xsd:double"&gt;19.56253&lt;/D&gt;&lt;D xsi:type="xsd:double"&gt;18.372858&lt;/D&gt;&lt;D xsi:type="xsd:double"&gt;9.67251&lt;/D&gt;&lt;D xsi:type="xsd:double"&gt;4.021609&lt;/D&gt;&lt;D xsi:type="xsd:double"&gt;-1.9365191&lt;/D&gt;&lt;D xsi:type="xsd:double"&gt;-11.665434&lt;/D&gt;&lt;D xsi:type="xsd:double"&gt;-10.08305&lt;/D&gt;&lt;D xsi:type="xsd:double"&gt;-5.799264&lt;/D&gt;&lt;D xsi:type="xsd:double"&gt;-11.602879&lt;/D&gt;&lt;D xsi:type="xsd:double"&gt;-7.6299787&lt;/D&gt;&lt;D xsi:type="xsd:double"&gt;-10.135115&lt;/D&gt;&lt;D xsi:type="xsd:double"&gt;-18.941795&lt;/D&gt;&lt;D xsi:type="xsd:double"&gt;-13.5719595&lt;/D&gt;&lt;D xsi:type="xsd:double"&gt;-12.826282&lt;/D&gt;&lt;D xsi:type="xsd:double"&gt;-12.149059&lt;/D&gt;&lt;D xsi:type="xsd:double"&gt;-12.725836&lt;/D&gt;&lt;D xsi:type="xsd:double"&gt;-4.7634783&lt;/D&gt;&lt;D xsi:type="xsd:double"&gt;-1.1984885&lt;/D&gt;&lt;D xsi:type="xsd:double"&gt;-4.363179&lt;/D&gt;&lt;D xsi:type="xsd:double"&gt;-18.999815&lt;/D&gt;&lt;D xsi:type="xsd:double"&gt;-12.07366&lt;/D&gt;&lt;D xsi:type="xsd:double"&gt;-8.873791&lt;/D&gt;&lt;D xsi:type="xsd:double"&gt;4.968214&lt;/D&gt;&lt;D xsi:type="xsd:double"&gt;11.196852&lt;/D&gt;&lt;D xsi:type="xsd:double"&gt;13.1875515&lt;/D&gt;&lt;D xsi:type="xsd:double"&gt;7.919228&lt;/D&gt;&lt;D xsi:type="xsd:double"&gt;4.993081&lt;/D&gt;&lt;D xsi:type="xsd:double"&gt;-40.37997&lt;/D&gt;&lt;D xsi:type="xsd:double"&gt;-34.38866&lt;/D&gt;&lt;D xsi:type="xsd:double"&gt;-20.125282&lt;/D&gt;&lt;D xsi:type="xsd:double"&gt;-24.502748&lt;/D&gt;&lt;D xsi:type="xsd:double"&gt;-18.64177&lt;/D&gt;&lt;D xsi:type="xsd:double"&gt;-19.67954&lt;/D&gt;&lt;D xsi:type="xsd:double"&gt;-19.293087&lt;/D&gt;&lt;D xsi:type="xsd:double"&gt;-21.373325&lt;/D&gt;&lt;D xsi:type="xsd:double"&gt;1.403141&lt;/D&gt;&lt;D xsi:type="xsd:double"&gt;-4.181319&lt;/D&gt;&lt;D xsi:type="xsd:double"&gt;-10.77097&lt;/D&gt;&lt;D xsi:type="xsd:double"&gt;-3.520769&lt;/D&gt;&lt;D xsi:type="xsd:double"&gt;69.63683&lt;/D&gt;&lt;D xsi:type="xsd:double"&gt;58.834778&lt;/D&gt;&lt;D xsi:type="xsd:double"&gt;46.021523&lt;/D&gt;&lt;D xsi:type="xsd:double"&gt;50.906586&lt;/D&gt;&lt;D xsi:type="xsd:double"&gt;54.827118&lt;/D&gt;&lt;D xsi:type="xsd:double"&gt;55.986607&lt;/D&gt;&lt;D xsi:type="xsd:double"&gt;47.446133&lt;/D&gt;&lt;D xsi:type="xsd:double"&gt;43.01195&lt;/D&gt;&lt;D xsi:type="xsd:double"&gt;10.728383&lt;/D&gt;&lt;D xsi:type="xsd:double"&gt;19.218838&lt;/D&gt;&lt;D xsi:type="xsd:double"&gt;18.856503&lt;/D&gt;&lt;D xsi:type="xsd:double"&gt;20.275831&lt;/D&gt;&lt;D xsi:type="xsd:double"&gt;26.290535&lt;/D&gt;&lt;D xsi:type="xsd:double"&gt;12.60401&lt;/D&gt;&lt;D xsi:type="xsd:double"&gt;8.907616&lt;/D&gt;&lt;D xsi:type="xsd:double"&gt;-0.26921034&lt;/D&gt;&lt;D xsi:type="xsd:double"&gt;-3.7876844&lt;/D&gt;&lt;D xsi:type="xsd:double"&gt;-7.0415735&lt;/D&gt;&lt;D xsi:type="xsd:double"&gt;-1.5235066&lt;/D&gt;&lt;D xsi:type="xsd:double"&gt;10.977125&lt;/D&gt;&lt;D xsi:type="xsd:double"&gt;16.881966&lt;/D&gt;&lt;D xsi:type="xsd:double"&gt;5.704558&lt;/D&gt;&lt;D xsi:type="xsd:double"&gt;21.712124&lt;/D&gt;&lt;D xsi:type="xsd:double"&gt;25.153744&lt;/D&gt;&lt;D xsi:type="xsd:double"&gt;11.929607&lt;/D&gt;&lt;D xsi:type="xsd:double"&gt;24.299192&lt;/D&gt;&lt;D xsi:type="xsd:double"&gt;22.04255&lt;/D&gt;&lt;D xsi:type="xsd:double"&gt;39.60118&lt;/D&gt;&lt;D xsi:type="xsd:double"&gt;40.77995&lt;/D&gt;&lt;D xsi:type="xsd:double"&gt;41.41228&lt;/D&gt;&lt;D xsi:type="xsd:double"&gt;25.554323&lt;/D&gt;&lt;D xsi:type="xsd:double"&gt;19.226383&lt;/D&gt;&lt;D xsi:type="xsd:double"&gt;21.609211&lt;/D&gt;&lt;D xsi:type="xsd:double"&gt;29.634464&lt;/D&gt;&lt;D xsi:type="xsd:double"&gt;20.63738&lt;/D&gt;&lt;D xsi:type="xsd:double"&gt;11.318493&lt;/D&gt;&lt;/FQL&gt;&lt;FQL&gt;&lt;Q&gt;EPHE^FG_TOTAL_RETURNC(-10AY,0,AM)&lt;/Q&gt;&lt;R&gt;121&lt;/R&gt;&lt;C&gt;1&lt;/C&gt;&lt;D xsi:type="xsd:double"&gt;10.93092&lt;/D&gt;&lt;D xsi:type="xsd:double"&gt;0.55555105&lt;/D&gt;&lt;D xsi:type="xsd:double"&gt;4.7106743&lt;/D&gt;&lt;D xsi:type="xsd:double"&gt;1.6939759&lt;/D&gt;&lt;D xsi:type="xsd:double"&gt;3.4718156&lt;/D&gt;&lt;D xsi:type="xsd:double"&gt;0.85060596&lt;/D&gt;&lt;D xsi:type="xsd:double"&gt;3.2683253&lt;/D&gt;&lt;D xsi:type="xsd:double"&gt;-3.2669723&lt;/D&gt;&lt;D xsi:type="xsd:double"&gt;0.5013108&lt;/D&gt;&lt;D xsi:type="xsd:double"&gt;2.1790385&lt;/D&gt;&lt;D xsi:type="xsd:double"&gt;-1.8144011&lt;/D&gt;&lt;D xsi:type="xsd:double"&gt;7.3733807&lt;/D&gt;&lt;D xsi:type="xsd:double"&gt;2.6148677&lt;/D&gt;&lt;D xsi:type="xsd:double"&gt;2.095735&lt;/D&gt;&lt;D xsi:type="xsd:double"&gt;-3.7322104&lt;/D&gt;&lt;D xsi:type="xsd:double"&gt;-5.597287&lt;/D&gt;&lt;D xsi:type="xsd:double"&gt;1.065445&lt;/D&gt;&lt;D xsi:type="xsd:double"&gt;-0.94509125&lt;/D&gt;&lt;D xsi:type="xsd:double"&gt;-11.603922&lt;/D&gt;&lt;D xsi:type="xsd:double"&gt;1.8961549&lt;/D&gt;&lt;D xsi:type="xsd:double"&gt;1.8036127&lt;/D&gt;&lt;D xsi:type="xsd:double"&gt;-2.2216022&lt;/D&gt;&lt;D xsi:type="xsd:double"&gt;-3.6499321&lt;/D&gt;&lt;D xsi:type="xsd:double"&gt;-3.4451783&lt;/D&gt;&lt;D xsi:type="xsd:double"&gt;6.4846396&lt;/D&gt;&lt;D xsi:type="xsd:double"&gt;5.2447557&lt;/D&gt;&lt;D xsi:type="xsd:double"&gt;-5.592471&lt;/D&gt;&lt;D xsi:type="xsd:double"&gt;12.873912&lt;/D&gt;&lt;D xsi:type="xsd:double"&gt;2.7446032&lt;/D&gt;&lt;D xsi:type="xsd:double"&gt;0.24108887&lt;/D&gt;&lt;D xsi:type="xsd:double"&gt;-0.17721653&lt;/D&gt;&lt;D xsi:type="xsd:double"&gt;-6.3910723&lt;/D&gt;&lt;D xsi:type="xsd:double"&gt;-6.47521&lt;/D&gt;&lt;D xsi:type="xsd:double"&gt;-5.793744&lt;/D&gt;&lt;D xsi:type="xsd:double"&gt;3.4001112&lt;/D&gt;&lt;D xsi:type="xsd:double"&gt;2.6245236&lt;/D&gt;&lt;D xsi:type="xsd:double"&gt;-1.9761682&lt;/D&gt;&lt;D xsi:type="xsd:double"&gt;3.6466002&lt;/D&gt;&lt;D xsi:type="xsd:double"&gt;3.489709&lt;/D&gt;&lt;D xsi:type="xsd:double"&gt;3.5378575&lt;/D&gt;&lt;D xsi:type="xsd:double"&gt;-3.6444008&lt;/D&gt;&lt;D xsi:type="xsd:double"&gt;0.91718435&lt;/D&gt;&lt;D xsi:type="xsd:double"&gt;-1.0740936&lt;/D&gt;&lt;D xsi:type="xsd:double"&gt;4.259467&lt;/D&gt;&lt;D xsi:type="xsd:double"&gt;-0.40053725&lt;/D&gt;&lt;D xsi:type="xsd:double"&gt;-4.1822968&lt;/D&gt;&lt;D xsi:type="xsd:double"&gt;11.350214&lt;/D&gt;&lt;D xsi:type="xsd:double"&gt;-6.462157&lt;/D&gt;&lt;D xsi:type="xsd:double"&gt;-2.7957022&lt;/D&gt;&lt;D xsi:type="xsd:double"&gt;-3.954649&lt;/D&gt;&lt;D xsi:type="xsd:double"&gt;-4.8373165&lt;/D&gt;&lt;D xsi:type="xsd:double"&gt;-0.9682298&lt;/D&gt;&lt;D xsi:type="xsd:double"&gt;-7.4249325&lt;/D&gt;&lt;D xsi:type="xsd:double"&gt;9.774685&lt;/D&gt;&lt;D xsi:type="xsd:double"&gt;-0.996083&lt;/D&gt;&lt;D xsi:type="xsd:double"&gt;-12.01219&lt;/D&gt;&lt;D xsi:type="xsd:double"&gt;6.1330557&lt;/D&gt;&lt;D xsi:type="xsd:double"&gt;5.09305&lt;/D&gt;&lt;D xsi:type="xsd:double"&gt;5.536711&lt;/D&gt;&lt;D xsi:type="xsd:double"&gt;3.298962&lt;/D&gt;&lt;D xsi:type="xsd:double"&gt;-5.246651&lt;/D&gt;&lt;D xsi:type="xsd:double"&gt;3.7014723&lt;/D&gt;&lt;D xsi:type="xsd:double"&gt;2.466631&lt;/D&gt;&lt;D xsi:type="xsd:double"&gt;-0.16992688&lt;/D&gt;&lt;D xsi:type="xsd:double"&gt;3.3487082&lt;/D&gt;&lt;D xsi:type="xsd:double"&gt;-3.2614708&lt;/D&gt;&lt;D xsi:type="xsd:double"&gt;-2.6571453&lt;/D&gt;&lt;D xsi:type="xsd:double"&gt;-1.9371867&lt;/D&gt;&lt;D xsi:type="xsd:double"&gt;7.6623797&lt;/D&gt;&lt;D xsi:type="xsd:double"&gt;-4.3925524&lt;/D&gt;&lt;D xsi:type="xsd:double"&gt;-1.276952&lt;/D&gt;&lt;D xsi:type="xsd:double"&gt;-6.2205133&lt;/D&gt;&lt;D xsi:type="xsd:double"&gt;-5.9100866&lt;/D&gt;&lt;D xsi:type="xsd:double"&gt;-24.824589&lt;/D&gt;&lt;D xsi:type="xsd:double"&gt;6.222224&lt;/D&gt;&lt;D xsi:type="xsd:double"&gt;18.912136&lt;/D&gt;&lt;D xsi:type="xsd:double"&gt;0.13817549&lt;/D&gt;&lt;D xsi:type="xsd:double"&gt;-9.01379&lt;/D&gt;&lt;D xsi:type="xsd:double"&gt;0.31080246&lt;/D&gt;&lt;D xsi:type="xsd:double"&gt;4.4926405&lt;/D&gt;&lt;D xsi:type="xsd:double"&gt;10.1927395&lt;/D&gt;&lt;D xsi:type="xsd:double"&gt;10.326266&lt;/D&gt;&lt;D xsi:type="xsd:double"&gt;0.12681484&lt;/D&gt;&lt;D xsi:type="xsd:double"&gt;-4.699421&lt;/D&gt;&lt;D xsi:type="xsd:double"&gt;-2.5936604&lt;/D&gt;&lt;D xsi:type="xsd:double"&gt;-3.9447784&lt;/D&gt;&lt;D xsi:type="xsd:double"&gt;-0.992465&lt;/D&gt;&lt;D xsi:type="xsd:double"&gt;9.1946125&lt;/D&gt;&lt;D xsi:type="xsd:double"&gt;0.010704994&lt;/D&gt;&lt;D xsi:type="xsd:double"&gt;-7.903123&lt;/D&gt;&lt;D xsi:type="xsd:double"&gt;5.3979278&lt;/D&gt;&lt;D xsi:type="xsd:double"&gt;-1.7399848&lt;/D&gt;&lt;D xsi:type="xsd:double"&gt;6.782484&lt;/D&gt;&lt;D xsi:type="xsd:double"&gt;-1.4080048&lt;/D&gt;&lt;D xsi:type="xsd:double"&gt;-0.20560622&lt;/D&gt;&lt;D xsi:type="xsd:double"&gt;2.5215387&lt;/D&gt;&lt;D xsi:type="xsd:double"&gt;-0.24905801&lt;/D&gt;&lt;D xsi:type="xsd:double"&gt;-1.6229749&lt;/D&gt;&lt;D xsi:type="xsd:double"&gt;-7.645941&lt;/D&gt;&lt;D xsi:type="xsd:double"&gt;-2.6107848&lt;/D&gt;&lt;D xsi:type="xsd:double"&gt;-8.922153&lt;/D&gt;&lt;D xsi:type="xsd:double"&gt;3.4482718&lt;/D&gt;&lt;D xsi:type="xsd:double"&gt;-0.49242377&lt;/D&gt;&lt;D xsi:type="xsd:double"&gt;-11.457938&lt;/D&gt;&lt;D xsi:type="xsd:double"&gt;2.5365472&lt;/D&gt;&lt;D xsi:type="xsd:double"&gt;10.02096&lt;/D&gt;&lt;D xsi:type="xsd:double"&gt;4.7914386&lt;/D&gt;&lt;D xsi:type="xsd:double"&gt;6.028497&lt;/D&gt;&lt;D xsi:type="xsd:double"&gt;-6.857342&lt;/D&gt;&lt;D xsi:type="xsd:double"&gt;-0.81391335&lt;/D&gt;&lt;D xsi:type="xsd:double"&gt;1.2308836&lt;/D&gt;&lt;D xsi:type="xsd:double"&gt;-3.9425194&lt;/D&gt;&lt;D xsi:type="xsd:double"&gt;1.6748905&lt;/D&gt;&lt;D xsi:type="xsd:double"&gt;-0.39137602&lt;/D&gt;&lt;D xsi:type="xsd:double"&gt;-6.0852885&lt;/D&gt;&lt;D xsi:type="xsd:double"&gt;1.8775463&lt;/D&gt;&lt;D xsi:type="xsd:double"&gt;-2.3637772&lt;/D&gt;&lt;D xsi:type="xsd:double"&gt;3.9803028&lt;/D&gt;&lt;D xsi:type="xsd:double"&gt;4.998851&lt;/D&gt;&lt;D xsi:type="xsd:double"&gt;0.8336544&lt;/D&gt;&lt;D xsi:type="xsd:double"&gt;4.09621&lt;/D&gt;&lt;/FQL&gt;&lt;FQL&gt;&lt;Q&gt;EIDO^FMA_DIV_YLD(NTMA,-10AY,0,AM,"PORTAGG","MEANR")&lt;/Q&gt;&lt;R&gt;121&lt;/R&gt;&lt;C&gt;1&lt;/C&gt;&lt;D xsi:type="xsd:double"&gt;2.7280200682036&lt;/D&gt;&lt;D xsi:type="xsd:double"&gt;2.50068966023725&lt;/D&gt;&lt;D xsi:type="xsd:double"&gt;2.56281620326761&lt;/D&gt;&lt;D xsi:type="xsd:double"&gt;2.57438627643664&lt;/D&gt;&lt;D xsi:type="xsd:double"&gt;2.66948255865979&lt;/D&gt;&lt;D xsi:type="xsd:double"&gt;2.51839330866107&lt;/D&gt;&lt;D xsi:type="xsd:double"&gt;2.48106990189564&lt;/D&gt;&lt;D xsi:type="xsd:double"&gt;2.64584908914965&lt;/D&gt;&lt;D xsi:type="xsd:double"&gt;2.59766474183676&lt;/D&gt;&lt;D xsi:type="xsd:double"&gt;2.47366114016155&lt;/D&gt;&lt;D xsi:type="xsd:double"&gt;2.46570825934531&lt;/D&gt;&lt;D xsi:type="xsd:double"&gt;2.40175865669286&lt;/D&gt;&lt;D xsi:type="xsd:double"&gt;2.29914789018346&lt;/D&gt;&lt;D xsi:type="xsd:double"&gt;2.3046566806843&lt;/D&gt;&lt;D xsi:type="xsd:double"&gt;2.44676443873627&lt;/D&gt;&lt;D xsi:type="xsd:double"&gt;2.40640164174942&lt;/D&gt;&lt;D xsi:type="xsd:double"&gt;2.44327562076101&lt;/D&gt;&lt;D xsi:type="xsd:double"&gt;2.49590687001761&lt;/D&gt;&lt;D xsi:type="xsd:double"&gt;2.71835870510445&lt;/D&gt;&lt;D xsi:type="xsd:double"&gt;2.92257305798042&lt;/D&gt;&lt;D xsi:type="xsd:double"&gt;2.51141570097891&lt;/D&gt;&lt;D xsi:type="xsd:double"&gt;2.53103645684579&lt;/D&gt;&lt;D xsi:type="xsd:double"&gt;2.53051290741931&lt;/D&gt;&lt;D xsi:type="xsd:double"&gt;2.4691270084649&lt;/D&gt;&lt;D xsi:type="xsd:double"&gt;2.37313248043163&lt;/D&gt;&lt;D xsi:type="xsd:double"&gt;2.38139970544135&lt;/D&gt;&lt;D xsi:type="xsd:double"&gt;2.43916859954355&lt;/D&gt;&lt;D xsi:type="xsd:double"&gt;2.37420169674396&lt;/D&gt;&lt;D xsi:type="xsd:double"&gt;2.28870384520701&lt;/D&gt;&lt;D xsi:type="xsd:double"&gt;2.13475594997368&lt;/D&gt;&lt;D xsi:type="xsd:double"&gt;2.21829151187021&lt;/D&gt;&lt;D xsi:type="xsd:double"&gt;2.17569914708787&lt;/D&gt;&lt;D xsi:type="xsd:double"&gt;2.29997209734604&lt;/D&gt;&lt;D xsi:type="xsd:double"&gt;2.42924822436279&lt;/D&gt;&lt;D xsi:type="xsd:double"&gt;2.41086264473789&lt;/D&gt;&lt;D xsi:type="xsd:double"&gt;2.41418380252782&lt;/D&gt;&lt;D xsi:type="xsd:double"&gt;2.45757674465042&lt;/D&gt;&lt;D xsi:type="xsd:double"&gt;2.37574724291669&lt;/D&gt;&lt;D xsi:type="xsd:double"&gt;2.42912743405803&lt;/D&gt;&lt;D xsi:type="xsd:double"&gt;2.5073855771113&lt;/D&gt;&lt;D xsi:type="xsd:double"&gt;2.4921674561721&lt;/D&gt;&lt;D xsi:type="xsd:double"&gt;2.58148616409435&lt;/D&gt;&lt;D xsi:type="xsd:double"&gt;2.56537606221951&lt;/D&gt;&lt;D xsi:type="xsd:double"&gt;2.54752217530584&lt;/D&gt;&lt;D xsi:type="xsd:double"&gt;2.54095656750691&lt;/D&gt;&lt;D xsi:type="xsd:double"&gt;2.66127089925494&lt;/D&gt;&lt;D xsi:type="xsd:double"&gt;2.52584844187143&lt;/D&gt;&lt;D xsi:type="xsd:double"&gt;2.44621915322147&lt;/D&gt;&lt;D xsi:type="xsd:double"&gt;2.49954274395889&lt;/D&gt;&lt;D xsi:type="xsd:double"&gt;2.73038958973929&lt;/D&gt;&lt;D xsi:type="xsd:double"&gt;3.01008939557068&lt;/D&gt;&lt;D xsi:type="xsd:double"&gt;2.91949282222448&lt;/D&gt;&lt;D xsi:type="xsd:double"&gt;3.25567295422265&lt;/D&gt;&lt;D xsi:type="xsd:double"&gt;2.96407821364378&lt;/D&gt;&lt;D xsi:type="xsd:double"&gt;3.03147417391977&lt;/D&gt;&lt;D xsi:type="xsd:double"&gt;3.13194078107878&lt;/D&gt;&lt;D xsi:type="xsd:double"&gt;2.99063506170752&lt;/D&gt;&lt;D xsi:type="xsd:double"&gt;2.81261400381787&lt;/D&gt;&lt;D xsi:type="xsd:double"&gt;2.8478883887381&lt;/D&gt;&lt;D xsi:type="xsd:double"&gt;2.78892082409787&lt;/D&gt;&lt;D xsi:type="xsd:double"&gt;2.79907611174178&lt;/D&gt;&lt;D xsi:type="xsd:double"&gt;2.80282468974009&lt;/D&gt;&lt;D xsi:type="xsd:double"&gt;2.87233376961658&lt;/D&gt;&lt;D xsi:type="xsd:double"&gt;2.86462636188775&lt;/D&gt;&lt;D xsi:type="xsd:double"&gt;2.74494835282505&lt;/D&gt;&lt;D xsi:type="xsd:double"&gt;2.77137120223077&lt;/D&gt;&lt;D xsi:type="xsd:double"&gt;2.8167872394417&lt;/D&gt;&lt;D xsi:type="xsd:double"&gt;2.9015212491398&lt;/D&gt;&lt;D xsi:type="xsd:double"&gt;2.80381242752065&lt;/D&gt;&lt;D xsi:type="xsd:double"&gt;2.83476779352822&lt;/D&gt;&lt;D xsi:type="xsd:double"&gt;2.78454193448247&lt;/D&gt;&lt;D xsi:type="xsd:double"&gt;2.87025814565184&lt;/D&gt;&lt;D xsi:type="xsd:double"&gt;3.13225019482931&lt;/D&gt;&lt;D xsi:type="xsd:double"&gt;3.907834399557&lt;/D&gt;&lt;D xsi:type="xsd:double"&gt;3.77687229943083&lt;/D&gt;&lt;D xsi:type="xsd:double"&gt;3.28869763044508&lt;/D&gt;&lt;D xsi:type="xsd:double"&gt;2.95213947650939&lt;/D&gt;&lt;D xsi:type="xsd:double"&gt;2.90204219828692&lt;/D&gt;&lt;D xsi:type="xsd:double"&gt;2.73762375409739&lt;/D&gt;&lt;D xsi:type="xsd:double"&gt;3.02146956541719&lt;/D&gt;&lt;D xsi:type="xsd:double"&gt;2.86220392442413&lt;/D&gt;&lt;D xsi:type="xsd:double"&gt;2.34329329074512&lt;/D&gt;&lt;D xsi:type="xsd:double"&gt;2.26850724591932&lt;/D&gt;&lt;D xsi:type="xsd:double"&gt;2.39223910202928&lt;/D&gt;&lt;D xsi:type="xsd:double"&gt;2.48070612504696&lt;/D&gt;&lt;D xsi:type="xsd:double"&gt;2.67671019611163&lt;/D&gt;&lt;D xsi:type="xsd:double"&gt;2.76138504093859&lt;/D&gt;&lt;D xsi:type="xsd:double"&gt;2.74420860218557&lt;/D&gt;&lt;D xsi:type="xsd:double"&gt;2.99752619199799&lt;/D&gt;&lt;D xsi:type="xsd:double"&gt;3.049677516143&lt;/D&gt;&lt;D xsi:type="xsd:double"&gt;3.04656576568516&lt;/D&gt;&lt;D xsi:type="xsd:double"&gt;3.0222868560478&lt;/D&gt;&lt;D xsi:type="xsd:double"&gt;3.00662951426554&lt;/D&gt;&lt;D xsi:type="xsd:double"&gt;3.1157299822304&lt;/D&gt;&lt;D xsi:type="xsd:double"&gt;3.14709754569147&lt;/D&gt;&lt;D xsi:type="xsd:double"&gt;3.13016300256558&lt;/D&gt;&lt;D xsi:type="xsd:double"&gt;3.13278630220658&lt;/D&gt;&lt;D xsi:type="xsd:double"&gt;3.26716770047097&lt;/D&gt;&lt;D xsi:type="xsd:double"&gt;3.25499021698359&lt;/D&gt;&lt;D xsi:type="xsd:double"&gt;3.32268609862663&lt;/D&gt;&lt;D xsi:type="xsd:double"&gt;3.70306541574335&lt;/D&gt;&lt;D xsi:type="xsd:double"&gt;3.64024664237396&lt;/D&gt;&lt;D xsi:type="xsd:double"&gt;3.59220884739498&lt;/D&gt;&lt;D xsi:type="xsd:double"&gt;3.71404615414776&lt;/D&gt;&lt;D xsi:type="xsd:double"&gt;3.89068322724138&lt;/D&gt;&lt;D xsi:type="xsd:double"&gt;3.86737917699967&lt;/D&gt;&lt;D xsi:type="xsd:double"&gt;4.14145469301574&lt;/D&gt;&lt;D xsi:type="xsd:double"&gt;4.13500947923949&lt;/D&gt;&lt;D xsi:type="xsd:double"&gt;4.24886433833054&lt;/D&gt;&lt;D xsi:type="xsd:double"&gt;4.42211207094442&lt;/D&gt;&lt;D xsi:type="xsd:double"&gt;4.42754267305656&lt;/D&gt;&lt;D xsi:type="xsd:double"&gt;4.2948926759766&lt;/D&gt;&lt;D xsi:type="xsd:double"&gt;4.33281918719714&lt;/D&gt;&lt;D xsi:type="xsd:double"&gt;4.12317858779538&lt;/D&gt;&lt;D xsi:type="xsd:double"&gt;4.08273998003857&lt;/D&gt;&lt;D xsi:type="xsd:double"&gt;4.18068685283456&lt;/D&gt;&lt;D xsi:type="xsd:double"&gt;4.27783343686554&lt;/D&gt;&lt;D xsi:type="xsd:double"&gt;4.21727866919683&lt;/D&gt;&lt;D xsi:type="xsd:double"&gt;4.04010286464172&lt;/D&gt;&lt;D xsi:type="xsd:double"&gt;4.10079456698903&lt;/D&gt;&lt;D xsi:type="xsd:double"&gt;4.16303202070314&lt;/D&gt;&lt;/FQL&gt;&lt;FQL&gt;&lt;Q&gt;KSA^FMA_PE(LTMA,-10AY,0,AM,"PORTAGG","MEANR")&lt;/Q&gt;&lt;R&gt;121&lt;/R&gt;&lt;C&gt;1&lt;/C&gt;&lt;D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xsi:type="xsd:double"&gt;13.4549936647179&lt;/D&gt;&lt;D xsi:type="xsd:double"&gt;11.1232876204421&lt;/D&gt;&lt;D xsi:type="xsd:double"&gt;11.6227542965507&lt;/D&gt;&lt;D xsi:type="xsd:double"&gt;11.7987623414076&lt;/D&gt;&lt;D xsi:type="xsd:double"&gt;12.1849068363073&lt;/D&gt;&lt;D xsi:type="xsd:double"&gt;12.6196930664399&lt;/D&gt;&lt;D xsi:type="xsd:double"&gt;12.6969718236264&lt;/D&gt;&lt;D xsi:type="xsd:double"&gt;12.8533952935479&lt;/D&gt;&lt;D xsi:type="xsd:double"&gt;12.6163489625487&lt;/D&gt;&lt;D xsi:type="xsd:double"&gt;12.1836535793845&lt;/D&gt;&lt;D xsi:type="xsd:double"&gt;13.1454049033523&lt;/D&gt;&lt;D xsi:type="xsd:double"&gt;14.7564728305398&lt;/D&gt;&lt;D xsi:type="xsd:double"&gt;15.396754363719&lt;/D&gt;&lt;D xsi:type="xsd:double"&gt;15.217838355924&lt;/D&gt;&lt;D xsi:type="xsd:double"&gt;15.3603007367815&lt;/D&gt;&lt;D xsi:type="xsd:double"&gt;15.2499350599764&lt;/D&gt;&lt;D xsi:type="xsd:double"&gt;15.0138307987486&lt;/D&gt;&lt;D xsi:type="xsd:double"&gt;15.0604403040591&lt;/D&gt;&lt;D xsi:type="xsd:double"&gt;15.6914251322705&lt;/D&gt;&lt;D xsi:type="xsd:double"&gt;15.1689154922941&lt;/D&gt;&lt;D xsi:type="xsd:double"&gt;15.1379268948438&lt;/D&gt;&lt;D xsi:type="xsd:double"&gt;14.9488515662935&lt;/D&gt;&lt;D xsi:type="xsd:double"&gt;14.4064215980186&lt;/D&gt;&lt;D xsi:type="xsd:double"&gt;14.5325673775582&lt;/D&gt;&lt;D xsi:type="xsd:double"&gt;14.6612421012376&lt;/D&gt;&lt;D xsi:type="xsd:double"&gt;15.2686185949438&lt;/D&gt;&lt;D xsi:type="xsd:double"&gt;15.0418603304136&lt;/D&gt;&lt;D xsi:type="xsd:double"&gt;15.2291380178351&lt;/D&gt;&lt;D xsi:type="xsd:double"&gt;15.2742124759351&lt;/D&gt;&lt;D xsi:type="xsd:double"&gt;15.6179774432767&lt;/D&gt;&lt;D xsi:type="xsd:double"&gt;15.4112488695033&lt;/D&gt;&lt;D xsi:type="xsd:double"&gt;15.2765086508123&lt;/D&gt;&lt;D xsi:type="xsd:double"&gt;15.0851913633466&lt;/D&gt;&lt;D xsi:type="xsd:double"&gt;15.0549526677282&lt;/D&gt;&lt;D xsi:type="xsd:double"&gt;15.0258230198153&lt;/D&gt;&lt;D xsi:type="xsd:double"&gt;15.4690364645513&lt;/D&gt;&lt;D xsi:type="xsd:double"&gt;15.4792210293594&lt;/D&gt;&lt;D xsi:type="xsd:double"&gt;17.2322206722605&lt;/D&gt;&lt;D xsi:type="xsd:double"&gt;17.2324228224977&lt;/D&gt;&lt;D xsi:type="xsd:double"&gt;17.432216950087&lt;/D&gt;&lt;D xsi:type="xsd:double"&gt;17.5871038536771&lt;/D&gt;&lt;D xsi:type="xsd:double"&gt;17.0605508099743&lt;/D&gt;&lt;D xsi:type="xsd:double"&gt;17.5168388021197&lt;/D&gt;&lt;D xsi:type="xsd:double"&gt;17.5665465273146&lt;/D&gt;&lt;D xsi:type="xsd:double"&gt;18.1952805286157&lt;/D&gt;&lt;D xsi:type="xsd:double"&gt;18.1597312514685&lt;/D&gt;&lt;D xsi:type="xsd:double"&gt;17.9883133303413&lt;/D&gt;&lt;D xsi:type="xsd:double"&gt;18.3733622360323&lt;/D&gt;&lt;D xsi:type="xsd:double"&gt;20.0860856023734&lt;/D&gt;&lt;D xsi:type="xsd:double"&gt;19.0504188659672&lt;/D&gt;&lt;D xsi:type="xsd:double"&gt;17.6001194240314&lt;/D&gt;&lt;D xsi:type="xsd:double"&gt;17.333484381079&lt;/D&gt;&lt;D xsi:type="xsd:double"&gt;17.814132598966&lt;/D&gt;&lt;D xsi:type="xsd:double"&gt;19.2062545405212&lt;/D&gt;&lt;D xsi:type="xsd:double"&gt;19.4215887604157&lt;/D&gt;&lt;D xsi:type="xsd:double"&gt;20.0153237586816&lt;/D&gt;&lt;D xsi:type="xsd:double"&gt;21.9585174774288&lt;/D&gt;&lt;D xsi:type="xsd:double"&gt;24.5923981034642&lt;/D&gt;&lt;D xsi:type="xsd:double"&gt;25.4947476891492&lt;/D&gt;&lt;D xsi:type="xsd:double"&gt;27.5627799585555&lt;/D&gt;&lt;D xsi:type="xsd:double"&gt;28.7970369168683&lt;/D&gt;&lt;D xsi:type="xsd:double"&gt;26.0303356249001&lt;/D&gt;&lt;D xsi:type="xsd:double"&gt;26.4843562327069&lt;/D&gt;&lt;D xsi:type="xsd:double"&gt;26.0355511453428&lt;/D&gt;&lt;D xsi:type="xsd:double"&gt;25.4060271622529&lt;/D&gt;&lt;D xsi:type="xsd:double"&gt;24.7712686166182&lt;/D&gt;&lt;D xsi:type="xsd:double"&gt;24.2912361864911&lt;/D&gt;&lt;D xsi:type="xsd:double"&gt;23.4681409885998&lt;/D&gt;&lt;D xsi:type="xsd:double"&gt;22.9709988572103&lt;/D&gt;&lt;D xsi:type="xsd:double"&gt;22.0539056382787&lt;/D&gt;&lt;D xsi:type="xsd:double"&gt;21.5494317001404&lt;/D&gt;&lt;D xsi:type="xsd:double"&gt;19.5028751728047&lt;/D&gt;&lt;D xsi:type="xsd:double"&gt;19.7675594969881&lt;/D&gt;&lt;D xsi:type="xsd:double"&gt;20.8334046629202&lt;/D&gt;&lt;D xsi:type="xsd:double"&gt;21.4669265921841&lt;/D&gt;&lt;D xsi:type="xsd:double"&gt;21.2225023908937&lt;/D&gt;&lt;D xsi:type="xsd:double"&gt;21.1912686233341&lt;/D&gt;&lt;D xsi:type="xsd:double"&gt;20.0588811239232&lt;/D&gt;&lt;D xsi:type="xsd:double"&gt;18.9506323156875&lt;/D&gt;&lt;D xsi:type="xsd:double"&gt;19.1075835945989&lt;/D&gt;&lt;D xsi:type="xsd:double"&gt;18.5044842351191&lt;/D&gt;&lt;D xsi:type="xsd:double"&gt;17.7948707849685&lt;/D&gt;&lt;D xsi:type="xsd:double"&gt;17.1012553773584&lt;/D&gt;&lt;D xsi:type="xsd:double"&gt;16.281873335281&lt;/D&gt;&lt;D xsi:type="xsd:double"&gt;15.6395660318605&lt;/D&gt;&lt;D xsi:type="xsd:double"&gt;15.9531549059286&lt;/D&gt;&lt;D xsi:type="xsd:double"&gt;15.252332368096&lt;/D&gt;&lt;D xsi:type="xsd:double"&gt;15.5900744426226&lt;/D&gt;&lt;D xsi:type="xsd:double"&gt;15.877772572031&lt;/D&gt;&lt;D xsi:type="xsd:double"&gt;16.182543932875&lt;/D&gt;&lt;D xsi:type="xsd:double"&gt;16.9571705031047&lt;/D&gt;&lt;D xsi:type="xsd:double"&gt;17.2825979257662&lt;/D&gt;&lt;D xsi:type="xsd:double"&gt;17.879278332001&lt;/D&gt;&lt;D xsi:type="xsd:double"&gt;17.3979775843655&lt;/D&gt;&lt;D xsi:type="xsd:double"&gt;17.9723102875159&lt;/D&gt;&lt;D xsi:type="xsd:double"&gt;18.9663901276418&lt;/D&gt;&lt;D xsi:type="xsd:double"&gt;21.4697763624223&lt;/D&gt;&lt;D xsi:type="xsd:double"&gt;20.8965827867121&lt;/D&gt;&lt;D xsi:type="xsd:double"&gt;22.3399448842482&lt;/D&gt;&lt;/FQL&gt;&lt;FQL&gt;&lt;Q&gt;DDR3512M-FDS^FG_PRICE(0)/MAX(FG_PRICE(0,-1AY))&lt;/Q&gt;&lt;R&gt;1&lt;/R&gt;&lt;C&gt;1&lt;/C&gt;&lt;D xsi:type="xsd:double"&gt;0.798999193035903&lt;/D&gt;&lt;/FQL&gt;&lt;FQL&gt;&lt;Q&gt;VNM^FG_PRICE_MAVG(0,,,,30)&lt;/Q&gt;&lt;R&gt;1&lt;/R&gt;&lt;C&gt;1&lt;/C&gt;&lt;D xsi:type="xsd:double"&gt;13.097834&lt;/D&gt;&lt;/FQL&gt;&lt;FQL&gt;&lt;Q&gt;INDA^FG_PRICE_MAVG(0,,,,60)&lt;/Q&gt;&lt;R&gt;1&lt;/R&gt;&lt;C&gt;1&lt;/C&gt;&lt;D xsi:type="xsd:double"&gt;49.57075&lt;/D&gt;&lt;/FQL&gt;&lt;FQL&gt;&lt;Q&gt;EIDO^FG_PRICE(0)&lt;/Q&gt;&lt;R&gt;1&lt;/R&gt;&lt;C&gt;1&lt;/C&gt;&lt;D xsi:type="xsd:double"&gt;22.18&lt;/D&gt;&lt;/FQL&gt;&lt;FQL&gt;&lt;Q&gt;SET-BKK^P_PRICE(0)/P_PRICE_LOW_PR(0,,,USD,,,"PRICE","INTRA","52W")-1&lt;/Q&gt;&lt;R&gt;1&lt;/R&gt;&lt;C&gt;1&lt;/C&gt;&lt;D xsi:type="xsd:double"&gt;35.12456&lt;/D&gt;&lt;/FQL&gt;&lt;FQL&gt;&lt;Q&gt;GREK^FMA_PCT_ABOVE_MAVG(200,0,,,,"PORTAGG")&lt;/Q&gt;&lt;R&gt;1&lt;/R&gt;&lt;C&gt;1&lt;/C&gt;&lt;D xsi:type="xsd:double"&gt;88.4615384615385&lt;/D&gt;&lt;/FQL&gt;&lt;FQL&gt;&lt;Q&gt;URTH</t>
        </r>
      </text>
    </comment>
    <comment ref="A15" authorId="0" shapeId="0" xr:uid="{5B96C1BD-FCAA-4FEA-9706-DF1C06AA706A}">
      <text>
        <r>
          <rPr>
            <b/>
            <sz val="9"/>
            <color indexed="81"/>
            <rFont val="Tahoma"/>
            <family val="2"/>
          </rPr>
          <t>^FMA_COS_DOWN("EPS","1M",+1,NOW,,,"PORTAGG","MEANR")&lt;/Q&gt;&lt;R&gt;1&lt;/R&gt;&lt;C&gt;1&lt;/C&gt;&lt;D xsi:type="xsd:double"&gt;495&lt;/D&gt;&lt;/FQL&gt;&lt;FQL&gt;&lt;Q&gt;SET-BKK^SIZE(FG_CONSTITUENTS)&lt;/Q&gt;&lt;R&gt;1&lt;/R&gt;&lt;C&gt;1&lt;/C&gt;&lt;D xsi:type="xsd:long"&gt;1&lt;/D&gt;&lt;/FQL&gt;&lt;FQL&gt;&lt;Q&gt;EPHE^FMA_COS_UP("EPS","1M",+1,NOW,,,"PORTAGG","MEANR")&lt;/Q&gt;&lt;R&gt;1&lt;/R&gt;&lt;C&gt;1&lt;/C&gt;&lt;D xsi:type="xsd:double"&gt;9&lt;/D&gt;&lt;/FQL&gt;&lt;FQL&gt;&lt;Q&gt;EWY^FMA_RBICS_REV_CURRENT(30, LOC, "PORTAGG")&lt;/Q&gt;&lt;R&gt;1&lt;/R&gt;&lt;C&gt;1&lt;/C&gt;&lt;D xsi:type="xsd:double"&gt;14.337167053177&lt;/D&gt;&lt;/FQL&gt;&lt;FQL&gt;&lt;Q&gt;TRYBR10Y-FDS^FG_YIELD_NAME&lt;/Q&gt;&lt;R&gt;1&lt;/R&gt;&lt;C&gt;1&lt;/C&gt;&lt;D xsi:type="xsd:string"&gt;Treasury - Brazil Benchmark Bond 10Y&lt;/D&gt;&lt;/FQL&gt;&lt;FQL&gt;&lt;Q&gt;REFAEREPO-FDS^PROPER_NAME(0,,,"SECURITY","NAME")&lt;/Q&gt;&lt;R&gt;1&lt;/R&gt;&lt;C&gt;1&lt;/C&gt;&lt;D xsi:type="xsd:string"&gt;United Arab Emirates Repo Rate&lt;/D&gt;&lt;/FQL&gt;&lt;FQL&gt;&lt;Q&gt;REFPEMPR-FDS^PROPER_NAME(0,,,"SECURITY","NAME")&lt;/Q&gt;&lt;R&gt;1&lt;/R&gt;&lt;C&gt;1&lt;/C&gt;&lt;D xsi:type="xsd:string"&gt;Peru Policy Rate&lt;/D&gt;&lt;/FQL&gt;&lt;FQL&gt;&lt;Q&gt;TRYAE10Y-FDS^PCTCHG(FG_YIELD(0,,,,"YTM"),FG_YIELD(-3AM,,,,"YTM"))&lt;/Q&gt;&lt;R&gt;0&lt;/R&gt;&lt;C&gt;0&lt;/C&gt;&lt;/FQL&gt;&lt;FQL&gt;&lt;Q&gt;TRYKR10Y-FDS^PCTCHG(FG_YIELD(0,,,,"YTM"),FG_YIELD(-1AM,,,,"YTM"))&lt;/Q&gt;&lt;R&gt;1&lt;/R&gt;&lt;C&gt;1&lt;/C&gt;&lt;D xsi:type="xsd:double"&gt;4.3943324&lt;/D&gt;&lt;/FQL&gt;&lt;FQL&gt;&lt;Q&gt;TRYUS10Y-FDS^FG_YIELD(0,,,,"YTM")&lt;/Q&gt;&lt;R&gt;1&lt;/R&gt;&lt;C&gt;1&lt;/C&gt;&lt;D xsi:type="xsd:double"&gt;4.216&lt;/D&gt;&lt;/FQL&gt;&lt;FQL&gt;&lt;Q&gt;TRYGR10Y-FDS^FG_YIELD_NAME&lt;/Q&gt;&lt;R&gt;1&lt;/R&gt;&lt;C&gt;1&lt;/C&gt;&lt;D xsi:type="xsd:string"&gt;Greece Benchmark Bond - 10 Year&lt;/D&gt;&lt;/FQL&gt;&lt;FQL&gt;&lt;Q&gt;QAT^FMA_DIV_YLD(NTMA,NOW,NOW,M,"PORTAGG","MEANR")&lt;/Q&gt;&lt;R&gt;1&lt;/R&gt;&lt;C&gt;1&lt;/C&gt;&lt;D xsi:type="xsd:double"&gt;4.72989380254282&lt;/D&gt;&lt;/FQL&gt;&lt;FQL&gt;&lt;Q&gt;ECH^FG_FCF_YIELD_NTM(0)&lt;/Q&gt;&lt;R&gt;1&lt;/R&gt;&lt;C&gt;1&lt;/C&gt;&lt;D xsi:type="xsd:double"&gt;5.49258896087413&lt;/D&gt;&lt;/FQL&gt;&lt;FQL&gt;&lt;Q&gt;INDA^FG_COMPANY_NAME&lt;/Q&gt;&lt;R&gt;1&lt;/R&gt;&lt;C&gt;1&lt;/C&gt;&lt;D xsi:type="xsd:string"&gt;iShares MSCI India ETF&lt;/D&gt;&lt;/FQL&gt;&lt;FQL&gt;&lt;Q&gt;TRYSA10Y-FDS^FG_YIELD(-10AY,0,Y,,"YTM")&lt;/Q&gt;&lt;R&gt;10&lt;/R&gt;&lt;C&gt;1&lt;/C&gt;&lt;D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xsi:type="xsd:double"&gt;2.004&lt;/D&gt;&lt;/FQL&gt;&lt;FQL&gt;&lt;Q&gt;CAGDPY@BR^EE_ACTUAL_ANNUAL(MED,0)&lt;/Q&gt;&lt;R&gt;1&lt;/R&gt;&lt;C&gt;1&lt;/C&gt;&lt;D xsi:type="xsd:double"&gt;-1.31509554047975&lt;/D&gt;&lt;/FQL&gt;&lt;FQL&gt;&lt;Q&gt;USDQAR^FG_PRICE_CHANGE(0,-1AM)&lt;/Q&gt;&lt;R&gt;1&lt;/R&gt;&lt;C&gt;1&lt;/C&gt;&lt;D xsi:type="xsd:double"&gt;0&lt;/D&gt;&lt;/FQL&gt;&lt;FQL&gt;&lt;Q&gt;USDEUR^FG_PRICE_CHANGE(0,-1AY)&lt;/Q&gt;&lt;R&gt;1&lt;/R&gt;&lt;C&gt;1&lt;/C&gt;&lt;D xsi:type="xsd:double"&gt;-2.4485648&lt;/D&gt;&lt;/FQL&gt;&lt;FQL&gt;&lt;Q&gt;USDMXN^FG_PRICE_CHANGE(0,-6AM)&lt;/Q&gt;&lt;R&gt;1&lt;/R&gt;&lt;C&gt;1&lt;/C&gt;&lt;D xsi:type="xsd:double"&gt;-1.1989594&lt;/D&gt;&lt;/FQL&gt;&lt;FQL&gt;&lt;Q&gt;USDPEN^FG_PRICE_CHANGE(0,-1AM)&lt;/Q&gt;&lt;R&gt;1&lt;/R&gt;&lt;C&gt;1&lt;/C&gt;&lt;D xsi:type="xsd:double"&gt;-1.403439&lt;/D&gt;&lt;/FQL&gt;&lt;FQL&gt;&lt;Q&gt;DDR3512M-FDS^FG_PRICE_CHANGE(0,-1AY)&lt;/Q&gt;&lt;R&gt;1&lt;/R&gt;&lt;C&gt;1&lt;/C&gt;&lt;D xsi:type="xsd:double"&gt;-20.1000806964097&lt;/D&gt;&lt;/FQL&gt;&lt;FQL&gt;&lt;Q&gt;NI-FDS^FG_PRICE(0)/MAX(FG_PRICE(0,-1AY))&lt;/Q&gt;&lt;R&gt;1&lt;/R&gt;&lt;C&gt;1&lt;/C&gt;&lt;D xsi:type="xsd:double"&gt;0.688136256851997&lt;/D&gt;&lt;/FQL&gt;&lt;FQL&gt;&lt;Q&gt;W-FDS^FG_PRICE_CHANGE(0,-6AM)&lt;/Q&gt;&lt;R&gt;1&lt;/R&gt;&lt;C&gt;1&lt;/C&gt;&lt;D xsi:type="xsd:double"&gt;-0.704845814977972&lt;/D&gt;&lt;/FQL&gt;&lt;FQL&gt;&lt;Q&gt;TIOS-FDS^FG_PRICE(0)/MAX(FG_PRICE(0,-1AY))&lt;/Q&gt;&lt;R&gt;1&lt;/R&gt;&lt;C&gt;1&lt;/C&gt;&lt;D xsi:type="xsd:double"&gt;0.811182019977802&lt;/D&gt;&lt;/FQL&gt;&lt;FQL&gt;&lt;Q&gt;INDA^FG_PRICE_MAVG(0,,,,30)&lt;/Q&gt;&lt;R&gt;1&lt;/R&gt;&lt;C&gt;1&lt;/C&gt;&lt;D xsi:type="xsd:double"&gt;50.593&lt;/D&gt;&lt;/FQL&gt;&lt;FQL&gt;&lt;Q&gt;EWT^FG_PRICE_MAVG(0,,,,60)&lt;/Q&gt;&lt;R&gt;1&lt;/R&gt;&lt;C&gt;1&lt;/C&gt;&lt;D xsi:type="xsd:double"&gt;45.874832&lt;/D&gt;&lt;/FQL&gt;&lt;FQL&gt;&lt;Q&gt;VWO^P_PRICE(0)/P_PRICE_HIGH_PR(0,,,USD,,,"PRICE","INTRA","52W")&lt;/Q&gt;&lt;R&gt;1&lt;/R&gt;&lt;C&gt;1&lt;/C&gt;&lt;D xsi:type="xsd:double"&gt;0.9605569&lt;/D&gt;&lt;/FQL&gt;&lt;FQL&gt;&lt;Q&gt;EZA^FG_TOTAL_RETURNC(0,-3AM)&lt;/Q&gt;&lt;R&gt;1&lt;/R&gt;&lt;C&gt;1&lt;/C&gt;&lt;D xsi:type="xsd:double"&gt;-4.4620333&lt;/D&gt;&lt;/FQL&gt;&lt;FQL&gt;&lt;Q&gt;EPU^P_PRICE(0)/P_PRICE_LOW_PR(0,,,USD,,,"PRICE","INTRA","52W")-1&lt;/Q&gt;&lt;R&gt;1&lt;/R&gt;&lt;C&gt;1&lt;/C&gt;&lt;D xsi:type="xsd:double"&gt;0.2582575&lt;/D&gt;&lt;/FQL&gt;&lt;FQL&gt;&lt;Q&gt;SPY^PERCENT_CHANGE(FMA_EPS(+1,0,,,,"PORTAGG","MEAN"),FMA_EPS(+1,-3AM,,,,"PORTAGG","MEAN"))&lt;/Q&gt;&lt;R&gt;1&lt;/R&gt;&lt;C&gt;1&lt;/C&gt;&lt;D xsi:type="xsd:double"&gt;-10.8740778627976&lt;/D&gt;&lt;/FQL&gt;&lt;FQL&gt;&lt;Q&gt;UAE^PERCENT_CHANGE(FMA_EPS(+1,0,,,,"PORTAGG","MEAN"),FMA_EPS(+1,-3AM,,,,"PORTAGG","MEAN"))&lt;/Q&gt;&lt;R&gt;1&lt;/R&gt;&lt;C&gt;1&lt;/C&gt;&lt;D xsi:type="xsd:double"&gt;10.4826259992566&lt;/D&gt;&lt;/FQL&gt;&lt;FQL&gt;&lt;Q&gt;EZA^PERCENT_CHANGE(FMA_EPS(+1,0,,,,"PORTAGG","MEAN"),FMA_EPS(+1,-3AM,,,,"PORTAGG","MEAN"))&lt;/Q&gt;&lt;R&gt;1&lt;/R&gt;&lt;C&gt;1&lt;/C&gt;&lt;D xsi:type="xsd:double"&gt;-18.3008936860386&lt;/D&gt;&lt;/FQL&gt;&lt;FQL&gt;&lt;Q&gt;EPOL^PERCENT_CHANGE(FMA_EPS(+1,0,,,,"PORTAGG","MEAN"),FMA_EPS(+1,-3AM,,,,"PORTAGG","MEAN"))&lt;/Q&gt;&lt;R&gt;1&lt;/R&gt;&lt;C&gt;1&lt;/C&gt;&lt;D xsi:type="xsd:double"&gt;1.74123363061888&lt;/D&gt;&lt;/FQL&gt;&lt;FQL&gt;&lt;Q&gt;SET-BKK^FMA_COS_DOWN("EPS","1M",+1,NOW,,,"PORTAGG","MEANR")&lt;/Q&gt;&lt;R&gt;1&lt;/R&gt;&lt;C&gt;1&lt;/C&gt;&lt;D xsi:type="xsd:double"&gt;110&lt;/D&gt;&lt;/FQL&gt;&lt;FQL&gt;&lt;Q&gt;EWY^SIZE(FG_CONSTITUENTS)&lt;/Q&gt;&lt;R&gt;1&lt;/R&gt;&lt;C&gt;1&lt;/C&gt;&lt;D xsi:type="xsd:long"&gt;108&lt;/D&gt;&lt;/FQL&gt;&lt;FQL&gt;&lt;Q&gt;EWW^FG_ROE(0)&lt;/Q&gt;&lt;R&gt;1&lt;/R&gt;&lt;C&gt;1&lt;/C&gt;&lt;D xsi:type="xsd:double"&gt;12.7797433543146&lt;/D&gt;&lt;/FQL&gt;&lt;FQL&gt;&lt;Q&gt;REFZAREPO-FDS^FG_YIELD(NOW,,,0)&lt;/Q&gt;&lt;R&gt;1&lt;/R&gt;&lt;C&gt;1&lt;/C&gt;&lt;D xsi:type="xsd:double"&gt;8.25&lt;/D&gt;&lt;/FQL&gt;&lt;FQL&gt;&lt;Q&gt;TIPSCL10Y-FDS^FG_YIELD(0,,,,"YTM")&lt;/Q&gt;&lt;R&gt;1&lt;/R&gt;&lt;C&gt;1&lt;/C&gt;&lt;D xsi:type="xsd:double"&gt;2.4597888&lt;/D&gt;&lt;/FQL&gt;&lt;FQL&gt;&lt;Q&gt;CC_PE^IMF_IFS_RCPI_Q(0)&lt;/Q&gt;&lt;R&gt;1&lt;/R&gt;&lt;C&gt;1&lt;/C&gt;&lt;D xsi:type="xsd:double"&gt;3.9030175&lt;/D&gt;&lt;/FQL&gt;&lt;FQL&gt;&lt;Q&gt;KSA^FMA_EVAL_EBIT(LTMA,NOW,NOW,M,"PORTAGG","MEANR")&lt;/Q&gt;&lt;R&gt;1&lt;/R&gt;&lt;C&gt;1&lt;/C&gt;&lt;D xsi:type="xsd:double"&gt;21.9707601273543&lt;/D&gt;&lt;/FQL&gt;&lt;FQL&gt;&lt;Q&gt;QAT^FMA_PE(NTMA,0,,,"PORTAGG","MEANR")&lt;/Q&gt;&lt;R&gt;1&lt;/R&gt;&lt;C&gt;1&lt;/C&gt;&lt;D xsi:type="xsd:double"&gt;11.5169839318491&lt;/D&gt;&lt;/FQL&gt;&lt;FQL&gt;&lt;Q&gt;GREK^FG_FCF_YIELD_NTM(0)&lt;/Q&gt;&lt;R&gt;1&lt;/R&gt;&lt;C&gt;1&lt;/C&gt;&lt;D xsi:type="xsd:double"&gt;2.19082352055173&lt;/D&gt;&lt;/FQL&gt;&lt;FQL&gt;&lt;Q&gt;EWY^FMA_EVAL_EBIT(LTMA,NOW,NOW,M,"PORTAGG","MEANR")&lt;/Q&gt;&lt;R&gt;1&lt;/R&gt;&lt;C&gt;1&lt;/C&gt;&lt;D xsi:type="xsd:double"&gt;21.0813202784537&lt;/D&gt;&lt;/FQL&gt;&lt;FQL&gt;&lt;Q&gt;EWT^JULIAN(FMA_DIV_YLD(NTMA,NOW,NOW,M,"PORTAGG","MEANR").DATES)&lt;/Q&gt;&lt;R&gt;1&lt;/R&gt;&lt;C&gt;1&lt;/C&gt;&lt;D xsi:type="xsd:long"&gt;45350&lt;/D&gt;&lt;/FQL&gt;&lt;FQL&gt;&lt;Q&gt;EPOL^FMA_PE(NTMA,0,,,"PORTAGG","MEANR")&lt;/Q&gt;&lt;R&gt;1&lt;/R&gt;&lt;C&gt;1&lt;/C&gt;&lt;D xsi:type="xsd:double"&gt;8.96470493139449&lt;/D&gt;&lt;/FQL&gt;&lt;FQL&gt;&lt;Q&gt;USDAED^FG_PRICE_CHANGE(0,-3AM)&lt;/Q&gt;&lt;R&gt;1&lt;/R&gt;&lt;C&gt;1&lt;/C&gt;&lt;D xsi:type="xsd:double"&gt;0.012254715&lt;/D&gt;&lt;/FQL&gt;&lt;FQL&gt;&lt;Q&gt;USDQAR^FG_PRICE_CHANGE(0,-1AY)&lt;/Q&gt;&lt;R&gt;1&lt;/R&gt;&lt;C&gt;1&lt;/C&gt;&lt;D xsi:type="xsd:double"&gt;-0.020593405&lt;/D&gt;&lt;/FQL&gt;&lt;FQL&gt;&lt;Q&gt;FC0000KR^FMA_EPS(NTMA,-20AY,0,CY,,"PORTAGG","MEANR")&lt;/Q&gt;&lt;R&gt;20&lt;/R&gt;&lt;C&gt;1&lt;/C&gt;&lt;D xsi:type="xsd:double"&gt;25.662347195809&lt;/D&gt;&lt;D xsi:type="xsd:double"&gt;29.7949627913341&lt;/D&gt;&lt;D xsi:type="xsd:double"&gt;31.2503748053754&lt;/D&gt;&lt;D xsi:type="xsd:double"&gt;35.671095666108&lt;/D&gt;&lt;D xsi:type="xsd:double"&gt;19.0450116297318&lt;/D&gt;&lt;D xsi:type="xsd:double"&gt;29.9539754539252&lt;/D&gt;&lt;D xsi:type="xsd:double"&gt;37.906953014038&lt;/D&gt;&lt;D xsi:type="xsd:double"&gt;39.1650245409456&lt;/D&gt;&lt;D xsi:type="xsd:double"&gt;44.428480693782&lt;/D&gt;&lt;D xsi:type="xsd:double"&gt;44.151808890174&lt;/D&gt;&lt;D xsi:type="xsd:double"&gt;37.5299107205561&lt;/D&gt;&lt;D xsi:type="xsd:double"&gt;33.45961264389&lt;/D&gt;&lt;D xsi:type="xsd:double"&gt;36.5379279291672&lt;/D&gt;&lt;D xsi:type="xsd:double"&gt;53.6332908559232&lt;/D&gt;&lt;D xsi:type="xsd:double"&gt;45.9241136881632&lt;/D&gt;&lt;D xsi:type="xsd:double"&gt;35.9039646767675&lt;/D&gt;&lt;D xsi:type="xsd:double"&gt;42.8016146486655&lt;/D&gt;&lt;D xsi:type="xsd:double"&gt;51.3050659025632&lt;/D&gt;&lt;D xsi:type="xsd:double"&gt;35.3889270940163&lt;/D&gt;&lt;D xsi:type="xsd:double"&gt;41.6847962652121&lt;/D&gt;&lt;/FQL&gt;&lt;FQL&gt;&lt;Q&gt;ECH^FG_TOTAL_RETURNC(-10AY,0,AM)&lt;/Q&gt;&lt;R&gt;121&lt;/R&gt;&lt;C&gt;1&lt;/C&gt;&lt;D xsi:type="xsd:double"&gt;7.9259276&lt;/D&gt;&lt;D xsi:type="xsd:double"&gt;3.4317136&lt;/D&gt;&lt;D xsi:type="xsd:double"&gt;2.8533578&lt;/D&gt;&lt;D xsi:type="xsd:double"&gt;0.98924637&lt;/D&gt;&lt;D xsi:type="xsd:double"&gt;-0.51116943&lt;/D&gt;&lt;D xsi:type="xsd:double"&gt;-3.4071267&lt;/D&gt;&lt;D xsi:type="xsd:double"&gt;-0.67400336&lt;/D&gt;&lt;D xsi:type="xsd:double"&gt;-4.071474&lt;/D&gt;&lt;D xsi:type="xsd:double"&gt;-0.21221638&lt;/D&gt;&lt;D xsi:type="xsd:double"&gt;-2.8591633&lt;/D&gt;&lt;D xsi:type="xsd:double"&gt;-3.9957166&lt;/D&gt;&lt;D xsi:type="xsd:double"&gt;0.1522541&lt;/D&gt;&lt;D xsi:type="xsd:double"&gt;3.7496805&lt;/D&gt;&lt;D xsi:type="xsd:double"&gt;1.001215&lt;/D&gt;&lt;D xsi:type="xsd:double"&gt;2.151835&lt;/D&gt;&lt;D xsi:type="xsd:double"&gt;-5.8461547&lt;/D&gt;&lt;D xsi:type="xsd:double"&gt;-3.4244716&lt;/D&gt;&lt;D xsi:type="xsd:double"&gt;-7.184368&lt;/D&gt;&lt;D xsi:type="xsd:double"&gt;-2.5042713&lt;/D&gt;&lt;D xsi:type="xsd:double"&gt;-1.7221272&lt;/D&gt;&lt;D xsi:type="xsd:double"&gt;4.781711&lt;/D&gt;&lt;D xsi:type="xsd:double"&gt;-8.786845&lt;/D&gt;&lt;D xsi:type="xsd:double"&gt;-1.5461326&lt;/D&gt;&lt;D xsi:type="xsd:double"&gt;4.4979453&lt;/D&gt;&lt;D xsi:type="xsd:double"&gt;7.3052406&lt;/D&gt;&lt;D xsi:type="xsd:double"&gt;4.011297&lt;/D&gt;&lt;D xsi:type="xsd:double"&gt;1.0320544&lt;/D&gt;&lt;D xsi:type="xsd:double"&gt;-3.172046&lt;/D&gt;&lt;D xsi:type="xsd:double"&gt;5.03397&lt;/D&gt;&lt;D xsi:type="xsd:double"&gt;2.90792&lt;/D&gt;&lt;D xsi:type="xsd:double"&gt;-1.962322&lt;/D&gt;&lt;D xsi:type="xsd:double"&gt;-1.4144719&lt;/D&gt;&lt;D xsi:type="xsd:double"&gt;4.926908&lt;/D&gt;&lt;D xsi:type="xsd:double"&gt;-2.7347744&lt;/D&gt;&lt;D xsi:type="xsd:double"&gt;-1.047957&lt;/D&gt;&lt;D xsi:type="xsd:double"&gt;7.8573346&lt;/D&gt;&lt;D xsi:type="xsd:double"&gt;1.3177514&lt;/D&gt;&lt;D xsi:type="xsd:double"&gt;7.411039&lt;/D&gt;&lt;D xsi:type="xsd:double"&gt;-2.1475852&lt;/D&gt;&lt;D xsi:type="xsd:double"&gt;1.7044067&lt;/D&gt;&lt;D xsi:type="xsd:double"&gt;-2.2713482&lt;/D&gt;&lt;D xsi:type="xsd:double"&gt;8.954155&lt;/D&gt;&lt;D xsi:type="xsd:double"&gt;6.2239766&lt;/D&gt;&lt;D xsi:type="xsd:double"&gt;3.435111&lt;/D&gt;&lt;D xsi:type="xsd:double"&gt;0.34906864&lt;/D&gt;&lt;D xsi:type="xsd:double"&gt;-10.83284&lt;/D&gt;&lt;D xsi:type="xsd:double"&gt;20.466387&lt;/D&gt;&lt;D xsi:type="xsd:double"&gt;2.0929694&lt;/D&gt;&lt;D xsi:type="xsd:double"&gt;-3.1567454&lt;/D&gt;&lt;D xsi:type="xsd:double"&gt;0.09366274&lt;/D&gt;&lt;D xsi:type="xsd:double"&gt;-2.470523&lt;/D&gt;&lt;D xsi:type="xsd:double"&gt;-2.3795843&lt;/D&gt;&lt;D xsi:type="xsd:double"&gt;-7.165587&lt;/D&gt;&lt;D xsi:type="xsd:double"&gt;2.5253534&lt;/D&gt;&lt;D xsi:type="xsd:double"&gt;-11.705267&lt;/D&gt;&lt;D xsi:type="xsd:double"&gt;5.91321&lt;/D&gt;&lt;D xsi:type="xsd:double"&gt;-1.4182746&lt;/D&gt;&lt;D xsi:type="xsd:double"&gt;-0.9819627&lt;/D&gt;&lt;D xsi:type="xsd:double"&gt;-1.0315657&lt;/D&gt;&lt;D xsi:type="xsd:double"&gt;10.525095&lt;/D&gt;&lt;D xsi:type="xsd:double"&gt;-5.912161&lt;/D&gt;&lt;D xsi:type="xsd:double"&gt;-0.83034635&lt;/D&gt;&lt;D xsi:type="xsd:double"&gt;-4.11858&lt;/D&gt;&lt;D xsi:type="xsd:double"&gt;-5.286753&lt;/D&gt;&lt;D xsi:type="xsd:double"&gt;2.7033567&lt;/D&gt;&lt;D xsi:type="xsd:double"&gt;-7.838768&lt;/D&gt;&lt;D xsi:type="xsd:double"&gt;-5.23209&lt;/D&gt;&lt;D xsi:type="xsd:double"&gt;7.5594664&lt;/D&gt;&lt;D xsi:type="xsd:double"&gt;-8.002109&lt;/D&gt;&lt;D xsi:type="xsd:double"&gt;-10.271817&lt;/D&gt;&lt;D xsi:type="xsd:double"&gt;8.23983&lt;/D&gt;&lt;D xsi:type="xsd:double"&gt;-6.1116037&lt;/D&gt;&lt;D xsi:type="xsd:double"&gt;-9.528297&lt;/D&gt;&lt;D xsi:type="xsd:double"&gt;-22.714632&lt;/D&gt;&lt;D xsi:type="xsd:double"&gt;11.041153&lt;/D&gt;&lt;D xsi:type="xsd:double"&gt;7.472658&lt;/D&gt;&lt;D xsi:type="xsd:double"&gt;4.851866&lt;/D&gt;&lt;D xsi:type="xsd:double"&gt;-1.7955363&lt;/D&gt;&lt;D xsi:type="xsd:double"&gt;-3.9552212&lt;/D&gt;&lt;D xsi:type="xsd:double"&gt;-6.5656605&lt;/D&gt;&lt;D xsi:type="xsd:double"&gt;0.7900238&lt;/D&gt;&lt;D xsi:type="xsd:double"&gt;19.265675&lt;/D&gt;&lt;D xsi:type="xsd:double"&gt;7.3690176&lt;/D&gt;&lt;D xsi:type="xsd:double"&gt;-0.8743465&lt;/D&gt;&lt;D xsi:type="xsd:double"&gt;5.2270412&lt;/D&gt;&lt;D xsi:type="xsd:double"&gt;6.488669&lt;/D&gt;&lt;D xsi:type="xsd:double"&gt;-3.2653034&lt;/D&gt;&lt;D xsi:type="xsd:double"&gt;-11.693793&lt;/D&gt;&lt;D xsi:type="xsd:double"&gt;0.24158955&lt;/D&gt;&lt;D xsi:type="xsd:double"&gt;-7.825482&lt;/D&gt;&lt;D xsi:type="xsd:double"&gt;7.400453&lt;/D&gt;&lt;D xsi:type="xsd:double"&gt;-9.933543&lt;/D&gt;&lt;D xsi:type="xsd:double"&gt;4.1164994&lt;/D&gt;&lt;D xsi:type="xsd:double"&gt;-7.534498&lt;/D&gt;&lt;D xsi:type="xsd:double"&gt;-4.3371916&lt;/D&gt;&lt;D xsi:type="xsd:double"&gt;7.0122004&lt;/D&gt;&lt;D xsi:type="xsd:double"&gt;9.727311&lt;/D&gt;&lt;D xsi:type="xsd:double"&gt;10.53412&lt;/D&gt;&lt;D xsi:type="xsd:double"&gt;-10.402679&lt;/D&gt;&lt;D xsi:type="xsd:double"&gt;15.168535&lt;/D&gt;&lt;D xsi:type="xsd:double"&gt;-18.82016&lt;/D&gt;&lt;D xsi:type="xsd:double"&gt;7.8750014&lt;/D&gt;&lt;D xsi:type="xsd:double"&gt;14.368486&lt;/D&gt;&lt;D xsi:type="xsd:double"&gt;-13.272542&lt;/D&gt;&lt;D xsi:type="xsd:double"&gt;0.42835474&lt;/D&gt;&lt;D xsi:type="xsd:double"&gt;6.1651707&lt;/D&gt;&lt;D xsi:type="xsd:double"&gt;-2.4466395&lt;/D&gt;&lt;D xsi:type="xsd:double"&gt;11.866355&lt;/D&gt;&lt;D xsi:type="xsd:double"&gt;0.61792135&lt;/D&gt;&lt;D xsi:type="xsd:double"&gt;-5.493003&lt;/D&gt;&lt;D xsi:type="xsd:double"&gt;2.8880835&lt;/D&gt;&lt;D xsi:type="xsd:double"&gt;4.0701747&lt;/D&gt;&lt;D xsi:type="xsd:double"&gt;3.9515615&lt;/D&gt;&lt;D xsi:type="xsd:double"&gt;0.43845177&lt;/D&gt;&lt;D xsi:type="xsd:double"&gt;-4.4325113&lt;/D&gt;&lt;D xsi:type="xsd:double"&gt;-12.508785&lt;/D&gt;&lt;D xsi:type="xsd:double"&gt;3.4939766&lt;/D&gt;&lt;D xsi:type="xsd:double"&gt;4.190922&lt;/D&gt;&lt;D xsi:type="xsd:double"&gt;1.4304996&lt;/D&gt;&lt;D xsi:type="xsd:double"&gt;-7.243162&lt;/D&gt;&lt;D xsi:type="xsd:double"&gt;1.9920349&lt;/D&gt;&lt;/FQL&gt;&lt;FQL&gt;&lt;Q&gt;USDPEN^FG_PRICE_CHANGE(0,-1AY)&lt;/Q&gt;&lt;R&gt;1&lt;/R&gt;&lt;C&gt;1&lt;/C&gt;&lt;D xsi:type="xsd:double"&gt;-0.53094625&lt;/D&gt;&lt;/FQL&gt;&lt;FQL&gt;&lt;Q&gt;USDCLP^STD(FG_PRICE_CHANGE(0,-3AY,M))&lt;/Q&gt;&lt;R&gt;1&lt;/R&gt;&lt;C&gt;1&lt;/C&gt;&lt;D xsi:type="xsd:double"&gt;4.37416162228254&lt;/D&gt;&lt;/FQL&gt;&lt;FQL&gt;&lt;Q&gt;EPU^P_PRICE_RETURNS_PR('52W',2,-10AY,0,AM)&lt;/Q&gt;&lt;R&gt;121&lt;/R&gt;&lt;C&gt;1&lt;/C&gt;&lt;D xsi:type="xsd:double"&gt;-24.97691&lt;/D&gt;&lt;D xsi:type="xsd:double"&gt;-23.213953&lt;/D&gt;&lt;D xsi:type="xsd:double"&gt;-11.844837&lt;/D&gt;&lt;D xsi:type="xsd:double"&gt;-4.1291656&lt;/D&gt;&lt;D xsi:type="xsd:double"&gt;11.357975&lt;/D&gt;&lt;D xsi:type="xsd:double"&gt;13.976515&lt;/D&gt;&lt;D xsi:type="xsd:double"&gt;6.3618064&lt;/D&gt;&lt;D xsi:type="xsd:double"&gt;3.7308693&lt;/D&gt;&lt;D xsi:type="xsd:double"&gt;-4.621583&lt;/D&gt;&lt;D xsi:type="xsd:double"&gt;9.746874&lt;/D&gt;&lt;D xsi:type="xsd:double"&gt;-4.0342093&lt;/D&gt;&lt;D xsi:type="xsd:double"&gt;-2.4215162&lt;/D&gt;&lt;D xsi:type="xsd:double"&gt;-8.172857&lt;/D&gt;&lt;D xsi:type="xsd:double"&gt;-8.172494&lt;/D&gt;&lt;D xsi:type="xsd:double"&gt;-8.371914&lt;/D&gt;&lt;D xsi:type="xsd:double"&gt;-12.0865345&lt;/D&gt;&lt;D xsi:type="xsd:double"&gt;-17.907793&lt;/D&gt;&lt;D xsi:type="xsd:double"&gt;-26.710724&lt;/D&gt;&lt;D xsi:type="xsd:double"&gt;-36.902493&lt;/D&gt;&lt;D xsi:type="xsd:double"&gt;-32.193745&lt;/D&gt;&lt;D xsi:type="xsd:double"&gt;-29.298973&lt;/D&gt;&lt;D xsi:type="xsd:double"&gt;-34.094482&lt;/D&gt;&lt;D xsi:type="xsd:double"&gt;-36.205696&lt;/D&gt;&lt;D xsi:type="xsd:double"&gt;-33.523415&lt;/D&gt;&lt;D xsi:type="xsd:double"&gt;-17.688131&lt;/D&gt;&lt;D xsi:type="xsd:double"&gt;-11.587275&lt;/D&gt;&lt;D xsi:type="xsd:double"&gt;-4.435897&lt;/D&gt;&lt;D xsi:type="xsd:double"&gt;3.6749005&lt;/D&gt;&lt;D xsi:type="xsd:double"&gt;7.628274&lt;/D&gt;&lt;D xsi:type="xsd:double"&gt;34.95009&lt;/D&gt;&lt;D xsi:type="xsd:double"&gt;50.218403&lt;/D&gt;&lt;D xsi:type="xsd:double"&gt;46.27875&lt;/D&gt;&lt;D xsi:type="xsd:double"&gt;43.69459&lt;/D&gt;&lt;D xsi:type="xsd:double"&gt;55.359375&lt;/D&gt;&lt;D xsi:type="xsd:double"&gt;69.01694&lt;/D&gt;&lt;D xsi:type="xsd:double"&gt;82.83938&lt;/D&gt;&lt;D xsi:type="xsd:double"&gt;46.518528&lt;/D&gt;&lt;D xsi:type="xsd:double"&gt;36.295807&lt;/D&gt;&lt;D xsi:type="xsd:double"&gt;14.085436&lt;/D&gt;&lt;D xsi:type="xsd:double"&gt;17.856766&lt;/D&gt;&lt;D xsi:type="xsd:double"&gt;11.722493&lt;/D&gt;&lt;D xsi:type="xsd:double"&gt;4.410851&lt;/D&gt;&lt;D xsi:type="xsd:double"&gt;17.57189&lt;/D&gt;&lt;D xsi:type="xsd:double"&gt;27.973248&lt;/D&gt;&lt;D xsi:type="xsd:double"&gt;33.608044&lt;/D&gt;&lt;D xsi:type="xsd:double"&gt;26.24526&lt;/D&gt;&lt;D xsi:type="xsd:double"&gt;30.58598&lt;/D&gt;&lt;D xsi:type="xsd:double"&gt;23.16221&lt;/D&gt;&lt;D xsi:type="xsd:double"&gt;29.836582&lt;/D&gt;&lt;D xsi:type="xsd:double"&gt;30.301416&lt;/D&gt;&lt;D xsi:type="xsd:double"&gt;35.597946&lt;/D&gt;&lt;D xsi:type="xsd:double"&gt;29.237091&lt;/D&gt;&lt;D xsi:type="xsd:double"&gt;17.5789&lt;/D&gt;&lt;D xsi:type="xsd:double"&gt;13.499414&lt;/D&gt;&lt;D xsi:type="xsd:double"&gt;-1.801753&lt;/D&gt;&lt;D xsi:type="xsd:double"&gt;-7.197404&lt;/D&gt;&lt;D xsi:type="xsd:double"&gt;-13.428879&lt;/D&gt;&lt;D xsi:type="xsd:double"&gt;-8.2703705&lt;/D&gt;&lt;D xsi:type="xsd:double"&gt;-13.302773&lt;/D&gt;&lt;D xsi:type="xsd:double"&gt;-8.4639435&lt;/D&gt;&lt;D xsi:type="xsd:double"&gt;-6.754798&lt;/D&gt;&lt;D xsi:type="xsd:double"&gt;-6.6120744&lt;/D&gt;&lt;D xsi:type="xsd:double"&gt;-10.744917&lt;/D&gt;&lt;D xsi:type="xsd:double"&gt;-15.798741&lt;/D&gt;&lt;D xsi:type="xsd:double"&gt;-1.80071&lt;/D&gt;&lt;D xsi:type="xsd:double"&gt;-8.837473&lt;/D&gt;&lt;D xsi:type="xsd:double"&gt;-3.1209648&lt;/D&gt;&lt;D xsi:type="xsd:double"&gt;-3.86132&lt;/D&gt;&lt;D xsi:type="xsd:double"&gt;3.1016707&lt;/D&gt;&lt;D xsi:type="xsd:double"&gt;-2.3824275&lt;/D&gt;&lt;D xsi:type="xsd:double"&gt;6.7211986&lt;/D&gt;&lt;D xsi:type="xsd:double"&gt;-5.2957478&lt;/D&gt;&lt;D xsi:type="xsd:double"&gt;-13.531661&lt;/D&gt;&lt;D xsi:type="xsd:double"&gt;-43.186073&lt;/D&gt;&lt;D xsi:type="xsd:double"&gt;-30.596918&lt;/D&gt;&lt;D xsi:type="xsd:double"&gt;-16.095287&lt;/D&gt;&lt;D xsi:type="xsd:double"&gt;-22.584486&lt;/D&gt;&lt;D xsi:type="xsd:double"&gt;-10.649901&lt;/D&gt;&lt;D xsi:type="xsd:double"&gt;-6.512296&lt;/D&gt;&lt;D xsi:type="xsd:double"&gt;-10.737932&lt;/D&gt;&lt;D xsi:type="xsd:double"&gt;-15.424585&lt;/D&gt;&lt;D xsi:type="xsd:double"&gt;3.3430815&lt;/D&gt;&lt;D xsi:type="xsd:double"&gt;-2.860999&lt;/D&gt;&lt;D xsi:type="xsd:double"&gt;2.7094603&lt;/D&gt;&lt;D xsi:type="xsd:double"&gt;14.725852&lt;/D&gt;&lt;D xsi:type="xsd:double"&gt;58.76943&lt;/D&gt;&lt;D xsi:type="xsd:double"&gt;26.920425&lt;/D&gt;&lt;D xsi:type="xsd:double"&gt;22.733997&lt;/D&gt;&lt;D xsi:type="xsd:double"&gt;4.2500496&lt;/D&gt;&lt;D xsi:type="xsd:double"&gt;-11.495275&lt;/D&gt;&lt;D xsi:type="xsd:double"&gt;-13.022369&lt;/D&gt;&lt;D xsi:type="xsd:double"&gt;-9.162897&lt;/D&gt;&lt;D xsi:type="xsd:double"&gt;-0.38674474&lt;/D&gt;&lt;D xsi:type="xsd:double"&gt;-17.750067&lt;/D&gt;&lt;D xsi:type="xsd:double"&gt;-9.997606&lt;/D&gt;&lt;D xsi:type="xsd:double"&gt;-7.717383&lt;/D&gt;&lt;D xsi:type="xsd:double"&gt;2.2217393&lt;/D&gt;&lt;D xsi:type="xsd:double"&gt;12.387598&lt;/D&gt;&lt;D xsi:type="xsd:double"&gt;4.898441&lt;/D&gt;&lt;D xsi:type="xsd:double"&gt;-2.5094986&lt;/D&gt;&lt;D xsi:type="xsd:double"&gt;-5.411929&lt;/D&gt;&lt;D xsi:type="xsd:double"&gt;2.3462296&lt;/D&gt;&lt;D xsi:type="xsd:double"&gt;-0.05953908&lt;/D&gt;&lt;D xsi:type="xsd:double"&gt;4.5390368&lt;/D&gt;&lt;D xsi:type="xsd:double"&gt;2.753365&lt;/D&gt;&lt;D xsi:type="xsd:double"&gt;12.498104&lt;/D&gt;&lt;D xsi:type="xsd:double"&gt;0.68591833&lt;/D&gt;&lt;D xsi:type="xsd:double"&gt;3.3990264&lt;/D&gt;&lt;D xsi:type="xsd:double"&gt;-11.389875&lt;/D&gt;&lt;D xsi:type="xsd:double"&gt;-14.716357&lt;/D&gt;&lt;D xsi:type="xsd:double"&gt;0.077188015&lt;/D&gt;&lt;D xsi:type="xsd:double"&gt;1.8433213&lt;/D&gt;&lt;D xsi:type="xsd:double"&gt;23.651302&lt;/D&gt;&lt;D xsi:type="xsd:double"&gt;34.4404&lt;/D&gt;&lt;D xsi:type="xsd:double"&gt;36.999405&lt;/D&gt;&lt;D xsi:type="xsd:double"&gt;16.760195&lt;/D&gt;&lt;D xsi:type="xsd:double"&gt;16.629374&lt;/D&gt;&lt;D xsi:type="xsd:double"&gt;7.927525&lt;/D&gt;&lt;D xsi:type="xsd:double"&gt;20.986916&lt;/D&gt;&lt;D xsi:type="xsd:double"&gt;13.423193&lt;/D&gt;&lt;D xsi:type="xsd:double"&gt;22.970295&lt;/D&gt;&lt;/FQL&gt;&lt;FQL&gt;&lt;Q&gt;ECH^FMA_DIV_YLD(NTMA,-10AY,0,AM,"PORTAGG","MEANR")&lt;/Q&gt;&lt;R&gt;121&lt;/R&gt;&lt;C&gt;1&lt;/C&gt;&lt;D xsi:type="xsd:double"&gt;3.46355725150158&lt;/D&gt;&lt;D xsi:type="xsd:double"&gt;3.1721309909717&lt;/D&gt;&lt;D xsi:type="xsd:double"&gt;3.11499300567168&lt;/D&gt;&lt;D xsi:type="xsd:double"&gt;3.03777441618102&lt;/D&gt;&lt;D xsi:type="xsd:double"&gt;2.98920597082212&lt;/D&gt;&lt;D xsi:type="xsd:double"&gt;3.05192229633052&lt;/D&gt;&lt;D xsi:type="xsd:double"&gt;3.03030803000745&lt;/D&gt;&lt;D xsi:type="xsd:double"&gt;3.18687977593186&lt;/D&gt;&lt;D xsi:type="xsd:double"&gt;3.04759392862038&lt;/D&gt;&lt;D xsi:type="xsd:double"&gt;3.07872968451547&lt;/D&gt;&lt;D xsi:type="xsd:double"&gt;3.15325940376066&lt;/D&gt;&lt;D xsi:type="xsd:double"&gt;3.17760900769264&lt;/D&gt;&lt;D xsi:type="xsd:double"&gt;3.19991100662618&lt;/D&gt;&lt;D xsi:type="xsd:double"&gt;3.2166468071952&lt;/D&gt;&lt;D xsi:type="xsd:double"&gt;3.21056517443608&lt;/D&gt;&lt;D xsi:type="xsd:double"&gt;3.4971069683196&lt;/D&gt;&lt;D xsi:type="xsd:double"&gt;3.63947198613991&lt;/D&gt;&lt;D xsi:type="xsd:double"&gt;3.5868994029236&lt;/D&gt;&lt;D xsi:type="xsd:double"&gt;3.60546008136136&lt;/D&gt;&lt;D xsi:type="xsd:double"&gt;3.82045564730793&lt;/D&gt;&lt;D xsi:type="xsd:double"&gt;3.46577708527352&lt;/D&gt;&lt;D xsi:type="xsd:double"&gt;3.73539122676145&lt;/D&gt;&lt;D xsi:type="xsd:double"&gt;3.88285809875304&lt;/D&gt;&lt;D xsi:type="xsd:double"&gt;3.71981577465638&lt;/D&gt;&lt;D xsi:type="xsd:double"&gt;3.55701078619708&lt;/D&gt;&lt;D xsi:type="xsd:double"&gt;3.43879212475584&lt;/D&gt;&lt;D xsi:type="xsd:double"&gt;3.28300067519091&lt;/D&gt;&lt;D xsi:type="xsd:double"&gt;3.26816291909631&lt;/D&gt;&lt;D xsi:type="xsd:double"&gt;3.07156024874806&lt;/D&gt;&lt;D xsi:type="xsd:double"&gt;2.94365144095365&lt;/D&gt;&lt;D xsi:type="xsd:double"&gt;2.95932183174663&lt;/D&gt;&lt;D xsi:type="xsd:double"&gt;3.07952240194033&lt;/D&gt;&lt;D xsi:type="xsd:double"&gt;2.72896644342454&lt;/D&gt;&lt;D xsi:type="xsd:double"&gt;2.89917645235482&lt;/D&gt;&lt;D xsi:type="xsd:double"&gt;2.96199389704249&lt;/D&gt;&lt;D xsi:type="xsd:double"&gt;2.83557276623313&lt;/D&gt;&lt;D xsi:type="xsd:double"&gt;2.75220088241846&lt;/D&gt;&lt;D xsi:type="xsd:double"&gt;2.44765816696396&lt;/D&gt;&lt;D xsi:type="xsd:double"&gt;2.49431895417372&lt;/D&gt;&lt;D xsi:type="xsd:double"&gt;2.45847854878009&lt;/D&gt;&lt;D xsi:type="xsd:double"&gt;2.74491180638798&lt;/D&gt;&lt;D xsi:type="xsd:double"&gt;2.58959488900714&lt;/D&gt;&lt;D xsi:type="xsd:double"&gt;2.44962667249868&lt;/D&gt;&lt;D xsi:type="xsd:double"&gt;3.09251716025899&lt;/D&gt;&lt;D xsi:type="xsd:double"&gt;2.87046961895488&lt;/D&gt;&lt;D xsi:type="xsd:double"&gt;3.22351460380936&lt;/D&gt;&lt;D xsi:type="xsd:double"&gt;2.86720083594118&lt;/D&gt;&lt;D xsi:type="xsd:double"&gt;2.72267440149616&lt;/D&gt;&lt;D xsi:type="xsd:double"&gt;3.05023083729758&lt;/D&gt;&lt;D xsi:type="xsd:double"&gt;3.10352757453184&lt;/D&gt;&lt;D xsi:type="xsd:double"&gt;3.17792654115432&lt;/D&gt;&lt;D xsi:type="xsd:double"&gt;3.19832431836025&lt;/D&gt;&lt;D xsi:type="xsd:double"&gt;3.44205032714624&lt;/D&gt;&lt;D xsi:type="xsd:double"&gt;3.28850679011938&lt;/D&gt;&lt;D xsi:type="xsd:double"&gt;3.76684581419005&lt;/D&gt;&lt;D xsi:type="xsd:double"&gt;3.37856304137591&lt;/D&gt;&lt;D xsi:type="xsd:double"&gt;3.03921217418499&lt;/D&gt;&lt;D xsi:type="xsd:double"&gt;2.98884491583324&lt;/D&gt;&lt;D xsi:type="xsd:double"&gt;3.14872060977686&lt;/D&gt;&lt;D xsi:type="xsd:double"&gt;2.9390157383605&lt;/D&gt;&lt;D xsi:type="xsd:double"&gt;3.06361488504787&lt;/D&gt;&lt;D xsi:type="xsd:double"&gt;2.99891158993555&lt;/D&gt;&lt;D xsi:type="xsd:double"&gt;3.04746630987099&lt;/D&gt;&lt;D xsi:type="xsd:double"&gt;3.31430473694863&lt;/D&gt;&lt;D xsi:type="xsd:double"&gt;3.22056834786257&lt;/D&gt;&lt;D xsi:type="xsd:double"&gt;3.33700668339669&lt;/D&gt;&lt;D xsi:type="xsd:double"&gt;3.50064973736226&lt;/D&gt;&lt;D xsi:type="xsd:double"&gt;3.261104372795&lt;/D&gt;&lt;D xsi:type="xsd:double"&gt;3.53499966211856&lt;/D&gt;&lt;D xsi:type="xsd:double"&gt;3.79070985113963&lt;/D&gt;&lt;D xsi:type="xsd:double"&gt;3.61532543693037&lt;/D&gt;&lt;D xsi:type="xsd:double"&gt;3.75663232829747&lt;/D&gt;&lt;D xsi:type="xsd:double"&gt;4.06121625086271&lt;/D&gt;&lt;D xsi:type="xsd:double"&gt;4.43036353564841&lt;/D&gt;&lt;D xsi:type="xsd:double"&gt;3.93095706257205&lt;/D&gt;&lt;D xsi:type="xsd:double"&gt;3.38783944994343&lt;/D&gt;&lt;D xsi:type="xsd:double"&gt;3.19759552483427&lt;/D&gt;&lt;D xsi:type="xsd:double"&gt;3.45162473329191&lt;/D&gt;&lt;D xsi:type="xsd:double"&gt;3.68006846816888&lt;/D&gt;&lt;D xsi:type="xsd:double"&gt;3.80232843010277&lt;/D&gt;&lt;D xsi:type="xsd:double"&gt;3.8450685154761&lt;/D&gt;&lt;D xsi:type="xsd:double"&gt;3.12725713825697&lt;/D&gt;&lt;D xsi:type="xsd:double"&gt;3.23996330719097&lt;/D&gt;&lt;D xsi:type="xsd:double"&gt;3.2507875532401&lt;/D&gt;&lt;D xsi:type="xsd:double"&gt;2.58420880061733&lt;/D&gt;&lt;D xsi:type="xsd:double"&gt;2.89330091545218&lt;/D&gt;&lt;D xsi:type="xsd:double"&gt;3.43106429436144&lt;/D&gt;&lt;D xsi:type="xsd:double"&gt;3.87183882907591&lt;/D&gt;&lt;D xsi:type="xsd:double"&gt;3.9851016320243&lt;/D&gt;&lt;D xsi:type="xsd:double"&gt;4.76503963248634&lt;/D&gt;&lt;D xsi:type="xsd:double"&gt;4.57448340802597&lt;/D&gt;&lt;D xsi:type="xsd:double"&gt;4.95537262852991&lt;/D&gt;&lt;D xsi:type="xsd:double"&gt;4.70492638606222&lt;/D&gt;&lt;D xsi:type="xsd:double"&gt;5.27455435343747&lt;/D&gt;&lt;D xsi:type="xsd:double"&gt;5.49946749278917&lt;/D&gt;&lt;D xsi:type="xsd:double"&gt;4.9358723611646&lt;/D&gt;&lt;D xsi:type="xsd:double"&gt;4.58282658972233&lt;/D&gt;&lt;D xsi:type="xsd:double"&gt;4.59677734637838&lt;/D&gt;&lt;D xsi:type="xsd:double"&gt;5.15286184864212&lt;/D&gt;&lt;D xsi:type="xsd:double"&gt;6.27238016541773&lt;/D&gt;&lt;D xsi:type="xsd:double"&gt;7.59973074736872&lt;/D&gt;&lt;D xsi:type="xsd:double"&gt;7.46875529499941&lt;/D&gt;&lt;D xsi:type="xsd:double"&gt;7.4429847738615&lt;/D&gt;&lt;D xsi:type="xsd:double"&gt;6.92817824806388&lt;/D&gt;&lt;D xsi:type="xsd:double"&gt;7.02463649907152&lt;/D&gt;&lt;D xsi:type="xsd:double"&gt;8.47275404073879&lt;/D&gt;&lt;D xsi:type="xsd:double"&gt;8.7154090368601&lt;/D&gt;&lt;D xsi:type="xsd:double"&gt;7.72242089780781&lt;/D&gt;&lt;D xsi:type="xsd:double"&gt;7.96484797424852&lt;/D&gt;&lt;D xsi:type="xsd:double"&gt;9.15264673242146&lt;/D&gt;&lt;D xsi:type="xsd:double"&gt;8.17589681476681&lt;/D&gt;&lt;D xsi:type="xsd:double"&gt;7.20075218828988&lt;/D&gt;&lt;D xsi:type="xsd:double"&gt;6.71899216137033&lt;/D&gt;&lt;D xsi:type="xsd:double"&gt;6.22889372902437&lt;/D&gt;&lt;D xsi:type="xsd:double"&gt;6.54940288030411&lt;/D&gt;&lt;D xsi:type="xsd:double"&gt;7.09659160615222&lt;/D&gt;&lt;D xsi:type="xsd:double"&gt;6.65628331758656&lt;/D&gt;&lt;D xsi:type="xsd:double"&gt;6.76300729183752&lt;/D&gt;&lt;D xsi:type="xsd:double"&gt;6.79549484857609&lt;/D&gt;&lt;D xsi:type="xsd:double"&gt;6.96699969673625&lt;/D&gt;&lt;D xsi:type="xsd:double"&gt;7.51485221586827&lt;/D&gt;&lt;/FQL&gt;&lt;FQL&gt;&lt;Q&gt;VNM^FMA_PE(LTMA,-10AY,0,AM,"PORTAGG","MEANR")&lt;/Q&gt;&lt;R&gt;121&lt;/R&gt;&lt;C&gt;1&lt;/C&gt;&lt;D xsi:type="xsd:double"&gt;11.6176589075852&lt;/D&gt;&lt;D xsi:type="xsd:double"&gt;11.9393850597458&lt;/D&gt;&lt;D xsi:type="xsd:double"&gt;11.8525339807946&lt;/D&gt;&lt;D xsi:type="xsd:double"&gt;11.9501681709505&lt;/D&gt;&lt;D xsi:type="xsd:double"&gt;12.3465934303218&lt;/D&gt;&lt;D xsi:type="xsd:double"&gt;12.6589947469365&lt;/D&gt;&lt;D xsi:type="xsd:double"&gt;13.7032313387667&lt;/D&gt;&lt;D xsi:type="xsd:double"&gt;13.4804164707277&lt;/D&gt;&lt;D xsi:type="xsd:double"&gt;13.2731161521557&lt;/D&gt;&lt;D xsi:type="xsd:double"&gt;13.2102942996762&lt;/D&gt;&lt;D xsi:type="xsd:double"&gt;12.600604480673&lt;/D&gt;&lt;D xsi:type="xsd:double"&gt;12.2710765284162&lt;/D&gt;&lt;D xsi:type="xsd:double"&gt;16.9802801163339&lt;/D&gt;&lt;D xsi:type="xsd:double"&gt;16.3938374486466&lt;/D&gt;&lt;D xsi:type="xsd:double"&gt;16.7500781395193&lt;/D&gt;&lt;D xsi:type="xsd:double"&gt;16.5912854519585&lt;/D&gt;&lt;D xsi:type="xsd:double"&gt;16.9581580295607&lt;/D&gt;&lt;D xsi:type="xsd:double"&gt;16.8762707750835&lt;/D&gt;&lt;D xsi:type="xsd:double"&gt;17.3467800492299&lt;/D&gt;&lt;D xsi:type="xsd:double"&gt;18.3571469931919&lt;/D&gt;&lt;D xsi:type="xsd:double"&gt;23.5311363969598&lt;/D&gt;&lt;D xsi:type="xsd:double"&gt;24.4545557890489&lt;/D&gt;&lt;D xsi:type="xsd:double"&gt;27.4066617001321&lt;/D&gt;&lt;D xsi:type="xsd:double"&gt;18.5778791352865&lt;/D&gt;&lt;D xsi:type="xsd:double"&gt;-5.5045831316231&lt;/D&gt;&lt;D xsi:type="xsd:double"&gt;-4.12175063924489&lt;/D&gt;&lt;D xsi:type="xsd:double"&gt;-2.24459389297775&lt;/D&gt;&lt;D xsi:type="xsd:double"&gt;-0.316127747014489&lt;/D&gt;&lt;D xsi:type="xsd:double"&gt;1.19492569416226&lt;/D&gt;&lt;D xsi:type="xsd:double"&gt;3.31089160183389&lt;/D&gt;&lt;D xsi:type="xsd:double"&gt;4.91827073232302&lt;/D&gt;&lt;D xsi:type="xsd:double"&gt;9.82442347167809&lt;/D&gt;&lt;D xsi:type="xsd:double"&gt;10.9778164342604&lt;/D&gt;&lt;D xsi:type="xsd:double"&gt;12.5913850181649&lt;/D&gt;&lt;D xsi:type="xsd:double"&gt;14.7246004182152&lt;/D&gt;&lt;D xsi:type="xsd:double"&gt;15.0122501111141&lt;/D&gt;&lt;D xsi:type="xsd:double"&gt;15.6169212741644&lt;/D&gt;&lt;D xsi:type="xsd:double"&gt;15.7426424921771&lt;/D&gt;&lt;D xsi:type="xsd:double"&gt;15.884062280762&lt;/D&gt;&lt;D xsi:type="xsd:double"&gt;15.7394976326064&lt;/D&gt;&lt;D xsi:type="xsd:double"&gt;16.899749541214&lt;/D&gt;&lt;D xsi:type="xsd:double"&gt;16.1491264593825&lt;/D&gt;&lt;D xsi:type="xsd:double"&gt;17.4453276274799&lt;/D&gt;&lt;D xsi:type="xsd:double"&gt;18.0492358751497&lt;/D&gt;&lt;D xsi:type="xsd:double"&gt;18.3403705187659&lt;/D&gt;&lt;D xsi:type="xsd:double"&gt;20.9848002997531&lt;/D&gt;&lt;D xsi:type="xsd:double"&gt;23.2217089837098&lt;/D&gt;&lt;D xsi:type="xsd:double"&gt;25.7974325520195&lt;/D&gt;&lt;D xsi:type="xsd:double"&gt;24.6206953655937&lt;/D&gt;&lt;D xsi:type="xsd:double"&gt;24.7744128254592&lt;/D&gt;&lt;D xsi:type="xsd:double"&gt;23.8726785944953&lt;/D&gt;&lt;D xsi:type="xsd:double"&gt;24.185458537396&lt;/D&gt;&lt;D xsi:type="xsd:double"&gt;21.6848975058096&lt;/D&gt;&lt;D xsi:type="xsd:double"&gt;22.0303901174495&lt;/D&gt;&lt;D xsi:type="xsd:double"&gt;21.861616214181&lt;/D&gt;&lt;D xsi:type="xsd:double"&gt;21.2363119098313&lt;/D&gt;&lt;D xsi:type="xsd:double"&gt;19.6061563789726&lt;/D&gt;&lt;D xsi:type="xsd:double"&gt;19.7565845808057&lt;/D&gt;&lt;D xsi:type="xsd:double"&gt;17.4552556506395&lt;/D&gt;&lt;D xsi:type="xsd:double"&gt;18.3020388237052&lt;/D&gt;&lt;D xsi:type="xsd:double"&gt;19.7485093667935&lt;/D&gt;&lt;D xsi:type="xsd:double"&gt;19.6109853757898&lt;/D&gt;&lt;D xsi:type="xsd:double"&gt;19.6626232813936&lt;/D&gt;&lt;D xsi:type="xsd:double"&gt;19.3457151380533&lt;/D&gt;&lt;D xsi:type="xsd:double"&gt;19.2059186236208&lt;/D&gt;&lt;D xsi:type="xsd:double"&gt;18.6640871860638&lt;/D&gt;&lt;D xsi:type="xsd:double"&gt;17.405081537666&lt;/D&gt;&lt;D xsi:type="xsd:double"&gt;17.3059979755618&lt;/D&gt;&lt;D xsi:type="xsd:double"&gt;17.4853893336692&lt;/D&gt;&lt;D xsi:type="xsd:double"&gt;17.6085272809246&lt;/D&gt;&lt;D xsi:type="xsd:double"&gt;17.0349644352278&lt;/D&gt;&lt;D xsi:type="xsd:double"&gt;15.209076012547&lt;/D&gt;&lt;D xsi:type="xsd:double"&gt;15.0398239937099&lt;/D&gt;&lt;D xsi:type="xsd:double"&gt;14.4998210052399&lt;/D&gt;&lt;D xsi:type="xsd:double"&gt;15.261081778616&lt;/D&gt;&lt;D xsi:type="xsd:double"&gt;16.3708069926483&lt;/D&gt;&lt;D xsi:type="xsd:double"&gt;16.080930797092&lt;/D&gt;&lt;D xsi:type="xsd:double"&gt;16.604962281376&lt;/D&gt;&lt;D xsi:type="xsd:double"&gt;18.1072666950408&lt;/D&gt;&lt;D xsi:type="xsd:double"&gt;18.3291259824169&lt;/D&gt;&lt;D xsi:type="xsd:double"&gt;18.6111041736188&lt;/D&gt;&lt;D xsi:type="xsd:double"&gt;20.1649495045606&lt;/D&gt;&lt;D xsi:type="xsd:double"&gt;23.2957456169641&lt;/D&gt;&lt;D xsi:type="xsd:double"&gt;23.849066315453&lt;/D&gt;&lt;D xsi:type="xsd:double"&gt;24.3481926655006&lt;/D&gt;&lt;D xsi:type="xsd:double"&gt;23.7755433342102&lt;/D&gt;&lt;D xsi:type="xsd:double"&gt;22.9774568880895&lt;/D&gt;&lt;D xsi:type="xsd:double"&gt;23.1832500418717&lt;/D&gt;&lt;D xsi:type="xsd:double"&gt;22.589577348665&lt;/D&gt;&lt;D xsi:type="xsd:double"&gt;21.5237116697108&lt;/D&gt;&lt;D xsi:type="xsd:double"&gt;20.7090512059799&lt;/D&gt;&lt;D xsi:type="xsd:double"&gt;19.9719623371273&lt;/D&gt;&lt;D xsi:type="xsd:double"&gt;19.981549071852&lt;/D&gt;&lt;D xsi:type="xsd:double"&gt;18.7126139852065&lt;/D&gt;&lt;D xsi:type="xsd:double"&gt;18.4952060609145&lt;/D&gt;&lt;D xsi:type="xsd:double"&gt;17.0164380130858&lt;/D&gt;&lt;D xsi:type="xsd:double"&gt;16.4964182503389&lt;/D&gt;&lt;D xsi:type="xsd:double"&gt;16.3609165193504&lt;/D&gt;&lt;D xsi:type="xsd:double"&gt;15.7394001012894&lt;/D&gt;&lt;D xsi:type="xsd:double"&gt;15.2358327783821&lt;/D&gt;&lt;D xsi:type="xsd:double"&gt;14.1227421454575&lt;/D&gt;&lt;D xsi:type="xsd:double"&gt;13.9965817455812&lt;/D&gt;&lt;D xsi:type="xsd:double"&gt;13.7489859110542&lt;/D&gt;&lt;D xsi:type="xsd:double"&gt;12.8641459672086&lt;/D&gt;&lt;D xsi:type="xsd:double"&gt;11.7794069989782&lt;/D&gt;&lt;D xsi:type="xsd:double"&gt;13.37797406295&lt;/D&gt;&lt;D xsi:type="xsd:double"&gt;11.7217836610951&lt;/D&gt;&lt;D xsi:type="xsd:double"&gt;12.3710653320318&lt;/D&gt;&lt;D xsi:type="xsd:double"&gt;12.2830614715601&lt;/D&gt;&lt;D xsi:type="xsd:double"&gt;12.8388320886034&lt;/D&gt;&lt;D xsi:type="xsd:double"&gt;12.9102854628212&lt;/D&gt;&lt;D xsi:type="xsd:double"&gt;13.6710176131939&lt;/D&gt;&lt;D xsi:type="xsd:double"&gt;13.4104861418138&lt;/D&gt;&lt;D xsi:type="xsd:double"&gt;14.3132236837144&lt;/D&gt;&lt;D xsi:type="xsd:double"&gt;15.4391017206135&lt;/D&gt;&lt;D xsi:type="xsd:double"&gt;14.531937846936&lt;/D&gt;&lt;D xsi:type="xsd:double"&gt;14.8645449791189&lt;/D&gt;&lt;D xsi:type="xsd:double"&gt;16.4466307315942&lt;/D&gt;&lt;D xsi:type="xsd:double"&gt;17.1308293691007&lt;/D&gt;&lt;D xsi:type="xsd:double"&gt;16.6956531690026&lt;/D&gt;&lt;D xsi:type="xsd:double"&gt;18.9415627187038&lt;/D&gt;&lt;/FQL&gt;&lt;FQL&gt;&lt;Q&gt;DDR3512M-FDS^FG_PRICE_CHANGE(0,-6AM)&lt;/Q&gt;&lt;R&gt;1&lt;/R&gt;&lt;C&gt;1&lt;/C&gt;&lt;D xsi:type="xsd:double"&gt;1.07098388863471&lt;/D&gt;&lt;/FQL&gt;&lt;FQL&gt;&lt;Q&gt;TIOS-FDS^FG_PRICE_CHANGE(0,-1AY)&lt;/Q&gt;&lt;R&gt;1&lt;/R&gt;&lt;C&gt;1&lt;/C&gt;&lt;D xsi:type="xsd:double"&gt;-7.6595072646873&lt;/D&gt;&lt;/FQL&gt;&lt;FQL&gt;&lt;Q&gt;VNM^FG_PRICE(0)&lt;/Q&gt;&lt;R&gt;1&lt;/R&gt;&lt;C&gt;1&lt;/C&gt;&lt;D xsi:type="xsd:double"&gt;13.58&lt;/D&gt;&lt;/FQL&gt;&lt;FQL&gt;&lt;Q&gt;EWT^FG_PRICE(0)&lt;/Q&gt;&lt;R&gt;1&lt;/R&gt;&lt;C&gt;1&lt;/C&gt;&lt;D xsi:type="xsd:double"&gt;47.28&lt;/D&gt;&lt;/FQL&gt;&lt;FQL&gt;&lt;Q&gt;ECH^FG_PRICE_MAVG(0,,,,200)&lt;/Q&gt;&lt;R&gt;1&lt;/R&gt;&lt;C&gt;1&lt;/C&gt;&lt;D xsi:type="xsd:double"&gt;27.32952&lt;/D&gt;&lt;/FQL&gt;&lt;FQL&gt;&lt;Q&gt;EZA^PERCENT_CHANGE(FMA_EPS(+1,0,,,,"PORTAGG","MEAN"),FMA_EPS(+1,-1AM,,,,"PORTAGG","MEAN"))&lt;/Q&gt;&lt;R&gt;1&lt;/R&gt;&lt;C&gt;1&lt;/C&gt;&lt;D xsi:type="xsd:double"&gt;-15.2613911228267&lt;/D&gt;&lt;/FQL&gt;&lt;FQL&gt;&lt;Q&gt;EPOL^PERCENT_CHANGE(FMA_EPS(+1,0,,,,"PORTAGG","MEAN"),FMA_EPS(+1,-1AM,,,,"PORTAGG","MEAN"))&lt;/Q&gt;&lt;R&gt;1&lt;/R&gt;&lt;C&gt;1&lt;/C&gt;&lt;D xsi:type="xsd:double"&gt;1.52648860234072&lt;/D&gt;&lt;/FQL&gt;&lt;FQL&gt;&lt;Q&gt;URTH^FMA_COS_UP("EPS","1M",+1,NOW,,,"PORTAGG","MEANR")&lt;/Q&gt;&lt;R&gt;1&lt;/R&gt;&lt;C&gt;1&lt;/C&gt;&lt;D xsi:type="xsd:double"&gt;714&lt;/D&gt;&lt;/FQL&gt;&lt;FQL&gt;&lt;Q&gt;EIDO^SIZE(FG_CONSTITUENTS)&lt;/Q&gt;&lt;R&gt;1&lt;/R&gt;&lt;C&gt;1&lt;/C&gt;&lt;D xsi:type="xsd:long"&gt;77&lt;/D&gt;&lt;/FQL&gt;&lt;FQL&gt;&lt;Q&gt;EWW^FMA_RBICS_REV_CURRENT(30, LOC, "PORTAGG")&lt;/Q&gt;&lt;R&gt;1&lt;/R&gt;&lt;C&gt;1&lt;/C&gt;&lt;D xsi:type="xsd:double"&gt;28.2790580360146&lt;/D&gt;&lt;/FQL&gt;&lt;FQL&gt;&lt;Q&gt;TRYKR10Y-FDS^FG_YIELD_NAME&lt;/Q&gt;&lt;R&gt;1&lt;/R&gt;&lt;C&gt;1&lt;/C&gt;&lt;D xsi:type="xsd:string"&gt;South Korea Benchmark Bond - 10 Year&lt;/D&gt;&lt;/FQL&gt;&lt;FQL&gt;&lt;Q&gt;REFPL7D-FDS^(SUBARRAY(NOT_NA(NO_REPEAT_F(FG_YIELD(NOW,-10AY,D))),0,1)-SUBARRAY(NOT_NA(NO_REPEAT_F(FG_YIELD(NOW,-10AY,D))),1,1))*100&lt;/Q&gt;&lt;R&gt;1&lt;/R&gt;&lt;C&gt;1&lt;/C&gt;&lt;D xsi:type="xsd:double"&gt;-25&lt;/D&gt;&lt;/FQL&gt;&lt;FQL&gt;&lt;Q&gt;TRYAE10Y-FDS^PCTCHG(FG_YIELD(0,,,,"YTM"),FG_YIELD(-1AM,,,,"YTM"))&lt;/Q&gt;&lt;R&gt;0&lt;/R&gt;&lt;C&gt;0&lt;/C&gt;&lt;/FQL&gt;&lt;FQL&gt;&lt;Q&gt;TRYMX10Y-FDS^PCTCHG(FG_YIELD(0,,,,"YTM"),FG_YIELD(-3AM,,,,"YTM"))&lt;/Q&gt;&lt;R&gt;1&lt;/R&gt;&lt;C&gt;1&lt;/C&gt;&lt;D xsi:type="xsd:double"&gt;-1.438939&lt;/D&gt;&lt;/FQL&gt;&lt;FQL&gt;&lt;Q&gt;TRYUS10Y-FDS^FG_YIELD_NAME&lt;/Q&gt;&lt;R&gt;1&lt;/R&gt;&lt;C&gt;1&lt;/C&gt;&lt;D xsi:type="xsd:string"&gt;US Benchmark Bond - 10 Year&lt;/D&gt;&lt;/FQL&gt;&lt;FQL&gt;&lt;Q&gt;UAE^JULIAN(FMA_DIV_YLD(NTMA,NOW,NOW,M,"PORTAGG","MEANR").DATES)&lt;/Q&gt;&lt;R&gt;1&lt;/R&gt;&lt;C&gt;1&lt;/C&gt;&lt;D xsi:type="xsd:long"&gt;45350&lt;/D&gt;&lt;/FQL&gt;&lt;FQL&gt;&lt;Q&gt;ECH^FMA_PE(NTMA,0,,,"PORTAGG","MEANR")&lt;/Q&gt;&lt;R&gt;1&lt;/R&gt;&lt;C&gt;1&lt;/C&gt;&lt;D xsi:type="xsd:double"&gt;7.11105670256571&lt;/D&gt;&lt;/FQL&gt;&lt;FQL&gt;&lt;Q&gt;GREK^FG_COMPANY_NAME&lt;/Q&gt;&lt;R&gt;1&lt;/R&gt;&lt;C&gt;1&lt;/C&gt;&lt;D xsi:type="xsd:string"&gt;Global X MSCI Greece ETF&lt;/D&gt;&lt;/FQL&gt;&lt;FQL&gt;&lt;Q&gt;EIDO^FMA_ROE(NTMA,-20AY,NOW,FY,"PORTAGG","MEANR")&lt;/Q&gt;&lt;R&gt;20&lt;/R&gt;&lt;C&gt;1&lt;/C&gt;&lt;D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xsi:type="xsd:double"&gt;18.9279585586526&lt;/D&gt;&lt;D xsi:type="xsd:double"&gt;18.0738292901709&lt;/D&gt;&lt;D xsi:type="xsd:double"&gt;16.8092892463225&lt;/D&gt;&lt;D xsi:type="xsd:double"&gt;19.1020740705792&lt;/D&gt;&lt;D xsi:type="xsd:double"&gt;18.4086750507428&lt;/D&gt;&lt;D xsi:type="xsd:double"&gt;15.6625909554988&lt;/D&gt;&lt;D xsi:type="xsd:double"&gt;15.054606398618&lt;/D&gt;&lt;D xsi:type="xsd:double"&gt;15.7733994434049&lt;/D&gt;&lt;D xsi:type="xsd:double"&gt;15.5352440090718&lt;/D&gt;&lt;D xsi:type="xsd:double"&gt;14.4300103266056&lt;/D&gt;&lt;D xsi:type="xsd:double"&gt;11.4814604290421&lt;/D&gt;&lt;D xsi:type="xsd:double"&gt;13.6928560240483&lt;/D&gt;&lt;D xsi:type="xsd:double"&gt;15.6524440836665&lt;/D&gt;&lt;D xsi:type="xsd:double"&gt;14.0315270121823&lt;/D&gt;&lt;/FQL&gt;&lt;FQL&gt;&lt;Q&gt;CAGDPY@KR^EE_ACTUAL_ANNUAL(MED,+1)&lt;/Q&gt;&lt;R&gt;1&lt;/R&gt;&lt;C&gt;1&lt;/C&gt;&lt;D xsi:type="xsd:double"&gt;2.4&lt;/D&gt;&lt;/FQL&gt;&lt;FQL&gt;&lt;Q&gt;USDTRY^STD(FG_PRICE_CHANGE(0,-3AY,M))&lt;/Q&gt;&lt;R&gt;1&lt;/R&gt;&lt;C&gt;1&lt;/C&gt;&lt;D xsi:type="xsd:double"&gt;7.643183865807&lt;/D&gt;&lt;/FQL&gt;&lt;FQL&gt;&lt;Q&gt;USDMXN^STD(FG_PRICE_CHANGE(0,-3AY,M))&lt;/Q&gt;&lt;R&gt;1&lt;/R&gt;&lt;C&gt;1&lt;/C&gt;&lt;D xsi:type="xsd:double"&gt;2.27165253049269&lt;/D&gt;&lt;/FQL&gt;&lt;FQL&gt;&lt;Q&gt;USDCLP^FG_PRICE_CHANGE(0,-1AY)&lt;/Q&gt;&lt;R&gt;1&lt;/R&gt;&lt;C&gt;1&lt;/C&gt;&lt;D xsi:type="xsd:double"&gt;20.801472&lt;/D&gt;&lt;/FQL&gt;&lt;FQL&gt;&lt;Q&gt;TUR^FG_TOTAL_RETURNC(-10AY,0,AM)&lt;/Q&gt;&lt;R&gt;121&lt;/R&gt;&lt;C&gt;1&lt;/C&gt;&lt;D xsi:type="xsd:double"&gt;1.5621305&lt;/D&gt;&lt;D xsi:type="xsd:double"&gt;19.086456&lt;/D&gt;&lt;D xsi:type="xsd:double"&gt;5.6555867&lt;/D&gt;&lt;D xsi:type="xsd:double"&gt;4.593444&lt;/D&gt;&lt;D xsi:type="xsd:double"&gt;-1.1333823&lt;/D&gt;&lt;D xsi:type="xsd:double"&gt;5.3311467&lt;/D&gt;&lt;D xsi:type="xsd:double"&gt;-1.9865215&lt;/D&gt;&lt;D xsi:type="xsd:double"&gt;-14.892494&lt;/D&gt;&lt;D xsi:type="xsd:double"&gt;11.493063&lt;/D&gt;&lt;D xsi:type="xsd:double"&gt;7.1136713&lt;/D&gt;&lt;D xsi:type="xsd:double"&gt;-6.675911&lt;/D&gt;&lt;D xsi:type="xsd:double"&gt;-4.6265306&lt;/D&gt;&lt;D xsi:type="xsd:double"&gt;-8.26028&lt;/D&gt;&lt;D xsi:type="xsd:double"&gt;0.42471886&lt;/D&gt;&lt;D xsi:type="xsd:double"&gt;-1.1841834&lt;/D&gt;&lt;D xsi:type="xsd:double"&gt;-0.6633878&lt;/D&gt;&lt;D xsi:type="xsd:double"&gt;-0.98323226&lt;/D&gt;&lt;D xsi:type="xsd:double"&gt;-7.52784&lt;/D&gt;&lt;D xsi:type="xsd:double"&gt;-14.474958&lt;/D&gt;&lt;D xsi:type="xsd:double"&gt;6.5615416&lt;/D&gt;&lt;D xsi:type="xsd:double"&gt;12.975681&lt;/D&gt;&lt;D xsi:type="xsd:double"&gt;-10.8070135&lt;/D&gt;&lt;D xsi:type="xsd:double"&gt;-7.342845&lt;/D&gt;&lt;D xsi:type="xsd:double"&gt;6.653452&lt;/D&gt;&lt;D xsi:type="xsd:double"&gt;5.574739&lt;/D&gt;&lt;D xsi:type="xsd:double"&gt;11.088764&lt;/D&gt;&lt;D xsi:type="xsd:double"&gt;-10.932552&lt;/D&gt;&lt;D xsi:type="xsd:double"&gt;3.9135933&lt;/D&gt;&lt;D xsi:type="xsd:double"&gt;-0.5829096&lt;/D&gt;&lt;D xsi:type="xsd:double"&gt;-5.508047&lt;/D&gt;&lt;D xsi:type="xsd:double"&gt;3.4069657&lt;/D&gt;&lt;D xsi:type="xsd:double"&gt;-4.6332&lt;/D&gt;&lt;D xsi:type="xsd:double"&gt;-6.2618074&lt;/D&gt;&lt;D xsi:type="xsd:double"&gt;-11.315865&lt;/D&gt;&lt;D</t>
        </r>
      </text>
    </comment>
    <comment ref="A16" authorId="0" shapeId="0" xr:uid="{E1570CEB-D89D-4816-BEDA-63765AFACBC1}">
      <text>
        <r>
          <rPr>
            <b/>
            <sz val="9"/>
            <color indexed="81"/>
            <rFont val="Tahoma"/>
            <family val="2"/>
          </rPr>
          <t xml:space="preserve"> xsi:type="xsd:double"&gt;2.3042321&lt;/D&gt;&lt;D xsi:type="xsd:double"&gt;11.792755&lt;/D&gt;&lt;D xsi:type="xsd:double"&gt;1.2510777&lt;/D&gt;&lt;D xsi:type="xsd:double"&gt;-0.11233091&lt;/D&gt;&lt;D xsi:type="xsd:double"&gt;9.277475&lt;/D&gt;&lt;D xsi:type="xsd:double"&gt;8.129668&lt;/D&gt;&lt;D xsi:type="xsd:double"&gt;0.25781393&lt;/D&gt;&lt;D xsi:type="xsd:double"&gt;8.856451&lt;/D&gt;&lt;D xsi:type="xsd:double"&gt;5.319619&lt;/D&gt;&lt;D xsi:type="xsd:double"&gt;-10.568762&lt;/D&gt;&lt;D xsi:type="xsd:double"&gt;-2.2306561&lt;/D&gt;&lt;D xsi:type="xsd:double"&gt;-4.927188&lt;/D&gt;&lt;D xsi:type="xsd:double"&gt;13.138998&lt;/D&gt;&lt;D xsi:type="xsd:double"&gt;0.9278059&lt;/D&gt;&lt;D xsi:type="xsd:double"&gt;-0.44842362&lt;/D&gt;&lt;D xsi:type="xsd:double"&gt;-5.810815&lt;/D&gt;&lt;D xsi:type="xsd:double"&gt;-14.825445&lt;/D&gt;&lt;D xsi:type="xsd:double"&gt;-10.331273&lt;/D&gt;&lt;D xsi:type="xsd:double"&gt;-4.9099207&lt;/D&gt;&lt;D xsi:type="xsd:double"&gt;-8.358818&lt;/D&gt;&lt;D xsi:type="xsd:double"&gt;-26.288467&lt;/D&gt;&lt;D xsi:type="xsd:double"&gt;9.507048&lt;/D&gt;&lt;D xsi:type="xsd:double"&gt;14.561319&lt;/D&gt;&lt;D xsi:type="xsd:double"&gt;-0.6415367&lt;/D&gt;&lt;D xsi:type="xsd:double"&gt;-1.632905&lt;/D&gt;&lt;D xsi:type="xsd:double"&gt;16.255152&lt;/D&gt;&lt;D xsi:type="xsd:double"&gt;-2.1238923&lt;/D&gt;&lt;D xsi:type="xsd:double"&gt;-7.197106&lt;/D&gt;&lt;D xsi:type="xsd:double"&gt;-11.067808&lt;/D&gt;&lt;D xsi:type="xsd:double"&gt;0.17528534&lt;/D&gt;&lt;D xsi:type="xsd:double"&gt;13.530779&lt;/D&gt;&lt;D xsi:type="xsd:double"&gt;1.6607285&lt;/D&gt;&lt;D xsi:type="xsd:double"&gt;-0.9334862&lt;/D&gt;&lt;D xsi:type="xsd:double"&gt;3.258741&lt;/D&gt;&lt;D xsi:type="xsd:double"&gt;-4.4486704&lt;/D&gt;&lt;D xsi:type="xsd:double"&gt;6.1679363&lt;/D&gt;&lt;D xsi:type="xsd:double"&gt;1.3082623&lt;/D&gt;&lt;D xsi:type="xsd:double"&gt;6.2850714&lt;/D&gt;&lt;D xsi:type="xsd:double"&gt;-9.961283&lt;/D&gt;&lt;D xsi:type="xsd:double"&gt;-27.09148&lt;/D&gt;&lt;D xsi:type="xsd:double"&gt;4.664886&lt;/D&gt;&lt;D xsi:type="xsd:double"&gt;16.086065&lt;/D&gt;&lt;D xsi:type="xsd:double"&gt;4.227686&lt;/D&gt;&lt;D xsi:type="xsd:double"&gt;-8.397269&lt;/D&gt;&lt;D xsi:type="xsd:double"&gt;-6.654257&lt;/D&gt;&lt;D xsi:type="xsd:double"&gt;-1.5453637&lt;/D&gt;&lt;D xsi:type="xsd:double"&gt;-5.8227835&lt;/D&gt;&lt;D xsi:type="xsd:double"&gt;24.731182&lt;/D&gt;&lt;D xsi:type="xsd:double"&gt;15.549505&lt;/D&gt;&lt;D xsi:type="xsd:double"&gt;7.821858&lt;/D&gt;&lt;D xsi:type="xsd:double"&gt;-4.338771&lt;/D&gt;&lt;D xsi:type="xsd:double"&gt;-13.715524&lt;/D&gt;&lt;D xsi:type="xsd:double"&gt;-1.9764543&lt;/D&gt;&lt;D xsi:type="xsd:double"&gt;-1.7589033&lt;/D&gt;&lt;D xsi:type="xsd:double"&gt;-3.681004&lt;/D&gt;&lt;D xsi:type="xsd:double"&gt;4.295051&lt;/D&gt;&lt;D xsi:type="xsd:double"&gt;7.1172833&lt;/D&gt;&lt;D xsi:type="xsd:double"&gt;-11.032176&lt;/D&gt;&lt;D xsi:type="xsd:double"&gt;3.8046002&lt;/D&gt;&lt;D xsi:type="xsd:double"&gt;-15.520364&lt;/D&gt;&lt;D xsi:type="xsd:double"&gt;5.5576563&lt;/D&gt;&lt;D xsi:type="xsd:double"&gt;-2.85424&lt;/D&gt;&lt;D xsi:type="xsd:double"&gt;-1.7313719&lt;/D&gt;&lt;D xsi:type="xsd:double"&gt;15.696753&lt;/D&gt;&lt;D xsi:type="xsd:double"&gt;3.137982&lt;/D&gt;&lt;D xsi:type="xsd:double"&gt;-3.221482&lt;/D&gt;&lt;D xsi:type="xsd:double"&gt;-8.477521&lt;/D&gt;&lt;D xsi:type="xsd:double"&gt;4.4155836&lt;/D&gt;&lt;D xsi:type="xsd:double"&gt;13.880587&lt;/D&gt;&lt;D xsi:type="xsd:double"&gt;5.9851527&lt;/D&gt;&lt;D xsi:type="xsd:double"&gt;18.054401&lt;/D&gt;&lt;D xsi:type="xsd:double"&gt;17.388271&lt;/D&gt;&lt;D xsi:type="xsd:double"&gt;11.917866&lt;/D&gt;&lt;D xsi:type="xsd:double"&gt;-9.294873&lt;/D&gt;&lt;D xsi:type="xsd:double"&gt;3.8574815&lt;/D&gt;&lt;D xsi:type="xsd:double"&gt;-4.111147&lt;/D&gt;&lt;D xsi:type="xsd:double"&gt;-11.176813&lt;/D&gt;&lt;D xsi:type="xsd:double"&gt;6.0585856&lt;/D&gt;&lt;D xsi:type="xsd:double"&gt;-5.1822243&lt;/D&gt;&lt;D xsi:type="xsd:double"&gt;18.621397&lt;/D&gt;&lt;D xsi:type="xsd:double"&gt;10.234177&lt;/D&gt;&lt;D xsi:type="xsd:double"&gt;1.783371&lt;/D&gt;&lt;D xsi:type="xsd:double"&gt;-10.358154&lt;/D&gt;&lt;D xsi:type="xsd:double"&gt;2.8743863&lt;/D&gt;&lt;D xsi:type="xsd:double"&gt;-8.879423&lt;/D&gt;&lt;D xsi:type="xsd:double"&gt;11.310804&lt;/D&gt;&lt;D xsi:type="xsd:double"&gt;0.77952147&lt;/D&gt;&lt;/FQL&gt;&lt;FQL&gt;&lt;Q&gt;EPU^FMA_PE(NTMA,-10AY,0,AM,"PORTAGG","MEANR")&lt;/Q&gt;&lt;R&gt;121&lt;/R&gt;&lt;C&gt;1&lt;/C&gt;&lt;D xsi:type="xsd:double"&gt;11.4848485097332&lt;/D&gt;&lt;D xsi:type="xsd:double"&gt;11.3828223954353&lt;/D&gt;&lt;D xsi:type="xsd:double"&gt;11.860491875412&lt;/D&gt;&lt;D xsi:type="xsd:double"&gt;13.5731178188262&lt;/D&gt;&lt;D xsi:type="xsd:double"&gt;15.0815764710555&lt;/D&gt;&lt;D xsi:type="xsd:double"&gt;14.547759695084&lt;/D&gt;&lt;D xsi:type="xsd:double"&gt;13.684819234571&lt;/D&gt;&lt;D xsi:type="xsd:double"&gt;12.4588109376765&lt;/D&gt;&lt;D xsi:type="xsd:double"&gt;12.0799076164621&lt;/D&gt;&lt;D xsi:type="xsd:double"&gt;12.6128636640854&lt;/D&gt;&lt;D xsi:type="xsd:double"&gt;12.3789749108752&lt;/D&gt;&lt;D xsi:type="xsd:double"&gt;13.2826705678411&lt;/D&gt;&lt;D xsi:type="xsd:double"&gt;12.9822911233827&lt;/D&gt;&lt;D xsi:type="xsd:double"&gt;12.8611528580131&lt;/D&gt;&lt;D xsi:type="xsd:double"&gt;13.2842164530177&lt;/D&gt;&lt;D xsi:type="xsd:double"&gt;13.8514328579154&lt;/D&gt;&lt;D xsi:type="xsd:double"&gt;13.316557035889&lt;/D&gt;&lt;D xsi:type="xsd:double"&gt;12.273560473379&lt;/D&gt;&lt;D xsi:type="xsd:double"&gt;10.709450110937&lt;/D&gt;&lt;D xsi:type="xsd:double"&gt;11.429679976129&lt;/D&gt;&lt;D xsi:type="xsd:double"&gt;8.03302622859423&lt;/D&gt;&lt;D xsi:type="xsd:double"&gt;7.70119008791655&lt;/D&gt;&lt;D xsi:type="xsd:double"&gt;11.5150535418401&lt;/D&gt;&lt;D xsi:type="xsd:double"&gt;13.1160362429274&lt;/D&gt;&lt;D xsi:type="xsd:double"&gt;14.6462111816652&lt;/D&gt;&lt;D xsi:type="xsd:double"&gt;14.6155951991167&lt;/D&gt;&lt;D xsi:type="xsd:double"&gt;15.2562029996447&lt;/D&gt;&lt;D xsi:type="xsd:double"&gt;14.6751039636002&lt;/D&gt;&lt;D xsi:type="xsd:double"&gt;14.2959058783495&lt;/D&gt;&lt;D xsi:type="xsd:double"&gt;14.6663559837788&lt;/D&gt;&lt;D xsi:type="xsd:double"&gt;13.9926382045407&lt;/D&gt;&lt;D xsi:type="xsd:double"&gt;13.0059673029777&lt;/D&gt;&lt;D xsi:type="xsd:double"&gt;11.8184945620419&lt;/D&gt;&lt;D xsi:type="xsd:double"&gt;11.6784172120719&lt;/D&gt;&lt;D xsi:type="xsd:double"&gt;11.8740032740809&lt;/D&gt;&lt;D xsi:type="xsd:double"&gt;13.1979568641063&lt;/D&gt;&lt;D xsi:type="xsd:double"&gt;12.9348828751772&lt;/D&gt;&lt;D xsi:type="xsd:double"&gt;12.435617205456&lt;/D&gt;&lt;D xsi:type="xsd:double"&gt;10.7002764050128&lt;/D&gt;&lt;D xsi:type="xsd:double"&gt;11.8179991470875&lt;/D&gt;&lt;D xsi:type="xsd:double"&gt;11.9303870126169&lt;/D&gt;&lt;D xsi:type="xsd:double"&gt;12.5076729987533&lt;/D&gt;&lt;D xsi:type="xsd:double"&gt;12.5183585248119&lt;/D&gt;&lt;D xsi:type="xsd:double"&gt;13.121235356461&lt;/D&gt;&lt;D xsi:type="xsd:double"&gt;13.3693217370623&lt;/D&gt;&lt;D xsi:type="xsd:double"&gt;12.4436051615774&lt;/D&gt;&lt;D xsi:type="xsd:double"&gt;13.7950352513462&lt;/D&gt;&lt;D xsi:type="xsd:double"&gt;14.0173466410939&lt;/D&gt;&lt;D xsi:type="xsd:double"&gt;13.8776301672572&lt;/D&gt;&lt;D xsi:type="xsd:double"&gt;13.8155413041872&lt;/D&gt;&lt;D xsi:type="xsd:double"&gt;13.4336903947882&lt;/D&gt;&lt;D xsi:type="xsd:double"&gt;13.0923353603632&lt;/D&gt;&lt;D xsi:type="xsd:double"&gt;13.3573248908266&lt;/D&gt;&lt;D xsi:type="xsd:double"&gt;14.1351205155825&lt;/D&gt;&lt;D xsi:type="xsd:double"&gt;12.5798545946133&lt;/D&gt;&lt;D xsi:type="xsd:double"&gt;13.0150942056552&lt;/D&gt;&lt;D xsi:type="xsd:double"&gt;13.1971746101392&lt;/D&gt;&lt;D xsi:type="xsd:double"&gt;13.0959346286892&lt;/D&gt;&lt;D xsi:type="xsd:double"&gt;13.5152719946447&lt;/D&gt;&lt;D xsi:type="xsd:double"&gt;15.8429259104545&lt;/D&gt;&lt;D xsi:type="xsd:double"&gt;15.3510294177822&lt;/D&gt;&lt;D xsi:type="xsd:double"&gt;15.6563751597311&lt;/D&gt;&lt;D xsi:type="xsd:double"&gt;13.9773935987943&lt;/D&gt;&lt;D xsi:type="xsd:double"&gt;13.1408525882661&lt;/D&gt;&lt;D xsi:type="xsd:double"&gt;13.7291995044238&lt;/D&gt;&lt;D xsi:type="xsd:double"&gt;14.497394160404&lt;/D&gt;&lt;D xsi:type="xsd:double"&gt;14.4563527593859&lt;/D&gt;&lt;D xsi:type="xsd:double"&gt;13.5742129834765&lt;/D&gt;&lt;D xsi:type="xsd:double"&gt;14.2364472187194&lt;/D&gt;&lt;D xsi:type="xsd:double"&gt;13.0097291533596&lt;/D&gt;&lt;D xsi:type="xsd:double"&gt;14.7743725004278&lt;/D&gt;&lt;D xsi:type="xsd:double"&gt;14.5868685684476&lt;/D&gt;&lt;D xsi:type="xsd:double"&gt;13.7969668286656&lt;/D&gt;&lt;D xsi:type="xsd:double"&gt;9.96564123835183&lt;/D&gt;&lt;D xsi:type="xsd:double"&gt;13.7643315745395&lt;/D&gt;&lt;D xsi:type="xsd:double"&gt;17.1970538599802&lt;/D&gt;&lt;D xsi:type="xsd:double"&gt;19.6867193877087&lt;/D&gt;&lt;D xsi:type="xsd:double"&gt;20.4414257396209&lt;/D&gt;&lt;D xsi:type="xsd:double"&gt;23.2738421533957&lt;/D&gt;&lt;D xsi:type="xsd:double"&gt;20.9830630361347&lt;/D&gt;&lt;D xsi:type="xsd:double"&gt;17.6880566889738&lt;/D&gt;&lt;D xsi:type="xsd:double"&gt;17.0756424409321&lt;/D&gt;&lt;D xsi:type="xsd:double"&gt;14.1041127383774&lt;/D&gt;&lt;D xsi:type="xsd:double"&gt;14.4798696007905&lt;/D&gt;&lt;D xsi:type="xsd:double"&gt;15.1857870858955&lt;/D&gt;&lt;D xsi:type="xsd:double"&gt;13.4179578409746&lt;/D&gt;&lt;D xsi:type="xsd:double"&gt;10.8659457857575&lt;/D&gt;&lt;D xsi:type="xsd:double"&gt;10.4525633935854&lt;/D&gt;&lt;D xsi:type="xsd:double"&gt;8.90035163038965&lt;/D&gt;&lt;D xsi:type="xsd:double"&gt;8.63133876123873&lt;/D&gt;&lt;D xsi:type="xsd:double"&gt;9.10810530951485&lt;/D&gt;&lt;D xsi:type="xsd:double"&gt;9.11709866215279&lt;/D&gt;&lt;D xsi:type="xsd:double"&gt;9.79713389046944&lt;/D&gt;&lt;D xsi:type="xsd:double"&gt;9.71987853683168&lt;/D&gt;&lt;D xsi:type="xsd:double"&gt;10.1714432587048&lt;/D&gt;&lt;D xsi:type="xsd:double"&gt;10.5461880714126&lt;/D&gt;&lt;D xsi:type="xsd:double"&gt;11.564662739115&lt;/D&gt;&lt;D xsi:type="xsd:double"&gt;11.0510088250294&lt;/D&gt;&lt;D xsi:type="xsd:double"&gt;9.08620889920788&lt;/D&gt;&lt;D xsi:type="xsd:double"&gt;8.39677932550544&lt;/D&gt;&lt;D xsi:type="xsd:double"&gt;6.97952082948601&lt;/D&gt;&lt;D xsi:type="xsd:double"&gt;7.24054745774576&lt;/D&gt;&lt;D xsi:type="xsd:double"&gt;7.56133352330727&lt;/D&gt;&lt;D xsi:type="xsd:double"&gt;8.37393411869191&lt;/D&gt;&lt;D xsi:type="xsd:double"&gt;9.42138665980842&lt;/D&gt;&lt;D xsi:type="xsd:double"&gt;9.68122008587332&lt;/D&gt;&lt;D xsi:type="xsd:double"&gt;9.49488330939325&lt;/D&gt;&lt;D xsi:type="xsd:double"&gt;10.1429320430012&lt;/D&gt;&lt;D xsi:type="xsd:double"&gt;9.7225280233625&lt;/D&gt;&lt;D xsi:type="xsd:double"&gt;9.80578244530491&lt;/D&gt;&lt;D xsi:type="xsd:double"&gt;9.52527309195412&lt;/D&gt;&lt;D xsi:type="xsd:double"&gt;9.60229416873481&lt;/D&gt;&lt;D xsi:type="xsd:double"&gt;9.98013131850944&lt;/D&gt;&lt;D xsi:type="xsd:double"&gt;10.8652518858268&lt;/D&gt;&lt;D xsi:type="xsd:double"&gt;10.3802357752499&lt;/D&gt;&lt;D xsi:type="xsd:double"&gt;9.29850521697947&lt;/D&gt;&lt;D xsi:type="xsd:double"&gt;9.5867603643014&lt;/D&gt;&lt;D xsi:type="xsd:double"&gt;10.4054683360267&lt;/D&gt;&lt;D xsi:type="xsd:double"&gt;11.6109030902335&lt;/D&gt;&lt;D xsi:type="xsd:double"&gt;11.4931252575737&lt;/D&gt;&lt;D xsi:type="xsd:double"&gt;15.0043884321815&lt;/D&gt;&lt;/FQL&gt;&lt;FQL&gt;&lt;Q&gt;FC0000ZA^FG_PRICE(0)&lt;/Q&gt;&lt;R&gt;1&lt;/R&gt;&lt;C&gt;1&lt;/C&gt;&lt;D xsi:type="xsd:double"&gt;299.88263&lt;/D&gt;&lt;/FQL&gt;&lt;FQL&gt;&lt;Q&gt;QAT^P_PRICE(0)/P_PRICE_HIGH_PR(0,,,USD,,,"PRICE","INTRA","52W")&lt;/Q&gt;&lt;R&gt;1&lt;/R&gt;&lt;C&gt;1&lt;/C&gt;&lt;D xsi:type="xsd:double"&gt;0.92484665&lt;/D&gt;&lt;/FQL&gt;&lt;FQL&gt;&lt;Q&gt;EPOL^P_PRICE(0)/P_PRICE_LOW_PR(0,,,USD,,,"PRICE","INTRA","52W")-1&lt;/Q&gt;&lt;R&gt;1&lt;/R&gt;&lt;C&gt;1&lt;/C&gt;&lt;D xsi:type="xsd:double"&gt;0.6279887&lt;/D&gt;&lt;/FQL&gt;&lt;FQL&gt;&lt;Q&gt;UAE^FMA_COS_DOWN("EPS","1M",+1,NOW,,,"PORTAGG","MEANR")&lt;/Q&gt;&lt;R&gt;1&lt;/R&gt;&lt;C&gt;1&lt;/C&gt;&lt;D xsi:type="xsd:double"&gt;6&lt;/D&gt;&lt;/FQL&gt;&lt;FQL&gt;&lt;Q&gt;EWT^FMA_COS_UP("EPS","1M",+1,NOW,,,"PORTAGG","MEANR")&lt;/Q&gt;&lt;R&gt;1&lt;/R&gt;&lt;C&gt;1&lt;/C&gt;&lt;D xsi:type="xsd:double"&gt;27&lt;/D&gt;&lt;/FQL&gt;&lt;FQL&gt;&lt;Q&gt;EPHE^FMA_RBICS_REV_CURRENT(30, LOC, "PORTAGG")&lt;/Q&gt;&lt;R&gt;1&lt;/R&gt;&lt;C&gt;1&lt;/C&gt;&lt;D xsi:type="xsd:double"&gt;47.2004098653033&lt;/D&gt;&lt;/FQL&gt;&lt;FQL&gt;&lt;Q&gt;REFIDRREPO-FDS^PROPER_NAME(0,,,"SECURITY","NAME")&lt;/Q&gt;&lt;R&gt;1&lt;/R&gt;&lt;C&gt;1&lt;/C&gt;&lt;D xsi:type="xsd:string"&gt;Indonesia BI (Reverse) Repo Rate - 7 Day&lt;/D&gt;&lt;/FQL&gt;&lt;FQL&gt;&lt;Q&gt;TRYTW10Y-FDS^PCTCHG(FG_YIELD(0,,,,"YTM"),FG_YIELD(-3AM,,,,"YTM"))&lt;/Q&gt;&lt;R&gt;1&lt;/R&gt;&lt;C&gt;1&lt;/C&gt;&lt;D xsi:type="xsd:double"&gt;-3.1075723&lt;/D&gt;&lt;/FQL&gt;&lt;FQL&gt;&lt;Q&gt;CC_VN^IMF_IFS_RCPI_Q(0)&lt;/Q&gt;&lt;R&gt;1&lt;/R&gt;&lt;C&gt;1&lt;/C&gt;&lt;D xsi:type="xsd:double"&gt;3.5401578&lt;/D&gt;&lt;/FQL&gt;&lt;FQL&gt;&lt;Q&gt;VGK^FG_FCF_YIELD_NTM(0)&lt;/Q&gt;&lt;R&gt;1&lt;/R&gt;&lt;C&gt;1&lt;/C&gt;&lt;D xsi:type="xsd:double"&gt;5.04747369188114&lt;/D&gt;&lt;/FQL&gt;&lt;FQL&gt;&lt;Q&gt;EPU^FMA_DIV_YLD(NTMA,NOW,NOW,M,"PORTAGG","MEANR")&lt;/Q&gt;&lt;R&gt;1&lt;/R&gt;&lt;C&gt;1&lt;/C&gt;&lt;D xsi:type="xsd:double"&gt;3.78101688856962&lt;/D&gt;&lt;/FQL&gt;&lt;FQL&gt;&lt;Q&gt;ECH^FMA_PE(LTM,0,,,"PORTAGG","MEANR")&lt;/Q&gt;&lt;R&gt;1&lt;/R&gt;&lt;C&gt;1&lt;/C&gt;&lt;D xsi:type="xsd:double"&gt;9.10962523120107&lt;/D&gt;&lt;/FQL&gt;&lt;FQL&gt;&lt;Q&gt;EPU^FG_COMPANY_NAME&lt;/Q&gt;&lt;R&gt;1&lt;/R&gt;&lt;C&gt;1&lt;/C&gt;&lt;D xsi:type="xsd:string"&gt;iShares MSCI Peru and Global Exposure ETF&lt;/D&gt;&lt;/FQL&gt;&lt;FQL&gt;&lt;Q&gt;SET-BKK^FMA_DIV_YLD(NTMA,NOW,NOW,M,"PORTAGG","MEANR")&lt;/Q&gt;&lt;R&gt;1&lt;/R&gt;&lt;C&gt;1&lt;/C&gt;&lt;D xsi:type="xsd:double"&gt;3.48469524662497&lt;/D&gt;&lt;/FQL&gt;&lt;FQL&gt;&lt;Q&gt;EPOL^FG_FCF_YIELD_NTM(0)&lt;/Q&gt;&lt;R&gt;0&lt;/R&gt;&lt;C&gt;0&lt;/C&gt;&lt;/FQL&gt;&lt;FQL&gt;&lt;Q&gt;USDMYR^FG_PRICE(0)&lt;/Q&gt;&lt;R&gt;1&lt;/R&gt;&lt;C&gt;1&lt;/C&gt;&lt;D xsi:type="xsd:double"&gt;4.7235&lt;/D&gt;&lt;/FQL&gt;&lt;FQL&gt;&lt;Q&gt;URTH^FG_TOTAL_RETURNC(0,-3AM)&lt;/Q&gt;&lt;R&gt;1&lt;/R&gt;&lt;C&gt;1&lt;/C&gt;&lt;D xsi:type="xsd:double"&gt;11.331558&lt;/D&gt;&lt;/FQL&gt;&lt;FQL&gt;&lt;Q&gt;QAT^FMA_COS_DOWN("EPS","1M",+1,NOW,,,"PORTAGG","MEANR")&lt;/Q&gt;&lt;R&gt;1&lt;/R&gt;&lt;C&gt;1&lt;/C&gt;&lt;D xsi:type="xsd:double"&gt;7&lt;/D&gt;&lt;/FQL&gt;&lt;FQL&gt;&lt;Q&gt;CC_ZA^IMF_IFS_RCPI_Q(0)&lt;/Q&gt;&lt;R&gt;1&lt;/R&gt;&lt;C&gt;1&lt;/C&gt;&lt;D xsi:type="xsd:double"&gt;5.633361&lt;/D&gt;&lt;/FQL&gt;&lt;FQL&gt;&lt;Q&gt;EWM^FG_PRICE_MAVG(0,,,,60)&lt;/Q&gt;&lt;R&gt;1&lt;/R&gt;&lt;C&gt;1&lt;/C&gt;&lt;D xsi:type="xsd:double"&gt;21.270334&lt;/D&gt;&lt;/FQL&gt;&lt;FQL&gt;&lt;Q&gt;QAT^FMA_PE(LTM,0,,,"PORTAGG","MEANR")&lt;/Q&gt;&lt;R&gt;1&lt;/R&gt;&lt;C&gt;1&lt;/C&gt;&lt;D xsi:type="xsd:double"&gt;12.1886490298312&lt;/D&gt;&lt;/FQL&gt;&lt;FQL&gt;&lt;Q&gt;USDMXN^FG_PRICE_CHANGE(0,-3AM)&lt;/Q&gt;&lt;R&gt;1&lt;/R&gt;&lt;C&gt;1&lt;/C&gt;&lt;D xsi:type="xsd:double"&gt;-2.4900913&lt;/D&gt;&lt;/FQL&gt;&lt;FQL&gt;&lt;Q&gt;USDCLP^FG_PRICE(0)&lt;/Q&gt;&lt;R&gt;1&lt;/R&gt;&lt;C&gt;1&lt;/C&gt;&lt;D xsi:type="xsd:double"&gt;973.225&lt;/D&gt;&lt;/FQL&gt;&lt;FQL&gt;&lt;Q&gt;EWZ^FG_TOTAL_RETURNC(-10AY,0,AM)&lt;/Q&gt;&lt;R&gt;121&lt;/R&gt;&lt;C&gt;1&lt;/C&gt;&lt;D xsi:type="xsd:double"&gt;3.6006093&lt;/D&gt;&lt;D xsi:type="xsd:double"&gt;13.75401&lt;/D&gt;&lt;D xsi:type="xsd:double"&gt;5.048752&lt;/D&gt;&lt;D xsi:type="xsd:double"&gt;-5.3011537&lt;/D&gt;&lt;D xsi:type="xsd:double"&gt;6.285858&lt;/D&gt;&lt;D xsi:type="xsd:double"&gt;2.6546836&lt;/D&gt;&lt;D xsi:type="xsd:double"&gt;8.124614&lt;/D&gt;&lt;D xsi:type="xsd:double"&gt;-18.30508&lt;/D&gt;&lt;D xsi:type="xsd:double"&gt;-2.2360563&lt;/D&gt;&lt;D xsi:type="xsd:double"&gt;-7.7340245&lt;/D&gt;&lt;D xsi:type="xsd:double"&gt;-8.555102&lt;/D&gt;&lt;D xsi:type="xsd:double"&gt;-0.39592385&lt;/D&gt;&lt;D xsi:type="xsd:double"&gt;-5.565029&lt;/D&gt;&lt;D xsi:type="xsd:double"&gt;-0.060123205&lt;/D&gt;&lt;D xsi:type="xsd:double"&gt;8.694339&lt;/D&gt;&lt;D xsi:type="xsd:double"&gt;-9.244394&lt;/D&gt;&lt;D xsi:type="xsd:double"&gt;2.4648428&lt;/D&gt;&lt;D xsi:type="xsd:double"&gt;-15.100061&lt;/D&gt;&lt;D xsi:type="xsd:double"&gt;-17.500002&lt;/D&gt;&lt;D xsi:type="xsd:double"&gt;-0.34632087&lt;/D&gt;&lt;D xsi:type="xsd:double"&gt;4.7784567&lt;/D&gt;&lt;D xsi:type="xsd:double"&gt;-2.653402&lt;/D&gt;&lt;D xsi:type="xsd:double"&gt;-14.123994&lt;/D&gt;&lt;D xsi:type="xsd:double"&gt;3.0591726&lt;/D&gt;&lt;D xsi:type="xsd:double"&gt;21.605837&lt;/D&gt;&lt;D xsi:type="xsd:double"&gt;2.2408962&lt;/D&gt;&lt;D xsi:type="xsd:double"&gt;10.097849&lt;/D&gt;&lt;D xsi:type="xsd:double"&gt;-3.0927777&lt;/D&gt;&lt;D xsi:type="xsd:double"&gt;12.830758&lt;/D&gt;&lt;D xsi:type="xsd:double"&gt;10.579753&lt;/D&gt;&lt;D xsi:type="xsd:double"&gt;1.8957496&lt;/D&gt;&lt;D xsi:type="xsd:double"&gt;-1.0465145&lt;/D&gt;&lt;D xsi:type="xsd:double"&gt;3.8777947&lt;/D&gt;&lt;D xsi:type="xsd:double"&gt;-10.407239&lt;/D&gt;&lt;D xsi:type="xsd:double"&gt;11.268198&lt;/D&gt;&lt;D xsi:type="xsd:double"&gt;8.014929&lt;/D&gt;&lt;D xsi:type="xsd:double"&gt;2.606392&lt;/D&gt;&lt;D xsi:type="xsd:double"&gt;-0.8812845&lt;/D&gt;&lt;D xsi:type="xsd:double"&gt;-3.5041869&lt;/D&gt;&lt;D xsi:type="xsd:double"&gt;-5.3387585&lt;/D&gt;&lt;D xsi:type="xsd:double"&gt;-0.6869495&lt;/D&gt;&lt;D xsi:type="xsd:double"&gt;11.337196&lt;/D&gt;&lt;D xsi:type="xsd:double"&gt;6.0313344&lt;/D&gt;&lt;D xsi:type="xsd:double"&gt;6.6732287&lt;/D&gt;&lt;D xsi:type="xsd:double"&gt;-9.256691&lt;/D&gt;&lt;D xsi:type="xsd:double"&gt;0.8394718&lt;/D&gt;&lt;D xsi:type="xsd:double"&gt;8.283556&lt;/D&gt;&lt;D xsi:type="xsd:double"&gt;6.0984254&lt;/D&gt;&lt;D xsi:type="xsd:double"&gt;1.1983991&lt;/D&gt;&lt;D xsi:type="xsd:double"&gt;-3.9692938&lt;/D&gt;&lt;D xsi:type="xsd:double"&gt;-6.9422245&lt;/D&gt;&lt;D xsi:type="xsd:double"&gt;-10.625773&lt;/D&gt;&lt;D xsi:type="xsd:double"&gt;-9.175796&lt;/D&gt;&lt;D xsi:type="xsd:double"&gt;15.360987&lt;/D&gt;&lt;D xsi:type="xsd:double"&gt;-17.549932&lt;/D&gt;&lt;D xsi:type="xsd:double"&gt;17.92636&lt;/D&gt;&lt;D xsi:type="xsd:double"&gt;13.968778&lt;/D&gt;&lt;D xsi:type="xsd:double"&gt;-5.599618&lt;/D&gt;&lt;D xsi:type="xsd:double"&gt;8.090305&lt;/D&gt;&lt;D xsi:type="xsd:double"&gt;8.703971&lt;/D&gt;&lt;D xsi:type="xsd:double"&gt;-6.7971826&lt;/D&gt;&lt;D xsi:type="xsd:double"&gt;-0.6372452&lt;/D&gt;&lt;D xsi:type="xsd:double"&gt;-2.1615207&lt;/D&gt;&lt;D xsi:type="xsd:double"&gt;3.3260584&lt;/D&gt;&lt;D xsi:type="xsd:double"&gt;4.414451&lt;/D&gt;&lt;D xsi:type="xsd:double"&gt;0.09114742&lt;/D&gt;&lt;D xsi:type="xsd:double"&gt;-6.2158465&lt;/D&gt;&lt;D xsi:type="xsd:double"&gt;2.233553&lt;/D&gt;&lt;D xsi:type="xsd:double"&gt;6.910467&lt;/D&gt;&lt;D xsi:type="xsd:double"&gt;-3.131944&lt;/D&gt;&lt;D xsi:type="xsd:double"&gt;11.66786&lt;/D&gt;&lt;D xsi:type="xsd:double"&gt;-6.8139195&lt;/D&gt;&lt;D xsi:type="xsd:double"&gt;-13.282651&lt;/D&gt;&lt;D xsi:type="xsd:double"&gt;-43.811237&lt;/D&gt;&lt;D xsi:type="xsd:double"&gt;9.591543&lt;/D&gt;&lt;D xsi:type="xsd:double"&gt;27.01006&lt;/D&gt;&lt;D xsi:type="xsd:double"&gt;-1.692909&lt;/D&gt;&lt;D xsi:type="xsd:double"&gt;6.958592&lt;/D&gt;&lt;D xsi:type="xsd:double"&gt;-1.0155499&lt;/D&gt;&lt;D xsi:type="xsd:double"&gt;-12.920809&lt;/D&gt;&lt;D xsi:type="xsd:double"&gt;4.528713&lt;/D&gt;&lt;D xsi:type="xsd:double"&gt;27.333582&lt;/D&gt;&lt;D xsi:type="xsd:double"&gt;1.933217&lt;/D&gt;&lt;D xsi:type="xsd:double"&gt;-2.980584&lt;/D&gt;&lt;D xsi:type="xsd:double"&gt;-8.906424&lt;/D&gt;&lt;D xsi:type="xsd:double"&gt;0.9282112&lt;/D&gt;&lt;D xsi:type="xsd:double"&gt;7.9705834&lt;/D&gt;&lt;D xsi:type="xsd:double"&gt;18.313444&lt;/D&gt;&lt;D xsi:type="xsd:double"&gt;-1.8800676&lt;/D&gt;&lt;D xsi:type="xsd:double"&gt;-6.5309167&lt;/D&gt;&lt;D xsi:type="xsd:double"&gt;-4.7555804&lt;/D&gt;&lt;D xsi:type="xsd:double"&gt;-10.59972&lt;/D&gt;&lt;D xsi:type="xsd:double"&gt;-8.673943&lt;/D&gt;&lt;D xsi:type="xsd:double"&gt;1.7082334&lt;/D&gt;&lt;D xsi:type="xsd:double"&gt;-1.5439272&lt;/D&gt;&lt;D xsi:type="xsd:double"&gt;16.299557&lt;/D&gt;&lt;D xsi:type="xsd:double"&gt;8.238638&lt;/D&gt;&lt;D xsi:type="xsd:double"&gt;15.252256&lt;/D&gt;&lt;D xsi:type="xsd:double"&gt;-16.270245&lt;/D&gt;&lt;D xsi:type="xsd:double"&gt;6.497431&lt;/D&gt;&lt;D xsi:type="xsd:double"&gt;-19.525797&lt;/D&gt;&lt;D xsi:type="xsd:double"&gt;8.274841&lt;/D&gt;&lt;D xsi:type="xsd:double"&gt;5.3224206&lt;/D&gt;&lt;D xsi:type="xsd:double"&gt;5.863297&lt;/D&gt;&lt;D xsi:type="xsd:double"&gt;3.641367&lt;/D&gt;&lt;D xsi:type="xsd:double"&gt;-7.528782&lt;/D&gt;&lt;D xsi:type="xsd:double"&gt;-9.484309&lt;/D&gt;&lt;D xsi:type="xsd:double"&gt;8.656036&lt;/D&gt;&lt;D xsi:type="xsd:double"&gt;-4.786867&lt;/D&gt;&lt;D xsi:type="xsd:double"&gt;0.2568841&lt;/D&gt;&lt;D xsi:type="xsd:double"&gt;1.2811184&lt;/D&gt;&lt;D xsi:type="xsd:double"&gt;10.552942&lt;/D&gt;&lt;D xsi:type="xsd:double"&gt;9.956861&lt;/D&gt;&lt;D xsi:type="xsd:double"&gt;-2.345419&lt;/D&gt;&lt;D xsi:type="xsd:double"&gt;-1.9338787&lt;/D&gt;&lt;D xsi:type="xsd:double"&gt;-7.092881&lt;/D&gt;&lt;D xsi:type="xsd:double"&gt;9.20918&lt;/D&gt;&lt;D xsi:type="xsd:double"&gt;5.485904&lt;/D&gt;&lt;D xsi:type="xsd:double"&gt;4.9077272&lt;/D&gt;&lt;D xsi:type="xsd:double"&gt;-4.109192&lt;/D&gt;&lt;D xsi:type="xsd:double"&gt;0.97950697&lt;/D&gt;&lt;/FQL&gt;&lt;FQL&gt;&lt;Q&gt;COPP-FDS^FG_PRICE_MAVG(0,,,,30)&lt;/Q&gt;&lt;R&gt;1&lt;/R&gt;&lt;C&gt;1&lt;/C&gt;&lt;D xsi:type="xsd:double"&gt;3.8158166&lt;/D&gt;&lt;/FQL&gt;&lt;FQL&gt;&lt;Q&gt;KSA^FG_PRICE_MAVG(0,,,,60)&lt;/Q&gt;&lt;R&gt;1&lt;/R&gt;&lt;C&gt;1&lt;/C&gt;&lt;D xsi:type="xsd:double"&gt;42.7355&lt;/D&gt;&lt;/FQL&gt;&lt;FQL&gt;&lt;Q&gt;EWZ^FG_PRICE(0)&lt;/Q&gt;&lt;R&gt;1&lt;/R&gt;&lt;C&gt;1&lt;/C&gt;&lt;D xsi:type="xsd:double"&gt;32.99&lt;/D&gt;&lt;/FQL&gt;&lt;FQL&gt;&lt;Q&gt;SPY^P_PRICE(0)/P_PRICE_HIGH_PR(0,,,USD,,,"PRICE","INTRA","52W")&lt;/Q&gt;&lt;R&gt;1&lt;/R&gt;&lt;C&gt;1&lt;/C&gt;&lt;D xsi:type="xsd:double"&gt;0.99630487&lt;/D&gt;&lt;/FQL&gt;&lt;FQL&gt;&lt;Q&gt;QAT^FG_TOTAL_RETURNC(0,-6AM)&lt;/Q&gt;&lt;R&gt;1&lt;/R&gt;&lt;C&gt;1&lt;/C&gt;&lt;D xsi:type="xsd:double"&gt;0.7799387&lt;/D&gt;&lt;/FQL&gt;&lt;FQL&gt;&lt;Q&gt;UAE^FMA_PCT_ABOVE_MAVG(200,0,,,,"PORTAGG")&lt;/Q&gt;&lt;R&gt;1&lt;/R&gt;&lt;C&gt;1&lt;/C&gt;&lt;D xsi:type="xsd:double"&gt;43.2432432432432&lt;/D&gt;&lt;/FQL&gt;&lt;FQL&gt;&lt;Q&gt;TUR^SIZE(FG_CONSTITUENTS)&lt;/Q&gt;&lt;R&gt;1&lt;/R&gt;&lt;C&gt;1&lt;/C&gt;&lt;D xsi:type="xsd:long"&gt;97&lt;/D&gt;&lt;/FQL&gt;&lt;FQL&gt;&lt;Q&gt;EWM^FMA_COS_DOWN("EPS","1M",+1,NOW,,,"PORTAGG","MEANR")&lt;/Q&gt;&lt;R&gt;1&lt;/R&gt;&lt;C&gt;1&lt;/C&gt;&lt;D xsi:type="xsd:double"&gt;15&lt;/D&gt;&lt;/FQL&gt;&lt;FQL&gt;&lt;Q&gt;TRYTW10Y-FDS^FG_YIELD_NAME&lt;/Q&gt;&lt;R&gt;1&lt;/R&gt;&lt;C&gt;1&lt;/C&gt;&lt;D xsi:type="xsd:string"&gt;Taiwan China Benchmark Bond - 10 Year&lt;/D&gt;&lt;/FQL&gt;&lt;FQL&gt;&lt;Q&gt;REFEUREFI-FDS^FG_YIELD(NOW,,,0)&lt;/Q&gt;&lt;R&gt;1&lt;/R&gt;&lt;C&gt;1&lt;/C&gt;&lt;D xsi:type="xsd:double"&gt;4.5&lt;/D&gt;&lt;/FQL&gt;&lt;FQL&gt;&lt;Q&gt;TRYIN10Y-FDS^FG_YIELD(0,,,,"YTM")&lt;/Q&gt;&lt;R&gt;1&lt;/R&gt;&lt;C&gt;1&lt;/C&gt;&lt;D xsi:type="xsd:double"&gt;7.052&lt;/D&gt;&lt;/FQL&gt;&lt;FQL&gt;&lt;Q&gt;CC_AE^IMF_IFS_RCPI_Q(0)&lt;/Q&gt;&lt;R&gt;0&lt;/R&gt;&lt;C&gt;0&lt;/C&gt;&lt;/FQL&gt;&lt;FQL&gt;&lt;Q&gt;TUR^FMA_DIV_YLD(NTMA,NOW,NOW,M,"PORTAGG","MEANR")&lt;/Q&gt;&lt;R&gt;1&lt;/R&gt;&lt;C&gt;1&lt;/C&gt;&lt;D xsi:type="xsd:double"&gt;4.22696534981452&lt;/D&gt;&lt;/FQL&gt;&lt;FQL&gt;&lt;Q&gt;EWY^FMA_PE(NTMA,0,,,"PORTAGG","MEANR")&lt;/Q&gt;&lt;R&gt;1&lt;/R&gt;&lt;C&gt;1&lt;/C&gt;&lt;D xsi:type="xsd:double"&gt;16.3204106203511&lt;/D&gt;&lt;/FQL&gt;&lt;FQL&gt;&lt;Q&gt;EPU^FMA_PE(NTMA,0,,,"PORTAGG","MEANR")&lt;/Q&gt;&lt;R&gt;1&lt;/R&gt;&lt;C&gt;1&lt;/C&gt;&lt;D xsi:type="xsd:double"&gt;15.0043884321815&lt;/D&gt;&lt;/FQL&gt;&lt;FQL&gt;&lt;Q&gt;KSA^FMA_DIV_YLD(NTMA,NOW,NOW,M,"PORTAGG","MEANR")&lt;/Q&gt;&lt;R&gt;1&lt;/R&gt;&lt;C&gt;1&lt;/C&gt;&lt;D xsi:type="xsd:double"&gt;3.26115068468361&lt;/D&gt;&lt;/FQL&gt;&lt;FQL&gt;&lt;Q&gt;PLATI-FDS^MAX(FG_PRICE(0,-5AY))&lt;/Q&gt;&lt;R&gt;1&lt;/R&gt;&lt;C&gt;1&lt;/C&gt;&lt;D xsi:type="xsd:double"&gt;1272.59&lt;/D&gt;&lt;/FQL&gt;&lt;FQL&gt;&lt;Q&gt;REFMYON-FDS^FG_YIELD(NOW,,,0)&lt;/Q&gt;&lt;R&gt;1&lt;/R&gt;&lt;C&gt;1&lt;/C&gt;&lt;D xsi:type="xsd:double"&gt;3&lt;/D&gt;&lt;/FQL&gt;&lt;FQL&gt;&lt;Q&gt;USDTHB^FG_PRICE_CHANGE(0,-1AY)&lt;/Q&gt;&lt;R&gt;1&lt;/R&gt;&lt;C&gt;1&lt;/C&gt;&lt;D xsi:type="xsd:double"&gt;3.213489&lt;/D&gt;&lt;/FQL&gt;&lt;FQL&gt;&lt;Q&gt;EPOL^FMA_PE(NTMA,-10AY,0,AM,"PORTAGG","MEANR")&lt;/Q&gt;&lt;R&gt;121&lt;/R&gt;&lt;C&gt;1&lt;/C&gt;&lt;D xsi:type="xsd:double"&gt;13.7221650850328&lt;/D&gt;&lt;D xsi:type="xsd:double"&gt;14.0932294817603&lt;/D&gt;&lt;D xsi:type="xsd:double"&gt;13.8584505453682&lt;/D&gt;&lt;D xsi:type="xsd:double"&gt;13.6886460074589&lt;/D&gt;&lt;D xsi:type="xsd:double"&gt;13.1013011016644&lt;/D&gt;&lt;D xsi:type="xsd:double"&gt;12.9911684016722&lt;/D&gt;&lt;D xsi:type="xsd:double"&gt;13.7700856872593&lt;/D&gt;&lt;D xsi:type="xsd:double"&gt;13.4226201442664&lt;/D&gt;&lt;D xsi:type="xsd:double"&gt;13.5109592742904&lt;/D&gt;&lt;D xsi:type="xsd:double"&gt;13.8702193105167&lt;/D&gt;&lt;D xsi:type="xsd:double"&gt;13.3644338400543&lt;/D&gt;&lt;D xsi:type="xsd:double"&gt;13.3382788380927&lt;/D&gt;&lt;D xsi:type="xsd:double"&gt;13.4983216544939&lt;/D&gt;&lt;D xsi:type="xsd:double"&gt;14.1695526410561&lt;/D&gt;&lt;D xsi:type="xsd:double"&gt;14.8814491867151&lt;/D&gt;&lt;D xsi:type="xsd:double"&gt;13.8344384903342&lt;/D&gt;&lt;D xsi:type="xsd:double"&gt;13.1827506079705&lt;/D&gt;&lt;D xsi:type="xsd:double"&gt;12.8302384288633&lt;/D&gt;&lt;D xsi:type="xsd:double"&gt;12.3813982497584&lt;/D&gt;&lt;D xsi:type="xsd:double"&gt;11.7574018574626&lt;/D&gt;&lt;D xsi:type="xsd:double"&gt;12.0555710666974&lt;/D&gt;&lt;D xsi:type="xsd:double"&gt;11.6567630139404&lt;/D&gt;&lt;D xsi:type="xsd:double"&gt;12.1427457258452&lt;/D&gt;&lt;D xsi:type="xsd:double"&gt;12.4452683827449&lt;/D&gt;&lt;D xsi:type="xsd:double"&gt;13.2352428336654&lt;/D&gt;&lt;D xsi:type="xsd:double"&gt;13.6957716688152&lt;/D&gt;&lt;D xsi:type="xsd:double"&gt;12.5292499369948&lt;/D&gt;&lt;D xsi:type="xsd:double"&gt;11.7989409272477&lt;/D&gt;&lt;D xsi:type="xsd:double"&gt;11.382131967877&lt;/D&gt;&lt;D xsi:type="xsd:double"&gt;12.0468222012439&lt;/D&gt;&lt;D xsi:type="xsd:double"&gt;11.8050757054271&lt;/D&gt;&lt;D xsi:type="xsd:double"&gt;11.6800025424627&lt;/D&gt;&lt;D xsi:type="xsd:double"&gt;11.5133121463489&lt;/D&gt;&lt;D xsi:type="xsd:double"&gt;11.4390539334829&lt;/D&gt;&lt;D xsi:type="xsd:double"&gt;12.0856354965745&lt;/D&gt;&lt;D xsi:type="xsd:double"&gt;12.3453388688258&lt;/D&gt;&lt;D xsi:type="xsd:double"&gt;12.7902591548865&lt;/D&gt;&lt;D xsi:type="xsd:double"&gt;12.3804850461852&lt;/D&gt;&lt;D xsi:type="xsd:double"&gt;12.8246460647092&lt;/D&gt;&lt;D xsi:type="xsd:double"&gt;12.4654717413893&lt;/D&gt;&lt;D xsi:type="xsd:double"&gt;12.6184626040312&lt;/D&gt;&lt;D xsi:type="xsd:double"&gt;12.7162068572175&lt;/D&gt;&lt;D xsi:type="xsd:double"&gt;12.9738647194501&lt;/D&gt;&lt;D xsi:type="xsd:double"&gt;12.0360633466983&lt;/D&gt;&lt;D xsi:type="xsd:double"&gt;12.0789917872411&lt;/D&gt;&lt;D xsi:type="xsd:double"&gt;11.5105765877235&lt;/D&gt;&lt;D xsi:type="xsd:double"&gt;12.2380654081276&lt;/D&gt;&lt;D xsi:type="xsd:double"&gt;12.2265719984095&lt;/D&gt;&lt;D xsi:type="xsd:double"&gt;11.1627896729696&lt;/D&gt;&lt;D xsi:type="xsd:double"&gt;10.8801824738521&lt;/D&gt;&lt;D xsi:type="xsd:double"&gt;11.1223450946983&lt;/D&gt;&lt;D xsi:type="xsd:double"&gt;10.8294682665205&lt;/D&gt;&lt;D xsi:type="xsd:double"&gt;10.4633115837654&lt;/D&gt;&lt;D xsi:type="xsd:double"&gt;11.044055662723&lt;/D&gt;&lt;D xsi:type="xsd:double"&gt;11.0048394633705&lt;/D&gt;&lt;D xsi:type="xsd:double"&gt;10.8302983689325&lt;/D&gt;&lt;D xsi:type="xsd:double"&gt;10.3411716448321&lt;/D&gt;&lt;D xsi:type="xsd:double"&gt;11.0766688297204&lt;/D&gt;&lt;D xsi:type="xsd:double"&gt;10.5701923140096&lt;/D&gt;&lt;D xsi:type="xsd:double"&gt;10.9976119370005&lt;/D&gt;&lt;D xsi:type="xsd:double"&gt;10.699844310671&lt;/D&gt;&lt;D xsi:type="xsd:double"&gt;11.3856711199813&lt;/D&gt;&lt;D xsi:type="xsd:double"&gt;11.0855272218636&lt;/D&gt;&lt;D xsi:type="xsd:double"&gt;10.352474571344&lt;/D&gt;&lt;D xsi:type="xsd:double"&gt;10.9388969630251&lt;/D&gt;&lt;D xsi:type="xsd:double"&gt;10.177675182171&lt;/D&gt;&lt;D xsi:type="xsd:double"&gt;9.6978369555981&lt;/D&gt;&lt;D xsi:type="xsd:double"&gt;9.60533710766948&lt;/D&gt;&lt;D xsi:type="xsd:double"&gt;10.3346520188585&lt;/D&gt;&lt;D xsi:type="xsd:double"&gt;9.72631983188091&lt;/D&gt;&lt;D xsi:type="xsd:double"&gt;10.4941539292784&lt;/D&gt;&lt;D xsi:type="xsd:double"&gt;10.3570868466222&lt;/D&gt;&lt;D xsi:type="xsd:double"&gt;9.73054194322197&lt;/D&gt;&lt;D xsi:type="xsd:double"&gt;9.04325859777144&lt;/D&gt;&lt;D xsi:type="xsd:double"&gt;11.5838299736807&lt;/D&gt;&lt;D xsi:type="xsd:double"&gt;13.2256116689612&lt;/D&gt;&lt;D xsi:type="xsd:double"&gt;12.2063932884467&lt;/D&gt;&lt;D xsi:type="xsd:double"&gt;12.3424693269499&lt;/D&gt;&lt;D xsi:type="xsd:double"&gt;12.1179988932566&lt;/D&gt;&lt;D xsi:type="xsd:double"&gt;11.7538933877269&lt;/D&gt;&lt;D xsi:type="xsd:double"&gt;12.3529867039781&lt;/D&gt;&lt;D xsi:type="xsd:double"&gt;14.0252900453312&lt;/D&gt;&lt;D xsi:type="xsd:double"&gt;13.3345815350797&lt;/D&gt;&lt;D xsi:type="xsd:double"&gt;11.0282857444158&lt;/D&gt;&lt;D xsi:type="xsd:double"&gt;11.5201142064972&lt;/D&gt;&lt;D xsi:type="xsd:double"&gt;11.9302801929968&lt;/D&gt;&lt;D xsi:type="xsd:double"&gt;12.1755002924347&lt;/D&gt;&lt;D xsi:type="xsd:double"&gt;13.1180655699606&lt;/D&gt;&lt;D xsi:type="xsd:double"&gt;12.5128959199169&lt;/D&gt;&lt;D xsi:type="xsd:double"&gt;11.9552044526337&lt;/D&gt;&lt;D xsi:type="xsd:double"&gt;11.9947725679775&lt;/D&gt;&lt;D xsi:type="xsd:double"&gt;11.7468553027454&lt;/D&gt;&lt;D xsi:type="xsd:double"&gt;12.161634197333&lt;/D&gt;&lt;D xsi:type="xsd:double"&gt;10.2370740781904&lt;/D&gt;&lt;D xsi:type="xsd:double"&gt;10.8713513386065&lt;/D&gt;&lt;D xsi:type="xsd:double"&gt;9.91442780757767&lt;/D&gt;&lt;D xsi:type="xsd:double"&gt;8.95750674733084&lt;/D&gt;&lt;D xsi:type="xsd:double"&gt;9.54103646826533&lt;/D&gt;&lt;D xsi:type="xsd:double"&gt;7.48486964786418&lt;/D&gt;&lt;D xsi:type="xsd:double"&gt;6.8382946693209&lt;/D&gt;&lt;D xsi:type="xsd:double"&gt;6.58718226692505&lt;/D&gt;&lt;D xsi:type="xsd:double"&gt;6.1494465254&lt;/D&gt;&lt;D xsi:type="xsd:double"&gt;5.98764599894519&lt;/D&gt;&lt;D xsi:type="xsd:double"&gt;5.74673841161325&lt;/D&gt;&lt;D xsi:type="xsd:double"&gt;6.96481131233675&lt;/D&gt;&lt;D xsi:type="xsd:double"&gt;7.39578453029454&lt;/D&gt;&lt;D xsi:type="xsd:double"&gt;7.84777959428203&lt;/D&gt;&lt;D xsi:type="xsd:double"&gt;7.92184661887477&lt;/D&gt;&lt;D xsi:type="xsd:double"&gt;7.40963932388426&lt;/D&gt;&lt;D xsi:type="xsd:double"&gt;6.89469692324719&lt;/D&gt;&lt;D xsi:type="xsd:double"&gt;7.03030185752672&lt;/D&gt;&lt;D xsi:type="xsd:double"&gt;7.65731879487919&lt;/D&gt;&lt;D xsi:type="xsd:double"&gt;8.21289643089584&lt;/D&gt;&lt;D xsi:type="xsd:double"&gt;8.17975030716469&lt;/D&gt;&lt;D xsi:type="xsd:double"&gt;8.35196963946471&lt;/D&gt;&lt;D xsi:type="xsd:double"&gt;7.6249838343543&lt;/D&gt;&lt;D xsi:type="xsd:double"&gt;8.64191540892534&lt;/D&gt;&lt;D xsi:type="xsd:double"&gt;8.66127787092503&lt;/D&gt;&lt;D xsi:type="xsd:double"&gt;8.35128783232083&lt;/D&gt;&lt;D xsi:type="xsd:double"&gt;8.67350900833569&lt;/D&gt;&lt;D xsi:type="xsd:double"&gt;8.96470493139449&lt;/D&gt;&lt;/FQL&gt;&lt;FQL&gt;&lt;Q&gt;PASP-FDS^FG_PRICE_MAVG(0,,,,30)&lt;/Q&gt;&lt;R&gt;1&lt;/R&gt;&lt;C&gt;1&lt;/C&gt;&lt;D xsi:type="xsd:double"&gt;953.93335&lt;/D&gt;&lt;/FQL&gt;&lt;FQL&gt;&lt;Q&gt;QAT^FG_TOTAL_RETURNC(0,-3AM)&lt;/Q&gt;&lt;R&gt;1&lt;/R&gt;&lt;C&gt;1&lt;/C&gt;&lt;D xsi:type="xsd:double"&gt;5.5426&lt;/D&gt;&lt;/FQL&gt;&lt;FQL&gt;&lt;Q&gt;TUR^PERCENT_CHANGE(FMA_EPS(+1,0,,,,"PORTAGG","MEAN"),FMA_EPS(+1,-3AM,,,,"PORTAGG","MEAN"))&lt;/Q&gt;&lt;R&gt;1&lt;/R&gt;&lt;C&gt;1&lt;/C&gt;&lt;D xsi:type="xsd:double"&gt;-23.9858523557139&lt;/D&gt;&lt;/FQL&gt;&lt;FQL&gt;&lt;Q&gt;EPOL^FMA_PCT_ABOVE_MAVG(200,0,,,,"PORTAGG")&lt;/Q&gt;&lt;R&gt;1&lt;/R&gt;&lt;C&gt;1&lt;/C&gt;&lt;D xsi:type="xsd:double"&gt;62.5&lt;/D&gt;&lt;/FQL&gt;&lt;FQL&gt;&lt;Q&gt;EPU^FMA_COS_DOWN("EPS","1M",+1,NOW,,,"PORTAGG","MEANR")&lt;/Q&gt;&lt;R&gt;1&lt;/R&gt;&lt;C&gt;1&lt;/C&gt;&lt;D xsi:type="xsd:double"&gt;9&lt;/D&gt;&lt;/FQL&gt;&lt;FQL&gt;&lt;Q&gt;ECH^FMA_RBICS_REV_CURRENT(30, LOC, "PORTAGG")&lt;/Q&gt;&lt;R&gt;1&lt;/R&gt;&lt;C&gt;1&lt;/C&gt;&lt;D xsi:type="xsd:double"&gt;31.8032529247925&lt;/D&gt;&lt;/FQL&gt;&lt;FQL&gt;&lt;Q&gt;TRYMY10Y-FDS^PCTCHG(FG_YIELD(0,,,,"YTM"),FG_YIELD(-3AM,,,,"YTM"))&lt;/Q&gt;&lt;R&gt;1&lt;/R&gt;&lt;C&gt;1&lt;/C&gt;&lt;D xsi:type="xsd:double"&gt;1.1082156&lt;/D&gt;&lt;/FQL&gt;&lt;FQL&gt;&lt;Q&gt;VGK^FMA_DIV_YLD(NTMA,NOW,NOW,M,"PORTAGG","MEANR")&lt;/Q&gt;&lt;R&gt;1&lt;/R&gt;&lt;C&gt;1&lt;/C&gt;&lt;D xsi:type="xsd:double"&gt;3.63179726396542&lt;/D&gt;&lt;/FQL&gt;&lt;FQL&gt;&lt;Q&gt;INDA^FMA_PE(NTMA,0,,,"PORTAGG","MEANR")&lt;/Q&gt;&lt;R&gt;1&lt;/R&gt;&lt;C&gt;1&lt;/C&gt;&lt;D xsi:type="xsd:double"&gt;26.0963911885011&lt;/D&gt;&lt;/FQL&gt;&lt;FQL&gt;&lt;Q&gt;ECH^JULIAN(FMA_DIV_YLD(NTMA,NOW,NOW,M,"PORTAGG","MEANR").DATES)&lt;/Q&gt;&lt;R&gt;1&lt;/R&gt;&lt;C&gt;1&lt;/C&gt;&lt;D xsi:type="xsd:long"&gt;45351&lt;/D&gt;&lt;/FQL&gt;&lt;FQL&gt;&lt;Q&gt;EPOL^FG_COMPANY_NAME&lt;/Q&gt;&lt;R&gt;1&lt;/R&gt;&lt;C&gt;1&lt;/C&gt;&lt;D xsi:type="xsd:string"&gt;iShares MSCI Poland ETF&lt;/D&gt;&lt;/FQL&gt;&lt;FQL&gt;&lt;Q&gt;CAGDPY@MX^EE_ACTUAL_ANNUAL(MED,0)&lt;/Q&gt;&lt;R&gt;1&lt;/R&gt;&lt;C&gt;1&lt;/C&gt;&lt;D xsi:type="xsd:double"&gt;-0.475&lt;/D&gt;&lt;/FQL&gt;&lt;FQL&gt;&lt;Q&gt;USDTHB^FG_COMPANY_NAME&lt;/Q&gt;&lt;R&gt;1&lt;/R&gt;&lt;C&gt;1&lt;/C&gt;&lt;D xsi:type="xsd:string"&gt;Thailand Baht per U.S. Dollar&lt;/D&gt;&lt;/FQL&gt;&lt;FQL&gt;&lt;Q&gt;USDMXN^FG_PRICE_CHANGE(0,-1AY)&lt;/Q&gt;&lt;R&gt;1&lt;/R&gt;&lt;C&gt;1&lt;/C&gt;&lt;D xsi:type="xsd:double"&gt;-5.7819605&lt;/D&gt;&lt;/FQL&gt;&lt;FQL&gt;&lt;Q&gt;EWY^FG_TOTAL_RETURNC(-10AY,0,AM)&lt;/Q&gt;&lt;R&gt;121&lt;/R&gt;&lt;C&gt;1&lt;/C&gt;&lt;D xsi:type="xsd:double"&gt;5.474019&lt;/D&gt;&lt;D xsi:type="xsd:double"&gt;2.0301223&lt;/D&gt;&lt;D xsi:type="xsd:double"&gt;0.59370995&lt;/D&gt;&lt;D xsi:type="xsd:double"&gt;3.2700539&lt;/D&gt;&lt;D xsi:type="xsd:double"&gt;1.8690109&lt;/D&gt;&lt;D xsi:type="xsd:double"&gt;1.000762&lt;/D&gt;&lt;D xsi:type="xsd:double"&gt;-2.0867705&lt;/D&gt;&lt;D xsi:type="xsd:double"&gt;-9.751612&lt;/D&gt;&lt;D xsi:type="xsd:double"&gt;-2.5144398&lt;/D&gt;&lt;D xsi:type="xsd:double"&gt;-0.8016765&lt;/D&gt;&lt;D xsi:type="xsd:double"&gt;-2.7286112&lt;/D&gt;&lt;D xsi:type="xsd:double"&gt;4.679215&lt;/D&gt;&lt;D xsi:type="xsd:double"&gt;-0.40160418&lt;/D&gt;&lt;D xsi:type="xsd:double"&gt;1.7005563&lt;/D&gt;&lt;D xsi:type="xsd:double"&gt;6.3264966&lt;/D&gt;&lt;D xsi:type="xsd:double"&gt;-8.706224&lt;/D&gt;&lt;D xsi:type="xsd:double"&gt;-0.9589791&lt;/D&gt;&lt;D xsi:type="xsd:double"&gt;-8.786088&lt;/D&gt;&lt;D xsi:type="xsd:double"&gt;-9.219575&lt;/D&gt;&lt;D xsi:type="xsd:double"&gt;8.423555&lt;/D&gt;&lt;D xsi:type="xsd:double"&gt;10.425413&lt;/D&gt;&lt;D xsi:type="xsd:double"&gt;-5.407852&lt;/D&gt;&lt;D xsi:type="xsd:double"&gt;-5.046165&lt;/D&gt;&lt;D xsi:type="xsd:double"&gt;-0.78333616&lt;/D&gt;&lt;D xsi:type="xsd:double"&gt;3.345108&lt;/D&gt;&lt;D xsi:type="xsd:double"&gt;3.9203763&lt;/D&gt;&lt;D xsi:type="xsd:double"&gt;-2.224797&lt;/D&gt;&lt;D xsi:type="xsd:double"&gt;1.8203378&lt;/D&gt;&lt;D xsi:type="xsd:double"&gt;2.6622653&lt;/D&gt;&lt;D xsi:type="xsd:double"&gt;4.353583&lt;/D&gt;&lt;D xsi:type="xsd:double"&gt;3.7547588&lt;/D&gt;&lt;D xsi:type="xsd:double"&gt;-0.48951507&lt;/D&gt;&lt;D xsi:type="xsd:double"&gt;-4.462397&lt;/D&gt;&lt;D xsi:type="xsd:double"&gt;-2.0044148&lt;/D&gt;&lt;D xsi:type="xsd:double"&gt;3.3178926&lt;/D&gt;&lt;D xsi:type="xsd:double"&gt;8.290434&lt;/D&gt;&lt;D xsi:type="xsd:double"&gt;-2.0030558&lt;/D&gt;&lt;D xsi:type="xsd:double"&gt;6.547725&lt;/D&gt;&lt;D xsi:type="xsd:double"&gt;2.4386287&lt;/D&gt;&lt;D xsi:type="xsd:double"&gt;8.966839&lt;/D&gt;&lt;D xsi:type="xsd:double"&gt;-1.2525499&lt;/D&gt;&lt;D xsi:type="xsd:double"&gt;2.0353913&lt;/D&gt;&lt;D xsi:type="xsd:double"&gt;-0.7516563&lt;/D&gt;&lt;D xsi:type="xsd:double"&gt;1.9079447&lt;/D&gt;&lt;D xsi:type="xsd:double"&gt;8.317852&lt;/D&gt;&lt;D xsi:type="xsd:double"&gt;-0.59375167&lt;/D&gt;&lt;D xsi:type="xsd:double"&gt;3.8758278&lt;/D&gt;&lt;D xsi:type="xsd:double"&gt;-2.566123&lt;/D&gt;&lt;D xsi:type="xsd:double"&gt;-2.35008&lt;/D&gt;&lt;D xsi:type="xsd:double"&gt;3.1673431&lt;/D&gt;&lt;D xsi:type="xsd:double"&gt;-0.36197305&lt;/D&gt;&lt;D xsi:type="xsd:double"&gt;-0.7265866&lt;/D&gt;&lt;D xsi:type="xsd:double"&gt;-10.897261&lt;/D&gt;&lt;D xsi:type="xsd:double"&gt;0.33465624&lt;/D&gt;&lt;D xsi:type="xsd:double"&gt;1.2128592&lt;/D&gt;&lt;D xsi:type="xsd:double"&gt;-3.624934&lt;/D&gt;&lt;D xsi:type="xsd:double"&gt;-5.533099&lt;/D&gt;&lt;D xsi:type="xsd:double"&gt;-0.032907724&lt;/D&gt;&lt;D xsi:type="xsd:double"&gt;-2.2173285&lt;/D&gt;&lt;D xsi:type="xsd:double"&gt;9.604227&lt;/D&gt;&lt;D xsi:type="xsd:double"&gt;-2.6459157&lt;/D&gt;&lt;D xsi:type="xsd:double"&gt;1.1670709&lt;/D&gt;&lt;D xsi:type="xsd:double"&gt;-2.9077113&lt;/D&gt;&lt;D xsi:type="xsd:double"&gt;-7.1940064&lt;/D&gt;&lt;D xsi:type="xsd:double"&gt;2.034378&lt;/D&gt;&lt;D xsi:type="xsd:double"&gt;-7.6143026&lt;/D&gt;&lt;D xsi:type="xsd:double"&gt;0.9488344&lt;/D&gt;&lt;D xsi:type="xsd:double"&gt;3.4279466&lt;/D&gt;&lt;D xsi:type="xsd:double"&gt;8.071995&lt;/D&gt;&lt;D xsi:type="xsd:double"&gt;-5.127782&lt;/D&gt;&lt;D xsi:type="xsd:double"&gt;8.15196&lt;/D&gt;&lt;D xsi:type="xsd:double"&gt;-1.0999799&lt;/D&gt;&lt;D xsi:type="xsd:double"&gt;-4.4156733&lt;/D&gt;&lt;D xsi:type="xsd:double"&gt;-21.587355&lt;/D&gt;&lt;D xsi:type="xsd:double"&gt;11.118484&lt;/D&gt;&lt;D xsi:type="xsd:double"&gt;14.550531&lt;/D&gt;&lt;D xsi:type="xsd:double"&gt;1.6008377&lt;/D&gt;&lt;D xsi:type="xsd:double"&gt;5.737293&lt;/D&gt;&lt;D xsi:type="xsd:double"&gt;3.2393932&lt;/D&gt;&lt;D xsi:type="xsd:double"&gt;2.2748709&lt;/D&gt;&lt;D xsi:type="xsd:double"&gt;5.5683374&lt;/D&gt;&lt;D xsi:type="xsd:double"&gt;20.589947&lt;/D&gt;&lt;D xsi:type="xsd:double"&gt;7.246983&lt;/D&gt;&lt;D xsi:type="xsd:double"&gt;3.7250876&lt;/D&gt;&lt;D xsi:type="xsd:double"&gt;-4.4318256&lt;/D&gt;&lt;D xsi:type="xsd:double"&gt;3.5865188&lt;/D&gt;&lt;D xsi:type="xsd:double"&gt;-0.37490726&lt;/D&gt;&lt;D xsi:type="xsd:double"&gt;3.8184881&lt;/D&gt;&lt;D xsi:type="xsd:double"&gt;-0.85288286&lt;/D&gt;&lt;D xsi:type="xsd:double"&gt;-1.8387079&lt;/D&gt;&lt;D xsi:type="xsd:double"&gt;-3.9325297&lt;/D&gt;&lt;D xsi:type="xsd:double"&gt;-9.509688&lt;/D&gt;&lt;D xsi:type="xsd:double"&gt;0.26462078&lt;/D&gt;&lt;D xsi:type="xsd:double"&gt;-1.1059403&lt;/D&gt;&lt;D xsi:type="xsd:double"&gt;0.8529782&lt;/D&gt;&lt;D xsi:type="xsd:double"&gt;-6.3972235&lt;/D&gt;&lt;D xsi:type="xsd:double"&gt;-3.754127&lt;/D&gt;&lt;D xsi:type="xsd:double"&gt;2.914703&lt;/D&gt;&lt;D xsi:type="xsd:double"&gt;-5.233926&lt;/D&gt;&lt;D xsi:type="xsd:double"&gt;-1.8165946&lt;/D&gt;&lt;D xsi:type="xsd:double"&gt;-14.353919&lt;/D&gt;&lt;D xsi:type="xsd:double"&gt;5.8013916&lt;/D&gt;&lt;D xsi:type="xsd:double"&gt;-7.903838&lt;/D&gt;&lt;D xsi:type="xsd:double"&gt;-9.350973&lt;/D&gt;&lt;D xsi:type="xsd:double"&gt;6.3708067&lt;/D&gt;&lt;D xsi:type="xsd:double"&gt;10.21694&lt;/D&gt;&lt;D xsi:type="xsd:double"&gt;-1.9012928&lt;/D&gt;&lt;D xsi:type="xsd:double"&gt;10.031247&lt;/D&gt;&lt;D xsi:type="xsd:double"&gt;-4.416406&lt;/D&gt;&lt;D xsi:type="xsd:double"&gt;-0.08250475&lt;/D&gt;&lt;D xsi:type="xsd:double"&gt;0.016522408&lt;/D&gt;&lt;D xsi:type="xsd:double"&gt;7.5957775&lt;/D&gt;&lt;D xsi:type="xsd:double"&gt;-0.56783557&lt;/D&gt;&lt;D xsi:type="xsd:double"&gt;0.06173849&lt;/D&gt;&lt;D xsi:type="xsd:double"&gt;-2.4988472&lt;/D&gt;&lt;D xsi:type="xsd:double"&gt;-8.637876&lt;/D&gt;&lt;D xsi:type="xsd:double"&gt;3.3246756&lt;/D&gt;&lt;D xsi:type="xsd:double"&gt;3.9886117&lt;/D&gt;&lt;D xsi:type="xsd:double"&gt;3.7237048&lt;/D&gt;&lt;D xsi:type="xsd:double"&gt;-0.1753807&lt;/D&gt;&lt;D xsi:type="xsd:double"&gt;4.7755957&lt;/D&gt;&lt;/FQL&gt;&lt;FQL&gt;&lt;Q&gt;EIDO^FMA_PE(NTMA,-10AY,0,AM,"PORTAGG","MEANR")&lt;/Q&gt;&lt;R&gt;121&lt;/R&gt;&lt;C&gt;1&lt;/C&gt;&lt;D xsi:type="xsd:double"&gt;13.6409847009137&lt;/D&gt;&lt;D xsi:type="xsd:double"&gt;14.3619395696715&lt;/D&gt;&lt;D xsi:type="xsd:double"&gt;14.1602704069994&lt;/D&gt;&lt;D xsi:type="xsd:double"&gt;14.2412196727126&lt;/D&gt;&lt;D xsi:type="xsd:double"&gt;13.8047834024498&lt;/D&gt;&lt;D xsi:type="xsd:double"&gt;14.671353798874&lt;/D&gt;&lt;D xsi:type="xsd:double"&gt;14.9248742678413&lt;/D&gt;&lt;D xsi:type="xsd:double"&gt;13.8476998150438&lt;/D&gt;&lt;D xsi:type="xsd:double"&gt;14.3583503217542&lt;/D&gt;&lt;D xsi:type="xsd:double"&gt;15.0916044371183&lt;/D&gt;&lt;D xsi:type="xsd:double"&gt;14.9657655111364&lt;/D&gt;&lt;D xsi:type="xsd:double"&gt;15.5637960236358&lt;/D&gt;&lt;D xsi:type="xsd:double"&gt;16.0831782099825&lt;/D&gt;&lt;D xsi:type="xsd:double"&gt;16.0623472356164&lt;/D&gt;&lt;D xsi:type="xsd:double"&gt;14.8400217705749&lt;/D&gt;&lt;D xsi:type="xsd:double"&gt;14.9419488362259&lt;/D&gt;&lt;D xsi:type="xsd:double"&gt;14.5690629196576&lt;/D&gt;&lt;D xsi:type="xsd:double"&gt;14.3818000044744&lt;/D&gt;&lt;D xsi:type="xsd:double"&gt;13.5163626715238&lt;/D&gt;&lt;D xsi:type="xsd:double"&gt;12.6297728259526&lt;/D&gt;&lt;D xsi:type="xsd:double"&gt;14.4756641538192&lt;/D&gt;&lt;D xsi:type="xsd:double"&gt;14.4585151544878&lt;/D&gt;&lt;D xsi:type="xsd:double"&gt;14.2431570720322&lt;/D&gt;&lt;D xsi:type="xsd:double"&gt;14.7030757719034&lt;/D&gt;&lt;D xsi:type="xsd:double"&gt;15.2749304747562&lt;/D&gt;&lt;D xsi:type="xsd:double"&gt;15.2498610444873&lt;/D&gt;&lt;D xsi:type="xsd:double"&gt;14.6709607421029&lt;/D&gt;&lt;D xsi:type="xsd:double"&gt;14.878491681277&lt;/D&gt;&lt;D xsi:type="xsd:double"&gt;15.4976293174601&lt;/D&gt;&lt;D xsi:type="xsd:double"&gt;16.8315160847733&lt;/D&gt;&lt;D xsi:type="xsd:double"&gt;16.3531350210218&lt;/D&gt;&lt;D xsi:type="xsd:double"&gt;16.9249994052798&lt;/D&gt;&lt;D xsi:type="xsd:double"&gt;15.9136599759787&lt;/D&gt;&lt;D xsi:type="xsd:double"&gt;15.2765066147729&lt;/D&gt;&lt;D xsi:type="xsd:double"&gt;15.3724748309254&lt;/D&gt;&lt;D xsi:type="xsd:double"&gt;15.2969864934501&lt;/D&gt;&lt;D xsi:type="xsd:double"&gt;15.0727252770232&lt;/D&gt;&lt;D xsi:type="xsd:double"&gt;15.6848036628866&lt;/D&gt;&lt;D xsi:type="xsd:double"&gt;15.7455339887975&lt;/D&gt;&lt;D xsi:type="xsd:double"&gt;15.6434833925987&lt;/D&gt;&lt;D xsi:type="xsd:double"&gt;16.0576021165686&lt;/D&gt;&lt;D xsi:type="xsd:double"&gt;15.4658832101648&lt;/D&gt;&lt;D xsi:type="xsd:double"&gt;15.6706460652008&lt;/D&gt;&lt;D xsi:type="xsd:double"&gt;15.7011544549903&lt;/D&gt;&lt;D xsi:type="xsd:double"&gt;15.6065004183268&lt;/D&gt;&lt;D xsi:type="xsd:double"&gt;15.0531476176002&lt;/D&gt;&lt;D xsi:type="xsd:double"&gt;15.788133771327&lt;/D&gt;&lt;D xsi:type="xsd:double"&gt;15.8523218341257&lt;/D&gt;&lt;D xsi:type="xsd:double"&gt;15.382920875959&lt;/D&gt;&lt;D xsi:type="xsd:double"&gt;14.3563341701705&lt;/D&gt;&lt;D xsi:type="xsd:double"&gt;13.3619386319456&lt;/D&gt;&lt;D xsi:type="xsd:double"&gt;13.5776967261456&lt;/D&gt;&lt;D xsi:type="xsd:double"&gt;12.1392349295112&lt;/D&gt;&lt;D xsi:type="xsd:double"&gt;13.3368362097605&lt;/D&gt;&lt;D xsi:type="xsd:double"&gt;13.3495150706631&lt;/D&gt;&lt;D xsi:type="xsd:double"&gt;12.8398151120287&lt;/D&gt;&lt;D xsi:type="xsd:double"&gt;13.4646151412379&lt;/D&gt;&lt;D xsi:type="xsd:double"&gt;14.1335301227437&lt;/D&gt;&lt;D xsi:type="xsd:double"&gt;14.2388110772926&lt;/D&gt;&lt;D xsi:type="xsd:double"&gt;14.6509953268834&lt;/D&gt;&lt;D xsi:type</t>
        </r>
      </text>
    </comment>
    <comment ref="A17" authorId="0" shapeId="0" xr:uid="{54D44E2E-912B-42BC-8F7D-2E8EA0E015A8}">
      <text>
        <r>
          <rPr>
            <b/>
            <sz val="9"/>
            <color indexed="81"/>
            <rFont val="Tahoma"/>
            <family val="2"/>
          </rPr>
          <t>="xsd:double"&gt;14.440919320877&lt;/D&gt;&lt;D xsi:type="xsd:double"&gt;14.215663346676&lt;/D&gt;&lt;D xsi:type="xsd:double"&gt;13.8789815615707&lt;/D&gt;&lt;D xsi:type="xsd:double"&gt;13.673918113259&lt;/D&gt;&lt;D xsi:type="xsd:double"&gt;14.2411955534382&lt;/D&gt;&lt;D xsi:type="xsd:double"&gt;14.766941798841&lt;/D&gt;&lt;D xsi:type="xsd:double"&gt;14.5912016813585&lt;/D&gt;&lt;D xsi:type="xsd:double"&gt;14.096708304213&lt;/D&gt;&lt;D xsi:type="xsd:double"&gt;14.5473853600505&lt;/D&gt;&lt;D xsi:type="xsd:double"&gt;14.7971896765001&lt;/D&gt;&lt;D xsi:type="xsd:double"&gt;15.1364585294629&lt;/D&gt;&lt;D xsi:type="xsd:double"&gt;14.7149051414485&lt;/D&gt;&lt;D xsi:type="xsd:double"&gt;14.0957647136367&lt;/D&gt;&lt;D xsi:type="xsd:double"&gt;10.8447059936948&lt;/D&gt;&lt;D xsi:type="xsd:double"&gt;11.8750968928122&lt;/D&gt;&lt;D xsi:type="xsd:double"&gt;14.9168611887475&lt;/D&gt;&lt;D xsi:type="xsd:double"&gt;16.1739388785901&lt;/D&gt;&lt;D xsi:type="xsd:double"&gt;16.244299460745&lt;/D&gt;&lt;D xsi:type="xsd:double"&gt;16.8876322823673&lt;/D&gt;&lt;D xsi:type="xsd:double"&gt;15.0942799669298&lt;/D&gt;&lt;D xsi:type="xsd:double"&gt;15.4649572941672&lt;/D&gt;&lt;D xsi:type="xsd:double"&gt;17.7922380127717&lt;/D&gt;&lt;D xsi:type="xsd:double"&gt;17.7388905933203&lt;/D&gt;&lt;D xsi:type="xsd:double"&gt;17.3548993795165&lt;/D&gt;&lt;D xsi:type="xsd:double"&gt;16.8300418021396&lt;/D&gt;&lt;D xsi:type="xsd:double"&gt;15.6499380840994&lt;/D&gt;&lt;D xsi:type="xsd:double"&gt;15.789308134511&lt;/D&gt;&lt;D xsi:type="xsd:double"&gt;16.2172785439503&lt;/D&gt;&lt;D xsi:type="xsd:double"&gt;14.9391301476124&lt;/D&gt;&lt;D xsi:type="xsd:double"&gt;14.8196569542635&lt;/D&gt;&lt;D xsi:type="xsd:double"&gt;15.0969125660646&lt;/D&gt;&lt;D xsi:type="xsd:double"&gt;15.1346963794133&lt;/D&gt;&lt;D xsi:type="xsd:double"&gt;15.1469892647377&lt;/D&gt;&lt;D xsi:type="xsd:double"&gt;14.7273977048101&lt;/D&gt;&lt;D xsi:type="xsd:double"&gt;14.7160473424251&lt;/D&gt;&lt;D xsi:type="xsd:double"&gt;14.8768531775593&lt;/D&gt;&lt;D xsi:type="xsd:double"&gt;15.0753706083451&lt;/D&gt;&lt;D xsi:type="xsd:double"&gt;14.9594147891199&lt;/D&gt;&lt;D xsi:type="xsd:double"&gt;14.6639848582523&lt;/D&gt;&lt;D xsi:type="xsd:double"&gt;13.6904702700869&lt;/D&gt;&lt;D xsi:type="xsd:double"&gt;12.2880383451718&lt;/D&gt;&lt;D xsi:type="xsd:double"&gt;12.831355507942&lt;/D&gt;&lt;D xsi:type="xsd:double"&gt;12.9257418775565&lt;/D&gt;&lt;D xsi:type="xsd:double"&gt;12.804989046651&lt;/D&gt;&lt;D xsi:type="xsd:double"&gt;12.7279777126533&lt;/D&gt;&lt;D xsi:type="xsd:double"&gt;12.7832483169064&lt;/D&gt;&lt;D xsi:type="xsd:double"&gt;12.0657255778877&lt;/D&gt;&lt;D xsi:type="xsd:double"&gt;12.3075024322624&lt;/D&gt;&lt;D xsi:type="xsd:double"&gt;11.8432514648297&lt;/D&gt;&lt;D xsi:type="xsd:double"&gt;11.967821537345&lt;/D&gt;&lt;D xsi:type="xsd:double"&gt;12.1131240613399&lt;/D&gt;&lt;D xsi:type="xsd:double"&gt;13.3284347332843&lt;/D&gt;&lt;D xsi:type="xsd:double"&gt;13.359709991075&lt;/D&gt;&lt;D xsi:type="xsd:double"&gt;13.4405829485729&lt;/D&gt;&lt;D xsi:type="xsd:double"&gt;13.6842699972067&lt;/D&gt;&lt;D xsi:type="xsd:double"&gt;13.0764053261144&lt;/D&gt;&lt;D xsi:type="xsd:double"&gt;12.2953206066663&lt;/D&gt;&lt;D xsi:type="xsd:double"&gt;12.5063149685551&lt;/D&gt;&lt;D xsi:type="xsd:double"&gt;12.9630383097664&lt;/D&gt;&lt;D xsi:type="xsd:double"&gt;12.9259948809858&lt;/D&gt;&lt;D xsi:type="xsd:double"&gt;14.2382728957425&lt;/D&gt;&lt;/FQL&gt;&lt;FQL&gt;&lt;Q&gt;COPP-FDS^FG_PRICE(0)&lt;/Q&gt;&lt;R&gt;1&lt;/R&gt;&lt;C&gt;1&lt;/C&gt;&lt;D xsi:type="xsd:double"&gt;3.852&lt;/D&gt;&lt;/FQL&gt;&lt;FQL&gt;&lt;Q&gt;KSA^FG_PRICE_MAVG(0,,,,30)&lt;/Q&gt;&lt;R&gt;1&lt;/R&gt;&lt;C&gt;1&lt;/C&gt;&lt;D xsi:type="xsd:double"&gt;43.618668&lt;/D&gt;&lt;/FQL&gt;&lt;FQL&gt;&lt;Q&gt;EPOL^FG_TOTAL_RETURNC(0,-3AM)&lt;/Q&gt;&lt;R&gt;1&lt;/R&gt;&lt;C&gt;1&lt;/C&gt;&lt;D xsi:type="xsd:double"&gt;6.1323524&lt;/D&gt;&lt;/FQL&gt;&lt;FQL&gt;&lt;Q&gt;EPHE^PERCENT_CHANGE(FMA_EPS(+1,0,,,,"PORTAGG","MEAN"),FMA_EPS(+1,-3AM,,,,"PORTAGG","MEAN"))&lt;/Q&gt;&lt;R&gt;1&lt;/R&gt;&lt;C&gt;1&lt;/C&gt;&lt;D xsi:type="xsd:double"&gt;-4.9788488423029&lt;/D&gt;&lt;/FQL&gt;&lt;FQL&gt;&lt;Q&gt;TUR^FMA_COS_DOWN("EPS","1M",+1,NOW,,,"PORTAGG","MEANR")&lt;/Q&gt;&lt;R&gt;1&lt;/R&gt;&lt;C&gt;1&lt;/C&gt;&lt;D xsi:type="xsd:double"&gt;11&lt;/D&gt;&lt;/FQL&gt;&lt;FQL&gt;&lt;Q&gt;CNYA^FMA_RBICS_REV_CURRENT(30, LOC, "PORTAGG")&lt;/Q&gt;&lt;R&gt;1&lt;/R&gt;&lt;C&gt;1&lt;/C&gt;&lt;D xsi:type="xsd:double"&gt;21.5842601267149&lt;/D&gt;&lt;/FQL&gt;&lt;FQL&gt;&lt;Q&gt;REFZAREPO-FDS^PROPER_NAME(0,,,"SECURITY","NAME")&lt;/Q&gt;&lt;R&gt;1&lt;/R&gt;&lt;C&gt;1&lt;/C&gt;&lt;D xsi:type="xsd:string"&gt;South Africa Repo Rate&lt;/D&gt;&lt;/FQL&gt;&lt;FQL&gt;&lt;Q&gt;TRYIN10Y-FDS^FG_YIELD_NAME&lt;/Q&gt;&lt;R&gt;1&lt;/R&gt;&lt;C&gt;1&lt;/C&gt;&lt;D xsi:type="xsd:string"&gt;India Benchmark Bond - 10 Year&lt;/D&gt;&lt;/FQL&gt;&lt;FQL&gt;&lt;Q&gt;CC_TR^IMF_IFS_RCPI_Q(0)&lt;/Q&gt;&lt;R&gt;1&lt;/R&gt;&lt;C&gt;1&lt;/C&gt;&lt;D xsi:type="xsd:double"&gt;62.72422&lt;/D&gt;&lt;/FQL&gt;&lt;FQL&gt;&lt;Q&gt;TUR^FMA_PE(NTMA,0,,,"PORTAGG","MEANR")&lt;/Q&gt;&lt;R&gt;1&lt;/R&gt;&lt;C&gt;1&lt;/C&gt;&lt;D xsi:type="xsd:double"&gt;6.52339758464223&lt;/D&gt;&lt;/FQL&gt;&lt;FQL&gt;&lt;Q&gt;EWY^FMA_PE(LTM,0,,,"PORTAGG","MEANR")&lt;/Q&gt;&lt;R&gt;1&lt;/R&gt;&lt;C&gt;1&lt;/C&gt;&lt;D xsi:type="xsd:double"&gt;18.6094932992425&lt;/D&gt;&lt;/FQL&gt;&lt;FQL&gt;&lt;Q&gt;EPHE^FG_COMPANY_NAME&lt;/Q&gt;&lt;R&gt;1&lt;/R&gt;&lt;C&gt;1&lt;/C&gt;&lt;D xsi:type="xsd:string"&gt;iShares MSCI Philippines ETF&lt;/D&gt;&lt;/FQL&gt;&lt;FQL&gt;&lt;Q&gt;TRYBR10Y-FDS^FG_YIELD(-10AY,0,Y,,"YTM")&lt;/Q&gt;&lt;R&gt;10&lt;/R&gt;&lt;C&gt;1&lt;/C&gt;&lt;D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xsi:type="xsd:double"&gt;10.455909&lt;/D&gt;&lt;/FQL&gt;&lt;FQL&gt;&lt;Q&gt;EWM^FG_TOTAL_RETURNC(-10AY,0,AM)&lt;/Q&gt;&lt;R&gt;121&lt;/R&gt;&lt;C&gt;1&lt;/C&gt;&lt;D xsi:type="xsd:double"&gt;4.197693&lt;/D&gt;&lt;D xsi:type="xsd:double"&gt;1.1695862&lt;/D&gt;&lt;D xsi:type="xsd:double"&gt;1.7341018&lt;/D&gt;&lt;D xsi:type="xsd:double"&gt;0.37878752&lt;/D&gt;&lt;D xsi:type="xsd:double"&gt;3.316319&lt;/D&gt;&lt;D xsi:type="xsd:double"&gt;-0.9282172&lt;/D&gt;&lt;D xsi:type="xsd:double"&gt;-0.062459707&lt;/D&gt;&lt;D xsi:type="xsd:double"&gt;-3.6249995&lt;/D&gt;&lt;D xsi:type="xsd:double"&gt;-1.9455254&lt;/D&gt;&lt;D xsi:type="xsd:double"&gt;-8.862436&lt;/D&gt;&lt;D xsi:type="xsd:double"&gt;-2.4076462&lt;/D&gt;&lt;D xsi:type="xsd:double"&gt;1.7463923&lt;/D&gt;&lt;D xsi:type="xsd:double"&gt;-0.9701431&lt;/D&gt;&lt;D xsi:type="xsd:double"&gt;2.0346642&lt;/D&gt;&lt;D xsi:type="xsd:double"&gt;1.3293982&lt;/D&gt;&lt;D xsi:type="xsd:double"&gt;-8.090383&lt;/D&gt;&lt;D xsi:type="xsd:double"&gt;-0.539279&lt;/D&gt;&lt;D xsi:type="xsd:double"&gt;-4.119551&lt;/D&gt;&lt;D xsi:type="xsd:double"&gt;-18.786854&lt;/D&gt;&lt;D xsi:type="xsd:double"&gt;4.0456414&lt;/D&gt;&lt;D xsi:type="xsd:double"&gt;4.087734&lt;/D&gt;&lt;D xsi:type="xsd:double"&gt;3.7356377&lt;/D&gt;&lt;D xsi:type="xsd:double"&gt;-5.679721&lt;/D&gt;&lt;D xsi:type="xsd:double"&gt;6.6755652&lt;/D&gt;&lt;D xsi:type="xsd:double"&gt;4.75595&lt;/D&gt;&lt;D xsi:type="xsd:double"&gt;5.376339&lt;/D&gt;&lt;D xsi:type="xsd:double"&gt;-6.916094&lt;/D&gt;&lt;D xsi:type="xsd:double"&gt;-1.4616311&lt;/D&gt;&lt;D xsi:type="xsd:double"&gt;3.6755562&lt;/D&gt;&lt;D xsi:type="xsd:double"&gt;-0.96618533&lt;/D&gt;&lt;D xsi:type="xsd:double"&gt;0.4878044&lt;/D&gt;&lt;D xsi:type="xsd:double"&gt;-2.6698947&lt;/D&gt;&lt;D xsi:type="xsd:double"&gt;-2.369082&lt;/D&gt;&lt;D xsi:type="xsd:double"&gt;-6.162196&lt;/D&gt;&lt;D xsi:type="xsd:double"&gt;0.61507225&lt;/D&gt;&lt;D xsi:type="xsd:double"&gt;4.09894&lt;/D&gt;&lt;D xsi:type="xsd:double"&gt;1.0183334&lt;/D&gt;&lt;D xsi:type="xsd:double"&gt;3.2594085&lt;/D&gt;&lt;D xsi:type="xsd:double"&gt;2.6358604&lt;/D&gt;&lt;D xsi:type="xsd:double"&gt;3.0754566&lt;/D&gt;&lt;D xsi:type="xsd:double"&gt;-1.2324929&lt;/D&gt;&lt;D xsi:type="xsd:double"&gt;0.7556677&lt;/D&gt;&lt;D xsi:type="xsd:double"&gt;0.4374981&lt;/D&gt;&lt;D xsi:type="xsd:double"&gt;0.56004524&lt;/D&gt;&lt;D xsi:type="xsd:double"&gt;-1.2995064&lt;/D&gt;&lt;D xsi:type="xsd:double"&gt;2.3511052&lt;/D&gt;&lt;D xsi:type="xsd:double"&gt;8.60157&lt;/D&gt;&lt;D xsi:type="xsd:double"&gt;4.133451&lt;/D&gt;&lt;D xsi:type="xsd:double"&gt;-0.39693713&lt;/D&gt;&lt;D xsi:type="xsd:double"&gt;1.7364144&lt;/D&gt;&lt;D xsi:type="xsd:double"&gt;-2.3782969&lt;/D&gt;&lt;D xsi:type="xsd:double"&gt;-5.2450476&lt;/D&gt;&lt;D xsi:type="xsd:double"&gt;-5.34153&lt;/D&gt;&lt;D xsi:type="xsd:double"&gt;6.388521&lt;/D&gt;&lt;D xsi:type="xsd:double"&gt;-0.91911554&lt;/D&gt;&lt;D xsi:type="xsd:double"&gt;-1.7934442&lt;/D&gt;&lt;D xsi:type="xsd:double"&gt;-3.5264492&lt;/D&gt;&lt;D xsi:type="xsd:double"&gt;-1.1096597&lt;/D&gt;&lt;D xsi:type="xsd:double"&gt;0.9627104&lt;/D&gt;&lt;D xsi:type="xsd:double"&gt;1.9960046&lt;/D&gt;&lt;D xsi:type="xsd:double"&gt;-0.9132445&lt;/D&gt;&lt;D xsi:type="xsd:double"&gt;-1.283735&lt;/D&gt;&lt;D xsi:type="xsd:double"&gt;-1.1337101&lt;/D&gt;&lt;D xsi:type="xsd:double"&gt;-0.06745458&lt;/D&gt;&lt;D xsi:type="xsd:double"&gt;3.3424735&lt;/D&gt;&lt;D xsi:type="xsd:double"&gt;-5.8178186&lt;/D&gt;&lt;D xsi:type="xsd:double"&gt;-1.3060391&lt;/D&gt;&lt;D xsi:type="xsd:double"&gt;-1.5021384&lt;/D&gt;&lt;D xsi:type="xsd:double"&gt;3.848946&lt;/D&gt;&lt;D xsi:type="xsd:double"&gt;-3.8461566&lt;/D&gt;&lt;D xsi:type="xsd:double"&gt;5.0955653&lt;/D&gt;&lt;D xsi:type="xsd:double"&gt;-5.178446&lt;/D&gt;&lt;D xsi:type="xsd:double"&gt;-4.280442&lt;/D&gt;&lt;D xsi:type="xsd:double"&gt;-16.345411&lt;/D&gt;&lt;D xsi:type="xsd:double"&gt;7.9723477&lt;/D&gt;&lt;D xsi:type="xsd:double"&gt;14.980793&lt;/D&gt;&lt;D xsi:type="xsd:double"&gt;-1.0189295&lt;/D&gt;&lt;D xsi:type="xsd:double"&gt;4.5576334&lt;/D&gt;&lt;D xsi:type="xsd:double"&gt;-4.432231&lt;/D&gt;&lt;D xsi:type="xsd:double"&gt;0.4599452&lt;/D&gt;&lt;D xsi:type="xsd:double"&gt;-0.6867528&lt;/D&gt;&lt;D xsi:type="xsd:double"&gt;10.257399&lt;/D&gt;&lt;D xsi:type="xsd:double"&gt;-1.0104537&lt;/D&gt;&lt;D xsi:type="xsd:double"&gt;-2.8511047&lt;/D&gt;&lt;D xsi:type="xsd:double"&gt;-0.90579987&lt;/D&gt;&lt;D xsi:type="xsd:double"&gt;-0.40219426&lt;/D&gt;&lt;D xsi:type="xsd:double"&gt;0.5506635&lt;/D&gt;&lt;D xsi:type="xsd:double"&gt;0.1460433&lt;/D&gt;&lt;D xsi:type="xsd:double"&gt;-4.1455564&lt;/D&gt;&lt;D xsi:type="xsd:double"&gt;-3.6484897&lt;/D&gt;&lt;D xsi:type="xsd:double"&gt;7.6547265&lt;/D&gt;&lt;D xsi:type="xsd:double"&gt;-4.841155&lt;/D&gt;&lt;D xsi:type="xsd:double"&gt;1.8680453&lt;/D&gt;&lt;D xsi:type="xsd:double"&gt;-3.9797068&lt;/D&gt;&lt;D xsi:type="xsd:double"&gt;4.0004134&lt;/D&gt;&lt;D xsi:type="xsd:double"&gt;-1.4124334&lt;/D&gt;&lt;D xsi:type="xsd:double"&gt;5.1985264&lt;/D&gt;&lt;D xsi:type="xsd:double"&gt;0.8171201&lt;/D&gt;&lt;D xsi:type="xsd:double"&gt;-3.164798&lt;/D&gt;&lt;D xsi:type="xsd:double"&gt;-5.858904&lt;/D&gt;&lt;D xsi:type="xsd:double"&gt;-4.824567&lt;/D&gt;&lt;D xsi:type="xsd:double"&gt;3.177476&lt;/D&gt;&lt;D xsi:type="xsd:double"&gt;-2.4197042&lt;/D&gt;&lt;D xsi:type="xsd:double"&gt;-6.7628503&lt;/D&gt;&lt;D xsi:type="xsd:double"&gt;0.29013157&lt;/D&gt;&lt;D xsi:type="xsd:double"&gt;11.041474&lt;/D&gt;&lt;D xsi:type="xsd:double"&gt;-0.47875047&lt;/D&gt;&lt;D xsi:type="xsd:double"&gt;4.185021&lt;/D&gt;&lt;D xsi:type="xsd:double"&gt;-6.976742&lt;/D&gt;&lt;D xsi:type="xsd:double"&gt;1.3636351&lt;/D&gt;&lt;D xsi:type="xsd:double"&gt;-1.4349759&lt;/D&gt;&lt;D xsi:type="xsd:double"&gt;-5.459505&lt;/D&gt;&lt;D xsi:type="xsd:double"&gt;-0.88567734&lt;/D&gt;&lt;D xsi:type="xsd:double"&gt;5.734062&lt;/D&gt;&lt;D xsi:type="xsd:double"&gt;-0.74801445&lt;/D&gt;&lt;D xsi:type="xsd:double"&gt;-4.050863&lt;/D&gt;&lt;D xsi:type="xsd:double"&gt;4.17279&lt;/D&gt;&lt;D xsi:type="xsd:double"&gt;-0.094240904&lt;/D&gt;&lt;D xsi:type="xsd:double"&gt;2.151525&lt;/D&gt;&lt;D xsi:type="xsd:double"&gt;-0.32895207&lt;/D&gt;&lt;D xsi:type="xsd:double"&gt;1.8387556&lt;/D&gt;&lt;/FQL&gt;&lt;FQL&gt;&lt;Q&gt;EWW^FG_PRICE_MAVG(0,,,,200)&lt;/Q&gt;&lt;R&gt;1&lt;/R&gt;&lt;C&gt;1&lt;/C&gt;&lt;D xsi:type="xsd:double"&gt;62.377&lt;/D&gt;&lt;/FQL&gt;&lt;FQL&gt;&lt;Q&gt;EPU^JULIAN(FMA_DIV_YLD(NTMA,NOW,NOW,M,"PORTAGG","MEANR").DATES)&lt;/Q&gt;&lt;R&gt;1&lt;/R&gt;&lt;C&gt;1&lt;/C&gt;&lt;D xsi:type="xsd:long"&gt;45350&lt;/D&gt;&lt;/FQL&gt;&lt;FQL&gt;&lt;Q&gt;CNYA^FMA_EVAL_EBIT(LTMA,NOW,NOW,M,"PORTAGG","MEANR")&lt;/Q&gt;&lt;R&gt;1&lt;/R&gt;&lt;C&gt;1&lt;/C&gt;&lt;D xsi:type="xsd:double"&gt;16.1452888338932&lt;/D&gt;&lt;/FQL&gt;&lt;FQL&gt;&lt;Q&gt;EIDO^FG_COMPANY_NAME&lt;/Q&gt;&lt;R&gt;1&lt;/R&gt;&lt;C&gt;1&lt;/C&gt;&lt;D xsi:type="xsd:string"&gt;iShares MSCI Indonesia ETF&lt;/D&gt;&lt;/FQL&gt;&lt;FQL&gt;&lt;Q&gt;CNYA^FMA_PE(NTMA,-10AY,0,AM,"PORTAGG","MEANR")&lt;/Q&gt;&lt;R&gt;121&lt;/R&gt;&lt;C&gt;1&lt;/C&gt;&lt;D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xsi:type="xsd:double"&gt;13.1781824564606&lt;/D&gt;&lt;D xsi:type="xsd:double"&gt;13.4954628886743&lt;/D&gt;&lt;D xsi:type="xsd:double"&gt;13.9646087843244&lt;/D&gt;&lt;D xsi:type="xsd:double"&gt;13.5583365262821&lt;/D&gt;&lt;D xsi:type="xsd:double"&gt;13.801493280749&lt;/D&gt;&lt;D xsi:type="xsd:double"&gt;14.357397918091&lt;/D&gt;&lt;D xsi:type="xsd:double"&gt;13.2844078906021&lt;/D&gt;&lt;D xsi:type="xsd:double"&gt;13.0548804856184&lt;/D&gt;&lt;D xsi:type="xsd:double"&gt;13.1850114881749&lt;/D&gt;&lt;D xsi:type="xsd:double"&gt;13.2853389737055&lt;/D&gt;&lt;D xsi:type="xsd:double"&gt;13.3007436072378&lt;/D&gt;&lt;D xsi:type="xsd:double"&gt;13.6371099830497&lt;/D&gt;&lt;D xsi:type="xsd:double"&gt;14.2162894648609&lt;/D&gt;&lt;D xsi:type="xsd:double"&gt;13.9747978665205&lt;/D&gt;&lt;D xsi:type="xsd:double"&gt;14.3667675853411&lt;/D&gt;&lt;D xsi:type="xsd:double"&gt;14.2066576499613&lt;/D&gt;&lt;D xsi:type="xsd:double"&gt;14.4649501609437&lt;/D&gt;&lt;D xsi:type="xsd:double"&gt;13.9340094656345&lt;/D&gt;&lt;D xsi:type="xsd:double"&gt;14.1029653853238&lt;/D&gt;&lt;D xsi:type="xsd:double"&gt;14.1958692880357&lt;/D&gt;&lt;D xsi:type="xsd:double"&gt;13.1508579817732&lt;/D&gt;&lt;D xsi:type="xsd:double"&gt;12.5973590190788&lt;/D&gt;&lt;D xsi:type="xsd:double"&gt;11.6274646150455&lt;/D&gt;&lt;D xsi:type="xsd:double"&gt;11.8270867979175&lt;/D&gt;&lt;D xsi:type="xsd:double"&gt;10.5320711398005&lt;/D&gt;&lt;D xsi:type="xsd:double"&gt;10.0041663701384&lt;/D&gt;&lt;D xsi:type="xsd:double"&gt;10.3594726978515&lt;/D&gt;&lt;D xsi:type="xsd:double"&gt;10.5854736064854&lt;/D&gt;&lt;D xsi:type="xsd:double"&gt;10.1720696723895&lt;/D&gt;&lt;D xsi:type="xsd:double"&gt;10.1895503411421&lt;/D&gt;&lt;D xsi:type="xsd:double"&gt;9.53302905655891&lt;/D&gt;&lt;D xsi:type="xsd:double"&gt;10.2263470680679&lt;/D&gt;&lt;D xsi:type="xsd:double"&gt;11.7142373655975&lt;/D&gt;&lt;D xsi:type="xsd:double"&gt;12.2552738471047&lt;/D&gt;&lt;D xsi:type="xsd:double"&gt;11.8487600172177&lt;/D&gt;&lt;D xsi:type="xsd:double"&gt;11.1647541606153&lt;/D&gt;&lt;D xsi:type="xsd:double"&gt;12.0128615316137&lt;/D&gt;&lt;D xsi:type="xsd:double"&gt;11.3245379345648&lt;/D&gt;&lt;D xsi:type="xsd:double"&gt;11.8414605489038&lt;/D&gt;&lt;D xsi:type="xsd:double"&gt;11.5133368799466&lt;/D&gt;&lt;D xsi:type="xsd:double"&gt;11.8542492641418&lt;/D&gt;&lt;D xsi:type="xsd:double"&gt;12.0487243207745&lt;/D&gt;&lt;D xsi:type="xsd:double"&gt;12.8670676243085&lt;/D&gt;&lt;D xsi:type="xsd:double"&gt;11.7854489253888&lt;/D&gt;&lt;D xsi:type="xsd:double"&gt;12.9610929951688&lt;/D&gt;&lt;D xsi:type="xsd:double"&gt;11.9579211486552&lt;/D&gt;&lt;D xsi:type="xsd:double"&gt;13.1016436332262&lt;/D&gt;&lt;D xsi:type="xsd:double"&gt;13.6736878051955&lt;/D&gt;&lt;D xsi:type="xsd:double"&gt;14.8227220340857&lt;/D&gt;&lt;D xsi:type="xsd:double"&gt;16.2505103210558&lt;/D&gt;&lt;D xsi:type="xsd:double"&gt;16.4909484219167&lt;/D&gt;&lt;D xsi:type="xsd:double"&gt;15.6934349794852&lt;/D&gt;&lt;D xsi:type="xsd:double"&gt;15.9940518687965&lt;/D&gt;&lt;D xsi:type="xsd:double"&gt;16.7517623774853&lt;/D&gt;&lt;D xsi:type="xsd:double"&gt;17.4543295147601&lt;/D&gt;&lt;D xsi:type="xsd:double"&gt;18.0171640233688&lt;/D&gt;&lt;D xsi:type="xsd:double"&gt;17.0015300786024&lt;/D&gt;&lt;D xsi:type="xsd:double"&gt;16.2660438071947&lt;/D&gt;&lt;D xsi:type="xsd:double"&gt;16.152857393227&lt;/D&gt;&lt;D xsi:type="xsd:double"&gt;16.8406045042753&lt;/D&gt;&lt;D xsi:type="xsd:double"&gt;16.2799047965959&lt;/D&gt;&lt;D xsi:type="xsd:double"&gt;15.58555694731&lt;/D&gt;&lt;D xsi:type="xsd:double"&gt;15.3282757238486&lt;/D&gt;&lt;D xsi:type="xsd:double"&gt;15.2117611740718&lt;/D&gt;&lt;D xsi:type="xsd:double"&gt;15.2255920216618&lt;/D&gt;&lt;D xsi:type="xsd:double"&gt;15.5179310499705&lt;/D&gt;&lt;D xsi:type="xsd:double"&gt;15.1767824584714&lt;/D&gt;&lt;D xsi:type="xsd:double"&gt;13.7273718126461&lt;/D&gt;&lt;D xsi:type="xsd:double"&gt;13.6032621277807&lt;/D&gt;&lt;D xsi:type="xsd:double"&gt;12.987436891015&lt;/D&gt;&lt;D xsi:type="xsd:double"&gt;12.4847956783951&lt;/D&gt;&lt;D xsi:type="xsd:double"&gt;12.7330320328358&lt;/D&gt;&lt;D xsi:type="xsd:double"&gt;13.8037809556959&lt;/D&gt;&lt;D xsi:type="xsd:double"&gt;12.5554136575545&lt;/D&gt;&lt;D xsi:type="xsd:double"&gt;12.3924534244533&lt;/D&gt;&lt;D xsi:type="xsd:double"&gt;11.626165422174&lt;/D&gt;&lt;D xsi:type="xsd:double"&gt;11.7954275083276&lt;/D&gt;&lt;D xsi:type="xsd:double"&gt;12.0227145961734&lt;/D&gt;&lt;D xsi:type="xsd:double"&gt;11.807171177506&lt;/D&gt;&lt;D xsi:type="xsd:double"&gt;12.5328452683153&lt;/D&gt;&lt;D xsi:type="xsd:double"&gt;12.3951754632823&lt;/D&gt;&lt;D xsi:type="xsd:double"&gt;12.4020638994538&lt;/D&gt;&lt;D xsi:type="xsd:double"&gt;12.2961550206558&lt;/D&gt;&lt;D xsi:type="xsd:double"&gt;11.9509459401564&lt;/D&gt;&lt;D xsi:type="xsd:double"&gt;11.9016876183669&lt;/D&gt;&lt;D xsi:type="xsd:double"&gt;12.2189622847587&lt;/D&gt;&lt;D xsi:type="xsd:double"&gt;12.0635231455117&lt;/D&gt;&lt;D xsi:type="xsd:double"&gt;11.641513877748&lt;/D&gt;&lt;D xsi:type="xsd:double"&gt;11.5976222462723&lt;/D&gt;&lt;D xsi:type="xsd:double"&gt;11.4023290162888&lt;/D&gt;&lt;D xsi:type="xsd:double"&gt;11.0250888970963&lt;/D&gt;&lt;D xsi:type="xsd:double"&gt;10.3164241874496&lt;/D&gt;&lt;D xsi:type="xsd:double"&gt;13.3195767224934&lt;/D&gt;&lt;/FQL&gt;&lt;FQL&gt;&lt;Q&gt;NI-FDS^FG_PRICE_CHANGE(0,-3AM)&lt;/Q&gt;&lt;R&gt;1&lt;/R&gt;&lt;C&gt;1&lt;/C&gt;&lt;D xsi:type="xsd:double"&gt;7.49235474006116&lt;/D&gt;&lt;/FQL&gt;&lt;FQL&gt;&lt;Q&gt;URTH^P_PRICE(0)/P_PRICE_LOW_PR(0,,,USD,,,"PRICE","INTRA","52W")-1&lt;/Q&gt;&lt;R&gt;1&lt;/R&gt;&lt;C&gt;1&lt;/C&gt;&lt;D xsi:type="xsd:double"&gt;0.291286&lt;/D&gt;&lt;/FQL&gt;&lt;FQL&gt;&lt;Q&gt;MCHI^FG_TOTAL_RETURNC(0,-6AM)&lt;/Q&gt;&lt;R&gt;1&lt;/R&gt;&lt;C&gt;1&lt;/C&gt;&lt;D xsi:type="xsd:double"&gt;-13.064355&lt;/D&gt;&lt;/FQL&gt;&lt;FQL&gt;&lt;Q&gt;EPHE^P_PRICE(0)/P_PRICE_LOW_PR(0,,,USD,,,"PRICE","INTRA","52W")-1&lt;/Q&gt;&lt;R&gt;1&lt;/R&gt;&lt;C&gt;1&lt;/C&gt;&lt;D xsi:type="xsd:double"&gt;0.19654429&lt;/D&gt;&lt;/FQL&gt;&lt;FQL&gt;&lt;Q&gt;TUR^PERCENT_CHANGE(FMA_EPS(+1,0,,,,"PORTAGG","MEAN"),FMA_EPS(+1,-1AM,,,,"PORTAGG","MEAN"))&lt;/Q&gt;&lt;R&gt;1&lt;/R&gt;&lt;C&gt;1&lt;/C&gt;&lt;D xsi:type="xsd:double"&gt;-17.3204550073297&lt;/D&gt;&lt;/FQL&gt;&lt;FQL&gt;&lt;Q&gt;EPHE^FMA_PCT_ABOVE_MAVG(200,0,,,,"PORTAGG")&lt;/Q&gt;&lt;R&gt;1&lt;/R&gt;&lt;C&gt;1&lt;/C&gt;&lt;D xsi:type="xsd:double"&gt;65.7142857142857&lt;/D&gt;&lt;/FQL&gt;&lt;FQL&gt;&lt;Q&gt;EPOL^FMA_COS_DOWN("EPS","1M",+1,NOW,,,"PORTAGG","MEANR")&lt;/Q&gt;&lt;R&gt;1&lt;/R&gt;&lt;C&gt;1&lt;/C&gt;&lt;D xsi:type="xsd:double"&gt;5&lt;/D&gt;&lt;/FQL&gt;&lt;FQL&gt;&lt;Q&gt;TRYMY10Y-FDS^PCTCHG(FG_YIELD(0,,,,"YTM"),FG_YIELD(-1AM,,,,"YTM"))&lt;/Q&gt;&lt;R&gt;1&lt;/R&gt;&lt;C&gt;1&lt;/C&gt;&lt;D xsi:type="xsd:double"&gt;1.0585077&lt;/D&gt;&lt;/FQL&gt;&lt;FQL&gt;&lt;Q&gt;VGK^FG_PE(0)&lt;/Q&gt;&lt;R&gt;1&lt;/R&gt;&lt;C&gt;1&lt;/C&gt;&lt;D xsi:type="xsd:double"&gt;12.3288653041064&lt;/D&gt;&lt;/FQL&gt;&lt;FQL&gt;&lt;Q&gt;INDA^JULIAN(FMA_DIV_YLD(NTMA,NOW,NOW,M,"PORTAGG","MEANR").DATES)&lt;/Q&gt;&lt;R&gt;1&lt;/R&gt;&lt;C&gt;1&lt;/C&gt;&lt;D xsi:type="xsd:long"&gt;45350&lt;/D&gt;&lt;/FQL&gt;&lt;FQL&gt;&lt;Q&gt;USDMXN^FG_PRICE(0)&lt;/Q&gt;&lt;R&gt;1&lt;/R&gt;&lt;C&gt;1&lt;/C&gt;&lt;D xsi:type="xsd:double"&gt;16.9755&lt;/D&gt;&lt;/FQL&gt;&lt;FQL&gt;&lt;Q&gt;TRYVN10Y-FDS^FG_YIELD(-10AY,0,Y,,"YTM")&lt;/Q&gt;&lt;R&gt;10&lt;/R&gt;&lt;C&gt;1&lt;/C&gt;&lt;D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xsi:type="xsd:double"&gt;2.9473283&lt;/D&gt;&lt;/FQL&gt;&lt;FQL&gt;&lt;Q&gt;CAGDPY@TW^EE_ACTUAL_ANNUAL(MED,+1)&lt;/Q&gt;&lt;R&gt;1&lt;/R&gt;&lt;C&gt;1&lt;/C&gt;&lt;D xsi:type="xsd:double"&gt;11.5&lt;/D&gt;&lt;/FQL&gt;&lt;FQL&gt;&lt;Q&gt;USDQAR^STD(FG_PRICE_CHANGE(0,-3AY,M))&lt;/Q&gt;&lt;R&gt;1&lt;/R&gt;&lt;C&gt;1&lt;/C&gt;&lt;D xsi:type="xsd:double"&gt;0.0113855499090638&lt;/D&gt;&lt;/FQL&gt;&lt;FQL&gt;&lt;Q&gt;FC0000TR^FMA_EPS(NTMA,-20AY,0,CY,,"PORTAGG","MEANR")&lt;/Q&gt;&lt;R&gt;20&lt;/R&gt;&lt;C&gt;1&lt;/C&gt;&lt;D xsi:type="xsd:double"&gt;9.86463285413856&lt;/D&gt;&lt;D xsi:type="xsd:double"&gt;13.697013097437&lt;/D&gt;&lt;D xsi:type="xsd:double"&gt;15.4857358154397&lt;/D&gt;&lt;D xsi:type="xsd:double"&gt;22.3352325303583&lt;/D&gt;&lt;D xsi:type="xsd:double"&gt;17.0194207562287&lt;/D&gt;&lt;D xsi:type="xsd:double"&gt;19.5831499482532&lt;/D&gt;&lt;D xsi:type="xsd:double"&gt;23.3457716305229&lt;/D&gt;&lt;D xsi:type="xsd:double"&gt;19.9467070950164&lt;/D&gt;&lt;D xsi:type="xsd:double"&gt;22.8671187954567&lt;/D&gt;&lt;D xsi:type="xsd:double"&gt;20.0828803302685&lt;/D&gt;&lt;D xsi:type="xsd:double"&gt;19.5514117112726&lt;/D&gt;&lt;D xsi:type="xsd:double"&gt;17.4011919479576&lt;/D&gt;&lt;D xsi:type="xsd:double"&gt;16.4826621500299&lt;/D&gt;&lt;D xsi:type="xsd:double"&gt;20.8864123256607&lt;/D&gt;&lt;D xsi:type="xsd:double"&gt;19.0848898388226&lt;/D&gt;&lt;D xsi:type="xsd:double"&gt;22.5659653832585&lt;/D&gt;&lt;D xsi:type="xsd:double"&gt;23.2814278835731&lt;/D&gt;&lt;D xsi:type="xsd:double"&gt;19.7583566298998&lt;/D&gt;&lt;D xsi:type="xsd:double"&gt;36.4008265142301&lt;/D&gt;&lt;D xsi:type="xsd:double"&gt;47.7168770163727&lt;/D&gt;&lt;/FQL&gt;&lt;FQL&gt;&lt;Q&gt;TIOS-FDS^FG_PRICE_CHANGE(0,-3AM)&lt;/Q&gt;&lt;R&gt;1&lt;/R&gt;&lt;C&gt;1&lt;/C&gt;&lt;D xsi:type="xsd:double"&gt;-10.3633297562471&lt;/D&gt;&lt;/FQL&gt;&lt;FQL&gt;&lt;Q&gt;KSA^FG_PRICE(0)&lt;/Q&gt;&lt;R&gt;1&lt;/R&gt;&lt;C&gt;1&lt;/C&gt;&lt;D xsi:type="xsd:double"&gt;43.94&lt;/D&gt;&lt;/FQL&gt;&lt;FQL&gt;&lt;Q&gt;INDA^P_PRICE(0)/P_PRICE_LOW_PR(0,,,USD,,,"PRICE","INTRA","52W")-1&lt;/Q&gt;&lt;R&gt;1&lt;/R&gt;&lt;C&gt;1&lt;/C&gt;&lt;D xsi:type="xsd:double"&gt;0.3745532&lt;/D&gt;&lt;/FQL&gt;&lt;FQL&gt;&lt;Q&gt;EPHE^FG_TOTAL_RETURNC(0,-6AM)&lt;/Q&gt;&lt;R&gt;1&lt;/R&gt;&lt;C&gt;1&lt;/C&gt;&lt;D xsi:type="xsd:double"&gt;13.989663&lt;/D&gt;&lt;/FQL&gt;&lt;FQL&gt;&lt;Q&gt;TUR^FMA_PCT_ABOVE_MAVG(200,0,,,,"PORTAGG")&lt;/Q&gt;&lt;R&gt;1&lt;/R&gt;&lt;C&gt;1&lt;/C&gt;&lt;D xsi:type="xsd:double"&gt;84.0909090909091&lt;/D&gt;&lt;/FQL&gt;&lt;FQL&gt;&lt;Q&gt;SET-BKK^FMA_COS_UP("EPS","1M",+1,NOW,,,"PORTAGG","MEANR")&lt;/Q&gt;&lt;R&gt;1&lt;/R&gt;&lt;C&gt;1&lt;/C&gt;&lt;D xsi:type="xsd:double"&gt;69&lt;/D&gt;&lt;/FQL&gt;&lt;FQL&gt;&lt;Q&gt;KSA^FG_ROE(0)&lt;/Q&gt;&lt;R&gt;1&lt;/R&gt;&lt;C&gt;1&lt;/C&gt;&lt;D xsi:type="xsd:double"&gt;9.82789369570018&lt;/D&gt;&lt;/FQL&gt;&lt;FQL&gt;&lt;Q&gt;TRYPE10Y-FDS^FG_YIELD_NAME&lt;/Q&gt;&lt;R&gt;1&lt;/R&gt;&lt;C&gt;1&lt;/C&gt;&lt;D xsi:type="xsd:string"&gt;Treasury - Peru Benchmark Bond 10Y&lt;/D&gt;&lt;/FQL&gt;&lt;FQL&gt;&lt;Q&gt;REFBRSELIC-FDS^(SUBARRAY(NOT_NA(NO_REPEAT_F(FG_YIELD(NOW,-10AY,D))),0,1)-SUBARRAY(NOT_NA(NO_REPEAT_F(FG_YIELD(NOW,-10AY,D))),1,1))*100&lt;/Q&gt;&lt;R&gt;1&lt;/R&gt;&lt;C&gt;1&lt;/C&gt;&lt;D xsi:type="xsd:double"&gt;-50&lt;/D&gt;&lt;/FQL&gt;&lt;FQL&gt;&lt;Q&gt;TRYSA10Y-FDS^PCTCHG(FG_YIELD(0,,,,"YTM"),FG_YIELD(-3AM,,,,"YTM"))&lt;/Q&gt;&lt;R&gt;1&lt;/R&gt;&lt;C&gt;1&lt;/C&gt;&lt;D xsi:type="xsd:double"&gt;2.57813&lt;/D&gt;&lt;/FQL&gt;&lt;FQL&gt;&lt;Q&gt;TRYBR10Y-FDS^FG_YIELD(0,,,,"YTM")&lt;/Q&gt;&lt;R&gt;1&lt;/R&gt;&lt;C&gt;1&lt;/C&gt;&lt;D xsi:type="xsd:double"&gt;10.887092&lt;/D&gt;&lt;/FQL&gt;&lt;FQL&gt;&lt;Q&gt;CC_TH^IMF_IFS_RCPI_Q(0)&lt;/Q&gt;&lt;R&gt;0&lt;/R&gt;&lt;C&gt;0&lt;/C&gt;&lt;/FQL&gt;&lt;FQL&gt;&lt;Q&gt;KSA^FMA_EVAL_EBITDA(NTMA,0,,,"PORTAGG","MEANR")&lt;/Q&gt;&lt;R&gt;1&lt;/R&gt;&lt;C&gt;1&lt;/C&gt;&lt;D xsi:type="xsd:double"&gt;12.6350403485301&lt;/D&gt;&lt;/FQL&gt;&lt;FQL&gt;&lt;Q&gt;TUR^FMA_PE(LTM,0,,,"PORTAGG","MEANR")&lt;/Q&gt;&lt;R&gt;1&lt;/R&gt;&lt;C&gt;1&lt;/C&gt;&lt;D xsi:type="xsd:double"&gt;6.89374693724686&lt;/D&gt;&lt;/FQL&gt;&lt;FQL&gt;&lt;Q&gt;EWW^FMA_EVAL_EBIT(LTMA,NOW,NOW,M,"PORTAGG","MEANR")&lt;/Q&gt;&lt;R&gt;1&lt;/R&gt;&lt;C&gt;1&lt;/C&gt;&lt;D xsi:type="xsd:double"&gt;10.5547023680576&lt;/D&gt;&lt;/FQL&gt;&lt;FQL&gt;&lt;Q&gt;TRYID10Y-FDS^FG_YIELD(-10AY,0,Y,,"YTM")&lt;/Q&gt;&lt;R&gt;10&lt;/R&gt;&lt;C&gt;1&lt;/C&gt;&lt;D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xsi:type="xsd:double"&gt;6.498571&lt;/D&gt;&lt;/FQL&gt;&lt;FQL&gt;&lt;Q&gt;USDQAR^STD(FG_PRICE_CHANGE(0,-1AY,AM))&lt;/Q&gt;&lt;R&gt;1&lt;/R&gt;&lt;C&gt;1&lt;/C&gt;&lt;D xsi:type="xsd:double"&gt;0.0158925670416409&lt;/D&gt;&lt;/FQL&gt;&lt;FQL&gt;&lt;Q&gt;FC0000TH^FMA_EPS(NTMA,-20AY,0,CY,,"PORTAGG","MEANR")&lt;/Q&gt;&lt;R&gt;20&lt;/R&gt;&lt;C&gt;1&lt;/C&gt;&lt;D xsi:type="xsd:double"&gt;31.2696221195453&lt;/D&gt;&lt;D xsi:type="xsd:double"&gt;27.830708973543&lt;/D&gt;&lt;D xsi:type="xsd:double"&gt;28.9087147679287&lt;/D&gt;&lt;D xsi:type="xsd:double"&gt;30.2976622903306&lt;/D&gt;&lt;D xsi:type="xsd:double"&gt;23.8840282811916&lt;/D&gt;&lt;D xsi:type="xsd:double"&gt;35.3892777377471&lt;/D&gt;&lt;D xsi:type="xsd:double"&gt;41.7866258502755&lt;/D&gt;&lt;D xsi:type="xsd:double"&gt;42.2131083571648&lt;/D&gt;&lt;D xsi:type="xsd:double"&gt;48.114746973891&lt;/D&gt;&lt;D xsi:type="xsd:double"&gt;45.5007724746185&lt;/D&gt;&lt;D xsi:type="xsd:double"&gt;42.846065697041&lt;/D&gt;&lt;D xsi:type="xsd:double"&gt;39.0473397635884&lt;/D&gt;&lt;D xsi:type="xsd:double"&gt;39.7546846722989&lt;/D&gt;&lt;D xsi:type="xsd:double"&gt;47.2983820623366&lt;/D&gt;&lt;D xsi:type="xsd:double"&gt;49.7080844180477&lt;/D&gt;&lt;D xsi:type="xsd:double"&gt;48.1240323799116&lt;/D&gt;&lt;D xsi:type="xsd:double"&gt;34.7106307464763&lt;/D&gt;&lt;D xsi:type="xsd:double"&gt;40.2723415312121&lt;/D&gt;&lt;D xsi:type="xsd:double"&gt;42.4815782712942&lt;/D&gt;&lt;D xsi:type="xsd:double"&gt;40.1815773721635&lt;/D&gt;&lt;/FQL&gt;&lt;FQL&gt;&lt;Q&gt;EPU^FG_TOTAL_RETURNC(-10AY,0,AM)&lt;/Q&gt;&lt;R&gt;121&lt;/R&gt;&lt;C&gt;1&lt;/C&gt;&lt;D xsi:type="xsd:double"&gt;3.5849094&lt;/D&gt;&lt;D xsi:type="xsd:double"&gt;-0.42501092&lt;/D&gt;&lt;D xsi:type="xsd:double"&gt;5.0385&lt;/D&gt;&lt;D xsi:type="xsd:double"&gt;-0.30040145&lt;/D&gt;&lt;D xsi:type="xsd:double"&gt;7.84986&lt;/D&gt;&lt;D xsi:type="xsd:double"&gt;-1.1726141&lt;/D&gt;&lt;D xsi:type="xsd:double"&gt;-0.36486983&lt;/D&gt;&lt;D xsi:type="xsd:double"&gt;-7.843685&lt;/D&gt;&lt;D xsi:type="xsd:double"&gt;-0.8421004&lt;/D&gt;&lt;D xsi:type="xsd:double"&gt;0.9537935&lt;/D&gt;&lt;D xsi:type="xsd:double"&gt;-3.6240458&lt;/D&gt;&lt;D xsi:type="xsd:double"&gt;-4.3219566&lt;/D&gt;&lt;D xsi:type="xsd:double"&gt;-2.520454&lt;/D&gt;&lt;D xsi:type="xsd:double"&gt;-1.5782416&lt;/D&gt;&lt;D xsi:type="xsd:double"&gt;6.0388923&lt;/D&gt;&lt;D xsi:type="xsd:double"&gt;-4.3422403&lt;/D&gt;&lt;D xsi:type="xsd:double"&gt;-0.6097555&lt;/D&gt;&lt;D xsi:type="xsd:double"&gt;-10.599863&lt;/D&gt;&lt;D xsi:type="xsd:double"&gt;-14.220357&lt;/D&gt;&lt;D xsi:type="xsd:double"&gt;-0.3111124&lt;/D&gt;&lt;D xsi:type="xsd:double"&gt;2.7115226&lt;/D&gt;&lt;D xsi:type="xsd:double"&gt;-5.8937016&lt;/D&gt;&lt;D xsi:type="xsd:double"&gt;-6.711352&lt;/D&gt;&lt;D xsi:type="xsd:double"&gt;-0.29910207&lt;/D&gt;&lt;D xsi:type="xsd:double"&gt;20.7&lt;/D&gt;&lt;D xsi:type="xsd:double"&gt;5.7166576&lt;/D&gt;&lt;D xsi:type="xsd:double"&gt;14.615989&lt;/D&gt;&lt;D xsi:type="xsd:double"&gt;4.444444&lt;/D&gt;&lt;D xsi:type="xsd:double"&gt;2.2058964&lt;/D&gt;&lt;D xsi:type="xsd:double"&gt;12.439573&lt;/D&gt;&lt;D xsi:type="xsd:double"&gt;-3.4967065&lt;/D&gt;&lt;D xsi:type="xsd:double"&gt;-3.9501011&lt;/D&gt;&lt;D xsi:type="xsd:double"&gt;0.89702606&lt;/D&gt;&lt;D xsi:type="xsd:double"&gt;-0.27612448&lt;/D&gt;&lt;D xsi:type="xsd:double"&gt;3.5471678&lt;/D&gt;&lt;D xsi:type="xsd:double"&gt;5.535722&lt;/D&gt;&lt;D xsi:type="xsd:double"&gt;-4.4275227&lt;/D&gt;&lt;D xsi:type="xsd:double"&gt;1.7114282&lt;/D&gt;&lt;D xsi:type="xsd:double"&gt;-4.061508&lt;/D&gt;&lt;D xsi:type="xsd:double"&gt;3.6589026&lt;/D&gt;&lt;D xsi:type="xsd:double"&gt;0.8474827&lt;/D&gt;&lt;D xsi:type="xsd:double"&gt;5.080998&lt;/D&gt;&lt;D xsi:type="xsd:double"&gt;5.9565544&lt;/D&gt;&lt;D xsi:type="xsd:double"&gt;7.2222233&lt;/D&gt;&lt;D xsi:type="xsd:double"&gt;4.5645237&lt;/D&gt;&lt;D xsi:type="xsd:double"&gt;-5.073154&lt;/D&gt;&lt;D xsi:type="xsd:double"&gt;7.1074486&lt;/D&gt;&lt;D xsi:type="xsd:double"&gt;-0.07097125&lt;/D&gt;&lt;D xsi:type="xsd:double"&gt;-0.23674965&lt;/D&gt;&lt;D xsi:type="xsd:double"&gt;2.6815414&lt;/D&gt;&lt;D xsi:type="xsd:double"&gt;-0.16177297&lt;/D&gt;&lt;D xsi:type="xsd:double"&gt;-1.2037039&lt;/D&gt;&lt;D xsi:type="xsd:double"&gt;-8.249736&lt;/D&gt;&lt;D xsi:type="xsd:double"&gt;2.2170663&lt;/D&gt;&lt;D xsi:type="xsd:double"&gt;-9.029007&lt;/D&gt;&lt;D xsi:type="xsd:double"&gt;1.3307452&lt;/D&gt;&lt;D xsi:type="xsd:double"&gt;-2.5718153&lt;/D&gt;&lt;D xsi:type="xsd:double"&gt;0.70204735&lt;/D&gt;&lt;D xsi:type="xsd:double"&gt;1.2313962&lt;/D&gt;&lt;D xsi:type="xsd:double"&gt;5.5063725&lt;/D&gt;&lt;D xsi:type="xsd:double"&gt;1.6260147&lt;/D&gt;&lt;D xsi:type="xsd:double"&gt;2.838707&lt;/D&gt;&lt;D xsi:type="xsd:double"&gt;-5.043912&lt;/D&gt;&lt;D xsi:type="xsd:double"&gt;-6.3425007&lt;/D&gt;&lt;D xsi:type="xsd:double"&gt;7.0032597&lt;/D&gt;&lt;D xsi:type="xsd:double"&gt;-6.3281593&lt;/D&gt;&lt;D xsi:type="xsd:double"&gt;-2.0648062&lt;/D&gt;&lt;D xsi:type="xsd:double"&gt;0.5563617&lt;/D&gt;&lt;D xsi:type="xsd:double"&gt;4.48457&lt;/D&gt;&lt;D xsi:type="xsd:double"&gt;-4.6544075&lt;/D&gt;&lt;D xsi:type="xsd:double"&gt;8.987772&lt;/D&gt;&lt;D xsi:type="xsd:double"&gt;-4.926908&lt;/D&gt;&lt;D xsi:type="xsd:double"&gt;-7.21184&lt;/D&gt;&lt;D xsi:type="xsd:double"&gt;-32.887756&lt;/D&gt;&lt;D xsi:type="xsd:double"&gt;16.788292&lt;/D&gt;&lt;D xsi:type="xsd:double"&gt;13.227057&lt;/D&gt;&lt;D xsi:type="xsd:double"&gt;-1.3140321&lt;/D&gt;&lt;D xsi:type="xsd:double"&gt;8.158183&lt;/D&gt;&lt;D xsi:type="xsd:double"&gt;2.4703503&lt;/D&gt;&lt;D xsi:type="xsd:double"&gt;-5.5265245&lt;/D&gt;&lt;D xsi:type="xsd:double"&gt;0.61005354&lt;/D&gt;&lt;D xsi:type="xsd:double"&gt;16.503216&lt;/D&gt;&lt;D xsi:type="xsd:double"&gt;2.4448156&lt;/D&gt;&lt;D xsi:type="xsd:double"&gt;0.52508116&lt;/D&gt;&lt;D xsi:type="xsd:double"&gt;3.6438227&lt;/D&gt;&lt;D xsi:type="xsd:double"&gt;-5.27755&lt;/D&gt;&lt;D xsi:type="xsd:double"&gt;-8.458429&lt;/D&gt;&lt;D xsi:type="xsd:double"&gt;9.492278&lt;/D&gt;&lt;D xsi:type="xsd:double"&gt;-16.176313&lt;/D&gt;&lt;D xsi:type="xsd:double"&gt;-8.177412&lt;/D&gt;&lt;D xsi:type="xsd:double"&gt;1.0188699&lt;/D&gt;&lt;D xsi:type="xsd:double"&gt;-1.6436338&lt;/D&gt;&lt;D xsi:type="xsd:double"&gt;10.330415&lt;/D&gt;&lt;D xsi:type="xsd:double"&gt;-4.0275393&lt;/D&gt;&lt;D xsi:type="xsd:double"&gt;12.361681&lt;/D&gt;&lt;D xsi:type="xsd:double"&gt;3.0718923&lt;/D&gt;&lt;D xsi:type="xsd:double"&gt;14.806593&lt;/D&gt;&lt;D xsi:type="xsd:double"&gt;4.142499&lt;/D&gt;&lt;D xsi:type="xsd:double"&gt;-14.558464&lt;/D&gt;&lt;D xsi:type="xsd:double"&gt;-2.6070833&lt;/D&gt;&lt;D xsi:type="xsd:double"&gt;-14.318538&lt;/D&gt;&lt;D xsi:type="xsd:double"&gt;-1.4654875&lt;/D&gt;&lt;D xsi:type="xsd:double"&gt;-2.38747&lt;/D&gt;&lt;D xsi:type="xsd:double"&gt;3.9695263&lt;/D&gt;&lt;D xsi:type="xsd:double"&gt;8.445824&lt;/D&gt;&lt;D xsi:type="xsd:double"&gt;5.903268&lt;/D&gt;&lt;D xsi:type="xsd:double"&gt;-0.22351146&lt;/D&gt;&lt;D xsi:type="xsd:double"&gt;5.513692&lt;/D&gt;&lt;D xsi:type="xsd:double"&gt;-1.6553104&lt;/D&gt;&lt;D xsi:type="xsd:double"&gt;0.59405565&lt;/D&gt;&lt;D xsi:type="xsd:double"&gt;0.2624631&lt;/D&gt;&lt;D xsi:type="xsd:double"&gt;0.12238026&lt;/D&gt;&lt;D xsi:type="xsd:double"&gt;2.9785275&lt;/D&gt;&lt;D xsi:type="xsd:double"&gt;7.1320653&lt;/D&gt;&lt;D xsi:type="xsd:double"&gt;-2.2444725&lt;/D&gt;&lt;D xsi:type="xsd:double"&gt;-9.835559&lt;/D&gt;&lt;D xsi:type="xsd:double"&gt;1.5829325&lt;/D&gt;&lt;D xsi:type="xsd:double"&gt;4.5054197&lt;/D&gt;&lt;D xsi:type="xsd:double"&gt;11.849594&lt;/D&gt;&lt;D xsi:type="xsd:double"&gt;-0.37636757&lt;/D&gt;&lt;D xsi:type="xsd:double"&gt;5.8666587&lt;/D&gt;&lt;/FQL&gt;&lt;FQL&gt;&lt;Q&gt;UAE^FMA_PE(LTMA,-10AY,0,AM,"PORTAGG","MEANR")&lt;/Q&gt;&lt;R&gt;121&lt;/R&gt;&lt;C&gt;1&lt;/C&gt;&lt;D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xsi:type="xsd:double"&gt;11.6490690204424&lt;/D&gt;&lt;D xsi:type="xsd:double"&gt;12.7230386115885&lt;/D&gt;&lt;D xsi:type="xsd:double"&gt;13.1191940805261&lt;/D&gt;&lt;D xsi:type="xsd:double"&gt;13.0263340212762&lt;/D&gt;&lt;D xsi:type="xsd:double"&gt;13.6526274642944&lt;/D&gt;&lt;D xsi:type="xsd:double"&gt;13.4411684133362&lt;/D&gt;&lt;D xsi:type="xsd:double"&gt;13.5446384392144&lt;/D&gt;&lt;D xsi:type="xsd:double"&gt;13.4947514608692&lt;/D&gt;&lt;D xsi:type="xsd:double"&gt;13.3178477514647&lt;/D&gt;&lt;D xsi:type="xsd:double"&gt;13.4510796389945&lt;/D&gt;&lt;D xsi:type="xsd:double"&gt;12.9690005296438&lt;/D&gt;&lt;D xsi:type="xsd:double"&gt;12.2126026968026&lt;/D&gt;&lt;D xsi:type="xsd:double"&gt;13.3826093334772&lt;/D&gt;&lt;D xsi:type="xsd:double"&gt;12.4616660682492&lt;/D&gt;&lt;D xsi:type="xsd:double"&gt;13.0331761122062&lt;/D&gt;&lt;D xsi:type="xsd:double"&gt;13.046635331384&lt;/D&gt;&lt;D xsi:type="xsd:double"&gt;13.1776603818692&lt;/D&gt;&lt;D xsi:type="xsd:double"&gt;13.176969926822&lt;/D&gt;&lt;D xsi:type="xsd:double"&gt;13.3205997413925&lt;/D&gt;&lt;D xsi:type="xsd:double"&gt;13.3559074831783&lt;/D&gt;&lt;D xsi:type="xsd:double"&gt;13.4335754097376&lt;/D&gt;&lt;D xsi:type="xsd:double"&gt;13.7993795720498&lt;/D&gt;&lt;D xsi:type="xsd:double"&gt;12.8708131448553&lt;/D&gt;&lt;D xsi:type="xsd:double"&gt;12.4362659330165&lt;/D&gt;&lt;D xsi:type="xsd:double"&gt;13.235514953179&lt;/D&gt;&lt;D xsi:type="xsd:double"&gt;13.1885815025373&lt;/D&gt;&lt;D xsi:type="xsd:double"&gt;13.414456882311&lt;/D&gt;&lt;D xsi:type="xsd:double"&gt;13.3459975751461&lt;/D&gt;&lt;D xsi:type="xsd:double"&gt;13.2856737865728&lt;/D&gt;&lt;D xsi:type="xsd:double"&gt;12.8558860418262&lt;/D&gt;&lt;D xsi:type="xsd:double"&gt;12.7772270766804&lt;/D&gt;&lt;D xsi:type="xsd:double"&gt;13.2311581742235&lt;/D&gt;&lt;D xsi:type="xsd:double"&gt;12.59680119793&lt;/D&gt;&lt;D xsi:type="xsd:double"&gt;12.1704859637182&lt;/D&gt;&lt;D xsi:type="xsd:double"&gt;12.3854955648195&lt;/D&gt;&lt;D xsi:type="xsd:double"&gt;11.5406943889332&lt;/D&gt;&lt;D xsi:type="xsd:double"&gt;12.1515306861522&lt;/D&gt;&lt;D xsi:type="xsd:double"&gt;12.2999991649049&lt;/D&gt;&lt;D xsi:type="xsd:double"&gt;12.4514249371929&lt;/D&gt;&lt;D xsi:type="xsd:double"&gt;12.3472797705282&lt;/D&gt;&lt;D xsi:type="xsd:double"&gt;12.1170039280114&lt;/D&gt;&lt;D xsi:type="xsd:double"&gt;11.8955713676985&lt;/D&gt;&lt;D xsi:type="xsd:double"&gt;11.9423184111742&lt;/D&gt;&lt;D xsi:type="xsd:double"&gt;12.2584486545998&lt;/D&gt;&lt;D xsi:type="xsd:double"&gt;13.1203891223379&lt;/D&gt;&lt;D xsi:type="xsd:double"&gt;12.8125877087853&lt;/D&gt;&lt;D xsi:type="xsd:double"&gt;12.6995825715028&lt;/D&gt;&lt;D xsi:type="xsd:double"&gt;12.4653235316049&lt;/D&gt;&lt;D xsi:type="xsd:double"&gt;11.8125462046203&lt;/D&gt;&lt;D xsi:type="xsd:double"&gt;12.1587915718051&lt;/D&gt;&lt;D xsi:type="xsd:double"&gt;12.8092768021197&lt;/D&gt;&lt;D xsi:type="xsd:double"&gt;12.7111860678704&lt;/D&gt;&lt;D xsi:type="xsd:double"&gt;12.8391777217515&lt;/D&gt;&lt;D xsi:type="xsd:double"&gt;12.6695314873369&lt;/D&gt;&lt;D xsi:type="xsd:double"&gt;13.09958502359&lt;/D&gt;&lt;D xsi:type="xsd:double"&gt;13.8987498940867&lt;/D&gt;&lt;D xsi:type="xsd:double"&gt;14.2462049194863&lt;/D&gt;&lt;D xsi:type="xsd:double"&gt;13.7818015173329&lt;/D&gt;&lt;D xsi:type="xsd:double"&gt;14.3613933786701&lt;/D&gt;&lt;D xsi:type="xsd:double"&gt;14.3981889980876&lt;/D&gt;&lt;D xsi:type="xsd:double"&gt;16.0588071918669&lt;/D&gt;&lt;D xsi:type="xsd:double"&gt;15.3665379908737&lt;/D&gt;&lt;D xsi:type="xsd:double"&gt;14.6281732558221&lt;/D&gt;&lt;D xsi:type="xsd:double"&gt;13.9345040210631&lt;/D&gt;&lt;D xsi:type="xsd:double"&gt;15.6289057927944&lt;/D&gt;&lt;D xsi:type="xsd:double"&gt;15.8843447808917&lt;/D&gt;&lt;D xsi:type="xsd:double"&gt;17.5472504835002&lt;/D&gt;&lt;D xsi:type="xsd:double"&gt;15.2731420012253&lt;/D&gt;&lt;D xsi:type="xsd:double"&gt;16.6711460118412&lt;/D&gt;&lt;D xsi:type="xsd:double"&gt;15.9203513214785&lt;/D&gt;&lt;D xsi:type="xsd:double"&gt;20.7821926946585&lt;/D&gt;&lt;D xsi:type="xsd:double"&gt;24.6767360054318&lt;/D&gt;&lt;D xsi:type="xsd:double"&gt;24.5561563326371&lt;/D&gt;&lt;D xsi:type="xsd:double"&gt;23.22675159884&lt;/D&gt;&lt;D xsi:type="xsd:double"&gt;27.3621222266997&lt;/D&gt;&lt;D xsi:type="xsd:double"&gt;26.1436084726082&lt;/D&gt;&lt;D xsi:type="xsd:double"&gt;24.8132165504948&lt;/D&gt;&lt;D xsi:type="xsd:double"&gt;24.0306257875732&lt;/D&gt;&lt;D xsi:type="xsd:double"&gt;22.8888455835197&lt;/D&gt;&lt;D xsi:type="xsd:double"&gt;21.6194198525947&lt;/D&gt;&lt;D xsi:type="xsd:double"&gt;20.7016118086373&lt;/D&gt;&lt;D xsi:type="xsd:double"&gt;19.5095225775806&lt;/D&gt;&lt;D xsi:type="xsd:double"&gt;18.8908219299828&lt;/D&gt;&lt;D xsi:type="xsd:double"&gt;18.1004165293636&lt;/D&gt;&lt;D xsi:type="xsd:double"&gt;16.5752308420887&lt;/D&gt;&lt;D xsi:type="xsd:double"&gt;16.8403515075646&lt;/D&gt;&lt;D xsi:type="xsd:double"&gt;17.3687490567661&lt;/D&gt;&lt;D xsi:type="xsd:double"&gt;17.4224930160417&lt;/D&gt;&lt;D xsi:type="xsd:double"&gt;17.340947058296&lt;/D&gt;&lt;D xsi:type="xsd:double"&gt;16.5914988637871&lt;/D&gt;&lt;D xsi:type="xsd:double"&gt;15.6117046908871&lt;/D&gt;&lt;D xsi:type="xsd:double"&gt;15.5533317311671&lt;/D&gt;&lt;D xsi:type="xsd:double"&gt;15.0993172083769&lt;/D&gt;&lt;D xsi:type="xsd:double"&gt;14.585337887124&lt;/D&gt;&lt;D xsi:type="xsd:double"&gt;14.1485920845113&lt;/D&gt;&lt;D xsi:type="xsd:double"&gt;13.7521702033925&lt;/D&gt;&lt;D xsi:type="xsd:double"&gt;12.5601040246468&lt;/D&gt;&lt;D xsi:type="xsd:double"&gt;12.4829134148992&lt;/D&gt;&lt;D xsi:type="xsd:double"&gt;12.2447255649385&lt;/D&gt;&lt;D xsi:type="xsd:double"&gt;12.0521061443274&lt;/D&gt;&lt;D xsi:type="xsd:double"&gt;12.0789250415272&lt;/D&gt;&lt;D xsi:type="xsd:double"&gt;11.8043809496831&lt;/D&gt;&lt;D xsi:type="xsd:double"&gt;11.8255856869647&lt;/D&gt;&lt;D xsi:type="xsd:double"&gt;11.7965808432402&lt;/D&gt;&lt;D xsi:type="xsd:double"&gt;11.2111803007001&lt;/D&gt;&lt;D xsi:type="xsd:double"&gt;11.2168875725925&lt;/D&gt;&lt;D xsi:type="xsd:double"&gt;10.4107405960707&lt;/D&gt;&lt;D xsi:type="xsd:double"&gt;10.19411408963&lt;/D&gt;&lt;D xsi:type="xsd:double"&gt;10.0705405972161&lt;/D&gt;&lt;D xsi:type="xsd:double"&gt;9.86759831927603&lt;/D&gt;&lt;D xsi:type="xsd:double"&gt;9.36705492455679&lt;/D&gt;&lt;/FQL&gt;&lt;FQL&gt;&lt;Q&gt;NI-FDS^FG_PRICE_CHANGE(0,-1AM)&lt;/Q&gt;&lt;R&gt;1&lt;/R&gt;&lt;C&gt;1&lt;/C&gt;&lt;D xsi:type="xsd:double"&gt;8.99224806201551&lt;/D&gt;&lt;/FQL&gt;&lt;FQL&gt;&lt;Q&gt;UAE^FG_PRICE_MAVG(0,,,,200)&lt;/Q&gt;&lt;R&gt;1&lt;/R&gt;&lt;C&gt;1&lt;/C&gt;&lt;D xsi:type="xsd:double"&gt;14.800627&lt;/D&gt;&lt;/FQL&gt;&lt;FQL&gt;&lt;Q&gt;URTH^P_PRICE(0)/P_PRICE_HIGH_PR(0,,,USD,,,"PRICE","INTRA","52W")&lt;/Q&gt;&lt;R&gt;1&lt;/R&gt;&lt;C&gt;1&lt;/C&gt;&lt;D xsi:type="xsd:double"&gt;0.99672145&lt;/D&gt;&lt;/FQL&gt;&lt;FQL&gt;&lt;Q&gt;EPHE^FG_TOTAL_RETURNC(0,-3AM)&lt;/Q&gt;&lt;R&gt;1&lt;/R&gt;&lt;C&gt;1&lt;/C&gt;&lt;D xsi:type="xsd:double"&gt;10.211002&lt;/D&gt;&lt;/FQL&gt;&lt;FQL&gt;&lt;Q&gt;EIDO^PERCENT_CHANGE(FMA_EPS(+1,0,,,,"PORTAGG","MEAN"),FMA_EPS(+1,-3AM,,,,"PORTAGG","MEAN"))&lt;/Q&gt;&lt;R&gt;1&lt;/R&gt;&lt;C&gt;1&lt;/C&gt;&lt;D xsi:type="xsd:double"&gt;-11.2069851423001&lt;/D&gt;&lt;/FQL&gt;&lt;FQL&gt;&lt;Q&gt;EPOL^FMA_COS_UP("EPS","1M",+1,NOW,,,"PORTAGG","MEANR")&lt;/Q&gt;&lt;R&gt;1&lt;/R&gt;&lt;C&gt;1&lt;/C&gt;&lt;D xsi:type="xsd:double"&gt;15&lt;/D&gt;&lt;/FQL&gt;&lt;FQL&gt;&lt;Q&gt;UAE^FG_ROE(0)&lt;/Q&gt;&lt;R&gt;1&lt;/R&gt;&lt;C&gt;1&lt;/C&gt;&lt;D xsi:type="xsd:double"&gt;12.9419933694601&lt;/D&gt;&lt;/FQL&gt;&lt;FQL&gt;&lt;Q&gt;KSA^FG_FCF_YIELD_NTM(0)&lt;/Q&gt;&lt;R&gt;1&lt;/R&gt;&lt;C&gt;1&lt;/C&gt;&lt;D xsi:type="xsd:double"&gt;2.56303065910498&lt;/D&gt;&lt;/FQL&gt;&lt;FQL&gt;&lt;Q&gt;GREK^FMA_EVAL_EBIT(LTMA,NOW,NOW,M,"PORTAGG","MEANR")&lt;/Q&gt;&lt;R&gt;1&lt;/R&gt;&lt;C&gt;1&lt;/C&gt;&lt;D xsi:type="xsd:double"&gt;7.21776276830445&lt;/D&gt;&lt;/FQL&gt;&lt;FQL&gt;&lt;Q&gt;EPOL^FMA_EVAL_EBIT(LTMA,NOW,NOW,M,"PORTAGG","MEANR")&lt;/Q&gt;&lt;R&gt;1&lt;/R&gt;&lt;C&gt;1&lt;/C&gt;&lt;D xsi:type="xsd:double"&gt;7.52204815254496&lt;/D&gt;&lt;/FQL&gt;&lt;FQL&gt;&lt;Q&gt;CNYA^FMA_EVAL_EBITDA(NTMA,0,,,"PORTAGG","MEANR")&lt;/Q&gt;&lt;R&gt;1&lt;/R&gt;&lt;C&gt;1&lt;/C&gt;&lt;D xsi:type="xsd:double"&gt;10.7878664651675&lt;/D&gt;&lt;/FQL&gt;&lt;FQL&gt;&lt;Q&gt;CNYA^FG_COMPANY_NAME&lt;/Q&gt;&lt;R&gt;1&lt;/R&gt;&lt;C&gt;1&lt;/C&gt;&lt;D xsi:type="xsd:string"&gt;iShares MSCI China A ETF&lt;/D&gt;&lt;/FQL&gt;&lt;FQL&gt;&lt;Q&gt;EWW^FG_PRICE(0)&lt;/Q&gt;&lt;R&gt;1&lt;/R&gt;&lt;C&gt;1&lt;/C&gt;&lt;D xsi:type="xsd:dou</t>
        </r>
      </text>
    </comment>
    <comment ref="A18" authorId="0" shapeId="0" xr:uid="{8E3FC5E1-A210-4175-BDAE-13253F493401}">
      <text>
        <r>
          <rPr>
            <b/>
            <sz val="9"/>
            <color indexed="81"/>
            <rFont val="Tahoma"/>
            <family val="2"/>
          </rPr>
          <t>ble"&gt;65.63&lt;/D&gt;&lt;/FQL&gt;&lt;FQL&gt;&lt;Q&gt;URTH^FG_TOTAL_RETURNC(0,-6AM)&lt;/Q&gt;&lt;R&gt;1&lt;/R&gt;&lt;C&gt;1&lt;/C&gt;&lt;D xsi:type="xsd:double"&gt;13.214933&lt;/D&gt;&lt;/FQL&gt;&lt;FQL&gt;&lt;Q&gt;SET-BKK^FMA_PCT_ABOVE_MAVG(200,0,,,,"PORTAGG")&lt;/Q&gt;&lt;R&gt;1&lt;/R&gt;&lt;C&gt;1&lt;/C&gt;&lt;D xsi:type="xsd:double"&gt;26.4350453172205&lt;/D&gt;&lt;/FQL&gt;&lt;FQL&gt;&lt;Q&gt;QAT^SIZE(FG_CONSTITUENTS)&lt;/Q&gt;&lt;R&gt;1&lt;/R&gt;&lt;C&gt;1&lt;/C&gt;&lt;D xsi:type="xsd:long"&gt;35&lt;/D&gt;&lt;/FQL&gt;&lt;FQL&gt;&lt;Q&gt;TUR^JULIAN(FMA_DIV_YLD(NTMA,NOW,NOW,M,"PORTAGG","MEANR").DATES)&lt;/Q&gt;&lt;R&gt;1&lt;/R&gt;&lt;C&gt;1&lt;/C&gt;&lt;D xsi:type="xsd:long"&gt;45350&lt;/D&gt;&lt;/FQL&gt;&lt;FQL&gt;&lt;Q&gt;EWW^FMA_EVAL_EBITDA(NTMA,0,,,"PORTAGG","MEANR")&lt;/Q&gt;&lt;R&gt;1&lt;/R&gt;&lt;C&gt;1&lt;/C&gt;&lt;D xsi:type="xsd:double"&gt;6.66623302902966&lt;/D&gt;&lt;/FQL&gt;&lt;FQL&gt;&lt;Q&gt;SET-BKK^FMA_PE(LTMA,-10AY,0,AM,"PORTAGG","MEANR")&lt;/Q&gt;&lt;R&gt;121&lt;/R&gt;&lt;C&gt;1&lt;/C&gt;&lt;D xsi:type="xsd:double"&gt;18.8142842453122&lt;/D&gt;&lt;D xsi:type="xsd:double"&gt;18.4673316231962&lt;/D&gt;&lt;D xsi:type="xsd:double"&gt;18.2824105837836&lt;/D&gt;&lt;D xsi:type="xsd:double"&gt;18.0449915017648&lt;/D&gt;&lt;D xsi:type="xsd:double"&gt;17.7691475215956&lt;/D&gt;&lt;D xsi:type="xsd:double"&gt;17.6756959334849&lt;/D&gt;&lt;D xsi:type="xsd:double"&gt;19.0925901149473&lt;/D&gt;&lt;D xsi:type="xsd:double"&gt;19.0826663434152&lt;/D&gt;&lt;D xsi:type="xsd:double"&gt;19.6355133668342&lt;/D&gt;&lt;D xsi:type="xsd:double"&gt;20.2740023806337&lt;/D&gt;&lt;D xsi:type="xsd:double"&gt;19.2508733401759&lt;/D&gt;&lt;D xsi:type="xsd:double"&gt;22.6559874337983&lt;/D&gt;&lt;D xsi:type="xsd:double"&gt;23.5919317171857&lt;/D&gt;&lt;D xsi:type="xsd:double"&gt;22.7700133436565&lt;/D&gt;&lt;D xsi:type="xsd:double"&gt;22.0905645606783&lt;/D&gt;&lt;D xsi:type="xsd:double"&gt;21.5043090175477&lt;/D&gt;&lt;D xsi:type="xsd:double"&gt;20.994889714468&lt;/D&gt;&lt;D xsi:type="xsd:double"&gt;20.097569396628&lt;/D&gt;&lt;D xsi:type="xsd:double"&gt;19.0781300610042&lt;/D&gt;&lt;D xsi:type="xsd:double"&gt;18.3356542847826&lt;/D&gt;&lt;D xsi:type="xsd:double"&gt;18.5400906176266&lt;/D&gt;&lt;D xsi:type="xsd:double"&gt;15.4168718109521&lt;/D&gt;&lt;D xsi:type="xsd:double"&gt;13.8575936212839&lt;/D&gt;&lt;D xsi:type="xsd:double"&gt;15.8937638148541&lt;/D&gt;&lt;D xsi:type="xsd:double"&gt;16.6556459703124&lt;/D&gt;&lt;D xsi:type="xsd:double"&gt;16.5367630338707&lt;/D&gt;&lt;D xsi:type="xsd:double"&gt;16.3449141946767&lt;/D&gt;&lt;D xsi:type="xsd:double"&gt;16.440678702918&lt;/D&gt;&lt;D xsi:type="xsd:double"&gt;16.44752238761&lt;/D&gt;&lt;D xsi:type="xsd:double"&gt;16.6411441050629&lt;/D&gt;&lt;D xsi:type="xsd:double"&gt;16.4829948791182&lt;/D&gt;&lt;D xsi:type="xsd:double"&gt;16.3094600392382&lt;/D&gt;&lt;D xsi:type="xsd:double"&gt;15.8947442977688&lt;/D&gt;&lt;D xsi:type="xsd:double"&gt;16.0562207884455&lt;/D&gt;&lt;D xsi:type="xsd:double"&gt;16.5121515233157&lt;/D&gt;&lt;D xsi:type="xsd:double"&gt;16.6822589419131&lt;/D&gt;&lt;D xsi:type="xsd:double"&gt;16.3667730063428&lt;/D&gt;&lt;D xsi:type="xsd:double"&gt;16.2984360532912&lt;/D&gt;&lt;D xsi:type="xsd:double"&gt;16.1590397315596&lt;/D&gt;&lt;D xsi:type="xsd:double"&gt;16.0508853259376&lt;/D&gt;&lt;D xsi:type="xsd:double"&gt;15.9905631472538&lt;/D&gt;&lt;D xsi:type="xsd:double"&gt;16.0208685558562&lt;/D&gt;&lt;D xsi:type="xsd:double"&gt;16.1974056859024&lt;/D&gt;&lt;D xsi:type="xsd:double"&gt;16.6250643118103&lt;/D&gt;&lt;D xsi:type="xsd:double"&gt;16.9939269865223&lt;/D&gt;&lt;D xsi:type="xsd:double"&gt;17.083342704956&lt;/D&gt;&lt;D xsi:type="xsd:double"&gt;18.245245799133&lt;/D&gt;&lt;D xsi:type="xsd:double"&gt;18.3650037540151&lt;/D&gt;&lt;D xsi:type="xsd:double"&gt;17.8145005953151&lt;/D&gt;&lt;D xsi:type="xsd:double"&gt;17.3302303490323&lt;/D&gt;&lt;D xsi:type="xsd:double"&gt;17.2776589155669&lt;/D&gt;&lt;D xsi:type="xsd:double"&gt;17.0189528721437&lt;/D&gt;&lt;D xsi:type="xsd:double"&gt;16.4209418520875&lt;/D&gt;&lt;D xsi:type="xsd:double"&gt;16.5808987812363&lt;/D&gt;&lt;D xsi:type="xsd:double"&gt;16.3890449214998&lt;/D&gt;&lt;D xsi:type="xsd:double"&gt;16.225667568268&lt;/D&gt;&lt;D xsi:type="xsd:double"&gt;15.7301179105318&lt;/D&gt;&lt;D xsi:type="xsd:double"&gt;15.4549239559106&lt;/D&gt;&lt;D xsi:type="xsd:double"&gt;14.4226790149199&lt;/D&gt;&lt;D xsi:type="xsd:double"&gt;15.5683930496858&lt;/D&gt;&lt;D xsi:type="xsd:double"&gt;16.2119491359137&lt;/D&gt;&lt;D xsi:type="xsd:double"&gt;16.1254643055799&lt;/D&gt;&lt;D xsi:type="xsd:double"&gt;16.1686275678231&lt;/D&gt;&lt;D xsi:type="xsd:double"&gt;16.0381881298989&lt;/D&gt;&lt;D xsi:type="xsd:double"&gt;16.4685438540841&lt;/D&gt;&lt;D xsi:type="xsd:double"&gt;16.2830148245123&lt;/D&gt;&lt;D xsi:type="xsd:double"&gt;16.5212019197133&lt;/D&gt;&lt;D xsi:type="xsd:double"&gt;16.2938503086829&lt;/D&gt;&lt;D xsi:type="xsd:double"&gt;16.9197822370094&lt;/D&gt;&lt;D xsi:type="xsd:double"&gt;16.8725354365969&lt;/D&gt;&lt;D xsi:type="xsd:double"&gt;17.1911254978058&lt;/D&gt;&lt;D xsi:type="xsd:double"&gt;16.3497120672266&lt;/D&gt;&lt;D xsi:type="xsd:double"&gt;14.953867220875&lt;/D&gt;&lt;D xsi:type="xsd:double"&gt;14.6735015465393&lt;/D&gt;&lt;D xsi:type="xsd:double"&gt;15.6641121319933&lt;/D&gt;&lt;D xsi:type="xsd:double"&gt;17.874624192772&lt;/D&gt;&lt;D xsi:type="xsd:double"&gt;18.7857677119314&lt;/D&gt;&lt;D xsi:type="xsd:double"&gt;19.6303865280696&lt;/D&gt;&lt;D xsi:type="xsd:double"&gt;20.6475956133628&lt;/D&gt;&lt;D xsi:type="xsd:double"&gt;20.9233338047878&lt;/D&gt;&lt;D xsi:type="xsd:double"&gt;20.2399210042356&lt;/D&gt;&lt;D xsi:type="xsd:double"&gt;25.0582006748658&lt;/D&gt;&lt;D xsi:type="xsd:double"&gt;27.5899514128149&lt;/D&gt;&lt;D xsi:type="xsd:double"&gt;26.984828744543&lt;/D&gt;&lt;D xsi:type="xsd:double"&gt;27.6464432729907&lt;/D&gt;&lt;D xsi:type="xsd:double"&gt;27.0315827133154&lt;/D&gt;&lt;D xsi:type="xsd:double"&gt;26.1300651682756&lt;/D&gt;&lt;D xsi:type="xsd:double"&gt;24.8086390889454&lt;/D&gt;&lt;D xsi:type="xsd:double"&gt;23.691601526853&lt;/D&gt;&lt;D xsi:type="xsd:double"&gt;22.5352727262376&lt;/D&gt;&lt;D xsi:type="xsd:double"&gt;22.5598695905739&lt;/D&gt;&lt;D xsi:type="xsd:double"&gt;21.1854711756183&lt;/D&gt;&lt;D xsi:type="xsd:double"&gt;20.4215632107901&lt;/D&gt;&lt;D xsi:type="xsd:double"&gt;19.0353015238354&lt;/D&gt;&lt;D xsi:type="xsd:double"&gt;19.1808595193557&lt;/D&gt;&lt;D xsi:type="xsd:double"&gt;18.9979966282819&lt;/D&gt;&lt;D xsi:type="xsd:double"&gt;18.8399705031&lt;/D&gt;&lt;D xsi:type="xsd:double"&gt;18.8114826201711&lt;/D&gt;&lt;D xsi:type="xsd:double"&gt;18.4088687317895&lt;/D&gt;&lt;D xsi:type="xsd:double"&gt;18.1636557218593&lt;/D&gt;&lt;D xsi:type="xsd:double"&gt;17.4351418428861&lt;/D&gt;&lt;D xsi:type="xsd:double"&gt;17.2967080916814&lt;/D&gt;&lt;D xsi:type="xsd:double"&gt;16.8937834322685&lt;/D&gt;&lt;D xsi:type="xsd:double"&gt;16.2823552837061&lt;/D&gt;&lt;D xsi:type="xsd:double"&gt;16.4280819225284&lt;/D&gt;&lt;D xsi:type="xsd:double"&gt;16.8494992083231&lt;/D&gt;&lt;D xsi:type="xsd:double"&gt;16.9540358807343&lt;/D&gt;&lt;D xsi:type="xsd:double"&gt;17.494904211133&lt;/D&gt;&lt;D xsi:type="xsd:double"&gt;17.4303903589906&lt;/D&gt;&lt;D xsi:type="xsd:double"&gt;17.2982556794525&lt;/D&gt;&lt;D xsi:type="xsd:double"&gt;17.0818994631522&lt;/D&gt;&lt;D xsi:type="xsd:double"&gt;17.121091693093&lt;/D&gt;&lt;D xsi:type="xsd:double"&gt;17.1119640158304&lt;/D&gt;&lt;D xsi:type="xsd:double"&gt;17.2840940209202&lt;/D&gt;&lt;D xsi:type="xsd:double"&gt;17.5767422710436&lt;/D&gt;&lt;D xsi:type="xsd:double"&gt;16.7439177623873&lt;/D&gt;&lt;D xsi:type="xsd:double"&gt;16.6601407839636&lt;/D&gt;&lt;D xsi:type="xsd:double"&gt;16.0527069372333&lt;/D&gt;&lt;D xsi:type="xsd:double"&gt;16.1608522528798&lt;/D&gt;&lt;D xsi:type="xsd:double"&gt;15.979815445024&lt;/D&gt;&lt;D xsi:type="xsd:double"&gt;16.8979603184621&lt;/D&gt;&lt;/FQL&gt;&lt;FQL&gt;&lt;Q&gt;UAE^FG_PRICE_MAVG(0,,,,60)&lt;/Q&gt;&lt;R&gt;1&lt;/R&gt;&lt;C&gt;1&lt;/C&gt;&lt;D xsi:type="xsd:double"&gt;14.765345&lt;/D&gt;&lt;/FQL&gt;&lt;FQL&gt;&lt;Q&gt;EPHE^SIZE(FG_CONSTITUENTS)&lt;/Q&gt;&lt;R&gt;1&lt;/R&gt;&lt;C&gt;1&lt;/C&gt;&lt;D xsi:type="xsd:long"&gt;35&lt;/D&gt;&lt;/FQL&gt;&lt;FQL&gt;&lt;Q&gt;QAT^FG_ROE(0)&lt;/Q&gt;&lt;R&gt;1&lt;/R&gt;&lt;C&gt;1&lt;/C&gt;&lt;D xsi:type="xsd:double"&gt;10.1052304344597&lt;/D&gt;&lt;/FQL&gt;&lt;FQL&gt;&lt;Q&gt;UAE^FG_PRICE_MAVG(0,,,,30)&lt;/Q&gt;&lt;R&gt;1&lt;/R&gt;&lt;C&gt;1&lt;/C&gt;&lt;D xsi:type="xsd:double"&gt;14.777857&lt;/D&gt;&lt;/FQL&gt;&lt;FQL&gt;&lt;Q&gt;EWM^FG_PRICE_MAVG(0,,,,200)&lt;/Q&gt;&lt;R&gt;1&lt;/R&gt;&lt;C&gt;1&lt;/C&gt;&lt;D xsi:type="xsd:double"&gt;21.0002&lt;/D&gt;&lt;/FQL&gt;&lt;FQL&gt;&lt;Q&gt;ECH^P_PRICE(0)/P_PRICE_HIGH_PR(0,,,USD,,,"PRICE","INTRA","52W")&lt;/Q&gt;&lt;R&gt;1&lt;/R&gt;&lt;C&gt;1&lt;/C&gt;&lt;D xsi:type="xsd:double"&gt;0.7985028&lt;/D&gt;&lt;/FQL&gt;&lt;FQL&gt;&lt;Q&gt;REFVNDISC-FDS^FG_YIELD(NOW,,,0)&lt;/Q&gt;&lt;R&gt;1&lt;/R&gt;&lt;C&gt;1&lt;/C&gt;&lt;D xsi:type="xsd:double"&gt;3&lt;/D&gt;&lt;/FQL&gt;&lt;FQL&gt;&lt;Q&gt;EWW^FG_PRICE_MAVG(0,,,,60)&lt;/Q&gt;&lt;R&gt;1&lt;/R&gt;&lt;C&gt;1&lt;/C&gt;&lt;D xsi:type="xsd:double"&gt;66.401&lt;/D&gt;&lt;/FQL&gt;&lt;FQL&gt;&lt;Q&gt;TRYPL10Y-FDS^FG_YIELD_NAME&lt;/Q&gt;&lt;R&gt;1&lt;/R&gt;&lt;C&gt;1&lt;/C&gt;&lt;D xsi:type="xsd:string"&gt;Treasury - Poland Benchmark Bond 10Y&lt;/D&gt;&lt;/FQL&gt;&lt;FQL&gt;&lt;Q&gt;REFBRSELIC-FDS^FG_YIELD(NOW,,,0)&lt;/Q&gt;&lt;R&gt;1&lt;/R&gt;&lt;C&gt;1&lt;/C&gt;&lt;D xsi:type="xsd:double"&gt;11.25&lt;/D&gt;&lt;/FQL&gt;&lt;FQL&gt;&lt;Q&gt;TRYPE10Y-FDS^PCTCHG(FG_YIELD(0,,,,"YTM"),FG_YIELD(-3AM,,,,"YTM"))&lt;/Q&gt;&lt;R&gt;1&lt;/R&gt;&lt;C&gt;1&lt;/C&gt;&lt;D xsi:type="xsd:double"&gt;-1.4562865&lt;/D&gt;&lt;/FQL&gt;&lt;FQL&gt;&lt;Q&gt;USDQAR^FG_PRICE(0)&lt;/Q&gt;&lt;R&gt;1&lt;/R&gt;&lt;C&gt;1&lt;/C&gt;&lt;D xsi:type="xsd:double"&gt;3.641&lt;/D&gt;&lt;/FQL&gt;&lt;FQL&gt;&lt;Q&gt;USDTWD^STD(FG_PRICE_CHANGE(0,-3AY,M))&lt;/Q&gt;&lt;R&gt;1&lt;/R&gt;&lt;C&gt;1&lt;/C&gt;&lt;D xsi:type="xsd:double"&gt;1.76667588702903&lt;/D&gt;&lt;/FQL&gt;&lt;FQL&gt;&lt;Q&gt;FC0000QA^FMA_EPS(NTMA,-20AY,0,CY,,"PORTAGG","MEANR")&lt;/Q&gt;&lt;R&gt;20&lt;/R&gt;&lt;C&gt;1&lt;/C&gt;&lt;D xsi:type="xsd:string"&gt;@NA&lt;/D&gt;&lt;D xsi:type="xsd:string"&gt;@NA&lt;/D&gt;&lt;D xsi:type="xsd:double"&gt;8.19979965085614&lt;/D&gt;&lt;D xsi:type="xsd:double"&gt;9.86863008324955&lt;/D&gt;&lt;D xsi:type="xsd:double"&gt;11.8416183510855&lt;/D&gt;&lt;D xsi:type="xsd:double"&gt;9.76511455010403&lt;/D&gt;&lt;D xsi:type="xsd:double"&gt;8.67191902894658&lt;/D&gt;&lt;D xsi:type="xsd:double"&gt;9.6607184301563&lt;/D&gt;&lt;D xsi:type="xsd:double"&gt;10.0321675505118&lt;/D&gt;&lt;D xsi:type="xsd:double"&gt;9.69647619984179&lt;/D&gt;&lt;D xsi:type="xsd:double"&gt;9.72756648791858&lt;/D&gt;&lt;D xsi:type="xsd:double"&gt;9.25802090548642&lt;/D&gt;&lt;D xsi:type="xsd:double"&gt;8.13418419337586&lt;/D&gt;&lt;D xsi:type="xsd:double"&gt;7.80636838365136&lt;/D&gt;&lt;D xsi:type="xsd:double"&gt;8.33677509681871&lt;/D&gt;&lt;D xsi:type="xsd:double"&gt;7.7374565221449&lt;/D&gt;&lt;D xsi:type="xsd:double"&gt;7.78465315909482&lt;/D&gt;&lt;D xsi:type="xsd:double"&gt;9.35773101457557&lt;/D&gt;&lt;D xsi:type="xsd:double"&gt;9.97398745950005&lt;/D&gt;&lt;D xsi:type="xsd:double"&gt;9.61320801792281&lt;/D&gt;&lt;/FQL&gt;&lt;FQL&gt;&lt;Q&gt;TRYSA10Y-FDS^PCTCHG(FG_YIELD(0,,,,"YTM"),FG_YIELD(-1AM,,,,"YTM"))&lt;/Q&gt;&lt;R&gt;1&lt;/R&gt;&lt;C&gt;1&lt;/C&gt;&lt;D xsi:type="xsd:double"&gt;3.507322&lt;/D&gt;&lt;/FQL&gt;&lt;FQL&gt;&lt;Q&gt;GREK^FMA_DIV_YLD(NTMA,NOW,NOW,M,"PORTAGG","MEANR")&lt;/Q&gt;&lt;R&gt;1&lt;/R&gt;&lt;C&gt;1&lt;/C&gt;&lt;D xsi:type="xsd:double"&gt;4.61711724726576&lt;/D&gt;&lt;/FQL&gt;&lt;FQL&gt;&lt;Q&gt;CNYA^FG_TOTAL_RETURNC(-10AY,0,AM)&lt;/Q&gt;&lt;R&gt;121&lt;/R&gt;&lt;C&gt;1&lt;/C&gt;&lt;D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xsi:type="xsd:double"&gt;3.1409264&lt;/D&gt;&lt;D xsi:type="xsd:double"&gt;1.8950939&lt;/D&gt;&lt;D xsi:type="xsd:double"&gt;-1.1363626&lt;/D&gt;&lt;D xsi:type="xsd:double"&gt;1.1877418&lt;/D&gt;&lt;D xsi:type="xsd:double"&gt;3.8621783&lt;/D&gt;&lt;D xsi:type="xsd:double"&gt;-7.3518753&lt;/D&gt;&lt;D xsi:type="xsd:double"&gt;3.4689069&lt;/D&gt;&lt;D xsi:type="xsd:double"&gt;1.0404587&lt;/D&gt;&lt;D xsi:type="xsd:double"&gt;1.4302015&lt;/D&gt;&lt;D xsi:type="xsd:double"&gt;-2.0078897&lt;/D&gt;&lt;D xsi:type="xsd:double"&gt;4.946089&lt;/D&gt;&lt;D xsi:type="xsd:double"&gt;3.4249902&lt;/D&gt;&lt;D xsi:type="xsd:double"&gt;3.8338661&lt;/D&gt;&lt;D xsi:type="xsd:double"&gt;5.470085&lt;/D&gt;&lt;D xsi:type="xsd:double"&gt;1.7795801&lt;/D&gt;&lt;D xsi:type="xsd:double"&gt;0.01910925&lt;/D&gt;&lt;D xsi:type="xsd:double"&gt;0.30249357&lt;/D&gt;&lt;D xsi:type="xsd:double"&gt;5.4269075&lt;/D&gt;&lt;D xsi:type="xsd:double"&gt;3.5151482&lt;/D&gt;&lt;D xsi:type="xsd:double"&gt;-4.42037&lt;/D&gt;&lt;D xsi:type="xsd:double"&gt;-2.4808645&lt;/D&gt;&lt;D xsi:type="xsd:double"&gt;-3.3103049&lt;/D&gt;&lt;D xsi:type="xsd:double"&gt;1.1826873&lt;/D&gt;&lt;D xsi:type="xsd:double"&gt;-14.335859&lt;/D&gt;&lt;D xsi:type="xsd:double"&gt;-2.5583148&lt;/D&gt;&lt;D xsi:type="xsd:double"&gt;-0.34748912&lt;/D&gt;&lt;D xsi:type="xsd:double"&gt;-1.3948023&lt;/D&gt;&lt;D xsi:type="xsd:double"&gt;-0.8039355&lt;/D&gt;&lt;D xsi:type="xsd:double"&gt;-0.7343888&lt;/D&gt;&lt;D xsi:type="xsd:double"&gt;-4.1195273&lt;/D&gt;&lt;D xsi:type="xsd:double"&gt;7.3662877&lt;/D&gt;&lt;D xsi:type="xsd:double"&gt;17.32483&lt;/D&gt;&lt;D xsi:type="xsd:double"&gt;5.8020473&lt;/D&gt;&lt;D xsi:type="xsd:double"&gt;-3.709674&lt;/D&gt;&lt;D xsi:type="xsd:double"&gt;-9.949756&lt;/D&gt;&lt;D xsi:type="xsd:double"&gt;8.529758&lt;/D&gt;&lt;D xsi:type="xsd:double"&gt;-6.127363&lt;/D&gt;&lt;D xsi:type="xsd:double"&gt;3.300333&lt;/D&gt;&lt;D xsi:type="xsd:double"&gt;-1.8359959&lt;/D&gt;&lt;D xsi:type="xsd:double"&gt;6.137538&lt;/D&gt;&lt;D xsi:type="xsd:double"&gt;-3.0323744&lt;/D&gt;&lt;D xsi:type="xsd:double"&gt;8.626926&lt;/D&gt;&lt;D xsi:type="xsd:double"&gt;-6.8189263&lt;/D&gt;&lt;D xsi:type="xsd:double"&gt;10.294115&lt;/D&gt;&lt;D xsi:type="xsd:double"&gt;-12.190479&lt;/D&gt;&lt;D xsi:type="xsd:double"&gt;0.0003695488&lt;/D&gt;&lt;D xsi:type="xsd:double"&gt;7.6641083&lt;/D&gt;&lt;D xsi:type="xsd:double"&gt;11.49851&lt;/D&gt;&lt;D xsi:type="xsd:double"&gt;11.782479&lt;/D&gt;&lt;D xsi:type="xsd:double"&gt;2.5945902&lt;/D&gt;&lt;D xsi:type="xsd:double"&gt;-3.2665908&lt;/D&gt;&lt;D xsi:type="xsd:double"&gt;8.278858&lt;/D&gt;&lt;D xsi:type="xsd:double"&gt;4.2756557&lt;/D&gt;&lt;D xsi:type="xsd:double"&gt;6.0121536&lt;/D&gt;&lt;D xsi:type="xsd:double"&gt;4.154241&lt;/D&gt;&lt;D xsi:type="xsd:double"&gt;-5.5971804&lt;/D&gt;&lt;D xsi:type="xsd:double"&gt;-2.754438&lt;/D&gt;&lt;D xsi:type="xsd:double"&gt;0.40806532&lt;/D&gt;&lt;D xsi:type="xsd:double"&gt;7.889068&lt;/D&gt;&lt;D xsi:type="xsd:double"&gt;-4.075509&lt;/D&gt;&lt;D xsi:type="xsd:double"&gt;-0.8628011&lt;/D&gt;&lt;D xsi:type="xsd:double"&gt;-0.76341033&lt;/D&gt;&lt;D xsi:type="xsd:double"&gt;-2.1284044&lt;/D&gt;&lt;D xsi:type="xsd:double"&gt;3.3281207&lt;/D&gt;&lt;D xsi:type="xsd:double"&gt;1.5581369&lt;/D&gt;&lt;D xsi:type="xsd:double"&gt;-0.53485036&lt;/D&gt;&lt;D xsi:type="xsd:double"&gt;-6.6449823&lt;/D&gt;&lt;D xsi:type="xsd:double"&gt;-0.97063184&lt;/D&gt;&lt;D xsi:type="xsd:double"&gt;-5.3782344&lt;/D&gt;&lt;D xsi:type="xsd:double"&gt;-10.9429&lt;/D&gt;&lt;D xsi:type="xsd:double"&gt;4.0858984&lt;/D&gt;&lt;D xsi:type="xsd:double"&gt;8.914244&lt;/D&gt;&lt;D xsi:type="xsd:double"&gt;-8.355295&lt;/D&gt;&lt;D xsi:type="xsd:double"&gt;-4.4291077&lt;/D&gt;&lt;D xsi:type="xsd:double"&gt;-4.4237137&lt;/D&gt;&lt;D xsi:type="xsd:double"&gt;-2.8022647&lt;/D&gt;&lt;D xsi:type="xsd:double"&gt;4.632318&lt;/D&gt;&lt;D xsi:type="xsd:double"&gt;1.4242768&lt;/D&gt;&lt;D xsi:type="xsd:double"&gt;5.253279&lt;/D&gt;&lt;D xsi:type="xsd:double"&gt;-0.8021414&lt;/D&gt;&lt;D xsi:type="xsd:double"&gt;-0.68882704&lt;/D&gt;&lt;D xsi:type="xsd:double"&gt;-2.9936612&lt;/D&gt;&lt;D xsi:type="xsd:double"&gt;-6.271279&lt;/D&gt;&lt;D xsi:type="xsd:double"&gt;-1.9865274&lt;/D&gt;&lt;D xsi:type="xsd:double"&gt;5.0186515&lt;/D&gt;&lt;D xsi:type="xsd:double"&gt;-6.4901533&lt;/D&gt;&lt;D xsi:type="xsd:double"&gt;-4.7651887&lt;/D&gt;&lt;D xsi:type="xsd:double"&gt;-0.50761104&lt;/D&gt;&lt;D xsi:type="xsd:double"&gt;-1.4212847&lt;/D&gt;&lt;D xsi:type="xsd:double"&gt;-3.688532&lt;/D&gt;&lt;D xsi:type="xsd:double"&gt;-7.756901&lt;/D&gt;&lt;D xsi:type="xsd:double"&gt;13.263977&lt;/D&gt;&lt;/FQL&gt;&lt;FQL&gt;&lt;Q&gt;TIOS-FDS^FG_PRICE(0)&lt;/Q&gt;&lt;R&gt;1&lt;/R&gt;&lt;C&gt;1&lt;/C&gt;&lt;D xsi:type="xsd:double"&gt;116.94&lt;/D&gt;&lt;/FQL&gt;&lt;FQL&gt;&lt;Q&gt;GREK^FG_TOTAL_RETURNC(0,-6AM)&lt;/Q&gt;&lt;R&gt;1&lt;/R&gt;&lt;C&gt;1&lt;/C&gt;&lt;D xsi:type="xsd:double"&gt;12.377548&lt;/D&gt;&lt;/FQL&gt;&lt;FQL&gt;&lt;Q&gt;REFBRSELIC-FDS^PROPER_NAME(0,,,"SECURITY","NAME")&lt;/Q&gt;&lt;R&gt;1&lt;/R&gt;&lt;C&gt;1&lt;/C&gt;&lt;D xsi:type="xsd:string"&gt;Brazil Target Selic Rate&lt;/D&gt;&lt;/FQL&gt;&lt;FQL&gt;&lt;Q&gt;TRYPE10Y-FDS^PCTCHG(FG_YIELD(0,,,,"YTM"),FG_YIELD(-1AM,,,,"YTM"))&lt;/Q&gt;&lt;R&gt;1&lt;/R&gt;&lt;C&gt;1&lt;/C&gt;&lt;D xsi:type="xsd:double"&gt;4.544037&lt;/D&gt;&lt;/FQL&gt;&lt;FQL&gt;&lt;Q&gt;CC_GR^IMF_IFS_RCPI_Q(0)&lt;/Q&gt;&lt;R&gt;1&lt;/R&gt;&lt;C&gt;1&lt;/C&gt;&lt;D xsi:type="xsd:double"&gt;3.309465&lt;/D&gt;&lt;/FQL&gt;&lt;FQL&gt;&lt;Q&gt;TRYPL10Y-FDS^PCTCHG(FG_YIELD(0,,,,"YTM"),FG_YIELD(-3AM,,,,"YTM"))&lt;/Q&gt;&lt;R&gt;1&lt;/R&gt;&lt;C&gt;1&lt;/C&gt;&lt;D xsi:type="xsd:double"&gt;-4.158209&lt;/D&gt;&lt;/FQL&gt;&lt;FQL&gt;&lt;Q&gt;CNYA^FMA_DIV_YLD(NTMA,NOW,NOW,M,"PORTAGG","MEANR")&lt;/Q&gt;&lt;R&gt;1&lt;/R&gt;&lt;C&gt;1&lt;/C&gt;&lt;D xsi:type="xsd:double"&gt;2.75719382742403&lt;/D&gt;&lt;/FQL&gt;&lt;FQL&gt;&lt;Q&gt;TRYMY10Y-FDS^FG_YIELD(-10AY,0,Y,,"YTM")&lt;/Q&gt;&lt;R&gt;10&lt;/R&gt;&lt;C&gt;1&lt;/C&gt;&lt;D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xsi:type="xsd:double"&gt;3.727505&lt;/D&gt;&lt;/FQL&gt;&lt;FQL&gt;&lt;Q&gt;CC_SA^FG_COMPANY_NAME&lt;/Q&gt;&lt;R&gt;1&lt;/R&gt;&lt;C&gt;1&lt;/C&gt;&lt;D xsi:type="xsd:string"&gt;Saudi Arabia&lt;/D&gt;&lt;/FQL&gt;&lt;FQL&gt;&lt;Q&gt;USDMYR^FG_PRICE_CHANGE(0,-1AY)&lt;/Q&gt;&lt;R&gt;1&lt;/R&gt;&lt;C&gt;1&lt;/C&gt;&lt;D xsi:type="xsd:double"&gt;5.529487&lt;/D&gt;&lt;/FQL&gt;&lt;FQL&gt;&lt;Q&gt;USDQAR^FG_COMPANY_NAME&lt;/Q&gt;&lt;R&gt;1&lt;/R&gt;&lt;C&gt;1&lt;/C&gt;&lt;D xsi:type="xsd:string"&gt;Qatari Rial per U.S. Dollar&lt;/D&gt;&lt;/FQL&gt;&lt;FQL&gt;&lt;Q&gt;MCHI^SIZE(FG_CONSTITUENTS)&lt;/Q&gt;&lt;R&gt;1&lt;/R&gt;&lt;C&gt;1&lt;/C&gt;&lt;D xsi:type="xsd:long"&gt;662&lt;/D&gt;&lt;/FQL&gt;&lt;FQL&gt;&lt;Q&gt;CC_TH^FG_COMPANY_NAME&lt;/Q&gt;&lt;R&gt;1&lt;/R&gt;&lt;C&gt;1&lt;/C&gt;&lt;D xsi:type="xsd:string"&gt;Thailand&lt;/D&gt;&lt;/FQL&gt;&lt;FQL&gt;&lt;Q&gt;ECH^JULIAN(FG_TOTAL_RETURNC(-10AY,0,AM).DATES)&lt;/Q&gt;&lt;R&gt;121&lt;/R&gt;&lt;C&gt;1&lt;/C&gt;&lt;D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xsi:type="xsd:long"&gt;45355&lt;/D&gt;&lt;/FQL&gt;&lt;FQL&gt;&lt;Q&gt;QAT^FMA_PE(LTMA,-10AY,0,AM,"PORTAGG","MEANR")&lt;/Q&gt;&lt;R&gt;121&lt;/R&gt;&lt;C&gt;1&lt;/C&gt;&lt;D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xsi:type="xsd:double"&gt;15.0868993496923&lt;/D&gt;&lt;D xsi:type="xsd:double"&gt;15.0606265418493&lt;/D&gt;&lt;D xsi:type="xsd:double"&gt;15.0121033634611&lt;/D&gt;&lt;D xsi:type="xsd:double"&gt;14.8088339011439&lt;/D&gt;&lt;D xsi:type="xsd:double"&gt;14.8058589156783&lt;/D&gt;&lt;D xsi:type="xsd:double"&gt;14.704987015603&lt;/D&gt;&lt;D xsi:type="xsd:double"&gt;14.5938749044472&lt;/D&gt;&lt;D xsi:type="xsd:double"&gt;14.4983022409804&lt;/D&gt;&lt;D xsi:type="xsd:double"&gt;13.8913165590987&lt;/D&gt;&lt;D xsi:type="xsd:double"&gt;13.9390469471764&lt;/D&gt;&lt;D xsi:type="xsd:double"&gt;13.7980596703593&lt;/D&gt;&lt;D xsi:type="xsd:double"&gt;12.4158210913343&lt;/D&gt;&lt;D xsi:type="xsd:double"&gt;11.8526135404325&lt;/D&gt;&lt;D xsi:type="xsd:double"&gt;11.7982168665558&lt;/D&gt;&lt;D xsi:type="xsd:double"&gt;12.0159054360449&lt;/D&gt;&lt;D xsi:type="xsd:double"&gt;12.1124591873494&lt;/D&gt;&lt;D xsi:type="xsd:double"&gt;12.1608084229907&lt;/D&gt;&lt;D xsi:type="xsd:double"&gt;12.0306183500095&lt;/D&gt;&lt;D xsi:type="xsd:double"&gt;12.2658825618133&lt;/D&gt;&lt;D xsi:type="xsd:double"&gt;12.7872659134784&lt;/D&gt;&lt;D xsi:type="xsd:double"&gt;13.3053330891411&lt;/D&gt;&lt;D xsi:type="xsd:double"&gt;13.1707403669391&lt;/D&gt;&lt;D xsi:type="xsd:double"&gt;13.2169591621742&lt;/D&gt;&lt;D xsi:type="xsd:double"&gt;13.3075006072164&lt;/D&gt;&lt;D xsi:type="xsd:double"&gt;14.7804641338139&lt;/D&gt;&lt;D xsi:type="xsd:double"&gt;14.492872725022&lt;/D&gt;&lt;D xsi:type="xsd:double"&gt;14.8969939638941&lt;/D&gt;&lt;D xsi:type="xsd:double"&gt;14.6430023715687&lt;/D&gt;&lt;D xsi:type="xsd:double"&gt;14.570100840489&lt;/D&gt;&lt;D xsi:type="xsd:double"&gt;14.5644103141896&lt;/D&gt;&lt;D xsi:type="xsd:double"&gt;13.8767064193012&lt;/D&gt;&lt;D xsi:type="xsd:double"&gt;14.1038903119872&lt;/D&gt;&lt;D xsi:type="xsd:double"&gt;13.4658536551579&lt;/D&gt;&lt;D xsi:type="xsd:double"&gt;12.5931181815311&lt;/D&gt;&lt;D xsi:type="xsd:double"&gt;12.8407979461341&lt;/D&gt;&lt;D xsi:type="xsd:double"&gt;12.2733309952219&lt;/D&gt;&lt;D xsi:type="xsd:double"&gt;13.4505459042391&lt;/D&gt;&lt;D xsi:type="xsd:double"&gt;13.3987012280626&lt;/D&gt;&lt;D xsi:type="xsd:double"&gt;12.8150291361151&lt;/D&gt;&lt;D xsi:type="xsd:double"&gt;12.6973402683742&lt;/D&gt;&lt;D xsi:type="xsd:double"&gt;12.5676340243946&lt;/D&gt;&lt;D xsi:type="xsd:double"&gt;12.5940710145799&lt;/D&gt;&lt;D xsi:type="xsd:double"&gt;12.5456473599829&lt;/D&gt;&lt;D xsi:type="xsd:double"&gt;13.0464221640279&lt;/D&gt;&lt;D xsi:type="xsd:double"&gt;13.1529308297631&lt;/D&gt;&lt;D xsi:type="xsd:double"&gt;13.2488284305388&lt;/D&gt;&lt;D xsi:type="xsd:double"&gt;13.8228791156888&lt;/D&gt;&lt;D xsi:type="xsd:double"&gt;14.2517723164627&lt;/D&gt;&lt;D xsi:type="xsd:double"&gt;14.1052222032196&lt;/D&gt;&lt;D xsi:type="xsd:double"&gt;14.4935650226436&lt;/D&gt;&lt;D xsi:type="xsd:double"&gt;13.6146832010668&lt;/D&gt;&lt;D xsi:type="xsd:double"&gt;13.5646930193674&lt;/D&gt;&lt;D xsi:type="xsd:double"&gt;13.7351751540794&lt;/D&gt;&lt;D xsi:type="xsd:double"&gt;13.6007053911033&lt;/D&gt;&lt;D xsi:type="xsd:double"&gt;13.9057295783443&lt;/D&gt;&lt;D xsi:type="xsd:double"&gt;13.84884556096&lt;/D&gt;&lt;D xsi:type="xsd:double"&gt;13.8300254921415&lt;/D&gt;&lt;D xsi:type="xsd:double"&gt;14.06398506631&lt;/D&gt;&lt;D xsi:type="xsd:double"&gt;14.0525723703152&lt;/D&gt;&lt;D xsi:type="xsd:double"&gt;14.0888678973619&lt;/D&gt;&lt;D xsi:type="xsd:double"&gt;14.7681545796229&lt;/D&gt;&lt;D xsi:type="xsd:double"&gt;14.7850367254031&lt;/D&gt;&lt;D xsi:type="xsd:double"&gt;13.830975396715&lt;/D&gt;&lt;D xsi:type="xsd:double"&gt;13.5269483169538&lt;/D&gt;&lt;D xsi:type="xsd:double"&gt;14.0124986373337&lt;/D&gt;&lt;D xsi:type="xsd:double"&gt;14.5696928242632&lt;/D&gt;&lt;D xsi:type="xsd:double"&gt;15.0766683615081&lt;/D&gt;&lt;D xsi:type="xsd:double"&gt;15.7752585271951&lt;/D&gt;&lt;D xsi:type="xsd:double"&gt;16.1270154824719&lt;/D&gt;&lt;D xsi:type="xsd:double"&gt;16.3099514559044&lt;/D&gt;&lt;D xsi:type="xsd:double"&gt;16.690580679498&lt;/D&gt;&lt;D xsi:type="xsd:double"&gt;17.9069320540723&lt;/D&gt;&lt;D xsi:type="xsd:double"&gt;17.3872500738884&lt;/D&gt;&lt;D xsi:type="xsd:double"&gt;17.1137177344939&lt;/D&gt;&lt;D xsi:type="xsd:double"&gt;16.8340651713986&lt;/D&gt;&lt;D xsi:type="xsd:double"&gt;16.7216793409227&lt;/D&gt;&lt;D xsi:type="xsd:double"&gt;16.5236979607597&lt;/D&gt;&lt;D xsi:type="xsd:double"&gt;16.2038861132121&lt;/D&gt;&lt;D xsi:type="xsd:double"&gt;15.9284226717647&lt;/D&gt;&lt;D xsi:type="xsd:double"&gt;15.5559783972996&lt;/D&gt;&lt;D xsi:type="xsd:double"&gt;15.4972314454248&lt;/D&gt;&lt;D xsi:type="xsd:double"&gt;15.5326816451048&lt;/D&gt;&lt;D xsi:type="xsd:double"&gt;15.7680960259955&lt;/D&gt;&lt;D xsi:type="xsd:double"&gt;15.0947764931237&lt;/D&gt;&lt;D xsi:type="xsd:double"&gt;14.8681554283121&lt;/D&gt;&lt;D xsi:type="xsd:double"&gt;15.8215283666738&lt;/D&gt;&lt;D xsi:type="xsd:double"&gt;16.3248831762019&lt;/D&gt;&lt;D xsi:type="xsd:double"&gt;16.1001234714649&lt;/D&gt;&lt;D xsi:type="xsd:double"&gt;15.8410324133602&lt;/D&gt;&lt;D xsi:type="xsd:double"&gt;15.1336595485931&lt;/D&gt;&lt;D xsi:type="xsd:double"&gt;14.7195085338287&lt;/D&gt;&lt;D xsi:type="xsd:double"&gt;15.2476390228784&lt;/D&gt;&lt;D xsi:type="xsd:double"&gt;14.7265155565681&lt;/D&gt;&lt;D xsi:type="xsd:double"&gt;14.5571735890321&lt;/D&gt;&lt;D xsi:type="xsd:double"&gt;13.7767858867382&lt;/D&gt;&lt;D xsi:type="xsd:double"&gt;13.5811018033019&lt;/D&gt;&lt;D xsi:type="xsd:double"&gt;12.1804971598812&lt;/D&gt;&lt;D xsi:type="xsd:double"&gt;12.063658904513&lt;/D&gt;&lt;D xsi:type="xsd:double"&gt;11.8114251363057&lt;/D&gt;&lt;D xsi:type="xsd:double"&gt;11.7875696803719&lt;/D&gt;&lt;D xsi:type="xsd:double"&gt;11.8277912599034&lt;/D&gt;&lt;D xsi:type="xsd:double"&gt;11.701850849639&lt;/D&gt;&lt;D xsi:type="xsd:double"&gt;11.748141738216&lt;/D&gt;&lt;D xsi:type="xsd:double"&gt;12.2478242894056&lt;/D&gt;&lt;D xsi:type="xsd:double"&gt;11.7236214638997&lt;/D&gt;&lt;D xsi:type="xsd:double"&gt;11.5302112875739&lt;/D&gt;&lt;D xsi:type="xsd:double"&gt;11.2169161883632&lt;/D&gt;&lt;D xsi:type="xsd:double"&gt;11.3586541356471&lt;/D&gt;&lt;D xsi:type="xsd:double"&gt;11.7516637451833&lt;/D&gt;&lt;D xsi:type="xsd:double"&gt;11.2152422093296&lt;/D&gt;&lt;D xsi:type="xsd:double"&gt;11.6669590931203&lt;/D&gt;&lt;/FQL&gt;&lt;FQL&gt;&lt;Q&gt;GREK^FG_TOTAL_RETURNC(0,-3AM)&lt;/Q&gt;&lt;R&gt;1&lt;/R&gt;&lt;C&gt;1&lt;/C&gt;&lt;D xsi:type="xsd:double"&gt;12.651121&lt;/D&gt;&lt;/FQL&gt;&lt;FQL&gt;&lt;Q&gt;ECH^FG_TOTAL_RETURNC(0,-6AM)&lt;/Q&gt;&lt;R&gt;1&lt;/R&gt;&lt;C&gt;1&lt;/C&gt;&lt;D xsi:type="xsd:double"&gt;-9.470499&lt;/D&gt;&lt;/FQL&gt;&lt;FQL&gt;&lt;Q&gt;INDA^PERCENT_CHANGE(FMA_EPS(+1,0,,,,"PORTAGG","MEAN"),FMA_EPS(+1,-1AM,,,,"PORTAGG","MEAN"))&lt;/Q&gt;&lt;R&gt;1&lt;/R&gt;&lt;C&gt;1&lt;/C&gt;&lt;D xsi:type="xsd:double"&gt;-14.1529077330767&lt;/D&gt;&lt;/FQL&gt;&lt;FQL&gt;&lt;Q&gt;ECH^PERCENT_CHANGE(FMA_EPS(+1,0,,,,"PORTAGG","MEAN"),FMA_EPS(+1,-3AM,,,,"PORTAGG","MEAN"))&lt;/Q&gt;&lt;R&gt;1&lt;/R&gt;&lt;C&gt;1&lt;/C&gt;&lt;D xsi:type="xsd:double"&gt;4.68811631529015&lt;/D&gt;&lt;/FQL&gt;&lt;FQL&gt;&lt;Q&gt;EIDO^FMA_COS_UP("EPS","1M",+1,NOW,,,"PORTAGG","MEANR")&lt;/Q&gt;&lt;R&gt;1&lt;/R&gt;&lt;C&gt;1&lt;/C&gt;&lt;D xsi:type="xsd:double"&gt;19&lt;/D&gt;&lt;/FQL&gt;&lt;FQL&gt;&lt;Q&gt;MCHI^FG_ROE(0)&lt;/Q&gt;&lt;R&gt;1&lt;/R&gt;&lt;C&gt;1&lt;/C&gt;&lt;D xsi:type="xsd:double"&gt;10.6948722051233&lt;/D&gt;&lt;/FQL&gt;&lt;FQL&gt;&lt;Q&gt;TRYTR7Y-FDS^PCTCHG(FG_YIELD(0,,,,"YTM"),FG_YIELD(-3AM,,,,"YTM"))&lt;/Q&gt;&lt;R&gt;1&lt;/R&gt;&lt;C&gt;1&lt;/C&gt;&lt;D xsi:type="xsd:double"&gt;7.23698&lt;/D&gt;&lt;/FQL&gt;&lt;FQL&gt;&lt;Q&gt;CC_BR^IMF_IFS_RCPI_Q(0)&lt;/Q&gt;&lt;R&gt;1&lt;/R&gt;&lt;C&gt;1&lt;/C&gt;&lt;D xsi:type="xsd:double"&gt;4.7076507&lt;/D&gt;&lt;/FQL&gt;&lt;FQL&gt;&lt;Q&gt;KSA^FMA_PE(NTMA,0,,,"PORTAGG","MEANR")&lt;/Q&gt;&lt;R&gt;1&lt;/R&gt;&lt;C&gt;1&lt;/C&gt;&lt;D xsi:type="xsd:double"&gt;21.8695965204228&lt;/D&gt;&lt;/FQL&gt;&lt;FQL&gt;&lt;Q&gt;EPHE^FMA_EVAL_EBIT(LTMA,NOW,NOW,M,"PORTAGG","MEANR")&lt;/Q&gt;&lt;R&gt;1&lt;/R&gt;&lt;C&gt;1&lt;/C&gt;&lt;D xsi:type="xsd:double"&gt;13.6900780038393&lt;/D&gt;&lt;/FQL&gt;&lt;FQL&gt;&lt;Q&gt;USDMYR^FG_COMPANY_NAME&lt;/Q&gt;&lt;R&gt;1&lt;/R&gt;&lt;C&gt;1&lt;/C&gt;&lt;D xsi:type="xsd:string"&gt;Malaysian Ringgit per U.S. Dollar&lt;/D&gt;&lt;/FQL&gt;&lt;FQL&gt;&lt;Q&gt;FC0000MX^FMA_EPS(NTMA,-20AY,0,CY,,"PORTAGG","MEANR")&lt;/Q&gt;&lt;R&gt;20&lt;/R&gt;&lt;C&gt;1&lt;/C&gt;&lt;D xsi:type="xsd:double"&gt;12.7623750851153&lt;/D&gt;&lt;D xsi:type="xsd:double"&gt;17.4927009872891&lt;/D&gt;&lt;D xsi:type="xsd:double"&gt;24.3227140078413&lt;/D&gt;&lt;D xsi:type="xsd:double"&gt;28.6358691988307&lt;/D&gt;&lt;D xsi:type="xsd:double"&gt;18.3981121787071&lt;/D&gt;&lt;D xsi:type="xsd:double"&gt;21.1225586549364&lt;/D&gt;&lt;D xsi:type="xsd:double"&gt;25.2833135475083&lt;/D&gt;&lt;D xsi:type="xsd:double"&gt;25.3632619889916&lt;/D&gt;&lt;D xsi:type="xsd:double"&gt;28.0716519822771&lt;/D&gt;&lt;D xsi:type="xsd:double"&gt;26.2005304543781&lt;/D&gt;&lt;D xsi:type="xsd:double"&gt;23.6403453539385&lt;/D&gt;&lt;D xsi:type="xsd:double"&gt;20.9545559014505&lt;/D&gt;&lt;D xsi:type="xsd:double"&gt;19.8032110904755&lt;/D&gt;&lt;D xsi:type="xsd:double"&gt;23.4173783162506&lt;/D&gt;&lt;D xsi:type="xsd:double"&gt;25.5454576160172&lt;/D&gt;&lt;D xsi:type="xsd:double"&gt;25.3691273780414&lt;/D&gt;&lt;D xsi:type="xsd:double"&gt;22.3569609119383&lt;/D&gt;&lt;D xsi:type="xsd:double"&gt;28.1816281678625&lt;/D&gt;&lt;D xsi:type="xsd:double"&gt;32.5319871082448&lt;/D&gt;&lt;D xsi:type="xsd:double"&gt;39.3662186301441&lt;/D&gt;&lt;/FQL&gt;&lt;FQL&gt;&lt;Q&gt;MCHI^FMA_PE(LTMA,-10AY,0,AM,"PORTAGG","MEANR")&lt;/Q&gt;&lt;R&gt;121&lt;/R&gt;&lt;C&gt;1&lt;/C&gt;&lt;D xsi:type="xsd:double"&gt;9.30418966266939&lt;/D&gt;&lt;D xsi:type="xsd:double"&gt;9.27744522155945&lt;/D&gt;&lt;D xsi:type="xsd:double"&gt;9.1960762726117&lt;/D&gt;&lt;D xsi:type="xsd:double"&gt;9.2983876339264&lt;/D&gt;&lt;D xsi:type="xsd:double"&gt;9.4295010037906&lt;/D&gt;&lt;D xsi:type="xsd:double"&gt;9.70547563368795&lt;/D&gt;&lt;D xsi:type="xsd:double"&gt;9.89896246327087&lt;/D&gt;&lt;D xsi:type="xsd:double"&gt;9.28306759138205&lt;/D&gt;&lt;D xsi:type="xsd:double"&gt;9.55167961123423&lt;/D&gt;&lt;D xsi:type="xsd:double"&gt;9.90941049168586&lt;/D&gt;&lt;D xsi:type="xsd:double"&gt;10.3565038181273&lt;/D&gt;&lt;D xsi:type="xsd:double"&gt;10.5953630078414&lt;/D&gt;&lt;D xsi:type="xsd:double"&gt;10.813528510991&lt;/D&gt;&lt;D xsi:type="xsd:double"&gt;10.9815919135102&lt;/D&gt;&lt;D xsi:type="xsd:double"&gt;11.5621961782633&lt;/D&gt;&lt;D xsi:type="xsd:double"&gt;11.493996631358&lt;/D&gt;&lt;D xsi:type="xsd:double"&gt;11.0948764288738&lt;/D&gt;&lt;D xsi:type="xsd:double"&gt;10.3877205333614&lt;/D&gt;&lt;D xsi:type="xsd:double"&gt;9.56514291306609&lt;/D&gt;&lt;D xsi:type="xsd:double"&gt;9.82929834194366&lt;/D&gt;&lt;D xsi:type="xsd:double"&gt;10.3692201646661&lt;/D&gt;&lt;D xsi:type="xsd:double"&gt;9.97205700774237&lt;/D&gt;&lt;D xsi:type="xsd:double"&gt;10.461568478299&lt;/D&gt;&lt;D xsi:type="xsd:double"&gt;9.40381078596333&lt;/D&gt;&lt;D xsi:type="xsd:double"&gt;9.34522771909135&lt;/D&gt;&lt;D xsi:type="xsd:double"&gt;9.55572115416119&lt;/D&gt;&lt;D xsi:type="xsd:double"&gt;9.63140506931801&lt;/D&gt;&lt;D xsi:type="xsd:double"&gt;10.2382537200477&lt;/D&gt;&lt;D xsi:type="xsd:double"&gt;10.4559688870478&lt;/D&gt;&lt;D xsi:type="xsd:double"&gt;11.0473492239977&lt;/D&gt;&lt;D xsi:type="xsd:double"&gt;12.1012373211574&lt;/D&gt;&lt;D xsi:type="xsd:double"&gt;12.7539351725342&lt;/D&gt;&lt;D xsi:type="xsd:double"&gt;12.6894343079414&lt;/D&gt;&lt;D xsi:type="xsd:double"&gt;13.0696748092159&lt;/D&gt;&lt;D xsi:type="xsd:double"&gt;13.2223782279887&lt;/D&gt;&lt;D xsi:type="xsd:double"&gt;13.663710809673&lt;/D&gt;&lt;D xsi:type="xsd:double"&gt;14.0422619040381&lt;/D&gt;&lt;D xsi:type="xsd:double"&gt;13.9650721624185&lt;/D&gt;&lt;D xsi:type="xsd:double"&gt;13.8975541913051&lt;/D&gt;&lt;D xsi:type="xsd:double"&gt;14.0890426724976&lt;/D&gt;&lt;D xsi:type="xsd:double"&gt;14.0740360108915&lt;/D&gt;&lt;D xsi:type="xsd:double"&gt;14.5646164383314&lt;/D&gt;&lt;D xsi:type="xsd:double"&gt;14.5388959276112&lt;/D&gt;&lt;D xsi:type="xsd:double"&gt;15.1076091655255&lt;/D&gt;&lt;D xsi:type="xsd:double"&gt;15.1765215891528&lt;/D&gt;&lt;D xsi:type="xsd:double"&gt;15.0394106799328&lt;/D&gt;&lt;D xsi:type="xsd:double"&gt;15.9752947591378&lt;/D&gt;&lt;D xsi:type="xsd:double"&gt;16.1488276261151&lt;/D&gt;&lt;D xsi:type="xsd:double"&gt;15.3196825981027&lt;/D&gt;&lt;D xsi:type="xsd:double"&gt;14.9284101866257&lt;/D&gt;&lt;D xsi:type="xsd:double"&gt;14.7640408840465&lt;/D&gt;&lt;D xsi:type="xsd:double"&gt;14.8042207696221&lt;/D&gt;&lt;D xsi:type="xsd:double"&gt;14.2047659380358&lt;/D&gt;&lt;D xsi:type="xsd:double"&gt;13.8115017544129&lt;/D&gt;&lt;D xsi:type="xsd:double"&gt;13.4675574709011&lt;/D&gt;&lt;D xsi:type="xsd:double"&gt;12.8166617071438&lt;/D&gt;&lt;D xsi:type="xsd:double"&gt;12.5207925859058&lt;/D&gt;&lt;D xsi:type="xsd:double"&gt;12.5384804704509&lt;/D&gt;&lt;D xsi:type="xsd:double"&gt;11.3848499115122&lt;/D&gt;&lt;D xsi:type="xsd:double"&gt;12.5615100513583&lt;/D&gt;&lt;D xsi:type="xsd:double"&gt;12.880812217478&lt;/D&gt;&lt;D xsi:type="xsd:double"&gt;12.9270632988142&lt;/D&gt;&lt;D xsi:type="xsd:double"&gt;12.9370505740745&lt;/D&gt;&lt;D xsi:type="xsd:double"&gt;12.371127691041&lt;/D&gt;&lt;D xsi:type="xsd:double"&gt;12.7511582556053&lt;/D&gt;&lt;D xsi:type="xsd:double"&gt;12.3437714477616&lt;/D&gt;&lt;D xsi:type="xsd:double"&gt;12.497304304135&lt;/D&gt;&lt;D xsi:type="xsd:double"&gt;12.2829267850767&lt;/D&gt;&lt;D xsi:type="xsd:double"&gt;12.6715080915389&lt;/D&gt;&lt;D xsi:type="xsd:double"&gt;12.7219708621977&lt;/D&gt;&lt;D xsi:type="xsd:double"&gt;13.9548136289274&lt;/D&gt;&lt;D xsi:type="xsd:double"&gt;13.3845988615303&lt;/D&gt;&lt;D xsi:type="xsd:double"&gt;13.0912198702118&lt;/D&gt;&lt;D xsi:type="xsd:double"&gt;12.9259051819474&lt;/D&gt;&lt;D xsi:type="xsd:double"&gt;13.0544234628458&lt;/D&gt;&lt;D xsi:type="xsd:double"&gt;13.8649678885264&lt;/D&gt;&lt;D xsi:type="xsd:double"&gt;14.4716023500369&lt;/D&gt;&lt;D xsi:type="xsd:double"&gt;15.4230298509627&lt;/D&gt;&lt;D xsi:type="xsd:double"&gt;15.8594403001815&lt;/D&gt;&lt;D xsi:type="xsd:double"&gt;15.9409894446821&lt;/D&gt;&lt;D xsi:type="xsd:double"&gt;17.3301246486824&lt;/D&gt;&lt;D xsi:type="xsd:double"&gt;17.7599318351365&lt;/D&gt;&lt;D xsi:type="xsd:double"&gt;18.3946374757213&lt;/D&gt;&lt;D xsi:type="xsd:double"&gt;21.1575759601981&lt;/D&gt;&lt;D xsi:type="xsd:double"&gt;19.7451219840771&lt;/D&gt;&lt;D xsi:type="xsd:double"&gt;19.4410195060579&lt;/D&gt;&lt;D xsi:type="xsd:double"&gt;18.9703334556562&lt;/D&gt;&lt;D xsi:type="xsd:double"&gt;18.944112154352&lt;/D&gt;&lt;D xsi:type="xsd:double"&gt;18.6159962438559&lt;/D&gt;&lt;D xsi:type="xsd:double"&gt;17.3234382541697&lt;/D&gt;&lt;D xsi:type="xsd:double"&gt;16.9913218075702&lt;/D&gt;&lt;D xsi:type="xsd:double"&gt;15.6613563337607&lt;/D&gt;&lt;D xsi:type="xsd:double"&gt;19.0082295292296&lt;/D&gt;&lt;D xsi:type="xsd:double"&gt;14.6074066785218&lt;/D&gt;&lt;D xsi:type="xsd:double"&gt;13.8389262262029&lt;/D&gt;&lt;D xsi:type="xsd:double"&gt;14.0304760557835&lt;/D&gt;&lt;D xsi:type="xsd:double"&gt;12.9584384327618&lt;/D&gt;&lt;D xsi:type="xsd:double"&gt;12.8946633695714&lt;/D&gt;&lt;D xsi:type="xsd:double"&gt;12.635344621667&lt;/D&gt;&lt;D xsi:type="xsd:double"&gt;12.7125040832874&lt;/D&gt;&lt;D xsi:type="xsd:double"&gt;13.1092156524071&lt;/D&gt;&lt;D xsi:type="xsd:double"&gt;12.4645924781105&lt;/D&gt;&lt;D xsi:type="xsd:double"&gt;12.431878225272&lt;/D&gt;&lt;D xsi:type="xsd:double"&gt;11.4620921020454&lt;/D&gt;&lt;D xsi:type="xsd:double"&gt;10.8897970084107&lt;/D&gt;&lt;D xsi:type="xsd:double"&gt;12.0508528421547&lt;/D&gt;&lt;D xsi:type="xsd:double"&gt;12.9883695249885&lt;/D&gt;&lt;D xsi:type="xsd:double"&gt;13.4666654860408&lt;/D&gt;&lt;D xsi:type="xsd:double"&gt;12.4478961659559&lt;/D&gt;&lt;D xsi:type="xsd:double"&gt;12.3232543855999&lt;/D&gt;&lt;D xsi:type="xsd:double"&gt;12.090748132908&lt;/D&gt;&lt;D xsi:type="xsd:double"&gt;11.8566287983596&lt;/D&gt;&lt;D xsi:type="xsd:double"&gt;11.8741420748621&lt;/D&gt;&lt;D xsi:type="xsd:double"&gt;12.1340567285989&lt;/D&gt;&lt;D xsi:type="xsd:double"&gt;11.8009479696931&lt;/D&gt;&lt;D xsi:type="xsd:double"&gt;11.1934968150257&lt;/D&gt;&lt;D xsi:type="xsd:double"&gt;11.4000076480897&lt;/D&gt;&lt;D xsi:type="xsd:double"&gt;10.7939107542146&lt;/D&gt;&lt;D xsi:type="xsd:double"&gt;10.7584798178677&lt;/D&gt;&lt;D xsi:type="xsd:double"&gt;9.77971459037179&lt;/D&gt;&lt;D xsi:type="xsd:double"&gt;10.6988742278433&lt;/D&gt;&lt;/FQL&gt;&lt;FQL&gt;&lt;Q&gt;CC_QA^FG_COMPANY_NAME&lt;/Q&gt;&lt;R&gt;1&lt;/R&gt;&lt;C&gt;1&lt;/C&gt;&lt;D xsi:type="xsd:string"&gt;Qatar&lt;/D&gt;&lt;/FQL&gt;&lt;FQL&gt;&lt;Q&gt;VNM^FMA_DIV_YLD(NTMA,NOW,NOW,M,"PORTAGG","MEANR")&lt;/Q&gt;&lt;R&gt;1&lt;/R&gt;&lt;C&gt;1&lt;/C&gt;&lt;D xsi:type="xsd:double"&gt;2.6937472044039&lt;/D&gt;&lt;/FQL&gt;&lt;FQL&gt;&lt;Q&gt;KSA^FMA_DIV_YLD(NTMA,-10AY,0,AM,"PORTAGG","MEANR")&lt;/Q&gt;&lt;R&gt;121&lt;/R&gt;&lt;C&gt;1&lt;/C&gt;&lt;D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</t>
        </r>
      </text>
    </comment>
    <comment ref="A19" authorId="0" shapeId="0" xr:uid="{1CC780A6-0E4F-46D2-80F4-4FA8B40261D5}">
      <text>
        <r>
          <rPr>
            <b/>
            <sz val="9"/>
            <color indexed="81"/>
            <rFont val="Tahoma"/>
            <family val="2"/>
          </rPr>
          <t>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xsi:type="xsd:double"&gt;4.54992710264549&lt;/D&gt;&lt;D xsi:type="xsd:double"&gt;4.6959200545445&lt;/D&gt;&lt;D xsi:type="xsd:double"&gt;4.51943906393361&lt;/D&gt;&lt;D xsi:type="xsd:double"&gt;4.76701795412372&lt;/D&gt;&lt;D xsi:type="xsd:double"&gt;5.15216132914023&lt;/D&gt;&lt;D xsi:type="xsd:double"&gt;4.79845570081548&lt;/D&gt;&lt;D xsi:type="xsd:double"&gt;4.68464099875893&lt;/D&gt;&lt;D xsi:type="xsd:double"&gt;4.25084371107932&lt;/D&gt;&lt;D xsi:type="xsd:double"&gt;4.06636745562554&lt;/D&gt;&lt;D xsi:type="xsd:double"&gt;4.25538550661898&lt;/D&gt;&lt;D xsi:type="xsd:double"&gt;4.43934946823597&lt;/D&gt;&lt;D xsi:type="xsd:double"&gt;4.77721178850205&lt;/D&gt;&lt;D xsi:type="xsd:double"&gt;4.99398715217149&lt;/D&gt;&lt;D xsi:type="xsd:double"&gt;4.58315593829078&lt;/D&gt;&lt;D xsi:type="xsd:double"&gt;3.76294898964184&lt;/D&gt;&lt;D xsi:type="xsd:double"&gt;3.76343727515652&lt;/D&gt;&lt;D xsi:type="xsd:double"&gt;3.77489653012546&lt;/D&gt;&lt;D xsi:type="xsd:double"&gt;3.86047584791442&lt;/D&gt;&lt;D xsi:type="xsd:double"&gt;4.01409413701851&lt;/D&gt;&lt;D xsi:type="xsd:double"&gt;4.09658350378425&lt;/D&gt;&lt;D xsi:type="xsd:double"&gt;3.98465467267617&lt;/D&gt;&lt;D xsi:type="xsd:double"&gt;3.59445337933167&lt;/D&gt;&lt;D xsi:type="xsd:double"&gt;3.86693674273046&lt;/D&gt;&lt;D xsi:type="xsd:double"&gt;4.07161994066141&lt;/D&gt;&lt;D xsi:type="xsd:double"&gt;4.23249092677633&lt;/D&gt;&lt;D xsi:type="xsd:double"&gt;4.40573346687041&lt;/D&gt;&lt;D xsi:type="xsd:double"&gt;4.30389264360761&lt;/D&gt;&lt;D xsi:type="xsd:double"&gt;4.26634601673702&lt;/D&gt;&lt;D xsi:type="xsd:double"&gt;4.13408236869018&lt;/D&gt;&lt;D xsi:type="xsd:double"&gt;4.30580272309706&lt;/D&gt;&lt;D xsi:type="xsd:double"&gt;3.8881155280335&lt;/D&gt;&lt;D xsi:type="xsd:double"&gt;3.86651846090316&lt;/D&gt;&lt;D xsi:type="xsd:double"&gt;3.65892955820511&lt;/D&gt;&lt;D xsi:type="xsd:double"&gt;3.86679988916358&lt;/D&gt;&lt;D xsi:type="xsd:double"&gt;3.88180709873168&lt;/D&gt;&lt;D xsi:type="xsd:double"&gt;4.16228701617981&lt;/D&gt;&lt;D xsi:type="xsd:double"&gt;4.18519361528653&lt;/D&gt;&lt;D xsi:type="xsd:double"&gt;4.21128187202341&lt;/D&gt;&lt;D xsi:type="xsd:double"&gt;4.17523924924859&lt;/D&gt;&lt;D xsi:type="xsd:double"&gt;4.2485053685503&lt;/D&gt;&lt;D xsi:type="xsd:double"&gt;3.95802109731425&lt;/D&gt;&lt;D xsi:type="xsd:double"&gt;3.87608712329009&lt;/D&gt;&lt;D xsi:type="xsd:double"&gt;3.69189986166064&lt;/D&gt;&lt;D xsi:type="xsd:double"&gt;3.60416241432921&lt;/D&gt;&lt;D xsi:type="xsd:double"&gt;3.98362525672633&lt;/D&gt;&lt;D xsi:type="xsd:double"&gt;3.85491757491223&lt;/D&gt;&lt;D xsi:type="xsd:double"&gt;3.95492012098811&lt;/D&gt;&lt;D xsi:type="xsd:double"&gt;4.11184155249721&lt;/D&gt;&lt;D xsi:type="xsd:double"&gt;4.24115394492423&lt;/D&gt;&lt;D xsi:type="xsd:double"&gt;4.32484121091796&lt;/D&gt;&lt;D xsi:type="xsd:double"&gt;4.2119279980495&lt;/D&gt;&lt;D xsi:type="xsd:double"&gt;3.98002905320396&lt;/D&gt;&lt;D xsi:type="xsd:double"&gt;4.22164273824209&lt;/D&gt;&lt;D xsi:type="xsd:double"&gt;4.66037372905901&lt;/D&gt;&lt;D xsi:type="xsd:double"&gt;4.98498818502588&lt;/D&gt;&lt;D xsi:type="xsd:double"&gt;4.70359969825572&lt;/D&gt;&lt;D xsi:type="xsd:double"&gt;4.06300955436611&lt;/D&gt;&lt;D xsi:type="xsd:double"&gt;3.90995194592762&lt;/D&gt;&lt;D xsi:type="xsd:double"&gt;3.77777065398452&lt;/D&gt;&lt;D xsi:type="xsd:double"&gt;3.49353544519123&lt;/D&gt;&lt;D xsi:type="xsd:double"&gt;3.40256721935154&lt;/D&gt;&lt;D xsi:type="xsd:double"&gt;3.51672833054825&lt;/D&gt;&lt;D xsi:type="xsd:double"&gt;3.38903943900154&lt;/D&gt;&lt;D xsi:type="xsd:double"&gt;3.55281837320425&lt;/D&gt;&lt;D xsi:type="xsd:double"&gt;3.63126472976336&lt;/D&gt;&lt;D xsi:type="xsd:double"&gt;3.52853455389323&lt;/D&gt;&lt;D xsi:type="xsd:double"&gt;3.33510942025712&lt;/D&gt;&lt;D xsi:type="xsd:double"&gt;3.2572394440963&lt;/D&gt;&lt;D xsi:type="xsd:double"&gt;3.25124588535522&lt;/D&gt;&lt;D xsi:type="xsd:double"&gt;3.22247572966536&lt;/D&gt;&lt;D xsi:type="xsd:double"&gt;3.19496711839044&lt;/D&gt;&lt;D xsi:type="xsd:double"&gt;3.08309651941238&lt;/D&gt;&lt;D xsi:type="xsd:double"&gt;3.07451307001819&lt;/D&gt;&lt;D xsi:type="xsd:double"&gt;2.96201988363328&lt;/D&gt;&lt;D xsi:type="xsd:double"&gt;3.27053948396156&lt;/D&gt;&lt;D xsi:type="xsd:double"&gt;3.21512157037506&lt;/D&gt;&lt;D xsi:type="xsd:double"&gt;3.08288670801676&lt;/D&gt;&lt;D xsi:type="xsd:double"&gt;2.90990917962371&lt;/D&gt;&lt;D xsi:type="xsd:double"&gt;2.84413011331751&lt;/D&gt;&lt;D xsi:type="xsd:double"&gt;2.63429815859763&lt;/D&gt;&lt;D xsi:type="xsd:double"&gt;2.9709583164012&lt;/D&gt;&lt;D xsi:type="xsd:double"&gt;3.25136901665109&lt;/D&gt;&lt;D xsi:type="xsd:double"&gt;3.16205971627581&lt;/D&gt;&lt;D xsi:type="xsd:double"&gt;3.20643034624889&lt;/D&gt;&lt;D xsi:type="xsd:double"&gt;3.35769006867325&lt;/D&gt;&lt;D xsi:type="xsd:double"&gt;3.41083670169473&lt;/D&gt;&lt;D xsi:type="xsd:double"&gt;3.58528905536932&lt;/D&gt;&lt;D xsi:type="xsd:double"&gt;3.75073547073053&lt;/D&gt;&lt;D xsi:type="xsd:double"&gt;3.74099150307295&lt;/D&gt;&lt;D xsi:type="xsd:double"&gt;3.83779357647596&lt;/D&gt;&lt;D xsi:type="xsd:double"&gt;3.52182698967155&lt;/D&gt;&lt;D xsi:type="xsd:double"&gt;3.44819788327538&lt;/D&gt;&lt;D xsi:type="xsd:double"&gt;3.55925757223357&lt;/D&gt;&lt;D xsi:type="xsd:double"&gt;3.42300475815017&lt;/D&gt;&lt;D xsi:type="xsd:double"&gt;3.5347354602996&lt;/D&gt;&lt;D xsi:type="xsd:double"&gt;3.55574992552712&lt;/D&gt;&lt;D xsi:type="xsd:double"&gt;3.79980681817601&lt;/D&gt;&lt;D xsi:type="xsd:double"&gt;3.83635466981011&lt;/D&gt;&lt;D xsi:type="xsd:double"&gt;3.74903735269942&lt;/D&gt;&lt;D xsi:type="xsd:double"&gt;3.39450053683892&lt;/D&gt;&lt;D xsi:type="xsd:double"&gt;3.45594069371692&lt;/D&gt;&lt;D xsi:type="xsd:double"&gt;3.01622850007321&lt;/D&gt;&lt;/FQL&gt;&lt;FQL&gt;&lt;Q&gt;PLATI-FDS^FG_PRICE_CHANGE(0,-3AM)&lt;/Q&gt;&lt;R&gt;1&lt;/R&gt;&lt;C&gt;1&lt;/C&gt;&lt;D xsi:type="xsd:double"&gt;-4.38502673796791&lt;/D&gt;&lt;/FQL&gt;&lt;FQL&gt;&lt;Q&gt;EWZ^P_PRICE(0)/P_PRICE_LOW_PR(0,,,USD,,,"PRICE","INTRA","52W")-1&lt;/Q&gt;&lt;R&gt;1&lt;/R&gt;&lt;C&gt;1&lt;/C&gt;&lt;D xsi:type="xsd:double"&gt;0.3196001&lt;/D&gt;&lt;/FQL&gt;&lt;FQL&gt;&lt;Q&gt;ECH^FG_TOTAL_RETURNC(0,-3AM)&lt;/Q&gt;&lt;R&gt;1&lt;/R&gt;&lt;C&gt;1&lt;/C&gt;&lt;D xsi:type="xsd:double"&gt;-4.042101&lt;/D&gt;&lt;/FQL&gt;&lt;FQL&gt;&lt;Q&gt;INDA^FMA_PCT_ABOVE_MAVG(200,0,,,,"PORTAGG")&lt;/Q&gt;&lt;R&gt;1&lt;/R&gt;&lt;C&gt;1&lt;/C&gt;&lt;D xsi:type="xsd:double"&gt;77.0992366412214&lt;/D&gt;&lt;/FQL&gt;&lt;FQL&gt;&lt;Q&gt;CNYA^PERCENT_CHANGE(FMA_EPS(+1,0,,,,"PORTAGG","MEAN"),FMA_EPS(+1,-1AM,,,,"PORTAGG","MEAN"))&lt;/Q&gt;&lt;R&gt;1&lt;/R&gt;&lt;C&gt;1&lt;/C&gt;&lt;D xsi:type="xsd:double"&gt;-15.3700375952153&lt;/D&gt;&lt;/FQL&gt;&lt;FQL&gt;&lt;Q&gt;MCHI^FMA_COS_DOWN("EPS","1M",+1,NOW,,,"PORTAGG","MEANR")&lt;/Q&gt;&lt;R&gt;1&lt;/R&gt;&lt;C&gt;1&lt;/C&gt;&lt;D xsi:type="xsd:double"&gt;214&lt;/D&gt;&lt;/FQL&gt;&lt;FQL&gt;&lt;Q&gt;ECH^SIZE(FG_CONSTITUENTS)&lt;/Q&gt;&lt;R&gt;1&lt;/R&gt;&lt;C&gt;1&lt;/C&gt;&lt;D xsi:type="xsd:long"&gt;29&lt;/D&gt;&lt;/FQL&gt;&lt;FQL&gt;&lt;Q&gt;EWZ^FG_ROE(0)&lt;/Q&gt;&lt;R&gt;1&lt;/R&gt;&lt;C&gt;1&lt;/C&gt;&lt;D xsi:type="xsd:double"&gt;19.758409936509&lt;/D&gt;&lt;/FQL&gt;&lt;FQL&gt;&lt;Q&gt;REFMXTON-FDS^(SUBARRAY(NOT_NA(NO_REPEAT_F(FG_YIELD(NOW,-10AY,D))),0,1)-SUBARRAY(NOT_NA(NO_REPEAT_F(FG_YIELD(NOW,-10AY,D))),1,1))*100&lt;/Q&gt;&lt;R&gt;1&lt;/R&gt;&lt;C&gt;1&lt;/C&gt;&lt;D xsi:type="xsd:double"&gt;25&lt;/D&gt;&lt;/FQL&gt;&lt;FQL&gt;&lt;Q&gt;TRYTR7Y-FDS^PCTCHG(FG_YIELD(0,,,,"YTM"),FG_YIELD(-1AM,,,,"YTM"))&lt;/Q&gt;&lt;R&gt;1&lt;/R&gt;&lt;C&gt;1&lt;/C&gt;&lt;D xsi:type="xsd:double"&gt;5.1373744&lt;/D&gt;&lt;/FQL&gt;&lt;FQL&gt;&lt;Q&gt;CC_KR^IMF_IFS_RCPI_Q(0)&lt;/Q&gt;&lt;R&gt;1&lt;/R&gt;&lt;C&gt;1&lt;/C&gt;&lt;D xsi:type="xsd:double"&gt;3.404687&lt;/D&gt;&lt;/FQL&gt;&lt;FQL&gt;&lt;Q&gt;KSA^FMA_PE(LTM,0,,,"PORTAGG","MEANR")&lt;/Q&gt;&lt;R&gt;1&lt;/R&gt;&lt;C&gt;1&lt;/C&gt;&lt;D xsi:type="xsd:double"&gt;23.2636474969611&lt;/D&gt;&lt;/FQL&gt;&lt;FQL&gt;&lt;Q&gt;SET-BKK^JULIAN(FMA_DIV_YLD(NTMA,NOW,NOW,M,"PORTAGG","MEANR").DATES)&lt;/Q&gt;&lt;R&gt;1&lt;/R&gt;&lt;C&gt;1&lt;/C&gt;&lt;D xsi:type="xsd:long"&gt;45351&lt;/D&gt;&lt;/FQL&gt;&lt;FQL&gt;&lt;Q&gt;EPHE^FMA_EVAL_EBITDA(NTMA,0,,,"PORTAGG","MEANR")&lt;/Q&gt;&lt;R&gt;1&lt;/R&gt;&lt;C&gt;1&lt;/C&gt;&lt;D xsi:type="xsd:double"&gt;9.90864240028151&lt;/D&gt;&lt;/FQL&gt;&lt;FQL&gt;&lt;Q&gt;CNYA^FMA_PE(LTM,0,,,"PORTAGG","MEANR")&lt;/Q&gt;&lt;R&gt;1&lt;/R&gt;&lt;C&gt;1&lt;/C&gt;&lt;D xsi:type="xsd:double"&gt;13.8509561597744&lt;/D&gt;&lt;/FQL&gt;&lt;FQL&gt;&lt;Q&gt;VGK^P_PRICE(0)/P_PRICE_LOW_PR(0,,,USD,,,"PRICE","INTRA","52W")-1&lt;/Q&gt;&lt;R&gt;1&lt;/R&gt;&lt;C&gt;1&lt;/C&gt;&lt;D xsi:type="xsd:double"&gt;0.19288051&lt;/D&gt;&lt;/FQL&gt;&lt;FQL&gt;&lt;Q&gt;MCHI^FMA_COS_UP("EPS","1M",+1,NOW,,,"PORTAGG","MEANR")&lt;/Q&gt;&lt;R&gt;1&lt;/R&gt;&lt;C&gt;1&lt;/C&gt;&lt;D xsi:type="xsd:double"&gt;120&lt;/D&gt;&lt;/FQL&gt;&lt;FQL&gt;&lt;Q&gt;EWT^FG_ROE(0)&lt;/Q&gt;&lt;R&gt;1&lt;/R&gt;&lt;C&gt;1&lt;/C&gt;&lt;D xsi:type="xsd:double"&gt;9.47623099198739&lt;/D&gt;&lt;/FQL&gt;&lt;FQL&gt;&lt;Q&gt;GREK^JULIAN(FMA_DIV_YLD(NTMA,NOW,NOW,M,"PORTAGG","MEANR").DATES)&lt;/Q&gt;&lt;R&gt;1&lt;/R&gt;&lt;C&gt;1&lt;/C&gt;&lt;D xsi:type="xsd:long"&gt;45351&lt;/D&gt;&lt;/FQL&gt;&lt;FQL&gt;&lt;Q&gt;CC_US^IMF_IFS_RCPI_Q(0)&lt;/Q&gt;&lt;R&gt;1&lt;/R&gt;&lt;C&gt;1&lt;/C&gt;&lt;D xsi:type="xsd:double"&gt;3.2433991&lt;/D&gt;&lt;/FQL&gt;&lt;FQL&gt;&lt;Q&gt;UAE^FG_COMPANY_NAME&lt;/Q&gt;&lt;R&gt;1&lt;/R&gt;&lt;C&gt;1&lt;/C&gt;&lt;D xsi:type="xsd:string"&gt;iShares MSCI UAE ETF&lt;/D&gt;&lt;/FQL&gt;&lt;FQL&gt;&lt;Q&gt;CC_BR^FG_COMPANY_NAME&lt;/Q&gt;&lt;R&gt;1&lt;/R&gt;&lt;C&gt;1&lt;/C&gt;&lt;D xsi:type="xsd:string"&gt;Brazil&lt;/D&gt;&lt;/FQL&gt;&lt;FQL&gt;&lt;Q&gt;USDPEN^STD(FG_PRICE_CHANGE(0,-3AY,M))&lt;/Q&gt;&lt;R&gt;1&lt;/R&gt;&lt;C&gt;1&lt;/C&gt;&lt;D xsi:type="xsd:double"&gt;2.41178542833103&lt;/D&gt;&lt;/FQL&gt;&lt;FQL&gt;&lt;Q&gt;FC0000TW^FMA_EPS(NTMA,-20AY,0,CY,,"PORTAGG","MEANR")&lt;/Q&gt;&lt;R&gt;20&lt;/R&gt;&lt;C&gt;1&lt;/C&gt;&lt;D xsi:type="xsd:double"&gt;9.12031426379573&lt;/D&gt;&lt;D xsi:type="xsd:double"&gt;8.9303476254386&lt;/D&gt;&lt;D xsi:type="xsd:double"&gt;10.2763772347485&lt;/D&gt;&lt;D xsi:type="xsd:double"&gt;12.3642519570992&lt;/D&gt;&lt;D xsi:type="xsd:double"&gt;4.81199406443955&lt;/D&gt;&lt;D xsi:type="xsd:double"&gt;7.91488615207717&lt;/D&gt;&lt;D xsi:type="xsd:double"&gt;11.8918959542291&lt;/D&gt;&lt;D xsi:type="xsd:double"&gt;8.78728433127933&lt;/D&gt;&lt;D xsi:type="xsd:double"&gt;9.24807829331148&lt;/D&gt;&lt;D xsi:type="xsd:double"&gt;10.3356087291291&lt;/D&gt;&lt;D xsi:type="xsd:double"&gt;11.5748258148764&lt;/D&gt;&lt;D xsi:type="xsd:double"&gt;10.8182747076803&lt;/D&gt;&lt;D xsi:type="xsd:double"&gt;11.1314122132999&lt;/D&gt;&lt;D xsi:type="xsd:double"&gt;13.6882434720029&lt;/D&gt;&lt;D xsi:type="xsd:double"&gt;12.8934590818377&lt;/D&gt;&lt;D xsi:type="xsd:double"&gt;12.9786240170966&lt;/D&gt;&lt;D xsi:type="xsd:double"&gt;15.9439970065549&lt;/D&gt;&lt;D xsi:type="xsd:double"&gt;24.3051164393724&lt;/D&gt;&lt;D xsi:type="xsd:double"&gt;19.7601608520258&lt;/D&gt;&lt;D xsi:type="xsd:double"&gt;19.096081665624&lt;/D&gt;&lt;/FQL&gt;&lt;FQL&gt;&lt;Q&gt;EWZ^FMA_PE(LTMA,-10AY,0,AM,"PORTAGG","MEANR")&lt;/Q&gt;&lt;R&gt;121&lt;/R&gt;&lt;C&gt;1&lt;/C&gt;&lt;D xsi:type="xsd:double"&gt;11.3357047827036&lt;/D&gt;&lt;D xsi:type="xsd:double"&gt;11.4220870110077&lt;/D&gt;&lt;D xsi:type="xsd:double"&gt;11.5723894719453&lt;/D&gt;&lt;D xsi:type="xsd:double"&gt;11.533991638563&lt;/D&gt;&lt;D xsi:type="xsd:double"&gt;11.7995701747188&lt;/D&gt;&lt;D xsi:type="xsd:double"&gt;12.2070668508505&lt;/D&gt;&lt;D xsi:type="xsd:double"&gt;13.101462166825&lt;/D&gt;&lt;D xsi:type="xsd:double"&gt;12.3184894460862&lt;/D&gt;&lt;D xsi:type="xsd:double"&gt;12.6529396836046&lt;/D&gt;&lt;D xsi:type="xsd:double"&gt;12.3258852881716&lt;/D&gt;&lt;D xsi:type="xsd:double"&gt;12.031497452811&lt;/D&gt;&lt;D xsi:type="xsd:double"&gt;12.3729762572714&lt;/D&gt;&lt;D xsi:type="xsd:double"&gt;12.868622625711&lt;/D&gt;&lt;D xsi:type="xsd:double"&gt;13.1851384600131&lt;/D&gt;&lt;D xsi:type="xsd:double"&gt;13.9395664698409&lt;/D&gt;&lt;D xsi:type="xsd:double"&gt;13.8192793765756&lt;/D&gt;&lt;D xsi:type="xsd:double"&gt;13.7011480595632&lt;/D&gt;&lt;D xsi:type="xsd:double"&gt;13.2797358589307&lt;/D&gt;&lt;D xsi:type="xsd:double"&gt;12.6723731240921&lt;/D&gt;&lt;D xsi:type="xsd:double"&gt;12.5198338251554&lt;/D&gt;&lt;D xsi:type="xsd:double"&gt;12.5727005392234&lt;/D&gt;&lt;D xsi:type="xsd:double"&gt;12.5376793191669&lt;/D&gt;&lt;D xsi:type="xsd:double"&gt;11.6726133871233&lt;/D&gt;&lt;D xsi:type="xsd:double"&gt;11.5309302116847&lt;/D&gt;&lt;D xsi:type="xsd:double"&gt;12.9544194689805&lt;/D&gt;&lt;D xsi:type="xsd:double"&gt;13.0828397067232&lt;/D&gt;&lt;D xsi:type="xsd:double"&gt;13.0925454483979&lt;/D&gt;&lt;D xsi:type="xsd:double"&gt;13.0786851204858&lt;/D&gt;&lt;D xsi:type="xsd:double"&gt;13.3009299606477&lt;/D&gt;&lt;D xsi:type="xsd:double"&gt;14.1691485691564&lt;/D&gt;&lt;D xsi:type="xsd:double"&gt;14.671091085014&lt;/D&gt;&lt;D xsi:type="xsd:double"&gt;14.6276397920742&lt;/D&gt;&lt;D xsi:type="xsd:double"&gt;14.7421025881364&lt;/D&gt;&lt;D xsi:type="xsd:double"&gt;14.7479196852206&lt;/D&gt;&lt;D xsi:type="xsd:double"&gt;15.0957775307436&lt;/D&gt;&lt;D xsi:type="xsd:double"&gt;15.5842227139862&lt;/D&gt;&lt;D xsi:type="xsd:double"&gt;16.8446167216415&lt;/D&gt;&lt;D xsi:type="xsd:double"&gt;16.3957946747067&lt;/D&gt;&lt;D xsi:type="xsd:double"&gt;15.978130312612&lt;/D&gt;&lt;D xsi:type="xsd:double"&gt;15.3939405455762&lt;/D&gt;&lt;D xsi:type="xsd:double"&gt;15.0244999108373&lt;/D&gt;&lt;D xsi:type="xsd:double"&gt;15.3044751058037&lt;/D&gt;&lt;D xsi:type="xsd:double"&gt;15.3933543763867&lt;/D&gt;&lt;D xsi:type="xsd:double"&gt;15.76121730188&lt;/D&gt;&lt;D xsi:type="xsd:double"&gt;14.8811786088286&lt;/D&gt;&lt;D xsi:type="xsd:double"&gt;14.6233228126056&lt;/D&gt;&lt;D xsi:type="xsd:double"&gt;15.2740892972009&lt;/D&gt;&lt;D xsi:type="xsd:double"&gt;16.2829515374467&lt;/D&gt;&lt;D xsi:type="xsd:double"&gt;16.5689358601382&lt;/D&gt;&lt;D xsi:type="xsd:double"&gt;16.1484431013847&lt;/D&gt;&lt;D xsi:type="xsd:double"&gt;15.6831913049053&lt;/D&gt;&lt;D xsi:type="xsd:double"&gt;15.0706388257779&lt;/D&gt;&lt;D xsi:type="xsd:double"&gt;14.2364796447885&lt;/D&gt;&lt;D xsi:type="xsd:double"&gt;14.4267094987633&lt;/D&gt;&lt;D xsi:type="xsd:double"&gt;13.2383889744873&lt;/D&gt;&lt;D xsi:type="xsd:double"&gt;13.6061092752295&lt;/D&gt;&lt;D xsi:type="xsd:double"&gt;14.1022507921051&lt;/D&gt;&lt;D xsi:type="xsd:double"&gt;14.0741042303247&lt;/D&gt;&lt;D xsi:type="xsd:double"&gt;14.3595211824485&lt;/D&gt;&lt;D xsi:type="xsd:double"&gt;15.36433589877&lt;/D&gt;&lt;D xsi:type="xsd:double"&gt;14.7488634667041&lt;/D&gt;&lt;D xsi:type="xsd:double"&gt;14.4812035266139&lt;/D&gt;&lt;D xsi:type="xsd:double"&gt;14.1281458605269&lt;/D&gt;&lt;D xsi:type="xsd:double"&gt;14.1321905017032&lt;/D&gt;&lt;D xsi:type="xsd:double"&gt;14.2793926835631&lt;/D&gt;&lt;D xsi:type="xsd:double"&gt;14.514018272725&lt;/D&gt;&lt;D xsi:type="xsd:double"&gt;14.1744194563079&lt;/D&gt;&lt;D xsi:type="xsd:double"&gt;14.3946586201897&lt;/D&gt;&lt;D xsi:type="xsd:double"&gt;15.5426217820368&lt;/D&gt;&lt;D xsi:type="xsd:double"&gt;15.8108722362438&lt;/D&gt;&lt;D xsi:type="xsd:double"&gt;17.5323856963451&lt;/D&gt;&lt;D xsi:type="xsd:double"&gt;17.0642431878654&lt;/D&gt;&lt;D xsi:type="xsd:double"&gt;17.0909593110283&lt;/D&gt;&lt;D xsi:type="xsd:double"&gt;16.0737323069489&lt;/D&gt;&lt;D xsi:type="xsd:double"&gt;16.7828622325278&lt;/D&gt;&lt;D xsi:type="xsd:double"&gt;19.3287580543733&lt;/D&gt;&lt;D xsi:type="xsd:double"&gt;29.2238404994409&lt;/D&gt;&lt;D xsi:type="xsd:double"&gt;32.824725367392&lt;/D&gt;&lt;D xsi:type="xsd:double"&gt;35.2759704085927&lt;/D&gt;&lt;D xsi:type="xsd:double"&gt;28.4159441241335&lt;/D&gt;&lt;D xsi:type="xsd:double"&gt;28.4945207815376&lt;/D&gt;&lt;D xsi:type="xsd:double"&gt;32.806282191914&lt;/D&gt;&lt;D xsi:type="xsd:double"&gt;36.4868502356459&lt;/D&gt;&lt;D xsi:type="xsd:double"&gt;28.8527893629731&lt;/D&gt;&lt;D xsi:type="xsd:double"&gt;20.5590779380768&lt;/D&gt;&lt;D xsi:type="xsd:double"&gt;19.3681171071388&lt;/D&gt;&lt;D xsi:type="xsd:double"&gt;17.9503916546996&lt;/D&gt;&lt;D xsi:type="xsd:double"&gt;17.1094768430748&lt;/D&gt;&lt;D xsi:type="xsd:double"&gt;15.8555219751141&lt;/D&gt;&lt;D xsi:type="xsd:double"&gt;14.0483095588725&lt;/D&gt;&lt;D xsi:type="xsd:double"&gt;12.409623934813&lt;/D&gt;&lt;D xsi:type="xsd:double"&gt;10.7158297973512&lt;/D&gt;&lt;D xsi:type="xsd:double"&gt;9.18816170894729&lt;/D&gt;&lt;D xsi:type="xsd:double"&gt;7.73749785572548&lt;/D&gt;&lt;D xsi:type="xsd:double"&gt;6.43291129586558&lt;/D&gt;&lt;D xsi:type="xsd:double"&gt;7.0486657634659&lt;/D&gt;&lt;D xsi:type="xsd:double"&gt;7.0797878850285&lt;/D&gt;&lt;D xsi:type="xsd:double"&gt;7.06405201762777&lt;/D&gt;&lt;D xsi:type="xsd:double"&gt;6.68448942692764&lt;/D&gt;&lt;D xsi:type="xsd:double"&gt;6.66357096387996&lt;/D&gt;&lt;D xsi:type="xsd:double"&gt;6.19405398941611&lt;/D&gt;&lt;D xsi:type="xsd:double"&gt;6.27198990936443&lt;/D&gt;&lt;D xsi:type="xsd:double"&gt;6.17326706701706&lt;/D&gt;&lt;D xsi:type="xsd:double"&gt;6.28630231653833&lt;/D&gt;&lt;D xsi:type="xsd:double"&gt;6.33432656158937&lt;/D&gt;&lt;D xsi:type="xsd:double"&gt;5.88026458567047&lt;/D&gt;&lt;D xsi:type="xsd:double"&gt;5.46271728169062&lt;/D&gt;&lt;D xsi:type="xsd:double"&gt;5.7895941400499&lt;/D&gt;&lt;D xsi:type="xsd:double"&gt;5.54231632684392&lt;/D&gt;&lt;D xsi:type="xsd:double"&gt;5.61815894170873&lt;/D&gt;&lt;D xsi:type="xsd:double"&gt;5.74017261040768&lt;/D&gt;&lt;D xsi:type="xsd:double"&gt;6.20584184404075&lt;/D&gt;&lt;D xsi:type="xsd:double"&gt;6.8299326454778&lt;/D&gt;&lt;D xsi:type="xsd:double"&gt;7.06923736231483&lt;/D&gt;&lt;D xsi:type="xsd:double"&gt;7.20661641035494&lt;/D&gt;&lt;D xsi:type="xsd:double"&gt;7.18245229516869&lt;/D&gt;&lt;D xsi:type="xsd:double"&gt;7.44387454992464&lt;/D&gt;&lt;D xsi:type="xsd:double"&gt;8.13401229719541&lt;/D&gt;&lt;D xsi:type="xsd:double"&gt;8.61814968916982&lt;/D&gt;&lt;D xsi:type="xsd:double"&gt;8.11687803425307&lt;/D&gt;&lt;D xsi:type="xsd:double"&gt;8.70037241315001&lt;/D&gt;&lt;/FQL&gt;&lt;FQL&gt;&lt;Q&gt;PLATI-FDS^FG_PRICE(0)&lt;/Q&gt;&lt;R&gt;1&lt;/R&gt;&lt;C&gt;1&lt;/C&gt;&lt;D xsi:type="xsd:double"&gt;894&lt;/D&gt;&lt;/FQL&gt;&lt;FQL&gt;&lt;Q&gt;EWM^FG_PRICE_MAVG(0,,,,30)&lt;/Q&gt;&lt;R&gt;1&lt;/R&gt;&lt;C&gt;1&lt;/C&gt;&lt;D xsi:type="xsd:double"&gt;21.314667&lt;/D&gt;&lt;/FQL&gt;&lt;FQL&gt;&lt;Q&gt;REFVNDISC-FDS^PROPER_NAME(0,,,"SECURITY","NAME")&lt;/Q&gt;&lt;R&gt;1&lt;/R&gt;&lt;C&gt;1&lt;/C&gt;&lt;D xsi:type="xsd:string"&gt;Vietnam Discount Rate&lt;/D&gt;&lt;/FQL&gt;&lt;FQL&gt;&lt;Q&gt;TIPSCL10Y-FDS^PCTCHG(FG_YIELD(0,,,,"YTM"),FG_YIELD(-1AM,,,,"YTM"))&lt;/Q&gt;&lt;R&gt;1&lt;/R&gt;&lt;C&gt;1&lt;/C&gt;&lt;D xsi:type="xsd:double"&gt;-53.505203&lt;/D&gt;&lt;/FQL&gt;&lt;FQL&gt;&lt;Q&gt;TRYMX10Y-FDS^FG_YIELD(0,,,,"YTM")&lt;/Q&gt;&lt;R&gt;1&lt;/R&gt;&lt;C&gt;1&lt;/C&gt;&lt;D xsi:type="xsd:double"&gt;9.2127&lt;/D&gt;&lt;/FQL&gt;&lt;FQL&gt;&lt;Q&gt;REFTR1WREPO-FDS^FG_YIELD(NOW,,,0)&lt;/Q&gt;&lt;R&gt;1&lt;/R&gt;&lt;C&gt;1&lt;/C&gt;&lt;D xsi:type="xsd:double"&gt;45&lt;/D&gt;&lt;/FQL&gt;&lt;FQL&gt;&lt;Q&gt;EPOL^FG_ROE(0)&lt;/Q&gt;&lt;R&gt;1&lt;/R&gt;&lt;C&gt;1&lt;/C&gt;&lt;D xsi:type="xsd:double"&gt;14.2407626350079&lt;/D&gt;&lt;/FQL&gt;&lt;FQL&gt;&lt;Q&gt;TRYFR10Y-FDS^FG_YIELD(-10AY,0,Y,,"YTM")&lt;/Q&gt;&lt;R&gt;10&lt;/R&gt;&lt;C&gt;1&lt;/C&gt;&lt;D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xsi:type="xsd:double"&gt;2.534&lt;/D&gt;&lt;/FQL&gt;&lt;FQL&gt;&lt;Q&gt;CC_KR^FG_COMPANY_NAME&lt;/Q&gt;&lt;R&gt;1&lt;/R&gt;&lt;C&gt;1&lt;/C&gt;&lt;D xsi:type="xsd:string"&gt;South Korea&lt;/D&gt;&lt;/FQL&gt;&lt;FQL&gt;&lt;Q&gt;USDEUR^STD(FG_PRICE_CHANGE(0,-3AY,M))&lt;/Q&gt;&lt;R&gt;1&lt;/R&gt;&lt;C&gt;1&lt;/C&gt;&lt;D xsi:type="xsd:double"&gt;2.27878581990319&lt;/D&gt;&lt;/FQL&gt;&lt;FQL&gt;&lt;Q&gt;USDPEN^FG_PRICE(0)&lt;/Q&gt;&lt;R&gt;1&lt;/R&gt;&lt;C&gt;1&lt;/C&gt;&lt;D xsi:type="xsd:double"&gt;3.7656&lt;/D&gt;&lt;/FQL&gt;&lt;FQL&gt;&lt;Q&gt;FC0000MY^FMA_EPS(NTMA,-20AY,0,CY,,"PORTAGG","MEANR")&lt;/Q&gt;&lt;R&gt;20&lt;/R&gt;&lt;C&gt;1&lt;/C&gt;&lt;D xsi:type="xsd:double"&gt;10.1502703335633&lt;/D&gt;&lt;D xsi:type="xsd:double"&gt;10.4437641251748&lt;/D&gt;&lt;D xsi:type="xsd:double"&gt;12.9724796418955&lt;/D&gt;&lt;D xsi:type="xsd:double"&gt;18.2503396188415&lt;/D&gt;&lt;D xsi:type="xsd:double"&gt;14.0466581252587&lt;/D&gt;&lt;D xsi:type="xsd:double"&gt;15.3757138406976&lt;/D&gt;&lt;D xsi:type="xsd:double"&gt;21.4306644102707&lt;/D&gt;&lt;D xsi:type="xsd:double"&gt;21.3490176148404&lt;/D&gt;&lt;D xsi:type="xsd:double"&gt;22.6884806281536&lt;/D&gt;&lt;D xsi:type="xsd:double"&gt;22.3178913580133&lt;/D&gt;&lt;D xsi:type="xsd:double"&gt;20.4911207311994&lt;/D&gt;&lt;D xsi:type="xsd:double"&gt;16.0128576219857&lt;/D&gt;&lt;D xsi:type="xsd:double"&gt;14.3791410735133&lt;/D&gt;&lt;D xsi:type="xsd:double"&gt;17.4218065826708&lt;/D&gt;&lt;D xsi:type="xsd:double"&gt;16.3463734540467&lt;/D&gt;&lt;D xsi:type="xsd:double"&gt;15.6987954764485&lt;/D&gt;&lt;D xsi:type="xsd:double"&gt;16.3882261576277&lt;/D&gt;&lt;D xsi:type="xsd:double"&gt;16.0109602108945&lt;/D&gt;&lt;D xsi:type="xsd:double"&gt;16.7075627044622&lt;/D&gt;&lt;D xsi:type="xsd:double"&gt;16.7744907426134&lt;/D&gt;&lt;/FQL&gt;&lt;FQL&gt;&lt;Q&gt;QAT^FMA_DIV_YLD(NTMA,-10AY,0,AM,"PORTAGG","MEANR")&lt;/Q&gt;&lt;R&gt;121&lt;/R&gt;&lt;C&gt;1&lt;/C&gt;&lt;D xsi:type="xsd:string"&gt;@NA&lt;/D&gt;&lt;D xsi:type="xsd:string"&gt;@NA&lt;/D&gt;&lt;D xsi:type="xsd:string"&gt;@NA&lt;/D&gt;&lt;D xsi:type="xsd:double"&gt;3.79447528245519&lt;/D&gt;&lt;D xsi:type="xsd:double"&gt;4.23302241089978&lt;/D&gt;&lt;D xsi:type="xsd:double"&gt;4.09470783833922&lt;/D&gt;&lt;D xsi:type="xsd:double"&gt;3.97635312792247&lt;/D&gt;&lt;D xsi:type="xsd:double"&gt;4.01392649861292&lt;/D&gt;&lt;D xsi:type="xsd:double"&gt;4.02998536938229&lt;/D&gt;&lt;D xsi:type="xsd:double"&gt;4.30322507615454&lt;/D&gt;&lt;D xsi:type="xsd:double"&gt;4.4478774477712&lt;/D&gt;&lt;D xsi:type="xsd:double"&gt;4.23243481592271&lt;/D&gt;&lt;D xsi:type="xsd:double"&gt;4.27269343745184&lt;/D&gt;&lt;D xsi:type="xsd:double"&gt;4.58882638724177&lt;/D&gt;&lt;D xsi:type="xsd:double"&gt;4.51293962147853&lt;/D&gt;&lt;D xsi:type="xsd:double"&gt;4.57524039729968&lt;/D&gt;&lt;D xsi:type="xsd:double"&gt;4.60772444459874&lt;/D&gt;&lt;D xsi:type="xsd:double"&gt;4.75880891646063&lt;/D&gt;&lt;D xsi:type="xsd:double"&gt;5.01988265891236&lt;/D&gt;&lt;D xsi:type="xsd:double"&gt;4.94190998813943&lt;/D&gt;&lt;D xsi:type="xsd:double"&gt;4.8522997394017&lt;/D&gt;&lt;D xsi:type="xsd:double"&gt;5.44523791900786&lt;/D&gt;&lt;D xsi:type="xsd:double"&gt;5.54312716820441&lt;/D&gt;&lt;D xsi:type="xsd:double"&gt;5.69188641052755&lt;/D&gt;&lt;D xsi:type="xsd:double"&gt;4.75503313981316&lt;/D&gt;&lt;D xsi:type="xsd:double"&gt;4.27503575869733&lt;/D&gt;&lt;D xsi:type="xsd:double"&gt;4.45647207096335&lt;/D&gt;&lt;D xsi:type="xsd:double"&gt;4.40080780262337&lt;/D&gt;&lt;D xsi:type="xsd:double"&gt;4.25598298850967&lt;/D&gt;&lt;D xsi:type="xsd:double"&gt;3.91941918727808&lt;/D&gt;&lt;D xsi:type="xsd:double"&gt;3.74610742160267&lt;/D&gt;&lt;D xsi:type="xsd:double"&gt;3.94767636467569&lt;/D&gt;&lt;D xsi:type="xsd:double"&gt;4.03097023730326&lt;/D&gt;&lt;D xsi:type="xsd:double"&gt;4.23276403902539&lt;/D&gt;&lt;D xsi:type="xsd:double"&gt;3.70817840831527&lt;/D&gt;&lt;D xsi:type="xsd:double"&gt;3.79397686393883&lt;/D&gt;&lt;D xsi:type="xsd:double"&gt;3.78585110423409&lt;/D&gt;&lt;D xsi:type="xsd:double"&gt;3.92794445132073&lt;/D&gt;&lt;D xsi:type="xsd:double"&gt;3.96389555210975&lt;/D&gt;&lt;D xsi:type="xsd:double"&gt;4.07969594105624&lt;/D&gt;&lt;D xsi:type="xsd:double"&gt;4.53302724097102&lt;/D&gt;&lt;D xsi:type="xsd:double"&gt;4.17758058204907&lt;/D&gt;&lt;D xsi:type="xsd:double"&gt;4.50433218853723&lt;/D&gt;&lt;D xsi:type="xsd:double"&gt;4.72425737783952&lt;/D&gt;&lt;D xsi:type="xsd:double"&gt;4.50026014828319&lt;/D&gt;&lt;D xsi:type="xsd:double"&gt;4.72484765667722&lt;/D&gt;&lt;D xsi:type="xsd:double"&gt;4.29269373927464&lt;/D&gt;&lt;D xsi:type="xsd:double"&gt;4.33880478077307&lt;/D&gt;&lt;D xsi:type="xsd:double"&gt;4.85381836501789&lt;/D&gt;&lt;D xsi:type="xsd:double"&gt;4.90800320394685&lt;/D&gt;&lt;D xsi:type="xsd:double"&gt;4.7625229410241&lt;/D&gt;&lt;D xsi:type="xsd:double"&gt;4.80342619966966&lt;/D&gt;&lt;D xsi:type="xsd:double"&gt;4.82296242799035&lt;/D&gt;&lt;D xsi:type="xsd:double"&gt;4.36650791592911&lt;/D&gt;&lt;D xsi:type="xsd:double"&gt;4.23673143387385&lt;/D&gt;&lt;D xsi:type="xsd:double"&gt;4.33105958985911&lt;/D&gt;&lt;D xsi:type="xsd:double"&gt;4.34237189968574&lt;/D&gt;&lt;D xsi:type="xsd:double"&gt;4.31605997417855&lt;/D&gt;&lt;D xsi:type="xsd:double"&gt;4.53207628348741&lt;/D&gt;&lt;D xsi:type="xsd:double"&gt;4.29028193141727&lt;/D&gt;&lt;D xsi:type="xsd:double"&gt;4.53874534680524&lt;/D&gt;&lt;D xsi:type="xsd:double"&gt;4.40748084831701&lt;/D&gt;&lt;D xsi:type="xsd:double"&gt;4.16684255991074&lt;/D&gt;&lt;D xsi:type="xsd:double"&gt;4.18948978672078&lt;/D&gt;&lt;D xsi:type="xsd:double"&gt;4.13002994778529&lt;/D&gt;&lt;D xsi:type="xsd:double"&gt;4.13304720493354&lt;/D&gt;&lt;D xsi:type="xsd:double"&gt;4.18486368118866&lt;/D&gt;&lt;D xsi:type="xsd:double"&gt;4.13595961522521&lt;/D&gt;&lt;D xsi:type="xsd:double"&gt;4.12293190936423&lt;/D&gt;&lt;D xsi:type="xsd:double"&gt;4.10194680319274&lt;/D&gt;&lt;D xsi:type="xsd:double"&gt;4.02194086820905&lt;/D&gt;&lt;D xsi:type="xsd:double"&gt;4.21182114041672&lt;/D&gt;&lt;D xsi:type="xsd:double"&gt;4.54707406663265&lt;/D&gt;&lt;D xsi:type="xsd:double"&gt;4.65202966360776&lt;/D&gt;&lt;D xsi:type="xsd:double"&gt;4.29265791244847&lt;/D&gt;&lt;D xsi:type="xsd:double"&gt;4.03420606272256&lt;/D&gt;&lt;D xsi:type="xsd:double"&gt;3.79122873763226&lt;/D&gt;&lt;D xsi:type="xsd:double"&gt;3.68437518810137&lt;/D&gt;&lt;D xsi:type="xsd:double"&gt;3.65211521921318&lt;/D&gt;&lt;D xsi:type="xsd:double"&gt;3.48865072181524&lt;/D&gt;&lt;D xsi:type="xsd:double"&gt;3.82516942652268&lt;/D&gt;&lt;D xsi:type="xsd:double"&gt;3.64451575906174&lt;/D&gt;&lt;D xsi:type="xsd:double"&gt;3.67892090157945&lt;/D&gt;&lt;D xsi:type="xsd:double"&gt;3.80666970120838&lt;/D&gt;&lt;D xsi:type="xsd:double"&gt;3.97440938329686&lt;/D&gt;&lt;D xsi:type="xsd:double"&gt;3.80784926737296&lt;/D&gt;&lt;D xsi:type="xsd:double"&gt;3.75538745810847&lt;/D&gt;&lt;D xsi:type="xsd:double"&gt;3.79089785190381&lt;/D&gt;&lt;D xsi:type="xsd:double"&gt;3.82115794554376&lt;/D&gt;&lt;D xsi:type="xsd:double"&gt;3.81304900526576&lt;/D&gt;&lt;D xsi:type="xsd:double"&gt;4.00824372571695&lt;/D&gt;&lt;D xsi:type="xsd:double"&gt;3.91538333885317&lt;/D&gt;&lt;D xsi:type="xsd:double"&gt;3.76922581290469&lt;/D&gt;&lt;D xsi:type="xsd:double"&gt;3.94020833447282&lt;/D&gt;&lt;D xsi:type="xsd:double"&gt;4.05677829057182&lt;/D&gt;&lt;D xsi:type="xsd:double"&gt;3.89593680600263&lt;/D&gt;&lt;D xsi:type="xsd:double"&gt;3.68749256500742&lt;/D&gt;&lt;D xsi:type="xsd:double"&gt;3.77883109183656&lt;/D&gt;&lt;D xsi:type="xsd:double"&gt;3.8293974021581&lt;/D&gt;&lt;D xsi:type="xsd:double"&gt;4.28282605908517&lt;/D&gt;&lt;D xsi:type="xsd:double"&gt;4.31112571029893&lt;/D&gt;&lt;D xsi:type="xsd:double"&gt;3.85357979327054&lt;/D&gt;&lt;D xsi:type="xsd:double"&gt;3.99724400183126&lt;/D&gt;&lt;D xsi:type="xsd:double"&gt;3.92253366989221&lt;/D&gt;&lt;D xsi:type="xsd:double"&gt;4.07018210728295&lt;/D&gt;&lt;D xsi:type="xsd:double"&gt;4.23947447619614&lt;/D&gt;&lt;D xsi:type="xsd:double"&gt;4.77657367357601&lt;/D&gt;&lt;D xsi:type="xsd:double"&gt;4.64567918394666&lt;/D&gt;&lt;D xsi:type="xsd:double"&gt;4.74516492527329&lt;/D&gt;&lt;D xsi:type="xsd:double"&gt;4.76591458758808&lt;/D&gt;&lt;D xsi:type="xsd:double"&gt;4.69648375060394&lt;/D&gt;&lt;D xsi:type="xsd:double"&gt;4.81119065165675&lt;/D&gt;&lt;D xsi:type="xsd:double"&gt;4.74037768524805&lt;/D&gt;&lt;D xsi:type="xsd:double"&gt;4.46446886247339&lt;/D&gt;&lt;D xsi:type="xsd:double"&gt;4.66776895965398&lt;/D&gt;&lt;D xsi:type="xsd:double"&gt;4.72372479208396&lt;/D&gt;&lt;D xsi:type="xsd:double"&gt;5.02826598027718&lt;/D&gt;&lt;D xsi:type="xsd:double"&gt;4.96827190265423&lt;/D&gt;&lt;D xsi:type="xsd:double"&gt;4.79215276138679&lt;/D&gt;&lt;D xsi:type="xsd:double"&gt;4.92385427497745&lt;/D&gt;&lt;D xsi:type="xsd:double"&gt;4.40637511023362&lt;/D&gt;&lt;/FQL&gt;&lt;FQL&gt;&lt;Q&gt;EIDO^FMA_PE(LTMA,-10AY,0,AM,"PORTAGG","MEANR")&lt;/Q&gt;&lt;R&gt;121&lt;/R&gt;&lt;C&gt;1&lt;/C&gt;&lt;D xsi:type="xsd:double"&gt;15.6036808825278&lt;/D&gt;&lt;D xsi:type="xsd:double"&gt;15.6698115718987&lt;/D&gt;&lt;D xsi:type="xsd:double"&gt;15.5822517736807&lt;/D&gt;&lt;D xsi:type="xsd:double"&gt;15.5888832318105&lt;/D&gt;&lt;D xsi:type="xsd:double"&gt;15.3749720306505&lt;/D&gt;&lt;D xsi:type="xsd:double"&gt;15.7592952304139&lt;/D&gt;&lt;D xsi:type="xsd:double"&gt;16.0283040176068&lt;/D&gt;&lt;D xsi:type="xsd:double"&gt;15.2600686707068&lt;/D&gt;&lt;D xsi:type="xsd:double"&gt;15.8285311493078&lt;/D&gt;&lt;D xsi:type="xsd:double"&gt;16.5295361878758&lt;/D&gt;&lt;D xsi:type="xsd:double"&gt;16.9032477597894&lt;/D&gt;&lt;D xsi:type="xsd:double"&gt;17.1993959250211&lt;/D&gt;&lt;D xsi:type="xsd:double"&gt;17.98911690122&lt;/D&gt;&lt;D xsi:type="xsd:double"&gt;17.8954018452139&lt;/D&gt;&lt;D xsi:type="xsd:double"&gt;17.3857313052164&lt;/D&gt;&lt;D xsi:type="xsd:double"&gt;17.2964715995941&lt;/D&gt;&lt;D xsi:type="xsd:double"&gt;16.9835167787929&lt;/D&gt;&lt;D xsi:type="xsd:double"&gt;16.8005176768551&lt;/D&gt;&lt;D xsi:type="xsd:double"&gt;16.0398952129228&lt;/D&gt;&lt;D xsi:type="xsd:double"&gt;15.1378774173924&lt;/D&gt;&lt;D xsi:type="xsd:double"&gt;16.5686878302179&lt;/D&gt;&lt;D xsi:type="xsd:double"&gt;16.4025024866069&lt;/D&gt;&lt;D xsi:type="xsd:double"&gt;15.9585104581782&lt;/D&gt;&lt;D xsi:type="xsd:double"&gt;16.4348923382159&lt;/D&gt;&lt;D xsi:type="xsd:double"&gt;16.8503684287173&lt;/D&gt;&lt;D xsi:type="xsd:double"&gt;16.7603220556126&lt;/D&gt;&lt;D xsi:type="xsd:double"&gt;16.4879736724711&lt;/D&gt;&lt;D xsi:type="xsd:double"&gt;16.5171652697214&lt;/D&gt;&lt;D xsi:type="xsd:double"&gt;16.8616337285482&lt;/D&gt;&lt;D xsi:type="xsd:double"&gt;17.8657322033813&lt;/D&gt;&lt;D xsi:type="xsd:double"&gt;17.7779469629173&lt;/D&gt;&lt;D xsi:type="xsd:double"&gt;18.4614919908471&lt;/D&gt;&lt;D xsi:type="xsd:double"&gt;17.8530826694541&lt;/D&gt;&lt;D xsi:type="xsd:double"&gt;17.4850864776254&lt;/D&gt;&lt;D xsi:type="xsd:double"&gt;18.0062207825194&lt;/D&gt;&lt;D xsi:type="xsd:double"&gt;17.6642419897505&lt;/D&gt;&lt;D xsi:type="xsd:double"&gt;17.5198784224215&lt;/D&gt;&lt;D xsi:type="xsd:double"&gt;17.5057230178134&lt;/D&gt;&lt;D xsi:type="xsd:double"&gt;17.4466566891862&lt;/D&gt;&lt;D xsi:type="xsd:double"&gt;17.3423142815278&lt;/D&gt;&lt;D xsi:type="xsd:double"&gt;17.5288663335166&lt;/D&gt;&lt;D xsi:type="xsd:double"&gt;17.1672563756189&lt;/D&gt;&lt;D xsi:type="xsd:double"&gt;17.3595832748853&lt;/D&gt;&lt;D xsi:type="xsd:double"&gt;17.4174169444389&lt;/D&gt;&lt;D xsi:type="xsd:double"&gt;17.3667683905709&lt;/D&gt;&lt;D xsi:type="xsd:double"&gt;16.9025551403294&lt;/D&gt;&lt;D xsi:type="xsd:double"&gt;17.8818290768316&lt;/D&gt;&lt;D xsi:type="xsd:double"&gt;18.2179193267017&lt;/D&gt;&lt;D xsi:type="xsd:double"&gt;17.671830375458&lt;/D&gt;&lt;D xsi:type="xsd:double"&gt;17.2209180183857&lt;/D&gt;&lt;D xsi:type="xsd:double"&gt;16.6475616896681&lt;/D&gt;&lt;D xsi:type="xsd:double"&gt;16.4568480523338&lt;/D&gt;&lt;D xsi:type="xsd:double"&gt;15.453660445598&lt;/D&gt;&lt;D xsi:type="xsd:double"&gt;15.8632394905823&lt;/D&gt;&lt;D xsi:type="xsd:double"&gt;15.6223838210609&lt;/D&gt;&lt;D xsi:type="xsd:double"&gt;14.9936995836151&lt;/D&gt;&lt;D xsi:type="xsd:double"&gt;15.3564910202285&lt;/D&gt;&lt;D xsi:type="xsd:double"&gt;15.763109419263&lt;/D&gt;&lt;D xsi:type="xsd:double"&gt;15.7754546621359&lt;/D&gt;&lt;D xsi:type="xsd:double"&gt;16.239974729823&lt;/D&gt;&lt;D xsi:type="xsd:double"&gt;15.905141300121&lt;/D&gt;&lt;D xsi:type="xsd:double"&gt;15.7513878342479&lt;/D&gt;&lt;D xsi:type="xsd:double"&gt;15.5530511624684&lt;/D&gt;&lt;D xsi:type="xsd:double"&gt;15.3864189392098&lt;/D&gt;&lt;D xsi:type="xsd:double"&gt;15.6349465582567&lt;/D&gt;&lt;D xsi:type="xsd:double"&gt;15.9757738234546&lt;/D&gt;&lt;D xsi:type="xsd:double"&gt;15.9038779467244&lt;/D&gt;&lt;D xsi:type="xsd:double"&gt;15.5547479271156&lt;/D&gt;&lt;D xsi:type="xsd:double"&gt;16.0047725436818&lt;/D&gt;&lt;D xsi:type="xsd:double"&gt;16.3441055798877&lt;/D&gt;&lt;D xsi:type="xsd:double"&gt;16.8133773236766&lt;/D&gt;&lt;D xsi:type="xsd:double"&gt;16.8081996876118&lt;/D&gt;&lt;D xsi:type="xsd:double"&gt;15.1759451816206&lt;/D&gt;&lt;D xsi:type="xsd:double"&gt;14.3048754736918&lt;/D&gt;&lt;D xsi:type="xsd:double"&gt;14.3919759711224&lt;/D&gt;&lt;D xsi:type="xsd:double"&gt;15.7635968771728&lt;/D&gt;&lt;D xsi:type="xsd:double"&gt;16.8324151764953&lt;/D&gt;&lt;D xsi:type="xsd:double"&gt;17.5446951923135&lt;/D&gt;&lt;D xsi:type="xsd:double"&gt;19.0425409271996&lt;/D&gt;&lt;D xsi:type="xsd:double"&gt;18.2771687977027&lt;/D&gt;&lt;D xsi:type="xsd:double"&gt;19.805629861986&lt;/D&gt;&lt;D xsi:type="xsd:double"&gt;24.0886796596357&lt;/D&gt;&lt;D xsi:type="xsd:double"&gt;25.1807503365686&lt;/D&gt;&lt;D xsi:type="xsd:double"&gt;24.7186092265586&lt;/D&gt;&lt;D xsi:type="xsd:double"&gt;24.0059160787008&lt;/D&gt;&lt;D xsi:type="xsd:double"&gt;23.1340210880619&lt;/D&gt;&lt;D xsi:type="xsd:double"&gt;22.464617082412&lt;/D&gt;&lt;D xsi:type="xsd:double"&gt;22.0328397890219&lt;/D&gt;&lt;D xsi:type="xsd:double"&gt;20.8201427045925&lt;/D&gt;&lt;D xsi:type="xsd:double"&gt;20.0834406680635&lt;/D&gt;&lt;D xsi:type="xsd:double"&gt;19.7267325918033&lt;/D&gt;&lt;D xsi:type="xsd:double"&gt;19.2172411178233&lt;/D&gt;&lt;D xsi:type="xsd:double"&gt;18.345259404776&lt;/D&gt;&lt;D xsi:type="xsd:double"&gt;17.4171180340616&lt;/D&gt;&lt;D xsi:type="xsd:double"&gt;16.9218103147301&lt;/D&gt;&lt;D xsi:type="xsd:double"&gt;17.0557916505193&lt;/D&gt;&lt;D xsi:type="xsd:double"&gt;17.4221835940073&lt;/D&gt;&lt;D xsi:type="xsd:double"&gt;17.2040601601048&lt;/D&gt;&lt;D xsi:type="xsd:double"&gt;16.8988942404287&lt;/D&gt;&lt;D xsi:type="xsd:double"&gt;16.2155257258906&lt;/D&gt;&lt;D xsi:type="xsd:double"&gt;15.2079530707736&lt;/D&gt;&lt;D xsi:type="xsd:double"&gt;15.0464534470533&lt;/D&gt;&lt;D xsi:type="xsd:double"&gt;14.693903671211&lt;/D&gt;&lt;D xsi:type="xsd:double"&gt;14.1922843926058&lt;/D&gt;&lt;D xsi:type="xsd:double"&gt;13.6455444992692&lt;/D&gt;&lt;D xsi:type="xsd:double"&gt;13.2964037930916&lt;/D&gt;&lt;D xsi:type="xsd:double"&gt;12.2254912737355&lt;/D&gt;&lt;D xsi:type="xsd:double"&gt;12.507820006738&lt;/D&gt;&lt;D xsi:type="xsd:double"&gt;12.0345977684643&lt;/D&gt;&lt;D xsi:type="xsd:double"&gt;12.0807710702569&lt;/D&gt;&lt;D xsi:type="xsd:double"&gt;12.1593004227073&lt;/D&gt;&lt;D xsi:type="xsd:double"&gt;12.790573524051&lt;/D&gt;&lt;D xsi:type="xsd:double"&gt;13.0094049482995&lt;/D&gt;&lt;D xsi:type="xsd:double"&gt;13.2615897058054&lt;/D&gt;&lt;D xsi:type="xsd:double"&gt;13.6533423284834&lt;/D&gt;&lt;D xsi:type="xsd:double"&gt;13.4228002377376&lt;/D&gt;&lt;D xsi:type="xsd:double"&gt;13.0203534444258&lt;/D&gt;&lt;D xsi:type="xsd:double"&gt;13.4432316171118&lt;/D&gt;&lt;D xsi:type="xsd:double"&gt;14.0988985484609&lt;/D&gt;&lt;D xsi:type="xsd:double"&gt;14.1857232789242&lt;/D&gt;&lt;D xsi:type="xsd:double"&gt;14.4257413470304&lt;/D&gt;&lt;/FQL&gt;&lt;FQL&gt;&lt;Q&gt;VGK^FG_TOTAL_RETURNC(0,-3AM)&lt;/Q&gt;&lt;R&gt;1&lt;/R&gt;&lt;C&gt;1&lt;/C&gt;&lt;D xsi:type="xsd:double"&gt;6.92575&lt;/D&gt;&lt;/FQL&gt;&lt;FQL&gt;&lt;Q&gt;EWZ^P_PRICE(0)/P_PRICE_HIGH_PR(0,,,USD,,,"PRICE","INTRA","52W")&lt;/Q&gt;&lt;R&gt;1&lt;/R&gt;&lt;C&gt;1&lt;/C&gt;&lt;D xsi:type="xsd:double"&gt;0.9230554&lt;/D&gt;&lt;/FQL&gt;&lt;FQL&gt;&lt;Q&gt;SPY^PERCENT_CHANGE(FMA_EPS(+1,0,,,,"PORTAGG","MEAN"),FMA_EPS(+1,-1AM,,,,"PORTAGG","MEAN"))&lt;/Q&gt;&lt;R&gt;1&lt;/R&gt;&lt;C&gt;1&lt;/C&gt;&lt;D xsi:type="xsd:double"&gt;-9.53125538140812&lt;/D&gt;&lt;/FQL&gt;&lt;FQL&gt;&lt;Q&gt;GREK^PERCENT_CHANGE(FMA_EPS(+1,0,,,,"PORTAGG","MEAN"),FMA_EPS(+1,-3AM,,,,"PORTAGG","MEAN"))&lt;/Q&gt;&lt;R&gt;1&lt;/R&gt;&lt;C&gt;1&lt;/C&gt;&lt;D xsi:type="xsd:double"&gt;8.79020494216877&lt;/D&gt;&lt;/FQL&gt;&lt;FQL&gt;&lt;Q&gt;SPY^FMA_COS_DOWN("EPS","1M",+1,NOW,,,"PORTAGG","MEANR")&lt;/Q&gt;&lt;R&gt;1&lt;/R&gt;&lt;C&gt;1&lt;/C&gt;&lt;D xsi:type="xsd:double"&gt;94&lt;/D&gt;&lt;/FQL&gt;&lt;FQL&gt;&lt;Q&gt;INDA^SIZE(FG_CONSTITUENTS)&lt;/Q&gt;&lt;R&gt;1&lt;/R&gt;&lt;C&gt;1&lt;/C&gt;&lt;D xsi:type="xsd:long"&gt;138&lt;/D&gt;&lt;/FQL&gt;&lt;FQL&gt;&lt;Q&gt;ECH^FMA_COS_DOWN("EPS","1M",+1,NOW,,,"PORTAGG","MEANR")&lt;/Q&gt;&lt;R&gt;1&lt;/R&gt;&lt;C&gt;1&lt;/C&gt;&lt;D xsi:type="xsd:double"&gt;8&lt;/D&gt;&lt;/FQL&gt;&lt;FQL&gt;&lt;Q&gt;TRYTH10Y-FDS^PCTCHG(FG_YIELD(0,,,,"YTM"),FG_YIELD(-3AM,,,,"YTM"))&lt;/Q&gt;&lt;R&gt;1&lt;/R&gt;&lt;C&gt;1&lt;/C&gt;&lt;D xsi:type="xsd:double"&gt;-13.4101305&lt;/D&gt;&lt;/FQL&gt;&lt;FQL&gt;&lt;Q&gt;CC_TW^IMF_IFS_RCPI_Q(0)&lt;/Q&gt;&lt;R&gt;0&lt;/R&gt;&lt;C&gt;0&lt;/C&gt;&lt;/FQL&gt;&lt;FQL&gt;&lt;Q&gt;KSA^JULIAN(FMA_DIV_YLD(NTMA,NOW,NOW,M,"PORTAGG","MEANR").DATES)&lt;/Q&gt;&lt;R&gt;1&lt;/R&gt;&lt;C&gt;1&lt;/C&gt;&lt;D xsi:type="xsd:long"&gt;45350&lt;/D&gt;&lt;/FQL&gt;&lt;FQL&gt;&lt;Q&gt;QAT^FMA_EVAL_EBIT(LTMA,NOW,NOW,M,"PORTAGG","MEANR")&lt;/Q&gt;&lt;R&gt;1&lt;/R&gt;&lt;C&gt;1&lt;/C&gt;&lt;D xsi:type="xsd:double"&gt;15.831228894215&lt;/D&gt;&lt;/FQL&gt;&lt;FQL&gt;&lt;Q&gt;EWT^FMA_EVAL_EBITDA(NTMA,0,,,"PORTAGG","MEANR")&lt;/Q&gt;&lt;R&gt;1&lt;/R&gt;&lt;C&gt;1&lt;/C&gt;&lt;D xsi:type="xsd:double"&gt;11.6159174483773&lt;/D&gt;&lt;/FQL&gt;&lt;FQL&gt;&lt;Q&gt;EPHE^FG_FCF_YIELD_NTM(0)&lt;/Q&gt;&lt;R&gt;1&lt;/R&gt;&lt;C&gt;1&lt;/C&gt;&lt;D xsi:type="xsd:double"&gt;6.55011037178749&lt;/D&gt;&lt;/FQL&gt;&lt;FQL&gt;&lt;Q&gt;KSA^FG_COMPANY_NAME&lt;/Q&gt;&lt;R&gt;1&lt;/R&gt;&lt;C&gt;1&lt;/C&gt;&lt;D xsi:type="xsd:string"&gt;iShares MSCI Saudi Arabia ETF&lt;/D&gt;&lt;/FQL&gt;&lt;FQL&gt;&lt;Q&gt;EWT^FG_FCF_YIELD_NTM(0)&lt;/Q&gt;&lt;R&gt;1&lt;/R&gt;&lt;C&gt;1&lt;/C&gt;&lt;D xsi:type="xsd:double"&gt;4.70338278810931&lt;/D&gt;&lt;/FQL&gt;&lt;FQL&gt;&lt;Q&gt;USDEUR^STD(FG_PRICE_CHANGE(0,-1AY,AM))&lt;/Q&gt;&lt;R&gt;1&lt;/R&gt;&lt;C&gt;1&lt;/C&gt;&lt;D xsi:type="xsd:double"&gt;2.04597175672263&lt;/D&gt;&lt;/FQL&gt;&lt;FQL&gt;&lt;Q&gt;USDPEN^FG_COMPANY_NAME&lt;/Q&gt;&lt;R&gt;1&lt;/R&gt;&lt;C&gt;1&lt;/C&gt;&lt;D xsi:type="xsd:string"&gt;Peruvian New Sol per U.S. Dollar&lt;/D&gt;&lt;/FQL&gt;&lt;FQL&gt;&lt;Q&gt;CPALM-FDS^FG_PRICE_CHANGE(0,-1AM)&lt;/Q&gt;&lt;R&gt;1&lt;/R&gt;&lt;C&gt;1&lt;/C&gt;&lt;D xsi:type="xsd:double"&gt;6.04540654699051&lt;/D&gt;&lt;/FQL&gt;&lt;FQL&gt;&lt;Q&gt;SET-BKK^FG_PRICE_MAVG(0,,,,30)&lt;/Q&gt;&lt;R&gt;1&lt;/R&gt;&lt;C&gt;1&lt;/C&gt;&lt;D xsi:type="xsd:double"&gt;1381.816&lt;/D&gt;&lt;/FQL&gt;&lt;FQL&gt;&lt;Q&gt;SPY^FMA_PCT_ABOVE_MAVG(200,0,,,,"PORTAGG")&lt;/Q&gt;&lt;R&gt;1&lt;/R&gt;&lt;C&gt;1&lt;/C&gt;&lt;D xsi:type="xsd:double"&gt;72.962226640159&lt;/D&gt;&lt;/FQL&gt;&lt;FQL&gt;&lt;Q&gt;SPY^FMA_COS_UP("EPS","1M",+1,NOW,,,"PORTAGG","MEANR")&lt;/Q&gt;&lt;R&gt;1&lt;/R&gt;&lt;C&gt;1&lt;/C&gt;&lt;D xsi:type="xsd:double"&gt;239&lt;/D&gt;&lt;/FQL&gt;&lt;FQL&gt;&lt;Q&gt;CNYA^SIZE(FG_CONSTITUENTS)&lt;/Q&gt;&lt;R&gt;1&lt;/R&gt;&lt;C&gt;1&lt;/C&gt;&lt;D xsi:type="xsd:long"&gt;520&lt;/D&gt;&lt;/FQL&gt;&lt;FQL&gt;&lt;Q&gt;EWM^FG_ROE(0)&lt;/Q&gt;&lt;R&gt;1&lt;/R&gt;&lt;C&gt;1&lt;/C&gt;&lt;D xsi:type="xsd:double"&gt;7.53462957183998&lt;/D&gt;&lt;/FQL&gt;&lt;FQL&gt;&lt;Q&gt;REFAEREPO-FDS^(SUBARRAY(NOT_NA(NO_REPEAT_F(FG_YIELD(NOW,-10AY,D))),0,1)-SUBARRAY(NOT_NA(NO_REPEAT_F(FG_YIELD(NOW,-10AY,D))),1,1))*100&lt;/Q&gt;&lt;R&gt;1&lt;/R&gt;&lt;C&gt;1&lt;/C&gt;&lt;D xsi:type="xsd:double"&gt;25&lt;/D&gt;&lt;/FQL&gt;&lt;FQL&gt;&lt;Q&gt;REFMYON-FDS^(SUBARRAY(NOT_NA(NO_REPEAT_F(FG_YIELD(NOW,-10AY,D))),0,1)-SUBARRAY(NOT_NA(NO_REPEAT_F(FG_YIELD(NOW,-10AY,D))),1,1))*100&lt;/Q&gt;&lt;R&gt;1&lt;/R&gt;&lt;C&gt;1&lt;/C&gt;&lt;D xsi:type="xsd:double"&gt;25&lt;/D&gt;&lt;/FQL&gt;&lt;FQL&gt;&lt;Q&gt;TRYCN10Y-FDS^PCTCHG(FG_YIELD(0,,,,"YTM"),FG_YIELD(-3AM,,,,"YTM"))&lt;/Q&gt;&lt;R&gt;1&lt;/R&gt;&lt;C&gt;1&lt;/C&gt;&lt;D xsi:type="xsd:double"&gt;-12.2565565&lt;/D&gt;&lt;/FQL&gt;&lt;FQL&gt;&lt;Q&gt;CC_PH^IMF_IFS_RCPI_Q(0)&lt;/Q&gt;&lt;R&gt;0&lt;/R&gt;&lt;C&gt;0&lt;/C&gt;&lt;/FQL&gt;&lt;FQL&gt;&lt;Q&gt;VNM^FMA_EVAL_EBIT(LTMA,NOW,NOW,M,"PORTAGG","MEANR")&lt;/Q&gt;&lt;R&gt;1&lt;/R&gt;&lt;C&gt;1&lt;/C&gt;&lt;D xsi:type="xsd:double"&gt;19.9390933632469&lt;/D&gt;&lt;/FQL&gt;&lt;FQL&gt;&lt;Q&gt;EZA^FMA_EVAL_EBITDA(NTMA,0,,,"PORTAGG","MEANR")&lt;/Q&gt;&lt;R&gt;1&lt;/R&gt;&lt;C&gt;1&lt;/C&gt;&lt;D xsi:type="xsd:double"&gt;7.50925020358567&lt;/D&gt;&lt;/FQL&gt;&lt;FQL&gt;&lt;Q&gt;TRYTH10Y-FDS^PCTCHG(FG_YIELD(0,,,,"YTM"),FG_YIELD(-1AM,,,,"YTM"))&lt;/Q&gt;&lt;R&gt;1&lt;/R&gt;&lt;C&gt;1&lt;/C&gt;&lt;D xsi:type="xsd:double"&gt;-3.8010025&lt;/D&gt;&lt;/FQL&gt;&lt;FQL&gt;&lt;Q&gt;QAT^FMA_EVAL_EBITDA(NTMA,0,,,"PORTAGG","MEANR")&lt;/Q&gt;&lt;R&gt;1&lt;/R&gt;&lt;C&gt;1&lt;/C&gt;&lt;D xsi:type="xsd:double"&gt;9.43473274376874&lt;/D&gt;&lt;/FQL&gt;&lt;FQL&gt;&lt;Q&gt;QAT^FG_PRICE(0)&lt;/Q&gt;&lt;R&gt;1&lt;/R&gt;&lt;C&gt;1&lt;/C&gt;&lt;D xsi:type="xsd:double"&gt;18.09&lt;/D&gt;&lt;/FQL&gt;&lt;FQL&gt;&lt;Q&gt;EZA^FMA_COS_DOWN("EPS","1M",+1,NOW,,,"PORTAGG","MEANR")&lt;/Q&gt;&lt;R&gt;1&lt;/R&gt;&lt;C&gt;1&lt;/C&gt;&lt;D xsi:type="xsd:double"&gt;14&lt;/D&gt;&lt;/FQL&gt;&lt;FQL&gt;&lt;Q&gt;EWY^P_PRICE(0)/P_PRICE_LOW_PR(0,,,USD,,,"PRICE","INTRA","52W")-1&lt;/Q&gt;&lt;R&gt;1&lt;/R&gt;&lt;C&gt;1&lt;/C&gt;&lt;D xsi:type="xsd:double"&gt;0.20389056&lt;/D&gt;&lt;/FQL&gt;&lt;FQL&gt;&lt;Q&gt;CC_MX^FG_COMPANY_NAME&lt;/Q&gt;&lt;R&gt;1&lt;/R&gt;&lt;C&gt;1&lt;/C&gt;&lt;D xsi:type="xsd:string"&gt;Mexico&lt;/D&gt;&lt;/FQL&gt;&lt;FQL&gt;&lt;Q&gt;USDPLN^STD(FG_PRICE_CHANGE(0,-3AY,M))&lt;/Q&gt;&lt;R&gt;1&lt;/R&gt;&lt;C&gt;1&lt;/C&gt;&lt;D xsi:type="xsd:double"&gt;3.51385786209571&lt;/D&gt;&lt;/FQL&gt;&lt;FQL&gt;&lt;Q&gt;FC0000PL^FMA_EPS(NTMA,-20AY,0,CY,,"PORTAGG","MEANR")&lt;/Q&gt;&lt;R&gt;20&lt;/R&gt;&lt;C&gt;1&lt;/C&gt;&lt;D xsi:type="xsd:double"&gt;11.3956611787009&lt;/D&gt;&lt;D xsi:type="xsd:double"&gt;13.1552545733141&lt;/D&gt;&lt;D xsi:type="xsd:double"&gt;20.1382940093796&lt;/D&gt;&lt;D xsi:type="xsd:double"&gt;27.2509703511728&lt;/D&gt;&lt;D xsi:type="xsd:double"&gt;17.8154691533002&lt;/D&gt;&lt;D xsi:type="xsd:double"&gt;15.6334740740598&lt;/D&gt;&lt;D xsi:type="xsd:double"&gt;20.0842977011357&lt;/D&gt;&lt;D xsi:type="xsd:double"&gt;17.7256437482491&lt;/D&gt;&lt;D xsi:type="xsd:double"&gt;16.740047713355&lt;/D&gt;&lt;D xsi:type="xsd:double"&gt;17.3182407358996&lt;/D&gt;&lt;D xsi:type="xsd:double"&gt;14.5525654325642&lt;/D&gt;&lt;D xsi:type="xsd:double"&gt;12.4912768812566&lt;/D&gt;&lt;D xsi:type="xsd:double"&gt;13.2484078165723&lt;/D&gt;&lt;D xsi:type="xsd:double"&gt;19.4716186195535&lt;/D&gt;&lt;D xsi:type="xsd:double"&gt;18.0244220851928&lt;/D&gt;&lt;D xsi:type="xsd:double"&gt;16.9181600231376&lt;/D&gt;&lt;D xsi:type="xsd:double"&gt;12.7251193000516&lt;/D&gt;&lt;D xsi:type="xsd:double"&gt;16</t>
        </r>
      </text>
    </comment>
    <comment ref="A20" authorId="0" shapeId="0" xr:uid="{E79A24F4-BEB1-4DF3-B9D0-922B1C2C5A03}">
      <text>
        <r>
          <rPr>
            <b/>
            <sz val="9"/>
            <color indexed="81"/>
            <rFont val="Tahoma"/>
            <family val="2"/>
          </rPr>
          <t>.7959254186769&lt;/D&gt;&lt;D xsi:type="xsd:double"&gt;17.0889243836624&lt;/D&gt;&lt;D xsi:type="xsd:double"&gt;23.3955887248491&lt;/D&gt;&lt;/FQL&gt;&lt;FQL&gt;&lt;Q&gt;ECH^FMA_PE(LTMA,-10AY,0,AM,"PORTAGG","MEANR")&lt;/Q&gt;&lt;R&gt;121&lt;/R&gt;&lt;C&gt;1&lt;/C&gt;&lt;D xsi:type="xsd:double"&gt;15.6145028601608&lt;/D&gt;&lt;D xsi:type="xsd:double"&gt;15.5680686512875&lt;/D&gt;&lt;D xsi:type="xsd:double"&gt;15.6708560901989&lt;/D&gt;&lt;D xsi:type="xsd:double"&gt;15.8704842300345&lt;/D&gt;&lt;D xsi:type="xsd:double"&gt;16.0651412784902&lt;/D&gt;&lt;D xsi:type="xsd:double"&gt;16.2585848617624&lt;/D&gt;&lt;D xsi:type="xsd:double"&gt;16.7028935635618&lt;/D&gt;&lt;D xsi:type="xsd:double"&gt;16.2829222952869&lt;/D&gt;&lt;D xsi:type="xsd:double"&gt;15.9890262180581&lt;/D&gt;&lt;D xsi:type="xsd:double"&gt;17.041743932529&lt;/D&gt;&lt;D xsi:type="xsd:double"&gt;16.75473510868&lt;/D&gt;&lt;D xsi:type="xsd:double"&gt;16.3966275780789&lt;/D&gt;&lt;D xsi:type="xsd:double"&gt;16.6529265283695&lt;/D&gt;&lt;D xsi:type="xsd:double"&gt;16.4345048918826&lt;/D&gt;&lt;D xsi:type="xsd:double"&gt;16.3927607148367&lt;/D&gt;&lt;D xsi:type="xsd:double"&gt;16.1064675229773&lt;/D&gt;&lt;D xsi:type="xsd:double"&gt;15.5872180921036&lt;/D&gt;&lt;D xsi:type="xsd:double"&gt;15.1428938945913&lt;/D&gt;&lt;D xsi:type="xsd:double"&gt;15.3461770044213&lt;/D&gt;&lt;D xsi:type="xsd:double"&gt;14.9780696221897&lt;/D&gt;&lt;D xsi:type="xsd:double"&gt;16.0459313261503&lt;/D&gt;&lt;D xsi:type="xsd:double"&gt;15.9295977338882&lt;/D&gt;&lt;D xsi:type="xsd:double"&gt;15.8363309022421&lt;/D&gt;&lt;D xsi:type="xsd:double"&gt;15.6446632688501&lt;/D&gt;&lt;D xsi:type="xsd:double"&gt;15.5492439707843&lt;/D&gt;&lt;D xsi:type="xsd:double"&gt;15.4564170253032&lt;/D&gt;&lt;D xsi:type="xsd:double"&gt;15.4188164540386&lt;/D&gt;&lt;D xsi:type="xsd:double"&gt;15.1772421644432&lt;/D&gt;&lt;D xsi:type="xsd:double"&gt;15.4055470707204&lt;/D&gt;&lt;D xsi:type="xsd:double"&gt;16.0366870194766&lt;/D&gt;&lt;D xsi:type="xsd:double"&gt;16.0233313280443&lt;/D&gt;&lt;D xsi:type="xsd:double"&gt;15.8704953819488&lt;/D&gt;&lt;D xsi:type="xsd:double"&gt;16.8337332307527&lt;/D&gt;&lt;D xsi:type="xsd:double"&gt;16.4849117719887&lt;/D&gt;&lt;D xsi:type="xsd:double"&gt;15.5425029892371&lt;/D&gt;&lt;D xsi:type="xsd:double"&gt;16.3265401421986&lt;/D&gt;&lt;D xsi:type="xsd:double"&gt;16.8161904129355&lt;/D&gt;&lt;D xsi:type="xsd:double"&gt;17.0630322214271&lt;/D&gt;&lt;D xsi:type="xsd:double"&gt;17.2105729461826&lt;/D&gt;&lt;D xsi:type="xsd:double"&gt;17.2371109030877&lt;/D&gt;&lt;D xsi:type="xsd:double"&gt;17.5135857328311&lt;/D&gt;&lt;D xsi:type="xsd:double"&gt;18.2365267454521&lt;/D&gt;&lt;D xsi:type="xsd:double"&gt;19.6135053247665&lt;/D&gt;&lt;D xsi:type="xsd:double"&gt;15.8201003465452&lt;/D&gt;&lt;D xsi:type="xsd:double"&gt;18.5988111962604&lt;/D&gt;&lt;D xsi:type="xsd:double"&gt;16.2605009289916&lt;/D&gt;&lt;D xsi:type="xsd:double"&gt;18.3035061047078&lt;/D&gt;&lt;D xsi:type="xsd:double"&gt;18.2713050812839&lt;/D&gt;&lt;D xsi:type="xsd:double"&gt;17.5317931691996&lt;/D&gt;&lt;D xsi:type="xsd:double"&gt;17.1278389161968&lt;/D&gt;&lt;D xsi:type="xsd:double"&gt;16.8586473819873&lt;/D&gt;&lt;D xsi:type="xsd:double"&gt;16.0884055611586&lt;/D&gt;&lt;D xsi:type="xsd:double"&gt;15.3671607103656&lt;/D&gt;&lt;D xsi:type="xsd:double"&gt;15.4378680662089&lt;/D&gt;&lt;D xsi:type="xsd:double"&gt;14.9170261615176&lt;/D&gt;&lt;D xsi:type="xsd:double"&gt;14.993599580183&lt;/D&gt;&lt;D xsi:type="xsd:double"&gt;16.9320735077725&lt;/D&gt;&lt;D xsi:type="xsd:double"&gt;17.210630270861&lt;/D&gt;&lt;D xsi:type="xsd:double"&gt;16.7068059838083&lt;/D&gt;&lt;D xsi:type="xsd:double"&gt;18.0321210065069&lt;/D&gt;&lt;D xsi:type="xsd:double"&gt;15.7673030874754&lt;/D&gt;&lt;D xsi:type="xsd:double"&gt;15.7245989062969&lt;/D&gt;&lt;D xsi:type="xsd:double"&gt;15.8447906978149&lt;/D&gt;&lt;D xsi:type="xsd:double"&gt;15.6487009931995&lt;/D&gt;&lt;D xsi:type="xsd:double"&gt;16.0346726940098&lt;/D&gt;&lt;D xsi:type="xsd:double"&gt;15.6266621860928&lt;/D&gt;&lt;D xsi:type="xsd:double"&gt;15.597834730444&lt;/D&gt;&lt;D xsi:type="xsd:double"&gt;16.7348702808423&lt;/D&gt;&lt;D xsi:type="xsd:double"&gt;15.8629871836613&lt;/D&gt;&lt;D xsi:type="xsd:double"&gt;15.3760962506354&lt;/D&gt;&lt;D xsi:type="xsd:double"&gt;15.5674999645639&lt;/D&gt;&lt;D xsi:type="xsd:double"&gt;14.9892677870366&lt;/D&gt;&lt;D xsi:type="xsd:double"&gt;15.7503662051947&lt;/D&gt;&lt;D xsi:type="xsd:double"&gt;15.0184858369317&lt;/D&gt;&lt;D xsi:type="xsd:double"&gt;15.1585035248593&lt;/D&gt;&lt;D xsi:type="xsd:double"&gt;15.9293674009311&lt;/D&gt;&lt;D xsi:type="xsd:double"&gt;17.2816886465152&lt;/D&gt;&lt;D xsi:type="xsd:double"&gt;18.6962209823542&lt;/D&gt;&lt;D xsi:type="xsd:double"&gt;19.656021659065&lt;/D&gt;&lt;D xsi:type="xsd:double"&gt;19.3803427925595&lt;/D&gt;&lt;D xsi:type="xsd:double"&gt;19.4615648073364&lt;/D&gt;&lt;D xsi:type="xsd:double"&gt;23.6111011968693&lt;/D&gt;&lt;D xsi:type="xsd:double"&gt;23.4458678819102&lt;/D&gt;&lt;D xsi:type="xsd:double"&gt;25.9945817876795&lt;/D&gt;&lt;D xsi:type="xsd:double"&gt;32.3082739678593&lt;/D&gt;&lt;D xsi:type="xsd:double"&gt;30.5823235138167&lt;/D&gt;&lt;D xsi:type="xsd:double"&gt;28.1775255201053&lt;/D&gt;&lt;D xsi:type="xsd:double"&gt;25.4942959564652&lt;/D&gt;&lt;D xsi:type="xsd:double"&gt;23.5472280564104&lt;/D&gt;&lt;D xsi:type="xsd:double"&gt;20.4486736437795&lt;/D&gt;&lt;D xsi:type="xsd:double"&gt;18.7928003362606&lt;/D&gt;&lt;D xsi:type="xsd:double"&gt;16.1921091813061&lt;/D&gt;&lt;D xsi:type="xsd:double"&gt;13.8699593801361&lt;/D&gt;&lt;D xsi:type="xsd:double"&gt;11.1967260225417&lt;/D&gt;&lt;D xsi:type="xsd:double"&gt;9.75817597964567&lt;/D&gt;&lt;D xsi:type="xsd:double"&gt;9.28314516232856&lt;/D&gt;&lt;D xsi:type="xsd:double"&gt;9.87254450317135&lt;/D&gt;&lt;D xsi:type="xsd:double"&gt;9.85739081694274&lt;/D&gt;&lt;D xsi:type="xsd:double"&gt;9.56949396837086&lt;/D&gt;&lt;D xsi:type="xsd:double"&gt;8.602747790339&lt;/D&gt;&lt;D xsi:type="xsd:double"&gt;7.89712834462123&lt;/D&gt;&lt;D xsi:type="xsd:double"&gt;7.50794106892243&lt;/D&gt;&lt;D xsi:type="xsd:double"&gt;7.28154396575395&lt;/D&gt;&lt;D xsi:type="xsd:double"&gt;7.4603967843326&lt;/D&gt;&lt;D xsi:type="xsd:double"&gt;7.2458748487822&lt;/D&gt;&lt;D xsi:type="xsd:double"&gt;5.80730294723533&lt;/D&gt;&lt;D xsi:type="xsd:double"&gt;5.28253496928202&lt;/D&gt;&lt;D xsi:type="xsd:double"&gt;5.94347575710537&lt;/D&gt;&lt;D xsi:type="xsd:double"&gt;5.8817018952001&lt;/D&gt;&lt;D xsi:type="xsd:double"&gt;5.88127038262486&lt;/D&gt;&lt;D xsi:type="xsd:double"&gt;6.18699253300172&lt;/D&gt;&lt;D xsi:type="xsd:double"&gt;6.60473245463427&lt;/D&gt;&lt;D xsi:type="xsd:double"&gt;7.10768227979612&lt;/D&gt;&lt;D xsi:type="xsd:double"&gt;7.7440708215046&lt;/D&gt;&lt;D xsi:type="xsd:double"&gt;7.87752496971044&lt;/D&gt;&lt;D xsi:type="xsd:double"&gt;7.76146463131509&lt;/D&gt;&lt;D xsi:type="xsd:double"&gt;8.06460625726125&lt;/D&gt;&lt;D xsi:type="xsd:double"&gt;7.84496121743929&lt;/D&gt;&lt;D xsi:type="xsd:double"&gt;8.32712286064251&lt;/D&gt;&lt;D xsi:type="xsd:double"&gt;8.5206275422005&lt;/D&gt;&lt;D xsi:type="xsd:double"&gt;7.03444364076779&lt;/D&gt;&lt;/FQL&gt;&lt;FQL&gt;&lt;Q&gt;QAT^FG_PRICE_MAVG(0,,,,200)&lt;/Q&gt;&lt;R&gt;1&lt;/R&gt;&lt;C&gt;1&lt;/C&gt;&lt;D xsi:type="xsd:double"&gt;17.757387&lt;/D&gt;&lt;/FQL&gt;&lt;FQL&gt;&lt;Q&gt;EPU^FG_PRICE_MAVG(0,,,,30)&lt;/Q&gt;&lt;R&gt;1&lt;/R&gt;&lt;C&gt;1&lt;/C&gt;&lt;D xsi:type="xsd:double"&gt;34.244957&lt;/D&gt;&lt;/FQL&gt;&lt;FQL&gt;&lt;Q&gt;KSA^P_PRICE(0)/P_PRICE_LOW_PR(0,,,USD,,,"PRICE","INTRA","52W")-1&lt;/Q&gt;&lt;R&gt;1&lt;/R&gt;&lt;C&gt;1&lt;/C&gt;&lt;D xsi:type="xsd:double"&gt;0.22806036&lt;/D&gt;&lt;/FQL&gt;&lt;FQL&gt;&lt;Q&gt;EWZ^FG_TOTAL_RETURNC(0,-6AM)&lt;/Q&gt;&lt;R&gt;1&lt;/R&gt;&lt;C&gt;1&lt;/C&gt;&lt;D xsi:type="xsd:double"&gt;8.722698&lt;/D&gt;&lt;/FQL&gt;&lt;FQL&gt;&lt;Q&gt;EPHE^FMA_DIV_YLD(NTMA,NOW,NOW,M,"PORTAGG","MEANR")&lt;/Q&gt;&lt;R&gt;1&lt;/R&gt;&lt;C&gt;1&lt;/C&gt;&lt;D xsi:type="xsd:double"&gt;2.73459708345032&lt;/D&gt;&lt;/FQL&gt;&lt;FQL&gt;&lt;Q&gt;EWJ^PERCENT_CHANGE(FMA_EPS(+1,0,,,,"PORTAGG","MEAN"),FMA_EPS(+1,-3AM,,,,"PORTAGG","MEAN"))&lt;/Q&gt;&lt;R&gt;1&lt;/R&gt;&lt;C&gt;1&lt;/C&gt;&lt;D xsi:type="xsd:double"&gt;-10.1999095336708&lt;/D&gt;&lt;/FQL&gt;&lt;FQL&gt;&lt;Q&gt;EWJ^SIZE(FG_CONSTITUENTS)&lt;/Q&gt;&lt;R&gt;1&lt;/R&gt;&lt;C&gt;1&lt;/C&gt;&lt;D xsi:type="xsd:long"&gt;219&lt;/D&gt;&lt;/FQL&gt;&lt;FQL&gt;&lt;Q&gt;EPU^FG_ROE(0)&lt;/Q&gt;&lt;R&gt;1&lt;/R&gt;&lt;C&gt;1&lt;/C&gt;&lt;D xsi:type="xsd:double"&gt;10.3842354978066&lt;/D&gt;&lt;/FQL&gt;&lt;FQL&gt;&lt;Q&gt;USDEUR^FG_PRICE_CHANGE(0,-6AM)&lt;/Q&gt;&lt;R&gt;1&lt;/R&gt;&lt;C&gt;1&lt;/C&gt;&lt;D xsi:type="xsd:double"&gt;-0.7180035&lt;/D&gt;&lt;/FQL&gt;&lt;FQL&gt;&lt;Q&gt;VNM^P_PRICE_RETURNS_PR('52W',2,-10AY,0,AM)&lt;/Q&gt;&lt;R&gt;121&lt;/R&gt;&lt;C&gt;1&lt;/C&gt;&lt;D xsi:type="xsd:double"&gt;12.261522&lt;/D&gt;&lt;D xsi:type="xsd:double"&gt;8.575702&lt;/D&gt;&lt;D xsi:type="xsd:double"&gt;7.227993&lt;/D&gt;&lt;D xsi:type="xsd:double"&gt;-0.6807327&lt;/D&gt;&lt;D xsi:type="xsd:double"&gt;14.927554&lt;/D&gt;&lt;D xsi:type="xsd:double"&gt;17.172575&lt;/D&gt;&lt;D xsi:type="xsd:double"&gt;40.212322&lt;/D&gt;&lt;D xsi:type="xsd:double"&gt;27.079033&lt;/D&gt;&lt;D xsi:type="xsd:double"&gt;15.154481&lt;/D&gt;&lt;D xsi:type="xsd:double"&gt;7.138121&lt;/D&gt;&lt;D xsi:type="xsd:double"&gt;5.0242662&lt;/D&gt;&lt;D xsi:type="xsd:double"&gt;-10.872757&lt;/D&gt;&lt;D xsi:type="xsd:double"&gt;-9.520549&lt;/D&gt;&lt;D xsi:type="xsd:double"&gt;-21.134663&lt;/D&gt;&lt;D xsi:type="xsd:double"&gt;-9.919685&lt;/D&gt;&lt;D xsi:type="xsd:double"&gt;-11.18331&lt;/D&gt;&lt;D xsi:type="xsd:double"&gt;-6.080425&lt;/D&gt;&lt;D xsi:type="xsd:double"&gt;-14.521778&lt;/D&gt;&lt;D xsi:type="xsd:double"&gt;-32.18142&lt;/D&gt;&lt;D xsi:type="xsd:double"&gt;-27.492779&lt;/D&gt;&lt;D xsi:type="xsd:double"&gt;-16.2472&lt;/D&gt;&lt;D xsi:type="xsd:double"&gt;-20.629257&lt;/D&gt;&lt;D xsi:type="xsd:double"&gt;-18.161774&lt;/D&gt;&lt;D xsi:type="xsd:double"&gt;-22.66333&lt;/D&gt;&lt;D xsi:type="xsd:double"&gt;-20.028597&lt;/D&gt;&lt;D xsi:type="xsd:double"&gt;-14.556718&lt;/D&gt;&lt;D xsi:type="xsd:double"&gt;-15.803253&lt;/D&gt;&lt;D xsi:type="xsd:double"&gt;-11.784291&lt;/D&gt;&lt;D xsi:type="xsd:double"&gt;-19.015593&lt;/D&gt;&lt;D xsi:type="xsd:double"&gt;-15.35818&lt;/D&gt;&lt;D xsi:type="xsd:double"&gt;-3.2957733&lt;/D&gt;&lt;D xsi:type="xsd:double"&gt;-2.4193108&lt;/D&gt;&lt;D xsi:type="xsd:double"&gt;-15.845251&lt;/D&gt;&lt;D xsi:type="xsd:double"&gt;-10.525352&lt;/D&gt;&lt;D xsi:type="xsd:double"&gt;-8.419662&lt;/D&gt;&lt;D xsi:type="xsd:double"&gt;2.4632096&lt;/D&gt;&lt;D xsi:type="xsd:double"&gt;-4.906207&lt;/D&gt;&lt;D xsi:type="xsd:double"&gt;5.749202&lt;/D&gt;&lt;D xsi:type="xsd:double"&gt;1.2295842&lt;/D&gt;&lt;D xsi:type="xsd:double"&gt;3.3117533&lt;/D&gt;&lt;D xsi:type="xsd:double"&gt;6.2400103&lt;/D&gt;&lt;D xsi:type="xsd:double"&gt;4.373789&lt;/D&gt;&lt;D xsi:type="xsd:double"&gt;0.6764531&lt;/D&gt;&lt;D xsi:type="xsd:double"&gt;2.3254037&lt;/D&gt;&lt;D xsi:type="xsd:double"&gt;18.695736&lt;/D&gt;&lt;D xsi:type="xsd:double"&gt;32.223022&lt;/D&gt;&lt;D xsi:type="xsd:double"&gt;39.787247&lt;/D&gt;&lt;D xsi:type="xsd:double"&gt;37.19133&lt;/D&gt;&lt;D xsi:type="xsd:double"&gt;39.740635&lt;/D&gt;&lt;D xsi:type="xsd:double"&gt;45.502758&lt;/D&gt;&lt;D xsi:type="xsd:double"&gt;27.773739&lt;/D&gt;&lt;D xsi:type="xsd:double"&gt;22.20912&lt;/D&gt;&lt;D xsi:type="xsd:double"&gt;0.712955&lt;/D&gt;&lt;D xsi:type="xsd:double"&gt;12.181187&lt;/D&gt;&lt;D xsi:type="xsd:double"&gt;12.219214&lt;/D&gt;&lt;D xsi:type="xsd:double"&gt;11.660444&lt;/D&gt;&lt;D xsi:type="xsd:double"&gt;-4.0475903&lt;/D&gt;&lt;D xsi:type="xsd:double"&gt;-7.49765&lt;/D&gt;&lt;D xsi:type="xsd:double"&gt;-18.79161&lt;/D&gt;&lt;D xsi:type="xsd:double"&gt;-14.827818&lt;/D&gt;&lt;D xsi:type="xsd:double"&gt;-8.016926&lt;/D&gt;&lt;D xsi:type="xsd:double"&gt;-15.747637&lt;/D&gt;&lt;D xsi:type="xsd:double"&gt;-4.666209&lt;/D&gt;&lt;D xsi:type="xsd:double"&gt;-7.3428035&lt;/D&gt;&lt;D xsi:type="xsd:double"&gt;8.274042&lt;/D&gt;&lt;D xsi:type="xsd:double"&gt;0.13064146&lt;/D&gt;&lt;D xsi:type="xsd:double"&gt;-2.5300384&lt;/D&gt;&lt;D xsi:type="xsd:double"&gt;-0.22835135&lt;/D&gt;&lt;D xsi:type="xsd:double"&gt;10.263432&lt;/D&gt;&lt;D xsi:type="xsd:double"&gt;2.2287726&lt;/D&gt;&lt;D xsi:type="xsd:double"&gt;11.969482&lt;/D&gt;&lt;D xsi:type="xsd:double"&gt;-2.961719&lt;/D&gt;&lt;D xsi:type="xsd:double"&gt;-16.49658&lt;/D&gt;&lt;D xsi:type="xsd:double"&gt;-36.219425&lt;/D&gt;&lt;D xsi:type="xsd:double"&gt;-27.048647&lt;/D&gt;&lt;D xsi:type="xsd:double"&gt;-13.071066&lt;/D&gt;&lt;D xsi:type="xsd:double"&gt;-14.618004&lt;/D&gt;&lt;D xsi:type="xsd:double"&gt;-9.956825&lt;/D&gt;&lt;D xsi:type="xsd:double"&gt;-3.846705&lt;/D&gt;&lt;D xsi:type="xsd:double"&gt;-6.3598814&lt;/D&gt;&lt;D xsi:type="xsd:double"&gt;-6.660527&lt;/D&gt;&lt;D xsi:type="xsd:double"&gt;3.9303303&lt;/D&gt;&lt;D xsi:type="xsd:double"&gt;9.527624&lt;/D&gt;&lt;D xsi:type="xsd:double"&gt;18.703604&lt;/D&gt;&lt;D xsi:type="xsd:double"&gt;24.765718&lt;/D&gt;&lt;D xsi:type="xsd:double"&gt;80.32093&lt;/D&gt;&lt;D xsi:type="xsd:double"&gt;57.08878&lt;/D&gt;&lt;D xsi:type="xsd:double"&gt;44.280697&lt;/D&gt;&lt;D xsi:type="xsd:double"&gt;51.786434&lt;/D&gt;&lt;D xsi:type="xsd:double"&gt;38.80613&lt;/D&gt;&lt;D xsi:type="xsd:double"&gt;36.500786&lt;/D&gt;&lt;D xsi:type="xsd:double"&gt;29.154491&lt;/D&gt;&lt;D xsi:type="xsd:double"&gt;31.203222&lt;/D&gt;&lt;D xsi:type="xsd:double"&gt;24.496185&lt;/D&gt;&lt;D xsi:type="xsd:double"&gt;23.292053&lt;/D&gt;&lt;D xsi:type="xsd:double"&gt;11.029112&lt;/D&gt;&lt;D xsi:type="xsd:double"&gt;13.634396&lt;/D&gt;&lt;D xsi:type="xsd:double"&gt;5.376518&lt;/D&gt;&lt;D xsi:type="xsd:double"&gt;-8.362466&lt;/D&gt;&lt;D xsi:type="xsd:double"&gt;-20.074814&lt;/D&gt;&lt;D xsi:type="xsd:double"&gt;-30.270874&lt;/D&gt;&lt;D xsi:type="xsd:double"&gt;-22.738665&lt;/D&gt;&lt;D xsi:type="xsd:double"&gt;-23.770386&lt;/D&gt;&lt;D xsi:type="xsd:double"&gt;-32.33319&lt;/D&gt;&lt;D xsi:type="xsd:double"&gt;-43.580418&lt;/D&gt;&lt;D xsi:type="xsd:double"&gt;-37.720734&lt;/D&gt;&lt;D xsi:type="xsd:double"&gt;-41.91188&lt;/D&gt;&lt;D xsi:type="xsd:double"&gt;-37.32163&lt;/D&gt;&lt;D xsi:type="xsd:double"&gt;-40.83754&lt;/D&gt;&lt;D xsi:type="xsd:double"&gt;-35.544205&lt;/D&gt;&lt;D xsi:type="xsd:double"&gt;-29.6502&lt;/D&gt;&lt;D xsi:type="xsd:double"&gt;-18.97137&lt;/D&gt;&lt;D xsi:type="xsd:double"&gt;-7.3561788&lt;/D&gt;&lt;D xsi:type="xsd:double"&gt;-0.25138855&lt;/D&gt;&lt;D xsi:type="xsd:double"&gt;0.21067858&lt;/D&gt;&lt;D xsi:type="xsd:double"&gt;3.450954&lt;/D&gt;&lt;D xsi:type="xsd:double"&gt;11.192978&lt;/D&gt;&lt;D xsi:type="xsd:double"&gt;6.835234&lt;/D&gt;&lt;D xsi:type="xsd:double"&gt;10.035539&lt;/D&gt;&lt;D xsi:type="xsd:double"&gt;8.803391&lt;/D&gt;&lt;D xsi:type="xsd:double"&gt;23.757685&lt;/D&gt;&lt;/FQL&gt;&lt;FQL&gt;&lt;Q&gt;EWM^FMA_DIV_YLD(NTMA,-10AY,0,AM,"PORTAGG","MEANR")&lt;/Q&gt;&lt;R&gt;121&lt;/R&gt;&lt;C&gt;1&lt;/C&gt;&lt;D xsi:type="xsd:double"&gt;3.13402831445942&lt;/D&gt;&lt;D xsi:type="xsd:double"&gt;3.11995304183306&lt;/D&gt;&lt;D xsi:type="xsd:double"&gt;3.10712642674051&lt;/D&gt;&lt;D xsi:type="xsd:double"&gt;3.12318700703081&lt;/D&gt;&lt;D xsi:type="xsd:double"&gt;3.12262388544524&lt;/D&gt;&lt;D xsi:type="xsd:double"&gt;3.15695965179843&lt;/D&gt;&lt;D xsi:type="xsd:double"&gt;3.12077301066678&lt;/D&gt;&lt;D xsi:type="xsd:double"&gt;3.20856720109384&lt;/D&gt;&lt;D xsi:type="xsd:double"&gt;3.20921205885262&lt;/D&gt;&lt;D xsi:type="xsd:double"&gt;3.34350638376182&lt;/D&gt;&lt;D xsi:type="xsd:double"&gt;3.31433153802784&lt;/D&gt;&lt;D xsi:type="xsd:double"&gt;3.22958217780747&lt;/D&gt;&lt;D xsi:type="xsd:double"&gt;3.13990146970396&lt;/D&gt;&lt;D xsi:type="xsd:double"&gt;3.15392872983743&lt;/D&gt;&lt;D xsi:type="xsd:double"&gt;3.1493660898767&lt;/D&gt;&lt;D xsi:type="xsd:double"&gt;3.2438569923412&lt;/D&gt;&lt;D xsi:type="xsd:double"&gt;3.2594032098575&lt;/D&gt;&lt;D xsi:type="xsd:double"&gt;3.27331299588846&lt;/D&gt;&lt;D xsi:type="xsd:double"&gt;3.52012243173695&lt;/D&gt;&lt;D xsi:type="xsd:double"&gt;3.39817448656519&lt;/D&gt;&lt;D xsi:type="xsd:double"&gt;3.26788184982274&lt;/D&gt;&lt;D xsi:type="xsd:double"&gt;3.28314933063496&lt;/D&gt;&lt;D xsi:type="xsd:double"&gt;3.32015960187959&lt;/D&gt;&lt;D xsi:type="xsd:double"&gt;3.26046483285895&lt;/D&gt;&lt;D xsi:type="xsd:double"&gt;3.10481167206684&lt;/D&gt;&lt;D xsi:type="xsd:double"&gt;3.03153800615455&lt;/D&gt;&lt;D xsi:type="xsd:double"&gt;3.16932450986036&lt;/D&gt;&lt;D xsi:type="xsd:double"&gt;3.07996690417152&lt;/D&gt;&lt;D xsi:type="xsd:double"&gt;3.0577501382467&lt;/D&gt;&lt;D xsi:type="xsd:double"&gt;3.01081280206452&lt;/D&gt;&lt;D xsi:type="xsd:double"&gt;2.94396318544016&lt;/D&gt;&lt;D xsi:type="xsd:double"&gt;2.96915793809975&lt;/D&gt;&lt;D xsi:type="xsd:double"&gt;2.9873959217737&lt;/D&gt;&lt;D xsi:type="xsd:double"&gt;3.00194337582839&lt;/D&gt;&lt;D xsi:type="xsd:double"&gt;3.01669625800829&lt;/D&gt;&lt;D xsi:type="xsd:double"&gt;2.98886934987591&lt;/D&gt;&lt;D xsi:type="xsd:double"&gt;3.00024777388668&lt;/D&gt;&lt;D xsi:type="xsd:double"&gt;2.96396254149874&lt;/D&gt;&lt;D xsi:type="xsd:double"&gt;2.96025710489655&lt;/D&gt;&lt;D xsi:type="xsd:double"&gt;3.01142436995719&lt;/D&gt;&lt;D xsi:type="xsd:double"&gt;3.02793261231353&lt;/D&gt;&lt;D xsi:type="xsd:double"&gt;3.02851573579058&lt;/D&gt;&lt;D xsi:type="xsd:double"&gt;3.02214697801929&lt;/D&gt;&lt;D xsi:type="xsd:double"&gt;3.08036186364705&lt;/D&gt;&lt;D xsi:type="xsd:double"&gt;3.21092723300044&lt;/D&gt;&lt;D xsi:type="xsd:double"&gt;3.29279852714413&lt;/D&gt;&lt;D xsi:type="xsd:double"&gt;3.13877368370347&lt;/D&gt;&lt;D xsi:type="xsd:double"&gt;3.06566882841655&lt;/D&gt;&lt;D xsi:type="xsd:double"&gt;3.16907630241934&lt;/D&gt;&lt;D xsi:type="xsd:double"&gt;3.26381308213837&lt;/D&gt;&lt;D xsi:type="xsd:double"&gt;3.22659529775308&lt;/D&gt;&lt;D xsi:type="xsd:double"&gt;3.26674721731321&lt;/D&gt;&lt;D xsi:type="xsd:double"&gt;3.39860993320689&lt;/D&gt;&lt;D xsi:type="xsd:double"&gt;3.20632002856089&lt;/D&gt;&lt;D xsi:type="xsd:double"&gt;3.15671601152179&lt;/D&gt;&lt;D xsi:type="xsd:double"&gt;3.23218917706069&lt;/D&gt;&lt;D xsi:type="xsd:double"&gt;3.37091715381114&lt;/D&gt;&lt;D xsi:type="xsd:double"&gt;3.30876929698448&lt;/D&gt;&lt;D xsi:type="xsd:double"&gt;3.32142773726388&lt;/D&gt;&lt;D xsi:type="xsd:double"&gt;3.2782643672053&lt;/D&gt;&lt;D xsi:type="xsd:double"&gt;3.29649878266594&lt;/D&gt;&lt;D xsi:type="xsd:double"&gt;3.37544071498456&lt;/D&gt;&lt;D xsi:type="xsd:double"&gt;3.38863595503034&lt;/D&gt;&lt;D xsi:type="xsd:double"&gt;3.33729627479517&lt;/D&gt;&lt;D xsi:type="xsd:double"&gt;3.38576392773991&lt;/D&gt;&lt;D xsi:type="xsd:double"&gt;3.46846070801204&lt;/D&gt;&lt;D xsi:type="xsd:double"&gt;3.50926157913504&lt;/D&gt;&lt;D xsi:type="xsd:double"&gt;3.60273854562233&lt;/D&gt;&lt;D xsi:type="xsd:double"&gt;3.48477579009704&lt;/D&gt;&lt;D xsi:type="xsd:double"&gt;3.54160479074508&lt;/D&gt;&lt;D xsi:type="xsd:double"&gt;3.42717598934066&lt;/D&gt;&lt;D xsi:type="xsd:double"&gt;3.62009251577053&lt;/D&gt;&lt;D xsi:type="xsd:double"&gt;3.73269905006751&lt;/D&gt;&lt;D xsi:type="xsd:double"&gt;4.06163628295628&lt;/D&gt;&lt;D xsi:type="xsd:double"&gt;3.75941788932128&lt;/D&gt;&lt;D xsi:type="xsd:double"&gt;3.00197269604541&lt;/D&gt;&lt;D xsi:type="xsd:double"&gt;3.05371770178362&lt;/D&gt;&lt;D xsi:type="xsd:double"&gt;3.0914677705182&lt;/D&gt;&lt;D xsi:type="xsd:double"&gt;3.14915789208374&lt;/D&gt;&lt;D xsi:type="xsd:double"&gt;3.29439819694926&lt;/D&gt;&lt;D xsi:type="xsd:double"&gt;3.55730544065153&lt;/D&gt;&lt;D xsi:type="xsd:double"&gt;3.42341386623144&lt;/D&gt;&lt;D xsi:type="xsd:double"&gt;3.71615165438849&lt;/D&gt;&lt;D xsi:type="xsd:double"&gt;3.82607397246555&lt;/D&gt;&lt;D xsi:type="xsd:double"&gt;4.00091432860639&lt;/D&gt;&lt;D xsi:type="xsd:double"&gt;4.05933205277505&lt;/D&gt;&lt;D xsi:type="xsd:double"&gt;4.01682159365549&lt;/D&gt;&lt;D xsi:type="xsd:double"&gt;4.15179832995741&lt;/D&gt;&lt;D xsi:type="xsd:double"&gt;4.21567462825211&lt;/D&gt;&lt;D xsi:type="xsd:double"&gt;4.30300209010121&lt;/D&gt;&lt;D xsi:type="xsd:double"&gt;4.00782422264451&lt;/D&gt;&lt;D xsi:type="xsd:double"&gt;4.08194550849246&lt;/D&gt;&lt;D xsi:type="xsd:double"&gt;3.97546999703582&lt;/D&gt;&lt;D xsi:type="xsd:double"&gt;3.96605940647568&lt;/D&gt;&lt;D xsi:type="xsd:double"&gt;3.76794385080381&lt;/D&gt;&lt;D xsi:type="xsd:double"&gt;3.86716577950849&lt;/D&gt;&lt;D xsi:type="xsd:double"&gt;3.77627656447403&lt;/D&gt;&lt;D xsi:type="xsd:double"&gt;3.78299541016406&lt;/D&gt;&lt;D xsi:type="xsd:double"&gt;3.83064955295423&lt;/D&gt;&lt;D xsi:type="xsd:double"&gt;3.97398576907036&lt;/D&gt;&lt;D xsi:type="xsd:double"&gt;4.18217664488216&lt;/D&gt;&lt;D xsi:type="xsd:double"&gt;4.03374644645574&lt;/D&gt;&lt;D xsi:type="xsd:double"&gt;4.12018359091496&lt;/D&gt;&lt;D xsi:type="xsd:double"&gt;4.37583362322183&lt;/D&gt;&lt;D xsi:type="xsd:double"&gt;4.29831617074155&lt;/D&gt;&lt;D xsi:type="xsd:double"&gt;4.17422721783257&lt;/D&gt;&lt;D xsi:type="xsd:double"&gt;4.25765994128516&lt;/D&gt;&lt;D xsi:type="xsd:double"&gt;4.21883345948946&lt;/D&gt;&lt;D xsi:type="xsd:double"&gt;4.37652647988682&lt;/D&gt;&lt;D xsi:type="xsd:double"&gt;4.41122160834263&lt;/D&gt;&lt;D xsi:type="xsd:double"&gt;4.40961043908035&lt;/D&gt;&lt;D xsi:type="xsd:double"&gt;4.4571459764954&lt;/D&gt;&lt;D xsi:type="xsd:double"&gt;4.42059450462336&lt;/D&gt;&lt;D xsi:type="xsd:double"&gt;4.28195646813085&lt;/D&gt;&lt;D xsi:type="xsd:double"&gt;4.24340427802819&lt;/D&gt;&lt;D xsi:type="xsd:double"&gt;4.3864046068988&lt;/D&gt;&lt;D xsi:type="xsd:double"&gt;4.29802375321324&lt;/D&gt;&lt;D xsi:type="xsd:double"&gt;4.30556651230863&lt;/D&gt;&lt;D xsi:type="xsd:double"&gt;4.26490396149557&lt;/D&gt;&lt;D xsi:type="xsd:double"&gt;4.21653067778778&lt;/D&gt;&lt;D xsi:type="xsd:double"&gt;4.1210936331915&lt;/D&gt;&lt;/FQL&gt;&lt;FQL&gt;&lt;Q&gt;CPALM-FDS^FG_PRICE_MAVG(0,,,,30)&lt;/Q&gt;&lt;R&gt;1&lt;/R&gt;&lt;C&gt;1&lt;/C&gt;&lt;D xsi:type="xsd:double"&gt;3942.3333&lt;/D&gt;&lt;/FQL&gt;&lt;FQL&gt;&lt;Q&gt;EZA^FMA_PCT_ABOVE_MAVG(200,0,,,,"PORTAGG")&lt;/Q&gt;&lt;R&gt;1&lt;/R&gt;&lt;C&gt;1&lt;/C&gt;&lt;D xsi:type="xsd:double"&gt;45.4545454545455&lt;/D&gt;&lt;/FQL&gt;&lt;FQL&gt;&lt;Q&gt;CC_MY^FG_COMPANY_NAME&lt;/Q&gt;&lt;R&gt;1&lt;/R&gt;&lt;C&gt;1&lt;/C&gt;&lt;D xsi:type="xsd:string"&gt;Malaysia&lt;/D&gt;&lt;/FQL&gt;&lt;FQL&gt;&lt;Q&gt;USDPLN^STD(FG_PRICE_CHANGE(0,-1AY,AM))&lt;/Q&gt;&lt;R&gt;1&lt;/R&gt;&lt;C&gt;1&lt;/C&gt;&lt;D xsi:type="xsd:double"&gt;3.2109010037492&lt;/D&gt;&lt;/FQL&gt;&lt;FQL&gt;&lt;Q&gt;GREK^P_PRICE_RETURNS_PR('52W',2,-10AY,0,AM)&lt;/Q&gt;&lt;R&gt;121&lt;/R&gt;&lt;C&gt;1&lt;/C&gt;&lt;D xsi:type="xsd:double"&gt;38.620853&lt;/D&gt;&lt;D xsi:type="xsd:double"&gt;68.868576&lt;/D&gt;&lt;D xsi:type="xsd:double"&gt;27.917957&lt;/D&gt;&lt;D xsi:type="xsd:double"&gt;34.222244&lt;/D&gt;&lt;D xsi:type="xsd:double"&gt;56.000053&lt;/D&gt;&lt;D xsi:type="xsd:double"&gt;22.151434&lt;/D&gt;&lt;D xsi:type="xsd:double"&gt;21.130741&lt;/D&gt;&lt;D xsi:type="xsd:double"&gt;-8.566737&lt;/D&gt;&lt;D xsi:type="xsd:double"&gt;-26.27818&lt;/D&gt;&lt;D xsi:type="xsd:double"&gt;-25.347244&lt;/D&gt;&lt;D xsi:type="xsd:double"&gt;-38.980877&lt;/D&gt;&lt;D xsi:type="xsd:double"&gt;-45.987946&lt;/D&gt;&lt;D xsi:type="xsd:double"&gt;-49.180424&lt;/D&gt;&lt;D xsi:type="xsd:double"&gt;-55.059937&lt;/D&gt;&lt;D xsi:type="xsd:double"&gt;-47.43167&lt;/D&gt;&lt;D xsi:type="xsd:double"&gt;-47.968586&lt;/D&gt;&lt;D xsi:type="xsd:double"&gt;-52.973907&lt;/D&gt;&lt;D xsi:type="xsd:double"&gt;-54.340706&lt;/D&gt;&lt;D xsi:type="xsd:double"&gt;-55.316933&lt;/D&gt;&lt;D xsi:type="xsd:double"&gt;-46.674503&lt;/D&gt;&lt;D xsi:type="xsd:double"&gt;-35.38863&lt;/D&gt;&lt;D xsi:type="xsd:double"&gt;-49.380566&lt;/D&gt;&lt;D xsi:type="xsd:double"&gt;-40.466183&lt;/D&gt;&lt;D xsi:type="xsd:double"&gt;-43.627155&lt;/D&gt;&lt;D xsi:type="xsd:double"&gt;-41.81999&lt;/D&gt;&lt;D xsi:type="xsd:double"&gt;-33.617794&lt;/D&gt;&lt;D xsi:type="xsd:double"&gt;-33.53418&lt;/D&gt;&lt;D xsi:type="xsd:double"&gt;-31.201195&lt;/D&gt;&lt;D xsi:type="xsd:double"&gt;-32.915836&lt;/D&gt;&lt;D xsi:type="xsd:double"&gt;-24.647925999999998&lt;/D&gt;&lt;D xsi:type="xsd:double"&gt;-17.729795&lt;/D&gt;&lt;D xsi:type="xsd:double"&gt;-23.21828&lt;/D&gt;&lt;D xsi:type="xsd:double"&gt;-29.987865&lt;/D&gt;&lt;D xsi:type="xsd:double"&gt;-6.6734734&lt;/D&gt;&lt;D xsi:type="xsd:double"&gt;3.1120539&lt;/D&gt;&lt;D xsi:type="xsd:double"&gt;15.952444&lt;/D&gt;&lt;D xsi:type="xsd:double"&gt;12.430107&lt;/D&gt;&lt;D xsi:type="xsd:double"&gt;12.618982&lt;/D&gt;&lt;D xsi:type="xsd:double"&gt;20.929993&lt;/D&gt;&lt;D xsi:type="xsd:double"&gt;18.201946&lt;/D&gt;&lt;D xsi:type="xsd:double"&gt;48.041534&lt;/D&gt;&lt;D xsi:type="xsd:double"&gt;49.893784&lt;/D&gt;&lt;D xsi:type="xsd:double"&gt;39.141273&lt;/D&gt;&lt;D xsi:type="xsd:double"&gt;30.755054&lt;/D&gt;&lt;D xsi:type="xsd:double"&gt;32.990326&lt;/D&gt;&lt;D xsi:type="xsd:double"&gt;20.455276&lt;/D&gt;&lt;D xsi:type="xsd:double"&gt;33.21955&lt;/D&gt;&lt;D xsi:type="xsd:double"&gt;47.857346&lt;/D&gt;&lt;D xsi:type="xsd:double"&gt;34.00867&lt;/D&gt;&lt;D xsi:type="xsd:double"&gt;24.243904&lt;/D&gt;&lt;D xsi:type="xsd:double"&gt;13.512492&lt;/D&gt;&lt;D xsi:type="xsd:double"&gt;-1.523608&lt;/D&gt;&lt;D xsi:type="xsd:double"&gt;-9.453917&lt;/D&gt;&lt;D xsi:type="xsd:double"&gt;-10.821671&lt;/D&gt;&lt;D xsi:type="xsd:double"&gt;-16.949451&lt;/D&gt;&lt;D xsi:type="xsd:double"&gt;-11.394691&lt;/D&gt;&lt;D xsi:type="xsd:double"&gt;-18.701136&lt;/D&gt;&lt;D xsi:type="xsd:double"&gt;-15.833825&lt;/D&gt;&lt;D xsi:type="xsd:double"&gt;-31.763727&lt;/D&gt;&lt;D xsi:type="xsd:double"&gt;-32.248817&lt;/D&gt;&lt;D xsi:type="xsd:double"&gt;-21.81388&lt;/D&gt;&lt;D xsi:type="xsd:double"&gt;-13.472038&lt;/D&gt;&lt;D xsi:type="xsd:double"&gt;-16.587013&lt;/D&gt;&lt;D xsi:type="xsd:double"&gt;-1.577568&lt;/D&gt;&lt;D xsi:type="xsd:double"&gt;11.084854&lt;/D&gt;&lt;D xsi:type="xsd:double"&gt;7.1712494&lt;/D&gt;&lt;D xsi:type="xsd:double"&gt;12.565958&lt;/D&gt;&lt;D xsi:type="xsd:double"&gt;14.711618&lt;/D&gt;&lt;D xsi:type="xsd:double"&gt;36.705338&lt;/D&gt;&lt;D xsi:type="xsd:double"&gt;31.581402&lt;/D&gt;&lt;D xsi:type="xsd:double"&gt;50.387264&lt;/D&gt;&lt;D xsi:type="xsd:double"&gt;32.029106&lt;/D&gt;&lt;D xsi:type="xsd:double"&gt;4.787779&lt;/D&gt;&lt;D xsi:type="xsd:double"&gt;-35.03063&lt;/D&gt;&lt;D xsi:type="xsd:double"&gt;-27.784431&lt;/D&gt;&lt;D xsi:type="xsd:double"&gt;-23.308681&lt;/D&gt;&lt;D xsi:type="xsd:double"&gt;-29.153835&lt;/D&gt;&lt;D xsi:type="xsd:double"&gt;-27.346104&lt;/D&gt;&lt;D xsi:type="xsd:double"&gt;-21.78939&lt;/D&gt;&lt;D xsi:type="xsd:double"&gt;-23.93037&lt;/D&gt;&lt;D xsi:type="xsd:double"&gt;-35.83177&lt;/D&gt;&lt;D xsi:type="xsd:double"&gt;-9.591282&lt;/D&gt;&lt;D xsi:type="xsd:double"&gt;-12.249147&lt;/D&gt;&lt;D xsi:type="xsd:double"&gt;-15.207356&lt;/D&gt;&lt;D xsi:type="xsd:double"&gt;8.52865&lt;/D&gt;&lt;D xsi:type="xsd:double"&gt;76.78329&lt;/D&gt;&lt;D xsi:type="xsd:double"&gt;60.595047&lt;/D&gt;&lt;D xsi:type="xsd:double"&gt;47.800148&lt;/D&gt;&lt;D xsi:type="xsd:double"&gt;43.180622&lt;/D&gt;&lt;D xsi:type="xsd:double"&gt;41.043724&lt;/D&gt;&lt;D xsi:type="xsd:double"&gt;45.498646&lt;/D&gt;&lt;D xsi:type="xsd:double"&gt;40.32016&lt;/D&gt;&lt;D xsi:type="xsd:double"&gt;53.384853&lt;/D&gt;&lt;D xsi:type="xsd:double"&gt;8.018923&lt;/D&gt;&lt;D xsi:type="xsd:double"&gt;5.959618&lt;/D&gt;&lt;D xsi:type="xsd:double"&gt;25.786448&lt;/D&gt;&lt;D xsi:type="xsd:double"&gt;-1.9970298&lt;/D&gt;&lt;D xsi:type="xsd:double"&gt;2.9818177&lt;/D&gt;&lt;D xsi:type="xsd:double"&gt;-2.3554862&lt;/D&gt;&lt;D xsi:type="xsd:double"&gt;-4.8117757&lt;/D&gt;&lt;D xsi:type="xsd:double"&gt;-15.121299&lt;/D&gt;&lt;D xsi:type="xsd:double"&gt;-10.665905&lt;/D&gt;&lt;D xsi:type="xsd:double"&gt;-20.319695&lt;/D&gt;&lt;D xsi:type="xsd:double"&gt;-14.690882&lt;/D&gt;&lt;D xsi:type="xsd:double"&gt;-10.327726&lt;/D&gt;&lt;D xsi:type="xsd:double"&gt;3.2660007&lt;/D&gt;&lt;D xsi:type="xsd:double"&gt;4.248476&lt;/D&gt;&lt;D xsi:type="xsd:double"&gt;8.209908&lt;/D&gt;&lt;D xsi:type="xsd:double"&gt;31.136477&lt;/D&gt;&lt;D xsi:type="xsd:double"&gt;16.347408&lt;/D&gt;&lt;D xsi:type="xsd:double"&gt;21.30444&lt;/D&gt;&lt;D xsi:type="xsd:double"&gt;30.56339&lt;/D&gt;&lt;D xsi:type="xsd:double"&gt;66.213585&lt;/D&gt;&lt;D xsi:type="xsd:double"&gt;62.607216&lt;/D&gt;&lt;D xsi:type="xsd:double"&gt;64.499756&lt;/D&gt;&lt;D xsi:type="xsd:double"&gt;46.84509&lt;/D&gt;&lt;D xsi:type="xsd:double"&gt;53.026318&lt;/D&gt;&lt;D xsi:type="xsd:double"&gt;44.246937&lt;/D&gt;&lt;D xsi:type="xsd:double"&gt;41.693783&lt;/D&gt;&lt;D xsi:type="xsd:double"&gt;32.647453&lt;/D&gt;&lt;D xsi:type="xsd:double"&gt;28.857958&lt;/D&gt;&lt;/FQL&gt;&lt;FQL&gt;&lt;Q&gt;EPU^FMA_DIV_YLD(NTMA,-10AY,0,AM,"PORTAGG","MEANR")&lt;/Q&gt;&lt;R&gt;121&lt;/R&gt;&lt;C&gt;1&lt;/C&gt;&lt;D xsi:type="xsd:double"&gt;2.65703123405958&lt;/D&gt;&lt;D xsi:type="xsd:double"&gt;2.61913271431949&lt;/D&gt;&lt;D xsi:type="xsd:double"&gt;2.5275391146666&lt;/D&gt;&lt;D xsi:type="xsd:double"&gt;2.33679635501887&lt;/D&gt;&lt;D xsi:type="xsd:double"&gt;2.16646307729116&lt;/D&gt;&lt;D xsi:type="xsd:double"&gt;2.12390650808908&lt;/D&gt;&lt;D xsi:type="xsd:double"&gt;2.11388204959425&lt;/D&gt;&lt;D xsi:type="xsd:double"&gt;2.27479972547513&lt;/D&gt;&lt;D xsi:type="xsd:double"&gt;2.25325584227272&lt;/D&gt;&lt;D xsi:type="xsd:double"&gt;2.02822275721024&lt;/D&gt;&lt;D xsi:type="xsd:double"&gt;2.1362845338949&lt;/D&gt;&lt;D xsi:type="xsd:double"&gt;2.18973128015426&lt;/D&gt;&lt;D xsi:type="xsd:double"&gt;2.22855698781796&lt;/D&gt;&lt;D xsi:type="xsd:double"&gt;2.37263537347733&lt;/D&gt;&lt;D xsi:type="xsd:double"&gt;1.86831297716611&lt;/D&gt;&lt;D xsi:type="xsd:double"&gt;1.89217138423143&lt;/D&gt;&lt;D xsi:type="xsd:double"&gt;1.99453272198696&lt;/D&gt;&lt;D xsi:type="xsd:double"&gt;2.09564085721493&lt;/D&gt;&lt;D xsi:type="xsd:double"&gt;2.40450933599332&lt;/D&gt;&lt;D xsi:type="xsd:double"&gt;2.50666166930727&lt;/D&gt;&lt;D xsi:type="xsd:double"&gt;2.30824313872436&lt;/D&gt;&lt;D xsi:type="xsd:double"&gt;2.38320390469967&lt;/D&gt;&lt;D xsi:type="xsd:double"&gt;2.66347140746372&lt;/D&gt;&lt;D xsi:type="xsd:double"&gt;2.61259574366568&lt;/D&gt;&lt;D xsi:type="xsd:double"&gt;2.17438681968397&lt;/D&gt;&lt;D xsi:type="xsd:double"&gt;2.16247516924119&lt;/D&gt;&lt;D xsi:type="xsd:double"&gt;1.78863517622462&lt;/D&gt;&lt;D xsi:type="xsd:double"&gt;1.88372295716988&lt;/D&gt;&lt;D xsi:type="xsd:double"&gt;1.78395182041684&lt;/D&gt;&lt;D xsi:type="xsd:double"&gt;1.60319212744836&lt;/D&gt;&lt;D xsi:type="xsd:double"&gt;1.4400715239378&lt;/D&gt;&lt;D xsi:type="xsd:double"&gt;1.59907235185362&lt;/D&gt;&lt;D xsi:type="xsd:double"&gt;1.81710141126839&lt;/D&gt;&lt;D xsi:type="xsd:double"&gt;1.98121855254127&lt;/D&gt;&lt;D xsi:type="xsd:double"&gt;2.23844152265697&lt;/D&gt;&lt;D xsi:type="xsd:double"&gt;1.96553199715112&lt;/D&gt;&lt;D xsi:type="xsd:double"&gt;1.99106641096681&lt;/D&gt;&lt;D xsi:type="xsd:double"&gt;1.99213559984946&lt;/D&gt;&lt;D xsi:type="xsd:double"&gt;2.06318072164154&lt;/D&gt;&lt;D xsi:type="xsd:double"&gt;2.28189549375542&lt;/D&gt;&lt;D xsi:type="xsd:double"&gt;2.28176630368352&lt;/D&gt;&lt;D xsi:type="xsd:double"&gt;2.30819387227052&lt;/D&gt;&lt;D xsi:type="xsd:double"&gt;2.02633958431685&lt;/D&gt;&lt;D xsi:type="xsd:double"&gt;2.23617319296614&lt;/D&gt;&lt;D xsi:type="xsd:double"&gt;2.25502290873593&lt;/D&gt;&lt;D xsi:type="xsd:double"&gt;2.81241745040501&lt;/D&gt;&lt;D xsi:type="xsd:double"&gt;2.63789888392769&lt;/D&gt;&lt;D xsi:type="xsd:double"&gt;2.50554115404332&lt;/D&gt;&lt;D xsi:type="xsd:double"&gt;2.32799203186567&lt;/D&gt;&lt;D xsi:type="xsd:double"&gt;2.10413888199359&lt;/D&gt;&lt;D xsi:type="xsd:double"&gt;2.09212199495295&lt;/D&gt;&lt;D xsi:type="xsd:double"&gt;4.64692559766146&lt;/D&gt;&lt;D xsi:type="xsd:double"&gt;2.06695961129914&lt;/D&gt;&lt;D xsi:type="xsd:double"&gt;4.23374181721607&lt;/D&gt;&lt;D xsi:type="xsd:double"&gt;2.47469017089606&lt;/D&gt;&lt;D xsi:type="xsd:double"&gt;2.31918913966976&lt;/D&gt;&lt;D xsi:type="xsd:double"&gt;2.51663320185564&lt;/D&gt;&lt;D xsi:type="xsd:double"&gt;2.25366530048881&lt;/D&gt;&lt;D xsi:type="xsd:double"&gt;2.40492850813228&lt;/D&gt;&lt;D xsi:type="xsd:double"&gt;2.06404618969261&lt;/D&gt;&lt;D xsi:type="xsd:double"&gt;2.20872473910935&lt;/D&gt;&lt;D xsi:type="xsd:double"&gt;2.23631467691896&lt;/D&gt;&lt;D xsi:type="xsd:double"&gt;2.50195112764969&lt;/D&gt;&lt;D xsi:type="xsd:double"&gt;2.72137911084815&lt;/D&gt;&lt;D xsi:type="xsd:double"&gt;2.66104137241774&lt;/D&gt;&lt;D xsi:type="xsd:double"&gt;2.88804417929997&lt;/D&gt;&lt;D xsi:type="xsd:double"&gt;2.92521427124829&lt;/D&gt;&lt;D xsi:type="xsd:double"&gt;3.09256591126967&lt;/D&gt;&lt;D xsi:type="xsd:double"&gt;2.93625890689277&lt;/D&gt;&lt;D xsi:type="xsd:double"&gt;2.85135609633695&lt;/D&gt;&lt;D xsi:type="xsd:double"&gt;2.57665163218833&lt;/D&gt;&lt;D xsi:type="xsd:double"&gt;2.85798756703908&lt;/D&gt;&lt;D xsi:type="xsd:double"&gt;3.1555436762982&lt;/D&gt;&lt;D xsi:type="xsd:double"&gt;4.59737765582522&lt;/D&gt;&lt;D xsi:type="xsd:double"&gt;3.36418168632485&lt;/D&gt;&lt;D xsi:type="xsd:double"&gt;3.18496372022543&lt;/D&gt;&lt;D xsi:type="xsd:double"&gt;3.15020173955314&lt;/D&gt;&lt;D xsi:type="xsd:double"&gt;2.85609992005815&lt;/D&gt;&lt;D xsi:type="xsd:double"&gt;2.55712417124344&lt;/D&gt;&lt;D xsi:type="xsd:double"&gt;2.67213500673366&lt;/D&gt;&lt;D xsi:type="xsd:double"&gt;2.50689992640073&lt;/D&gt;&lt;D xsi:type="xsd:double"&gt;1.77546874247674&lt;/D&gt;&lt;D xsi:type="xsd:double"&gt;1.6351144532276&lt;/D&gt;&lt;D xsi:type="xsd:double"&gt;1.67118414456433&lt;/D&gt;&lt;D xsi:type="xsd:double"&gt;1.8427828256766&lt;/D&gt;&lt;D xsi:type="xsd:double"&gt;2.14004631135925&lt;/D&gt;&lt;D xsi:type="xsd:double"&gt;2.43090749224176&lt;/D&gt;&lt;D xsi:type="xsd:double"&gt;2.41411323597489&lt;/D&gt;&lt;D xsi:type="xsd:double"&gt;2.83604947705328&lt;/D&gt;&lt;D xsi:type="xsd:double"&gt;3.37526145215511&lt;/D&gt;&lt;D xsi:type="xsd:double"&gt;3.51840670238073&lt;/D&gt;&lt;D xsi:type="xsd:double"&gt;3.71199768215749&lt;/D&gt;&lt;D xsi:type="xsd:double"&gt;3.71920241470206&lt;/D&gt;&lt;D xsi:type="xsd:double"&gt;4.01999975021907&lt;/D&gt;&lt;D xsi:type="xsd:double"&gt;4.04898137872701&lt;/D&gt;&lt;D xsi:type="xsd:double"&gt;3.83989076978921&lt;/D&gt;&lt;D xsi:type="xsd:double"&gt;3.20717677131288&lt;/D&gt;&lt;D xsi:type="xsd:double"&gt;3.57637615306917&lt;/D&gt;&lt;D xsi:type="xsd:double"&gt;4.21262983849423&lt;/D&gt;&lt;D xsi:type="xsd:double"&gt;4.58912519346609&lt;/D&gt;&lt;D xsi:type="xsd:double"&gt;5.14275570438848&lt;/D&gt;&lt;D xsi:type="xsd:double"&gt;5.46973932997961&lt;/D&gt;&lt;D xsi:type="xsd:double"&gt;5.19793506304837&lt;/D&gt;&lt;D xsi:type="xsd:double"&gt;4.87822302119949&lt;/D&gt;&lt;D xsi:type="xsd:double"&gt;4.2157788536439&lt;/D&gt;&lt;D xsi:type="xsd:double"&gt;3.68110396610617&lt;/D&gt;&lt;D xsi:type="xsd:double"&gt;3.73665753740127&lt;/D&gt;&lt;D xsi:type="xsd:double"&gt;3.83924595321971&lt;/D&gt;&lt;D xsi:type="xsd:double"&gt;4.35131137194315&lt;/D&gt;&lt;D xsi:type="xsd:double"&gt;4.84821166115977&lt;/D&gt;&lt;D xsi:type="xsd:double"&gt;4.80654246492071&lt;/D&gt;&lt;D xsi:type="xsd:double"&gt;5.15821258599428&lt;/D&gt;&lt;D xsi:type="xsd:double"&gt;4.92926492171688&lt;/D&gt;&lt;D xsi:type="xsd:double"&gt;4.29728886388692&lt;/D&gt;&lt;D xsi:type="xsd:double"&gt;4.64812636478899&lt;/D&gt;&lt;D xsi:type="xsd:double"&gt;5.21759250081987&lt;/D&gt;&lt;D xsi:type="xsd:double"&gt;4.81944760052458&lt;/D&gt;&lt;D xsi:type="xsd:double"&gt;3.99552265147279&lt;/D&gt;&lt;D xsi:type="xsd:double"&gt;3.52244277362479&lt;/D&gt;&lt;D xsi:type="xsd:double"&gt;3.53708873045448&lt;/D&gt;&lt;D xsi:type="xsd:double"&gt;3.83684774271498&lt;/D&gt;&lt;/FQL&gt;&lt;FQL&gt;&lt;Q&gt;CNYA^FMA_PE(LTMA,-10AY,0,AM,"PORTAGG","MEANR")&lt;/Q&gt;&lt;R&gt;121&lt;/R&gt;&lt;C&gt;1&lt;/C&gt;&lt;D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xsi:type="xsd:double"&gt;15.138751628164&lt;/D&gt;&lt;D xsi:type="xsd:double"&gt;14.9296569232706&lt;/D&gt;&lt;D xsi:type="xsd:double"&gt;15.2110633158182&lt;/D&gt;&lt;D xsi:type="xsd:double"&gt;15.0850781816058&lt;/D&gt;&lt;D xsi:type="xsd:double"&gt;14.9794405341805&lt;/D&gt;&lt;D xsi:type="xsd:double"&gt;15.0413608900365&lt;/D&gt;&lt;D xsi:type="xsd:double"&gt;15.3274356212603&lt;/D&gt;&lt;D xsi:type="xsd:double"&gt;15.2342005083557&lt;/D&gt;&lt;D xsi:type="xsd:double"&gt;15.6043898736033&lt;/D&gt;&lt;D xsi:type="xsd:double"&gt;15.6495140545358&lt;/D&gt;&lt;D xsi:type="xsd:double"&gt;16.0667845860207&lt;/D&gt;&lt;D xsi:type="xsd:double"&gt;15.8380535647022&lt;/D&gt;&lt;D xsi:type="xsd:double"&gt;16.3076308695192&lt;/D&gt;&lt;D xsi:type="xsd:double"&gt;16.4354030529086&lt;/D&gt;&lt;D xsi:type="xsd:double"&gt;15.2970177740928&lt;/D&gt;&lt;D xsi:type="xsd:double"&gt;14.9895828026131&lt;/D&gt;&lt;D xsi:type="xsd:double"&gt;14.4711273902853&lt;/D&gt;&lt;D xsi:type="xsd:double"&gt;14.3139500814439&lt;/D&gt;&lt;D xsi:type="xsd:double"&gt;13.4298446212934&lt;/D&gt;&lt;D xsi:type="xsd:double"&gt;12.7767972435104&lt;/D&gt;&lt;D xsi:type="xsd:double"&gt;12.7128201910195&lt;/D&gt;&lt;D xsi:type="xsd:double"&gt;12.6508469231929&lt;/D&gt;&lt;D xsi:type="xsd:double"&gt;12.0251472541632&lt;/D&gt;&lt;D xsi:type="xsd:double"&gt;11.7494792516318&lt;/D&gt;&lt;D xsi:type="xsd:double"&gt;10.7098585281728&lt;/D&gt;&lt;D xsi:type="xsd:double"&gt;11.4577364942197&lt;/D&gt;&lt;D xsi:type="xsd:double"&gt;12.7551017887783&lt;/D&gt;&lt;D xsi:type="xsd:double"&gt;12.838322247069&lt;/D&gt;&lt;D xsi:type="xsd:double"&gt;12.7096795396898&lt;/D&gt;&lt;D xsi:type="xsd:double"&gt;12.41718653328&lt;/D&gt;&lt;D xsi:type="xsd:double"&gt;12.836873204144&lt;/D&gt;&lt;D xsi:type="xsd:double"&gt;12.4643095981788&lt;/D&gt;&lt;D xsi:type="xsd:double"&gt;12.8472106847131&lt;/D&gt;&lt;D xsi:type="xsd:double"&gt;12.6748693927908&lt;/D&gt;&lt;D xsi:type="xsd:double"&gt;13.1106612920929&lt;/D&gt;&lt;D xsi:type="xsd:double"&gt;13.669817199153&lt;/D&gt;&lt;D xsi:type="xsd:double"&gt;14.8395793078427&lt;/D&gt;&lt;D xsi:type="xsd:double"&gt;13.6171252672158&lt;/D&gt;&lt;D xsi:type="xsd:double"&gt;14.3707301997624&lt;/D&gt;&lt;D xsi:type="xsd:double"&gt;14.026012929976&lt;/D&gt;&lt;D xsi:type="xsd:double"&gt;14.307519026563&lt;/D&gt;&lt;D xsi:type="xsd:double"&gt;14.5688185154863&lt;/D&gt;&lt;D xsi:type="xsd:double"&gt;15.2668028557563&lt;/D&gt;&lt;D xsi:type="xsd:double"&gt;16.4594248431833&lt;/D&gt;&lt;D xsi:type="xsd:double"&gt;17.1089985427986&lt;/D&gt;&lt;D xsi:type="xsd:double"&gt;16.9132697341141&lt;/D&gt;&lt;D xsi:type="xsd:double"&gt;17.6938402262725&lt;/D&gt;&lt;D xsi:type="xsd:double"&gt;19.0704326403864&lt;/D&gt;&lt;D xsi:type="xsd:double"&gt;20.4326666792557&lt;/D&gt;&lt;D xsi:type="xsd:double"&gt;21.110068265102&lt;/D&gt;&lt;D xsi:type="xsd:double"&gt;20.0947234055898&lt;/D&gt;&lt;D xsi:type="xsd:double"&gt;19.6955186142463&lt;/D&gt;&lt;D xsi:type="xsd:double"&gt;19.3641810709973&lt;/D&gt;&lt;D xsi:type="xsd:double"&gt;19.4421393129509&lt;/D&gt;&lt;D xsi:type="xsd:double"&gt;19.0034027302662&lt;/D&gt;&lt;D xsi:type="xsd:double"&gt;18.3244889060055&lt;/D&gt;&lt;D xsi:type="xsd:double"&gt;18.0525867196702&lt;/D&gt;&lt;D xsi:type="xsd:double"&gt;17.7910524252209&lt;/D&gt;&lt;D xsi:type="xsd:double"&gt;17.855221622429&lt;/D&gt;&lt;D xsi:type="xsd:double"&gt;18.2544227345825&lt;/D&gt;&lt;D xsi:type="xsd:double"&gt;18.0629326031867&lt;/D&gt;&lt;D xsi:type="xsd:double"&gt;16.5158292461628&lt;/D&gt;&lt;D xsi:type="xsd:double"&gt;16.5874173532234&lt;/D&gt;&lt;D xsi:type="xsd:double"&gt;16.1963404286176&lt;/D&gt;&lt;D xsi:type="xsd:double"&gt;15.7850669413389&lt;/D&gt;&lt;D xsi:type="xsd:double"&gt;15.6454287732252&lt;/D&gt;&lt;D xsi:type="xsd:double"&gt;16.0335206798002&lt;/D&gt;&lt;D xsi:type="xsd:double"&gt;15.1681431162038&lt;/D&gt;&lt;D xsi:type="xsd:double"&gt;14.9480892509451&lt;/D&gt;&lt;D xsi:type="xsd:double"&gt;14.1721827072402&lt;/D&gt;&lt;D xsi:type="xsd:double"&gt;14.1840753645834&lt;/D&gt;&lt;D xsi:type="xsd:double"&gt;14.398747083813&lt;/D&gt;&lt;D xsi:type="xsd:double"&gt;14.0635024212894&lt;/D&gt;&lt;D xsi:type="xsd:double"&gt;14.9387026999649&lt;/D&gt;&lt;D xsi:type="xsd:double"&gt;14.6311810008415&lt;/D&gt;&lt;D xsi:type="xsd:double"&gt;14.4689853325477&lt;/D&gt;&lt;D xsi:type="xsd:double"&gt;14.3140481524153&lt;/D&gt;&lt;D xsi:type="xsd:double"&gt;14.0653114213301&lt;/D&gt;&lt;D xsi:type="xsd:double"&gt;13.9296616391485&lt;/D&gt;&lt;D xsi:type="xsd:double"&gt;14.0463601602958&lt;/D&gt;&lt;D xsi:type="xsd:double"&gt;13.9872069737675&lt;/D&gt;&lt;D xsi:type="xsd:double"&gt;13.6553624073923&lt;/D&gt;&lt;D xsi:type="xsd:double"&gt;13.6069777210965&lt;/D&gt;&lt;D xsi:type="xsd:double"&gt;13.4387401242006&lt;/D&gt;&lt;D xsi:type="xsd:double"&gt;13.0228235652905&lt;/D&gt;&lt;D xsi:type="xsd:double"&gt;12.1684716931972&lt;/D&gt;&lt;D xsi:type="xsd:double"&gt;13.6549531043246&lt;/D&gt;&lt;/FQL&gt;&lt;FQL&gt;&lt;Q&gt;EPOL^FG_PRICE_MAVG(0,,,,60)&lt;/Q&gt;&lt;R&gt;1&lt;/R&gt;&lt;C&gt;1&lt;/C&gt;&lt;D xsi:type="xsd:double"&gt;22.36075&lt;/D&gt;&lt;/FQL&gt;&lt;FQL&gt;&lt;Q&gt;KSA^FG_TOTAL_RETURNC(0,-3AM)&lt;/Q&gt;&lt;R&gt;1&lt;/R&gt;&lt;C&gt;1&lt;/C&gt;&lt;D xsi:</t>
        </r>
      </text>
    </comment>
    <comment ref="A21" authorId="0" shapeId="0" xr:uid="{2062246A-299A-40F4-B16A-211C78FA4413}">
      <text>
        <r>
          <rPr>
            <b/>
            <sz val="9"/>
            <color indexed="81"/>
            <rFont val="Tahoma"/>
            <family val="2"/>
          </rPr>
          <t>type="xsd:double"&gt;11.699116&lt;/D&gt;&lt;/FQL&gt;&lt;FQL&gt;&lt;Q&gt;USDEUR^FG_PRICE_CHANGE(0,-3AM)&lt;/Q&gt;&lt;R&gt;1&lt;/R&gt;&lt;C&gt;1&lt;/C&gt;&lt;D xsi:type="xsd:double"&gt;-0.44184327&lt;/D&gt;&lt;/FQL&gt;&lt;FQL&gt;&lt;Q&gt;CPALM-FDS^FG_PRICE(0)&lt;/Q&gt;&lt;R&gt;1&lt;/R&gt;&lt;C&gt;1&lt;/C&gt;&lt;D xsi:type="xsd:double"&gt;4017&lt;/D&gt;&lt;/FQL&gt;&lt;FQL&gt;&lt;Q&gt;MCHI^FG_PRICE_MAVG(0,,,,60)&lt;/Q&gt;&lt;R&gt;1&lt;/R&gt;&lt;C&gt;1&lt;/C&gt;&lt;D xsi:type="xsd:double"&gt;38.907333&lt;/D&gt;&lt;/FQL&gt;&lt;FQL&gt;&lt;Q&gt;EPHE^FG_PRICE_MAVG(0,,,,30)&lt;/Q&gt;&lt;R&gt;1&lt;/R&gt;&lt;C&gt;1&lt;/C&gt;&lt;D xsi:type="xsd:double"&gt;27.079&lt;/D&gt;&lt;/FQL&gt;&lt;FQL&gt;&lt;Q&gt;EWY^P_PRICE(0)/P_PRICE_HIGH_PR(0,,,USD,,,"PRICE","INTRA","52W")&lt;/Q&gt;&lt;R&gt;1&lt;/R&gt;&lt;C&gt;1&lt;/C&gt;&lt;D xsi:type="xsd:double"&gt;0.9654158&lt;/D&gt;&lt;/FQL&gt;&lt;FQL&gt;&lt;Q&gt;EWJ^PERCENT_CHANGE(FMA_EPS(+1,0,,,,"PORTAGG","MEAN"),FMA_EPS(+1,-1AM,,,,"PORTAGG","MEAN"))&lt;/Q&gt;&lt;R&gt;1&lt;/R&gt;&lt;C&gt;1&lt;/C&gt;&lt;D xsi:type="xsd:double"&gt;-10.0414784091281&lt;/D&gt;&lt;/FQL&gt;&lt;FQL&gt;&lt;Q&gt;VNM^FMA_RBICS_REV_CURRENT(30, LOC, "PORTAGG")&lt;/Q&gt;&lt;R&gt;1&lt;/R&gt;&lt;C&gt;1&lt;/C&gt;&lt;D xsi:type="xsd:double"&gt;55.231368279198&lt;/D&gt;&lt;/FQL&gt;&lt;FQL&gt;&lt;Q&gt;REFTR1WREPO-FDS^PROPER_NAME(0,,,"SECURITY","NAME")&lt;/Q&gt;&lt;R&gt;1&lt;/R&gt;&lt;C&gt;1&lt;/C&gt;&lt;D xsi:type="xsd:string"&gt;Turkey Repo Rate - 1 Week&lt;/D&gt;&lt;/FQL&gt;&lt;FQL&gt;&lt;Q&gt;VNM^FMA_PE(NTMA,0,,,"PORTAGG","MEANR")&lt;/Q&gt;&lt;R&gt;1&lt;/R&gt;&lt;C&gt;1&lt;/C&gt;&lt;D xsi:type="xsd:double"&gt;18.7078003029592&lt;/D&gt;&lt;/FQL&gt;&lt;FQL&gt;&lt;Q&gt;QAT^JULIAN(FMA_DIV_YLD(NTMA,NOW,NOW,M,"PORTAGG","MEANR").DATES)&lt;/Q&gt;&lt;R&gt;1&lt;/R&gt;&lt;C&gt;1&lt;/C&gt;&lt;D xsi:type="xsd:long"&gt;45350&lt;/D&gt;&lt;/FQL&gt;&lt;FQL&gt;&lt;Q&gt;EZA^FMA_PE(NTMA,0,,,"PORTAGG","MEANR")&lt;/Q&gt;&lt;R&gt;1&lt;/R&gt;&lt;C&gt;1&lt;/C&gt;&lt;D xsi:type="xsd:double"&gt;10.6071607470119&lt;/D&gt;&lt;/FQL&gt;&lt;FQL&gt;&lt;Q&gt;EWM^FMA_EVAL_EBIT(LTMA,NOW,NOW,M,"PORTAGG","MEANR")&lt;/Q&gt;&lt;R&gt;1&lt;/R&gt;&lt;C&gt;1&lt;/C&gt;&lt;D xsi:type="xsd:double"&gt;18.4618655197468&lt;/D&gt;&lt;/FQL&gt;&lt;FQL&gt;&lt;Q&gt;TUR^FG_COMPANY_NAME&lt;/Q&gt;&lt;R&gt;1&lt;/R&gt;&lt;C&gt;1&lt;/C&gt;&lt;D xsi:type="xsd:string"&gt;iShares MSCI Turkey ETF&lt;/D&gt;&lt;/FQL&gt;&lt;FQL&gt;&lt;Q&gt;TRYPL10Y-FDS^FG_YIELD(-10AY,0,Y,,"YTM")&lt;/Q&gt;&lt;R&gt;10&lt;/R&gt;&lt;C&gt;1&lt;/C&gt;&lt;D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xsi:type="xsd:double"&gt;5.1912&lt;/D&gt;&lt;/FQL&gt;&lt;FQL&gt;&lt;Q&gt;USDZAR^STD(FG_PRICE_CHANGE(0,-3AY,M))&lt;/Q&gt;&lt;R&gt;1&lt;/R&gt;&lt;C&gt;1&lt;/C&gt;&lt;D xsi:type="xsd:double"&gt;4.05007439075682&lt;/D&gt;&lt;/FQL&gt;&lt;FQL&gt;&lt;Q&gt;EZA^P_PRICE_RETURNS_PR('52W',2,-10AY,0,AM)&lt;/Q&gt;&lt;R&gt;121&lt;/R&gt;&lt;C&gt;1&lt;/C&gt;&lt;D xsi:type="xsd:double"&gt;0.6671071&lt;/D&gt;&lt;D xsi:type="xsd:double"&gt;7.254386&lt;/D&gt;&lt;D xsi:type="xsd:double"&gt;6.8508387&lt;/D&gt;&lt;D xsi:type="xsd:double"&gt;15.071594&lt;/D&gt;&lt;D xsi:type="xsd:double"&gt;24.824333&lt;/D&gt;&lt;D xsi:type="xsd:double"&gt;20.099031&lt;/D&gt;&lt;D xsi:type="xsd:double"&gt;23.961662&lt;/D&gt;&lt;D xsi:type="xsd:double"&gt;2.684617&lt;/D&gt;&lt;D xsi:type="xsd:double"&gt;7.048762&lt;/D&gt;&lt;D xsi:type="xsd:double"&gt;13.08887&lt;/D&gt;&lt;D xsi:type="xsd:double"&gt;4.71313&lt;/D&gt;&lt;D xsi:type="xsd:double"&gt;23.900747&lt;/D&gt;&lt;D xsi:type="xsd:double"&gt;8.561945&lt;/D&gt;&lt;D xsi:type="xsd:double"&gt;6.2897205&lt;/D&gt;&lt;D xsi:type="xsd:double"&gt;5.2700043&lt;/D&gt;&lt;D xsi:type="xsd:double"&gt;-5.3735733&lt;/D&gt;&lt;D xsi:type="xsd:double"&gt;-3.1947255&lt;/D&gt;&lt;D xsi:type="xsd:double"&gt;-10.952115&lt;/D&gt;&lt;D xsi:type="xsd:double"&gt;-24.44145&lt;/D&gt;&lt;D xsi:type="xsd:double"&gt;-9.441113&lt;/D&gt;&lt;D xsi:type="xsd:double"&gt;-14.590364&lt;/D&gt;&lt;D xsi:type="xsd:double"&gt;-22.15706&lt;/D&gt;&lt;D xsi:type="xsd:double"&gt;-26.282804&lt;/D&gt;&lt;D xsi:type="xsd:double"&gt;-33.002693&lt;/D&gt;&lt;D xsi:type="xsd:double"&gt;-24.061214&lt;/D&gt;&lt;D xsi:type="xsd:double"&gt;-22.084076&lt;/D&gt;&lt;D xsi:type="xsd:double"&gt;-26.278687&lt;/D&gt;&lt;D xsi:type="xsd:double"&gt;-11.650265&lt;/D&gt;&lt;D xsi:type="xsd:double"&gt;-14.453136&lt;/D&gt;&lt;D xsi:type="xsd:double"&gt;-2.3290813&lt;/D&gt;&lt;D xsi:type="xsd:double"&gt;2.6994228&lt;/D&gt;&lt;D xsi:type="xsd:double"&gt;1.6067147&lt;/D&gt;&lt;D xsi:type="xsd:double"&gt;-3.8048148&lt;/D&gt;&lt;D xsi:type="xsd:double"&gt;0.64029694&lt;/D&gt;&lt;D xsi:type="xsd:double"&gt;22.169209&lt;/D&gt;&lt;D xsi:type="xsd:double"&gt;30.24292&lt;/D&gt;&lt;D xsi:type="xsd:double"&gt;20.456577&lt;/D&gt;&lt;D xsi:type="xsd:double"&gt;9.817278&lt;/D&gt;&lt;D xsi:type="xsd:double"&gt;17.885303&lt;/D&gt;&lt;D xsi:type="xsd:double"&gt;21.993542&lt;/D&gt;&lt;D xsi:type="xsd:double"&gt;9.045971&lt;/D&gt;&lt;D xsi:type="xsd:double"&gt;5.625248&lt;/D&gt;&lt;D xsi:type="xsd:double"&gt;20.884598&lt;/D&gt;&lt;D xsi:type="xsd:double"&gt;9.8952055&lt;/D&gt;&lt;D xsi:type="xsd:double"&gt;11.530054&lt;/D&gt;&lt;D xsi:type="xsd:double"&gt;29.311287&lt;/D&gt;&lt;D xsi:type="xsd:double"&gt;33.106388&lt;/D&gt;&lt;D xsi:type="xsd:double"&gt;27.413166&lt;/D&gt;&lt;D xsi:type="xsd:double"&gt;31.983603&lt;/D&gt;&lt;D xsi:type="xsd:double"&gt;24.868858&lt;/D&gt;&lt;D xsi:type="xsd:double"&gt;17.738903&lt;/D&gt;&lt;D xsi:type="xsd:double"&gt;9.6115&lt;/D&gt;&lt;D xsi:type="xsd:double"&gt;3.593099&lt;/D&gt;&lt;D xsi:type="xsd:double"&gt;2.286327&lt;/D&gt;&lt;D xsi:type="xsd:double"&gt;-17.298805&lt;/D&gt;&lt;D xsi:type="xsd:double"&gt;-14.144861&lt;/D&gt;&lt;D xsi:type="xsd:double"&gt;-11.496168&lt;/D&gt;&lt;D xsi:type="xsd:double"&gt;-14.134079&lt;/D&gt;&lt;D xsi:type="xsd:double"&gt;-21.142262&lt;/D&gt;&lt;D xsi:type="xsd:double"&gt;-16.052591&lt;/D&gt;&lt;D xsi:type="xsd:double"&gt;-23.405987&lt;/D&gt;&lt;D xsi:type="xsd:double"&gt;-15.938175&lt;/D&gt;&lt;D xsi:type="xsd:double"&gt;-7.986909&lt;/D&gt;&lt;D xsi:type="xsd:double"&gt;-15.97321&lt;/D&gt;&lt;D xsi:type="xsd:double"&gt;-0.46125054&lt;/D&gt;&lt;D xsi:type="xsd:double"&gt;-10.349631&lt;/D&gt;&lt;D xsi:type="xsd:double"&gt;0.9785414&lt;/D&gt;&lt;D xsi:type="xsd:double"&gt;2.4337769&lt;/D&gt;&lt;D xsi:type="xsd:double"&gt;2.152884&lt;/D&gt;&lt;D xsi:type="xsd:double"&gt;-2.8326988&lt;/D&gt;&lt;D xsi:type="xsd:double"&gt;7.6323986&lt;/D&gt;&lt;D xsi:type="xsd:double"&gt;-6.796801&lt;/D&gt;&lt;D xsi:type="xsd:double"&gt;-10.641831&lt;/D&gt;&lt;D xsi:type="xsd:double"&gt;-45.79576&lt;/D&gt;&lt;D xsi:type="xsd:double"&gt;-38.613586&lt;/D&gt;&lt;D xsi:type="xsd:double"&gt;-21.621716&lt;/D&gt;&lt;D xsi:type="xsd:double"&gt;-24.894958&lt;/D&gt;&lt;D xsi:type="xsd:double"&gt;-16.872162&lt;/D&gt;&lt;D xsi:type="xsd:double"&gt;-15.259558&lt;/D&gt;&lt;D xsi:type="xsd:double"&gt;-10.582579&lt;/D&gt;&lt;D xsi:type="xsd:double"&gt;-12.682491&lt;/D&gt;&lt;D xsi:type="xsd:double"&gt;-0.7577479&lt;/D&gt;&lt;D xsi:type="xsd:double"&gt;-2.9783487&lt;/D&gt;&lt;D xsi:type="xsd:double"&gt;6.375861&lt;/D&gt;&lt;D xsi:type="xsd:double"&gt;19.392513&lt;/D&gt;&lt;D xsi:type="xsd:double"&gt;95.62649&lt;/D&gt;&lt;D xsi:type="xsd:double"&gt;66.38062&lt;/D&gt;&lt;D xsi:type="xsd:double"&gt;57.7587&lt;/D&gt;&lt;D xsi:type="xsd:double"&gt;40.68313&lt;/D&gt;&lt;D xsi:type="xsd:double"&gt;38.715946&lt;/D&gt;&lt;D xsi:type="xsd:double"&gt;41.123497&lt;/D&gt;&lt;D xsi:type="xsd:double"&gt;31.133688&lt;/D&gt;&lt;D xsi:type="xsd:double"&gt;27.161158&lt;/D&gt;&lt;D xsi:type="xsd:double"&gt;10.46027&lt;/D&gt;&lt;D xsi:type="xsd:double"&gt;8.445501&lt;/D&gt;&lt;D xsi:type="xsd:double"&gt;10.29402&lt;/D&gt;&lt;D xsi:type="xsd:double"&gt;12.407291&lt;/D&gt;&lt;D xsi:type="xsd:double"&gt;13.818991&lt;/D&gt;&lt;D xsi:type="xsd:double"&gt;1.7755628&lt;/D&gt;&lt;D xsi:type="xsd:double"&gt;-9.572262&lt;/D&gt;&lt;D xsi:type="xsd:double"&gt;-10.00194&lt;/D&gt;&lt;D xsi:type="xsd:double"&gt;-11.253953&lt;/D&gt;&lt;D xsi:type="xsd:double"&gt;-15.320826&lt;/D&gt;&lt;D xsi:type="xsd:double"&gt;-14.321947&lt;/D&gt;&lt;D xsi:type="xsd:double"&gt;-12.477589&lt;/D&gt;&lt;D xsi:type="xsd:double"&gt;-2.7400374&lt;/D&gt;&lt;D xsi:type="xsd:double"&gt;0.5436301&lt;/D&gt;&lt;D xsi:type="xsd:double"&gt;-6.75233&lt;/D&gt;&lt;D xsi:type="xsd:double"&gt;-18.844532&lt;/D&gt;&lt;D xsi:type="xsd:double"&gt;-19.912582&lt;/D&gt;&lt;D xsi:type="xsd:double"&gt;-10.948652&lt;/D&gt;&lt;D xsi:type="xsd:double"&gt;-17.159622&lt;/D&gt;&lt;D xsi:type="xsd:double"&gt;-2.7561069&lt;/D&gt;&lt;D xsi:type="xsd:double"&gt;1.6232729&lt;/D&gt;&lt;D xsi:type="xsd:double"&gt;2.5607944&lt;/D&gt;&lt;D xsi:type="xsd:double"&gt;-3.7897408&lt;/D&gt;&lt;D xsi:type="xsd:double"&gt;11.486793&lt;/D&gt;&lt;D xsi:type="xsd:double"&gt;-3.3834994&lt;/D&gt;&lt;D xsi:type="xsd:double"&gt;-10.2310295&lt;/D&gt;&lt;D xsi:type="xsd:double"&gt;-13.697916&lt;/D&gt;&lt;D xsi:type="xsd:double"&gt;-7.251537&lt;/D&gt;&lt;/FQL&gt;&lt;FQL&gt;&lt;Q&gt;EPOL^FMA_DIV_YLD(NTMA,-10AY,0,AM,"PORTAGG","MEANR")&lt;/Q&gt;&lt;R&gt;121&lt;/R&gt;&lt;C&gt;1&lt;/C&gt;&lt;D xsi:type="xsd:double"&gt;3.95713770566377&lt;/D&gt;&lt;D xsi:type="xsd:double"&gt;3.76307449819711&lt;/D&gt;&lt;D xsi:type="xsd:double"&gt;3.86327145434105&lt;/D&gt;&lt;D xsi:type="xsd:double"&gt;3.89957506286195&lt;/D&gt;&lt;D xsi:type="xsd:double"&gt;4.22398150554554&lt;/D&gt;&lt;D xsi:type="xsd:double"&gt;4.18292726971304&lt;/D&gt;&lt;D xsi:type="xsd:double"&gt;4.10399825307104&lt;/D&gt;&lt;D xsi:type="xsd:double"&gt;4.04323034394359&lt;/D&gt;&lt;D xsi:type="xsd:double"&gt;3.96149207416221&lt;/D&gt;&lt;D xsi:type="xsd:double"&gt;3.89853447805068&lt;/D&gt;&lt;D xsi:type="xsd:double"&gt;4.04728648995733&lt;/D&gt;&lt;D xsi:type="xsd:double"&gt;3.8284664652637&lt;/D&gt;&lt;D xsi:type="xsd:double"&gt;3.73147702579303&lt;/D&gt;&lt;D xsi:type="xsd:double"&gt;3.47561141377991&lt;/D&gt;&lt;D xsi:type="xsd:double"&gt;3.30775850567161&lt;/D&gt;&lt;D xsi:type="xsd:double"&gt;3.50146518080729&lt;/D&gt;&lt;D xsi:type="xsd:double"&gt;3.64634487141035&lt;/D&gt;&lt;D xsi:type="xsd:double"&gt;3.6477548808894&lt;/D&gt;&lt;D xsi:type="xsd:double"&gt;3.72861278105034&lt;/D&gt;&lt;D xsi:type="xsd:double"&gt;3.87133944062899&lt;/D&gt;&lt;D xsi:type="xsd:double"&gt;3.70560446508135&lt;/D&gt;&lt;D xsi:type="xsd:double"&gt;4.14131285681136&lt;/D&gt;&lt;D xsi:type="xsd:double"&gt;4.21555290692846&lt;/D&gt;&lt;D xsi:type="xsd:double"&gt;4.12852914573083&lt;/D&gt;&lt;D xsi:type="xsd:double"&gt;3.93215191436775&lt;/D&gt;&lt;D xsi:type="xsd:double"&gt;3.61191510066683&lt;/D&gt;&lt;D xsi:type="xsd:double"&gt;3.75613180717364&lt;/D&gt;&lt;D xsi:type="xsd:double"&gt;3.85835547128384&lt;/D&gt;&lt;D xsi:type="xsd:double"&gt;3.87175107026034&lt;/D&gt;&lt;D xsi:type="xsd:double"&gt;3.54676989493959&lt;/D&gt;&lt;D xsi:type="xsd:double"&gt;3.59387092184899&lt;/D&gt;&lt;D xsi:type="xsd:double"&gt;3.53651717680248&lt;/D&gt;&lt;D xsi:type="xsd:double"&gt;3.4064245978191&lt;/D&gt;&lt;D xsi:type="xsd:double"&gt;3.27213747130107&lt;/D&gt;&lt;D xsi:type="xsd:double"&gt;2.96904582669266&lt;/D&gt;&lt;D xsi:type="xsd:double"&gt;2.72148466435369&lt;/D&gt;&lt;D xsi:type="xsd:double"&gt;2.39849016187578&lt;/D&gt;&lt;D xsi:type="xsd:double"&gt;2.54347993058236&lt;/D&gt;&lt;D xsi:type="xsd:double"&gt;2.4686507644261&lt;/D&gt;&lt;D xsi:type="xsd:double"&gt;2.4681484916909&lt;/D&gt;&lt;D xsi:type="xsd:double"&gt;2.393220540857&lt;/D&gt;&lt;D xsi:type="xsd:double"&gt;2.33420268246013&lt;/D&gt;&lt;D xsi:type="xsd:double"&gt;2.3344965476574&lt;/D&gt;&lt;D xsi:type="xsd:double"&gt;2.50434410038323&lt;/D&gt;&lt;D xsi:type="xsd:double"&gt;2.41080752080995&lt;/D&gt;&lt;D xsi:type="xsd:double"&gt;2.73531605957695&lt;/D&gt;&lt;D xsi:type="xsd:double"&gt;2.78325061049516&lt;/D&gt;&lt;D xsi:type="xsd:double"&gt;2.84893476818302&lt;/D&gt;&lt;D xsi:type="xsd:double"&gt;3.10578816954135&lt;/D&gt;&lt;D xsi:type="xsd:double"&gt;3.19108908372362&lt;/D&gt;&lt;D xsi:type="xsd:double"&gt;3.08860164208759&lt;/D&gt;&lt;D xsi:type="xsd:double"&gt;3.08542394164394&lt;/D&gt;&lt;D xsi:type="xsd:double"&gt;3.09349210020994&lt;/D&gt;&lt;D xsi:type="xsd:double"&gt;2.81161053651749&lt;/D&gt;&lt;D xsi:type="xsd:double"&gt;2.8323798508913&lt;/D&gt;&lt;D xsi:type="xsd:double"&gt;3.00898028510246&lt;/D&gt;&lt;D xsi:type="xsd:double"&gt;3.15106793759479&lt;/D&gt;&lt;D xsi:type="xsd:double"&gt;3.0314486261634&lt;/D&gt;&lt;D xsi:type="xsd:double"&gt;3.15221271721099&lt;/D&gt;&lt;D xsi:type="xsd:double"&gt;2.99163096925576&lt;/D&gt;&lt;D xsi:type="xsd:double"&gt;3.04907109950899&lt;/D&gt;&lt;D xsi:type="xsd:double"&gt;3.03808525106994&lt;/D&gt;&lt;D xsi:type="xsd:double"&gt;3.18359926780625&lt;/D&gt;&lt;D xsi:type="xsd:double"&gt;3.3150538901557&lt;/D&gt;&lt;D xsi:type="xsd:double"&gt;3.22711671540845&lt;/D&gt;&lt;D xsi:type="xsd:double"&gt;3.48365160322704&lt;/D&gt;&lt;D xsi:type="xsd:double"&gt;3.81669049856898&lt;/D&gt;&lt;D xsi:type="xsd:double"&gt;3.5966706643184&lt;/D&gt;&lt;D xsi:type="xsd:double"&gt;3.31655688367012&lt;/D&gt;&lt;D xsi:type="xsd:double"&gt;3.55687208415416&lt;/D&gt;&lt;D xsi:type="xsd:double"&gt;3.49946811865931&lt;/D&gt;&lt;D xsi:type="xsd:double"&gt;3.86655452372351&lt;/D&gt;&lt;D xsi:type="xsd:double"&gt;3.91413504707838&lt;/D&gt;&lt;D xsi:type="xsd:double"&gt;4.29334608171294&lt;/D&gt;&lt;D xsi:type="xsd:double"&gt;3.4124955497905&lt;/D&gt;&lt;D xsi:type="xsd:double"&gt;2.44978087990242&lt;/D&gt;&lt;D xsi:type="xsd:double"&gt;2.59349268098388&lt;/D&gt;&lt;D xsi:type="xsd:double"&gt;2.62327879711&lt;/D&gt;&lt;D xsi:type="xsd:double"&gt;2.97409213500194&lt;/D&gt;&lt;D xsi:type="xsd:double"&gt;3.18118145695954&lt;/D&gt;&lt;D xsi:type="xsd:double"&gt;2.88672545253332&lt;/D&gt;&lt;D xsi:type="xsd:double"&gt;2.69715308377864&lt;/D&gt;&lt;D xsi:type="xsd:double"&gt;2.6821117274924&lt;/D&gt;&lt;D xsi:type="xsd:double"&gt;2.8684260683908&lt;/D&gt;&lt;D xsi:type="xsd:double"&gt;2.93811174305621&lt;/D&gt;&lt;D xsi:type="xsd:double"&gt;2.84514864867845&lt;/D&gt;&lt;D xsi:type="xsd:double"&gt;2.9583589113786&lt;/D&gt;&lt;D xsi:type="xsd:double"&gt;2.92208693400108&lt;/D&gt;&lt;D xsi:type="xsd:double"&gt;3.08637682702061&lt;/D&gt;&lt;D xsi:type="xsd:double"&gt;3.04693515781612&lt;/D&gt;&lt;D xsi:type="xsd:double"&gt;2.91614249313248&lt;/D&gt;&lt;D xsi:type="xsd:double"&gt;3.09662894818527&lt;/D&gt;&lt;D xsi:type="xsd:double"&gt;2.9309313925568&lt;/D&gt;&lt;D xsi:type="xsd:double"&gt;3.40146694224251&lt;/D&gt;&lt;D xsi:type="xsd:double"&gt;3.26658953639884&lt;/D&gt;&lt;D xsi:type="xsd:double"&gt;3.34610838073162&lt;/D&gt;&lt;D xsi:type="xsd:double"&gt;3.82921875140617&lt;/D&gt;&lt;D xsi:type="xsd:double"&gt;3.3867825639269&lt;/D&gt;&lt;D xsi:type="xsd:double"&gt;3.87884300085553&lt;/D&gt;&lt;D xsi:type="xsd:double"&gt;4.17138111333714&lt;/D&gt;&lt;D xsi:type="xsd:double"&gt;4.34343342824355&lt;/D&gt;&lt;D xsi:type="xsd:double"&gt;4.34382312436809&lt;/D&gt;&lt;D xsi:type="xsd:double"&gt;4.62459535027604&lt;/D&gt;&lt;D xsi:type="xsd:double"&gt;4.80211216768546&lt;/D&gt;&lt;D xsi:type="xsd:double"&gt;4.40460546602284&lt;/D&gt;&lt;D xsi:type="xsd:double"&gt;4.14896634642618&lt;/D&gt;&lt;D xsi:type="xsd:double"&gt;4.01168833333073&lt;/D&gt;&lt;D xsi:type="xsd:double"&gt;4.03751021176274&lt;/D&gt;&lt;D xsi:type="xsd:double"&gt;4.20658156486398&lt;/D&gt;&lt;D xsi:type="xsd:double"&gt;4.71129601453504&lt;/D&gt;&lt;D xsi:type="xsd:double"&gt;4.408614093518&lt;/D&gt;&lt;D xsi:type="xsd:double"&gt;3.94545362441423&lt;/D&gt;&lt;D xsi:type="xsd:double"&gt;3.93847572891384&lt;/D&gt;&lt;D xsi:type="xsd:double"&gt;3.81293142024274&lt;/D&gt;&lt;D xsi:type="xsd:double"&gt;4.06508249640543&lt;/D&gt;&lt;D xsi:type="xsd:double"&gt;4.4724352755791&lt;/D&gt;&lt;D xsi:type="xsd:double"&gt;4.20122232830183&lt;/D&gt;&lt;D xsi:type="xsd:double"&gt;5.00619349721985&lt;/D&gt;&lt;D xsi:type="xsd:double"&gt;4.87458711144896&lt;/D&gt;&lt;D xsi:type="xsd:double"&gt;4.86769903152391&lt;/D&gt;&lt;D xsi:type="xsd:double"&gt;3.99091920898458&lt;/D&gt;&lt;/FQL&gt;&lt;FQL&gt;&lt;Q&gt;W-FDS^FG_PRICE_CHANGE(0,-3AM)&lt;/Q&gt;&lt;R&gt;1&lt;/R&gt;&lt;C&gt;1&lt;/C&gt;&lt;D xsi:type="xsd:double"&gt;-5.41334452370961&lt;/D&gt;&lt;/FQL&gt;&lt;FQL&gt;&lt;Q&gt;FC0000QA^FG_PRICE(0)&lt;/Q&gt;&lt;R&gt;1&lt;/R&gt;&lt;C&gt;1&lt;/C&gt;&lt;D xsi:type="xsd:double"&gt;105.97004&lt;/D&gt;&lt;/FQL&gt;&lt;FQL&gt;&lt;Q&gt;VNM^FG_TOTAL_RETURNC(0,-3AM)&lt;/Q&gt;&lt;R&gt;1&lt;/R&gt;&lt;C&gt;1&lt;/C&gt;&lt;D xsi:type="xsd:double"&gt;5.362487&lt;/D&gt;&lt;/FQL&gt;&lt;FQL&gt;&lt;Q&gt;EWY^FG_TOTAL_RETURNC(0,-3AM)&lt;/Q&gt;&lt;R&gt;1&lt;/R&gt;&lt;C&gt;1&lt;/C&gt;&lt;D xsi:type="xsd:double"&gt;8.486509&lt;/D&gt;&lt;/FQL&gt;&lt;FQL&gt;&lt;Q&gt;EWZ^PERCENT_CHANGE(FMA_EPS(+1,0,,,,"PORTAGG","MEAN"),FMA_EPS(+1,-1AM,,,,"PORTAGG","MEAN"))&lt;/Q&gt;&lt;R&gt;1&lt;/R&gt;&lt;C&gt;1&lt;/C&gt;&lt;D xsi:type="xsd:double"&gt;-9.38947558484361&lt;/D&gt;&lt;/FQL&gt;&lt;FQL&gt;&lt;Q&gt;VWO^SIZE(FG_CONSTITUENTS)&lt;/Q&gt;&lt;R&gt;1&lt;/R&gt;&lt;C&gt;1&lt;/C&gt;&lt;D xsi:type="xsd:long"&gt;4677&lt;/D&gt;&lt;/FQL&gt;&lt;FQL&gt;&lt;Q&gt;EWZ^SIZE(FG_CONSTITUENTS)&lt;/Q&gt;&lt;R&gt;1&lt;/R&gt;&lt;C&gt;1&lt;/C&gt;&lt;D xsi:type="xsd:long"&gt;51&lt;/D&gt;&lt;/FQL&gt;&lt;FQL&gt;&lt;Q&gt;TUR^FMA_RBICS_REV_CURRENT(30, LOC, "PORTAGG")&lt;/Q&gt;&lt;R&gt;1&lt;/R&gt;&lt;C&gt;1&lt;/C&gt;&lt;D xsi:type="xsd:double"&gt;20.7687153748575&lt;/D&gt;&lt;/FQL&gt;&lt;FQL&gt;&lt;Q&gt;REFPEMPR-FDS^(SUBARRAY(NOT_NA(NO_REPEAT_F(FG_YIELD(NOW,-10AY,D))),0,1)-SUBARRAY(NOT_NA(NO_REPEAT_F(FG_YIELD(NOW,-10AY,D))),1,1))*100&lt;/Q&gt;&lt;R&gt;1&lt;/R&gt;&lt;C&gt;1&lt;/C&gt;&lt;D xsi:type="xsd:double"&gt;-25&lt;/D&gt;&lt;/FQL&gt;&lt;FQL&gt;&lt;Q&gt;TRYVN10Y-FDS^FG_YIELD(0,,,,"YTM")&lt;/Q&gt;&lt;R&gt;1&lt;/R&gt;&lt;C&gt;1&lt;/C&gt;&lt;D xsi:type="xsd:double"&gt;2.2360842&lt;/D&gt;&lt;/FQL&gt;&lt;FQL&gt;&lt;Q&gt;TRYPL10Y-FDS^FG_YIELD(0,,,,"YTM")&lt;/Q&gt;&lt;R&gt;1&lt;/R&gt;&lt;C&gt;1&lt;/C&gt;&lt;D xsi:type="xsd:double"&gt;5.239&lt;/D&gt;&lt;/FQL&gt;&lt;FQL&gt;&lt;Q&gt;EZA^JULIAN(FMA_DIV_YLD(NTMA,NOW,NOW,M,"PORTAGG","MEANR").DATES)&lt;/Q&gt;&lt;R&gt;1&lt;/R&gt;&lt;C&gt;1&lt;/C&gt;&lt;D xsi:type="xsd:long"&gt;45350&lt;/D&gt;&lt;/FQL&gt;&lt;FQL&gt;&lt;Q&gt;EPHE^FMA_PE(LTM,0,,,"PORTAGG","MEANR")&lt;/Q&gt;&lt;R&gt;1&lt;/R&gt;&lt;C&gt;1&lt;/C&gt;&lt;D xsi:type="xsd:double"&gt;11.5649307950047&lt;/D&gt;&lt;/FQL&gt;&lt;FQL&gt;&lt;Q&gt;SET-BKK^FG_COMPANY_NAME&lt;/Q&gt;&lt;R&gt;1&lt;/R&gt;&lt;C&gt;1&lt;/C&gt;&lt;D xsi:type="xsd:string"&gt;Thailand SET&lt;/D&gt;&lt;/FQL&gt;&lt;FQL&gt;&lt;Q&gt;USDVND^STD(FG_PRICE_CHANGE(0,-1AY,AM))&lt;/Q&gt;&lt;R&gt;1&lt;/R&gt;&lt;C&gt;1&lt;/C&gt;&lt;D xsi:type="xsd:double"&gt;0.88280365249769&lt;/D&gt;&lt;/FQL&gt;&lt;FQL&gt;&lt;Q&gt;USDZAR^FG_PRICE_CHANGE(0,-6AM)&lt;/Q&gt;&lt;R&gt;1&lt;/R&gt;&lt;C&gt;1&lt;/C&gt;&lt;D xsi:type="xsd:double"&gt;-0.2099216&lt;/D&gt;&lt;/FQL&gt;&lt;FQL&gt;&lt;Q&gt;DDR3512M-FDS^FG_PRICE_CHANGE(0,-3AM)&lt;/Q&gt;&lt;R&gt;1&lt;/R&gt;&lt;C&gt;1&lt;/C&gt;&lt;D xsi:type="xsd:double"&gt;-3.39849560506278&lt;/D&gt;&lt;/FQL&gt;&lt;FQL&gt;&lt;Q&gt;EPHE^FG_PRICE(0)&lt;/Q&gt;&lt;R&gt;1&lt;/R&gt;&lt;C&gt;1&lt;/C&gt;&lt;D xsi:type="xsd:double"&gt;27.7&lt;/D&gt;&lt;/FQL&gt;&lt;FQL&gt;&lt;Q&gt;URTH^PERCENT_CHANGE(FMA_EPS(+1,0,,,,"PORTAGG","MEAN"),FMA_EPS(+1,-3AM,,,,"PORTAGG","MEAN"))&lt;/Q&gt;&lt;R&gt;1&lt;/R&gt;&lt;C&gt;1&lt;/C&gt;&lt;D xsi:type="xsd:double"&gt;-9.75131154500311&lt;/D&gt;&lt;/FQL&gt;&lt;FQL&gt;&lt;Q&gt;MCHI^FMA_RBICS_REV_CURRENT(30, LOC, "PORTAGG")&lt;/Q&gt;&lt;R&gt;1&lt;/R&gt;&lt;C&gt;1&lt;/C&gt;&lt;D xsi:type="xsd:double"&gt;23.3465581141155&lt;/D&gt;&lt;/FQL&gt;&lt;FQL&gt;&lt;Q&gt;REFTHREPO-FDS^(SUBARRAY(NOT_NA(NO_REPEAT_F(FG_YIELD(NOW,-10AY,D))),0,1)-SUBARRAY(NOT_NA(NO_REPEAT_F(FG_YIELD(NOW,-10AY,D))),1,1))*100&lt;/Q&gt;&lt;R&gt;1&lt;/R&gt;&lt;C&gt;1&lt;/C&gt;&lt;D xsi:type="xsd:double"&gt;25&lt;/D&gt;&lt;/FQL&gt;&lt;FQL&gt;&lt;Q&gt;MCHI^FMA_EVAL_EBIT(LTMA,NOW,NOW,M,"PORTAGG","MEANR")&lt;/Q&gt;&lt;R&gt;1&lt;/R&gt;&lt;C&gt;1&lt;/C&gt;&lt;D xsi:type="xsd:double"&gt;13.1577427684821&lt;/D&gt;&lt;/FQL&gt;&lt;FQL&gt;&lt;Q&gt;EWZ^FMA_EVAL_EBIT(LTMA,NOW,NOW,M,"PORTAGG","MEANR")&lt;/Q&gt;&lt;R&gt;1&lt;/R&gt;&lt;C&gt;1&lt;/C&gt;&lt;D xsi:type="xsd:double"&gt;6.88101024870924&lt;/D&gt;&lt;/FQL&gt;&lt;FQL&gt;&lt;Q&gt;EWM^FMA_EVAL_EBITDA(NTMA,0,,,"PORTAGG","MEANR")&lt;/Q&gt;&lt;R&gt;1&lt;/R&gt;&lt;C&gt;1&lt;/C&gt;&lt;D xsi:type="xsd:double"&gt;9.80333143724263&lt;/D&gt;&lt;/FQL&gt;&lt;FQL&gt;&lt;Q&gt;EPHE^JULIAN(FMA_DIV_YLD(NTMA,NOW,NOW,M,"PORTAGG","MEANR").DATES)&lt;/Q&gt;&lt;R&gt;1&lt;/R&gt;&lt;C&gt;1&lt;/C&gt;&lt;D xsi:type="xsd:long"&gt;45351&lt;/D&gt;&lt;/FQL&gt;&lt;FQL&gt;&lt;Q&gt;USDIDR^STD(FG_PRICE_CHANGE(0,-3AY,M))&lt;/Q&gt;&lt;R&gt;1&lt;/R&gt;&lt;C&gt;1&lt;/C&gt;&lt;D xsi:type="xsd:double"&gt;1.54696564970394&lt;/D&gt;&lt;/FQL&gt;&lt;FQL&gt;&lt;Q&gt;EWZ^P_PRICE_RETURNS_PR('52W',2,-10AY,0,AM)&lt;/Q&gt;&lt;R&gt;121&lt;/R&gt;&lt;C&gt;1&lt;/C&gt;&lt;D xsi:type="xsd:double"&gt;-23.521078&lt;/D&gt;&lt;D xsi:type="xsd:double"&gt;-10.468883&lt;/D&gt;&lt;D xsi:type="xsd:double"&gt;-8.442724&lt;/D&gt;&lt;D xsi:type="xsd:double"&gt;-7.276416&lt;/D&gt;&lt;D xsi:type="xsd:double"&gt;17.596006&lt;/D&gt;&lt;D xsi:type="xsd:double"&gt;15.445339&lt;/D&gt;&lt;D xsi:type="xsd:double"&gt;26.962042&lt;/D&gt;&lt;D xsi:type="xsd:double"&gt;-7.37924&lt;/D&gt;&lt;D xsi:type="xsd:double"&gt;-12.382931&lt;/D&gt;&lt;D xsi:type="xsd:double"&gt;-9.151774&lt;/D&gt;&lt;D xsi:type="xsd:double"&gt;-15.495902&lt;/D&gt;&lt;D xsi:type="xsd:double"&gt;-7.1684957&lt;/D&gt;&lt;D xsi:type="xsd:double"&gt;-15.38139&lt;/D&gt;&lt;D xsi:type="xsd:double"&gt;-25.802052&lt;/D&gt;&lt;D xsi:type="xsd:double"&gt;-23.077381&lt;/D&gt;&lt;D xsi:type="xsd:double"&gt;-26.280426&lt;/D&gt;&lt;D xsi:type="xsd:double"&gt;-28.152126&lt;/D&gt;&lt;D xsi:type="xsd:double"&gt;-41.22254&lt;/D&gt;&lt;D xsi:type="xsd:double"&gt;-55.1523&lt;/D&gt;&lt;D xsi:type="xsd:double"&gt;-43.87025&lt;/D&gt;&lt;D xsi:type="xsd:double"&gt;-41.3684&lt;/D&gt;&lt;D xsi:type="xsd:double"&gt;-38.139854&lt;/D&gt;&lt;D xsi:type="xsd:double"&gt;-41.907074&lt;/D&gt;&lt;D xsi:type="xsd:double"&gt;-39.89193&lt;/D&gt;&lt;D xsi:type="xsd:double"&gt;-22.597605&lt;/D&gt;&lt;D xsi:type="xsd:double"&gt;-20.815498&lt;/D&gt;&lt;D xsi:type="xsd:double"&gt;-19.793028&lt;/D&gt;&lt;D xsi:type="xsd:double"&gt;-15.592039&lt;/D&gt;&lt;D xsi:type="xsd:double"&gt;-3.587389&lt;/D&gt;&lt;D xsi:type="xsd:double"&gt;22.83318&lt;/D&gt;&lt;D xsi:type="xsd:double"&gt;46.388054&lt;/D&gt;&lt;D xsi:type="xsd:double"&gt;50.64529&lt;/D&gt;&lt;D xsi:type="xsd:double"&gt;49.350357&lt;/D&gt;&lt;D xsi:type="xsd:double"&gt;39.473976&lt;/D&gt;&lt;D xsi:type="xsd:double"&gt;78.09743&lt;/D&gt;&lt;D xsi:type="xsd:double"&gt;94.51796&lt;/D&gt;&lt;D xsi:type="xsd:double"&gt;65.790764&lt;/D&gt;&lt;D xsi:type="xsd:double"&gt;52.688313&lt;/D&gt;&lt;D xsi:type="xsd:double"&gt;33.824444&lt;/D&gt;&lt;D xsi:type="xsd:double"&gt;34.777035&lt;/D&gt;&lt;D xsi:type="xsd:double"&gt;15.061558&lt;/D&gt;&lt;D xsi:type="xsd:double"&gt;15.8497095&lt;/D&gt;&lt;D xsi:type="xsd:double"&gt;23.311829&lt;/D&gt;&lt;D xsi:type="xsd:double"&gt;29.956352&lt;/D&gt;&lt;D xsi:type="xsd:double"&gt;13.044918&lt;/D&gt;&lt;D xsi:type="xsd:double"&gt;27.77536&lt;/D&gt;&lt;D xsi:type="xsd:double"&gt;24.347925&lt;/D&gt;&lt;D xsi:type="xsd:double"&gt;23.090982&lt;/D&gt;&lt;D xsi:type="xsd:double"&gt;24.19994&lt;/D&gt;&lt;D xsi:type="xsd:double"&gt;16.712498&lt;/D&gt;&lt;D xsi:type="xsd:double"&gt;12.554157&lt;/D&gt;&lt;D xsi:type="xsd:double"&gt;6.267786&lt;/D&gt;&lt;D xsi:type="xsd:double"&gt;-2.815503&lt;/D&gt;&lt;D xsi:type="xsd:double"&gt;0.35614967&lt;/D&gt;&lt;D xsi:type="xsd:double"&gt;-21.698088&lt;/D&gt;&lt;D xsi:type="xsd:double"&gt;-13.437891&lt;/D&gt;&lt;D xsi:type="xsd:double"&gt;7.109809&lt;/D&gt;&lt;D xsi:type="xsd:double"&gt;1.7752767&lt;/D&gt;&lt;D xsi:type="xsd:double"&gt;1.5936375&lt;/D&gt;&lt;D xsi:type="xsd:double"&gt;4.088545&lt;/D&gt;&lt;D xsi:type="xsd:double"&gt;-4.135376&lt;/D&gt;&lt;D xsi:type="xsd:double"&gt;-0.8090973&lt;/D&gt;&lt;D xsi:type="xsd:double"&gt;4.337907&lt;/D&gt;&lt;D xsi:type="xsd:double"&gt;20.56644&lt;/D&gt;&lt;D xsi:type="xsd:double"&gt;38.60706&lt;/D&gt;&lt;D xsi:type="xsd:double"&gt;24.6418&lt;/D&gt;&lt;D xsi:type="xsd:double"&gt;36.79197&lt;/D&gt;&lt;D xsi:type="xsd:double"&gt;18.588675&lt;/D&gt;&lt;D xsi:type="xsd:double"&gt;11.244238&lt;/D&gt;&lt;D xsi:type="xsd:double"&gt;14.152217&lt;/D&gt;&lt;D xsi:type="xsd:double"&gt;20.583141&lt;/D&gt;&lt;D xsi:type="xsd:double"&gt;1.0954261&lt;/D&gt;&lt;D xsi:type="xsd:double"&gt;-5.939245&lt;/D&gt;&lt;D xsi:type="xsd:double"&gt;-45.62115&lt;/D&gt;&lt;D xsi:type="xsd:double"&gt;-40.419846&lt;/D&gt;&lt;D xsi:type="xsd:double"&gt;-26.763111&lt;/D&gt;&lt;D xsi:type="xsd:double"&gt;-30.4125&lt;/D&gt;&lt;D xsi:type="xsd:double"&gt;-26.315844&lt;/D&gt;&lt;D xsi:type="xsd:double"&gt;-22.23009&lt;/D&gt;&lt;D xsi:type="xsd:double"&gt;-31.597715&lt;/D&gt;&lt;D xsi:type="xsd:double"&gt;-35.23387&lt;/D&gt;&lt;D xsi:type="xsd:double"&gt;-14.864582&lt;/D&gt;&lt;D xsi:type="xsd:double"&gt;-22.286266&lt;/D&gt;&lt;D xsi:type="xsd:double"&gt;-19.089407&lt;/D&gt;&lt;D xsi:type="xsd:double"&gt;-15.006227&lt;/D&gt;&lt;D xsi:type="xsd:double"&gt;47.39269&lt;/D&gt;&lt;D xsi:type="xsd:double"&gt;50.410652&lt;/D&gt;&lt;D xsi:type="xsd:double"&gt;40.111767&lt;/D&gt;&lt;D xsi:type="xsd:double"&gt;39.845024&lt;/D&gt;&lt;D xsi:type="xsd:double"&gt;22.207916&lt;/D&gt;&lt;D xsi:type="xsd:double"&gt;17.930687&lt;/D&gt;&lt;D xsi:type="xsd:double"&gt;20.724762&lt;/D&gt;&lt;D xsi:type="xsd:double"&gt;5.476427&lt;/D&gt;&lt;D xsi:type="xsd:double"&gt;-14.13508&lt;/D&gt;&lt;D xsi:type="xsd:double"&gt;-18.624168&lt;/D&gt;&lt;D xsi:type="xsd:double"&gt;-2.4527907&lt;/D&gt;&lt;D xsi:type="xsd:double"&gt;15.906942&lt;/D&gt;&lt;D xsi:type="xsd:double"&gt;32.356823&lt;/D&gt;&lt;D xsi:type="xsd:double"&gt;2.6409626&lt;/D&gt;&lt;D xsi:type="xsd:double"&gt;-5.732173&lt;/D&gt;&lt;D xsi:type="xsd:double"&gt;-23.117811&lt;/D&gt;&lt;D xsi:type="xsd:double"&gt;-12.222177&lt;/D&gt;&lt;D xsi:type="xsd:double"&gt;-3.2042444&lt;/D&gt;&lt;D xsi:type="xsd:double"&gt;14.940369&lt;/D&gt;&lt;D xsi:type="xsd:double"&gt;30.440067&lt;/D&gt;&lt;D xsi:type="xsd:double"&gt;18.79319&lt;/D&gt;&lt;D xsi:type="xsd:double"&gt;9.029209&lt;/D&gt;&lt;D xsi:type="xsd:double"&gt;1.8313646&lt;/D&gt;&lt;D xsi:type="xsd:double"&gt;-11.1205635&lt;/D&gt;&lt;D xsi:type="xsd:double"&gt;-22.053265&lt;/D&gt;&lt;D xsi:type="xsd:double"&gt;-5.7141423&lt;/D&gt;&lt;D xsi:type="xsd:double"&gt;-2.9498398&lt;/D&gt;&lt;D xsi:type="xsd:double"&gt;33.734478&lt;/D&gt;&lt;D xsi:type="xsd:double"&gt;20.616997&lt;/D&gt;&lt;D xsi:type="xsd:double"&gt;13.8186455&lt;/D&gt;&lt;D xsi:type="xsd:double"&gt;-1.4378369&lt;/D&gt;&lt;D xsi:type="xsd:double"&gt;6.4338923&lt;/D&gt;&lt;D xsi:type="xsd:double"&gt;18.474293&lt;/D&gt;&lt;D xsi:type="xsd:double"&gt;37.311745&lt;/D&gt;&lt;D xsi:type="xsd:double"&gt;17.724741&lt;/D&gt;&lt;D xsi:type="xsd:double"&gt;28.518951&lt;/D&gt;&lt;/FQL&gt;&lt;FQL&gt;&lt;Q&gt;DDR3512M-FDS^FG_PRICE_CHANGE(0,-1AM)&lt;/Q&gt;&lt;R&gt;1&lt;/R&gt;&lt;C&gt;1&lt;/C&gt;&lt;D xsi:type="xsd:double"&gt;-0.407332092765544&lt;/D&gt;&lt;/FQL&gt;&lt;FQL&gt;&lt;Q&gt;W-FDS^FG_PRICE_CHANGE(0,-1AM)&lt;/Q&gt;&lt;R&gt;1&lt;/R&gt;&lt;C&gt;1&lt;/C&gt;&lt;D xsi:type="xsd:double"&gt;-6.04418507711546&lt;/D&gt;&lt;/FQL&gt;&lt;FQL&gt;&lt;Q&gt;MCHI^FG_PRICE(0)&lt;/Q&gt;&lt;R&gt;1&lt;/R&gt;&lt;C&gt;1&lt;/C&gt;&lt;D xsi:type="xsd:double"&gt;38.91&lt;/D&gt;&lt;/FQL&gt;&lt;FQL&gt;&lt;Q&gt;UAE^FG_TOTAL_RETURNC(0,-6AM)&lt;/Q&gt;&lt;R&gt;1&lt;/R&gt;&lt;C&gt;1&lt;/C&gt;&lt;D xsi:type="xsd:double"&gt;-2.5755346&lt;/D&gt;&lt;/FQL&gt;&lt;FQL&gt;&lt;Q&gt;EWW^FG_TOTAL_RETURNC(0,-3AM)&lt;/Q&gt;&lt;R&gt;1&lt;/R&gt;&lt;C&gt;1&lt;/C&gt;&lt;D xsi:type="xsd:double"&gt;5.9168696&lt;/D&gt;&lt;/FQL&gt;&lt;FQL&gt;&lt;Q&gt;URTH^FMA_PCT_ABOVE_MAVG(200,0,,,,"PORTAGG")&lt;/Q&gt;&lt;R&gt;1&lt;/R&gt;&lt;C&gt;1&lt;/C&gt;&lt;D xsi:type="xsd:double"&gt;67.2530446549391&lt;/D&gt;&lt;/FQL&gt;&lt;FQL&gt;&lt;Q&gt;EWZ^FMA_PCT_ABOVE_MAVG(200,0,,,,"PORTAGG")&lt;/Q&gt;&lt;R&gt;1&lt;/R&gt;&lt;C&gt;1&lt;/C&gt;&lt;D xsi:type="xsd:double"&gt;65.3061224489796&lt;/D&gt;&lt;/FQL&gt;&lt;FQL&gt;&lt;Q&gt;VWO^FMA_COS_DOWN("EPS","1M",+1,NOW,,,"PORTAGG","MEANR")&lt;/Q&gt;&lt;R&gt;1&lt;/R&gt;&lt;C&gt;1&lt;/C&gt;&lt;D xsi:type="xsd:double"&gt;1198&lt;/D&gt;&lt;/FQL&gt;&lt;FQL&gt;&lt;Q&gt;EWZ^FMA_COS_DOWN("EPS","1M",+1,NOW,,,"PORTAGG","MEANR")&lt;/Q&gt;&lt;R&gt;1&lt;/R&gt;&lt;C&gt;1&lt;/C&gt;&lt;D xsi:type="xsd:double"&gt;23&lt;/D&gt;&lt;/FQL&gt;&lt;FQL&gt;&lt;Q&gt;ECH^FG_ROE(0)&lt;/Q&gt;&lt;R&gt;1&lt;/R&gt;&lt;C&gt;1&lt;/C&gt;&lt;D xsi:type="xsd:double"&gt;11.8854340838272&lt;/D&gt;&lt;/FQL&gt;&lt;FQL&gt;&lt;Q&gt;REFPL7D-FDS^PROPER_NAME(0,,,"SECURITY","NAME")&lt;/Q&gt;&lt;R&gt;1&lt;/R&gt;&lt;C&gt;1&lt;/C&gt;&lt;D xsi:type="xsd:string"&gt;Poland Reference Rate - 7 Day&lt;/D&gt;&lt;/FQL&gt;&lt;FQL&gt;&lt;Q&gt;VWO^FMA_EVAL_EBIT(LTMA,NOW,NOW,M,"PORTAGG","MEANR")&lt;/Q&gt;&lt;R&gt;1&lt;/R&gt;&lt;C&gt;1&lt;/C&gt;&lt;D xsi:type="xsd:double"&gt;13.8732869646192&lt;/D&gt;&lt;/FQL&gt;&lt;FQL&gt;&lt;Q&gt;UAE^FMA_EVAL_EBITDA(NTMA,0,,,"PORTAGG","MEANR")&lt;/Q&gt;&lt;R&gt;1&lt;/R&gt;&lt;C&gt;1&lt;/C&gt;&lt;D xsi:type="xsd:double"&gt;7.18023070336138&lt;/D&gt;&lt;/FQL&gt;&lt;FQL&gt;&lt;Q&gt;EWZ^FMA_EVAL_EBITDA(NTMA,0,,,"PORTAGG","MEANR")&lt;/Q&gt;&lt;R&gt;1&lt;/R&gt;&lt;C&gt;1&lt;/C&gt;&lt;D xsi:type="xsd:double"&gt;5.04115023883218&lt;/D&gt;&lt;/FQL&gt;&lt;FQL&gt;&lt;Q&gt;EIDO^FMA_EVAL_EBITDA(NTMA,0,,,"PORTAGG","MEANR")&lt;/Q&gt;&lt;R&gt;1&lt;/R&gt;&lt;C&gt;1&lt;/C&gt;&lt;D xsi:type="xsd:double"&gt;6.65563537032169&lt;/D&gt;&lt;/FQL&gt;&lt;FQL&gt;&lt;Q&gt;USDVND^FG_PRICE_CHANGE(0,-6AM)&lt;/Q&gt;&lt;R&gt;1&lt;/R&gt;&lt;C&gt;1&lt;/C&gt;&lt;D xsi:type="xsd:double"&gt;2.4953246&lt;/D&gt;&lt;/FQL&gt;&lt;FQL&gt;&lt;Q&gt;USDZAR^FG_PRICE_CHANGE(0,-3AM)&lt;/Q&gt;&lt;R&gt;1&lt;/R&gt;&lt;C&gt;1&lt;/C&gt;&lt;D xsi:type="xsd:double"&gt;0.9757757&lt;/D&gt;&lt;/FQL&gt;&lt;FQL&gt;&lt;Q&gt;KSA^FMA_PE(NTMA,-10AY,0,AM,"PORTAGG","MEANR")&lt;/Q&gt;&lt;R&gt;121&lt;/R&gt;&lt;C&gt;1&lt;/C&gt;&lt;D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xsi:type="xsd:double"&gt;12.0098768757343&lt;/D&gt;&lt;D xsi:type="xsd:double"&gt;12.1684158565124&lt;/D&gt;&lt;D xsi:type="xsd:double"&gt;12.7709842543211&lt;/D&gt;&lt;D xsi:type="xsd:double"&gt;12.238857205824&lt;/D&gt;&lt;D xsi:type="xsd:double"&gt;11.5670442099937&lt;/D&gt;&lt;D xsi:type="xsd:double"&gt;12.2801641664177&lt;/D&gt;&lt;D xsi:type="xsd:double"&gt;12.5373738706794&lt;/D&gt;&lt;D xsi:type="xsd:double"&gt;13.2650188784293&lt;/D&gt;&lt;D xsi:type="xsd:double"&gt;13.718636094986&lt;/D&gt;&lt;D xsi:type="xsd:double"&gt;13.3150054564946&lt;/D&gt;&lt;D xsi:type="xsd:double"&gt;13.0465306867332&lt;/D&gt;&lt;D xsi:type="xsd:double"&gt;12.2735277606759&lt;/D&gt;&lt;D xsi:type="xsd:double"&gt;11.4677656432729&lt;/D&gt;&lt;D xsi:type="xsd:double"&gt;12.2673236995503&lt;/D&gt;&lt;D xsi:type="xsd:double"&gt;14.328431399868&lt;/D&gt;&lt;D xsi:type="xsd:double"&gt;14.4175451693182&lt;/D&gt;&lt;D xsi:type="xsd:double"&gt;14.5177240122157&lt;/D&gt;&lt;D xsi:type="xsd:double"&gt;14.0393322260316&lt;/D&gt;&lt;D xsi:type="xsd:double"&gt;13.9333843693076&lt;/D&gt;&lt;D xsi:type="xsd:double"&gt;13.364576210279&lt;/D&gt;&lt;D xsi:type="xsd:double"&gt;13.6932080584466&lt;/D&gt;&lt;D xsi:type="xsd:double"&gt;15.1010323431748&lt;/D&gt;&lt;D xsi:type="xsd:double"&gt;14.0725730769046&lt;/D&gt;&lt;D xsi:type="xsd:double"&gt;13.9741545019445&lt;/D&gt;&lt;D xsi:type="xsd:double"&gt;13.6593792116787&lt;/D&gt;&lt;D xsi:type="xsd:double"&gt;13.0463439001977&lt;/D&gt;&lt;D xsi:type="xsd:double"&gt;13.2779978491194&lt;/D&gt;&lt;D xsi:type="xsd:double"&gt;13.493407141324&lt;/D&gt;&lt;D xsi:type="xsd:double"&gt;14.040289119381&lt;/D&gt;&lt;D xsi:type="xsd:double"&gt;13.6919267260882&lt;/D&gt;&lt;D xsi:type="xsd:double"&gt;14.7158834665014&lt;/D&gt;&lt;D xsi:type="xsd:double"&gt;14.770175552577&lt;/D&gt;&lt;D xsi:type="xsd:double"&gt;15.488413537224&lt;/D&gt;&lt;D xsi:type="xsd:double"&gt;14.8086674212784&lt;/D&gt;&lt;D xsi:type="xsd:double"&gt;14.6373270682363&lt;/D&gt;&lt;D xsi:type="xsd:double"&gt;14.2204756496445&lt;/D&gt;&lt;D xsi:type="xsd:double"&gt;14.1482733996545&lt;/D&gt;&lt;D xsi:type="xsd:double"&gt;13.9166566969745&lt;/D&gt;&lt;D xsi:type="xsd:double"&gt;14.2536714057537&lt;/D&gt;&lt;D xsi:type="xsd:double"&gt;14.3934695046294&lt;/D&gt;&lt;D xsi:type="xsd:double"&gt;15.8532790446713&lt;/D&gt;&lt;D xsi:type="xsd:double"&gt;16.0651188405477&lt;/D&gt;&lt;D xsi:type="xsd:double"&gt;17.0317292442437&lt;/D&gt;&lt;D xsi:type="xsd:double"&gt;17.3817040493362&lt;/D&gt;&lt;D xsi:type="xsd:double"&gt;15.9730867501409&lt;/D&gt;&lt;D xsi:type="xsd:double"&gt;16.8893884873316&lt;/D&gt;&lt;D xsi:type="xsd:double"&gt;16.6613637742151&lt;/D&gt;&lt;D xsi:type="xsd:double"&gt;17.0918113976122&lt;/D&gt;&lt;D xsi:type="xsd:double"&gt;16.7363154928448&lt;/D&gt;&lt;D xsi:type="xsd:double"&gt;16.2303906549963&lt;/D&gt;&lt;D xsi:type="xsd:double"&gt;16.2638654546521&lt;/D&gt;&lt;D xsi:type="xsd:double"&gt;17.0630306625157&lt;/D&gt;&lt;D xsi:type="xsd:double"&gt;16.3256677359088&lt;/D&gt;&lt;D xsi:type="xsd:double"&gt;15.6229596657332&lt;/D&gt;&lt;D xsi:type="xsd:double"&gt;15.1001735864194&lt;/D&gt;&lt;D xsi:type="xsd:double"&gt;16.6358230173688&lt;/D&gt;&lt;D xsi:type="xsd:double"&gt;19.4627102590006&lt;/D&gt;&lt;D xsi:type="xsd:double"&gt;19.196723330486&lt;/D&gt;&lt;D xsi:type="xsd:double"&gt;19.5008833426238&lt;/D&gt;&lt;D xsi:type="xsd:double"&gt;20.6224596282509&lt;/D&gt;&lt;D xsi:type="xsd:double"&gt;21.2436079625104&lt;/D&gt;&lt;D xsi:type="xsd:double"&gt;20.2834763384285&lt;/D&gt;&lt;D xsi:type="xsd:double"&gt;20.0229637449738&lt;/D&gt;&lt;D xsi:type="xsd:double"&gt;19.097045870531&lt;/D&gt;&lt;D xsi:type="xsd:double"&gt;18.317694550791&lt;/D&gt;&lt;D xsi:type="xsd:double"&gt;18.527480384441&lt;/D&gt;&lt;D xsi:type="xsd:double"&gt;19.2712575242202&lt;/D&gt;&lt;D xsi:type="xsd:double"&gt;19.3363196471993&lt;/D&gt;&lt;D xsi:type="xsd:double"&gt;19.3668834944421&lt;/D&gt;&lt;D xsi:type="xsd:double"&gt;19.5786373014473&lt;/D&gt;&lt;D xsi:type="xsd:double"&gt;19.0402439098155&lt;/D&gt;&lt;D xsi:type="xsd:double"&gt;19.0462445392123&lt;/D&gt;&lt;D xsi:type="xsd:double"&gt;18.7550293382369&lt;/D&gt;&lt;D xsi:type="xsd:double"&gt;18.6952531888065&lt;/D&gt;&lt;D xsi:type="xsd:double"&gt;17.2669583098456&lt;/D&gt;&lt;D xsi:type="xsd:double"&gt;17.8643688670528&lt;/D&gt;&lt;D xsi:type="xsd:double"&gt;18.8155511221219&lt;/D&gt;&lt;D xsi:type="xsd:double"&gt;19.4233025426866&lt;/D&gt;&lt;D xsi:type="xsd:double"&gt;19.0319659737959&lt;/D&gt;&lt;D xsi:type="xsd:double"&gt;19.2539513206418&lt;/D&gt;&lt;D xsi:type="xsd:double"&gt;16.9520552831696&lt;/D&gt;&lt;D xsi:type="xsd:double"&gt;15.3656168222653&lt;/D&gt;&lt;D xsi:type="xsd:double"&gt;16.2527195363341&lt;/D&gt;&lt;D xsi:type="xsd:double"&gt;15.833097940208&lt;/D&gt;&lt;D xsi:type="xsd:double"&gt;15.3028788273171&lt;/D&gt;&lt;D xsi:type="xsd:double"&gt;15.0639824735453&lt;/D&gt;&lt;D xsi:type="xsd:double"&gt;14.6111662325355&lt;/D&gt;&lt;D xsi:type="xsd:double"&gt;14.4953183200082&lt;/D&gt;&lt;D xsi:type="xsd:double"&gt;14.784806222201&lt;/D&gt;&lt;D xsi:type="xsd:double"&gt;14.529048670683&lt;/D&gt;&lt;D xsi:type="xsd:double"&gt;15.8512082422144&lt;/D&gt;&lt;D xsi:type="xsd:double"&gt;16.234246826077&lt;/D&gt;&lt;D xsi:type="xsd:double"&gt;16.4130403532135&lt;/D&gt;&lt;D xsi:type="xsd:double"&gt;17.2104217428103&lt;/D&gt;&lt;D xsi:type="xsd:double"&gt;17.0295775760176&lt;/D&gt;&lt;D xsi:type="xsd:double"&gt;17.1479449029328&lt;/D&gt;&lt;D xsi:type="xsd:double"&gt;15.8910953802403&lt;/D&gt;&lt;D xsi:type="xsd:double"&gt;15.9442614478646&lt;/D&gt;&lt;D xsi:type="xsd:double"&gt;16.4533119232268&lt;/D&gt;&lt;D xsi:type="xsd:double"&gt;18.456226648971&lt;/D&gt;&lt;D xsi:type="xsd:double"&gt;18.1684801580235&lt;/D&gt;&lt;D xsi:type="xsd:double"&gt;21.8695965204228&lt;/D&gt;&lt;/FQL&gt;&lt;FQL&gt;&lt;Q&gt;INDA^FG_PRICE(0)&lt;/Q&gt;&lt;R&gt;1&lt;/R&gt;&lt;C&gt;1&lt;/C&gt;&lt;D xsi:type="xsd:double"&gt;51.91&lt;/D&gt;&lt;/FQL&gt;&lt;FQL&gt;&lt;Q&gt;EIDO^FG_PRICE_MAVG(0,,,,200)&lt;/Q&gt;&lt;R&gt;1&lt;/R&gt;&lt;C&gt;1&lt;/C&gt;&lt;D xsi:type="xsd:double"&gt;22.46195&lt;/D&gt;&lt;/FQL&gt;&lt;FQL&gt;&lt;Q&gt;EWT^FG_TOTAL_RETURNC(0,-3AM)&lt;/Q&gt;&lt;R&gt;1&lt;/R&gt;&lt;C&gt;1&lt;/C&gt;&lt;D xsi:type="xsd:double"&gt;10.437059&lt;/D&gt;&lt;/FQL&gt;&lt;FQL&gt;&lt;Q&gt;EWY^PERCENT_CHANGE(FMA_EPS(+1,0,,,,"PORTAGG","MEAN"),FMA_EPS(+1,-3AM,,,,"PORTAGG","MEAN"))&lt;/Q&gt;&lt;R&gt;1&lt;/R&gt;&lt;C&gt;1&lt;/C&gt;&lt;D xsi:type="xsd:double"&gt;-41.6303083688544&lt;/D&gt;&lt;/FQL&gt;&lt;FQL&gt;&lt;Q&gt;EWY^FMA_COS_DOWN("EPS","1M",+1,NOW,,,"PORTAGG","MEANR")&lt;/Q&gt;&lt;R&gt;1&lt;/R&gt;&lt;C&gt;1&lt;/C&gt;&lt;D xsi:type="xsd:double"&gt;59&lt;/D&gt;&lt;/FQL&gt;&lt;FQL&gt;&lt;Q&gt;INDA^FMA_RBICS_REV_CURRENT(30, LOC, "PORTAGG")&lt;/Q&gt;&lt;R&gt;1&lt;/R&gt;&lt;C&gt;1&lt;/C&gt;&lt;D xsi:type="xsd:double"&gt;29.9745208164894&lt;/D&gt;&lt;/FQL&gt;&lt;FQL&gt;&lt;Q&gt;REFTHREPO-FDS^FG_YIELD(NOW,,,0)&lt;/Q&gt;&lt;R&gt;1&lt;/R&gt;&lt;C&gt;1&lt;/C&gt;&lt;D xsi:type="xsd:double"&gt;2.5&lt;/D&gt;&lt;/FQL&gt;&lt;FQL&gt;&lt;Q&gt;TRYZA10Y-FDS^PCTCHG(FG_YIELD(0,,,,"YTM"),FG_YIELD(-3AM,,,,"YTM"))&lt;/Q&gt;&lt;R&gt;1&lt;/R&gt;&lt;C&gt;1&lt;/C&gt;&lt;D xsi:type="xsd:double"&gt;1.1832017&lt;/D&gt;&lt;/FQL&gt;&lt;FQL&gt;&lt;Q&gt;TRYAE10Y-FDS^FG_YIELD(0,,,,"YTM")&lt;/Q&gt;&lt;R&gt;0&lt;/R&gt;&lt;C&gt;0&lt;/C&gt;&lt;/FQL&gt;&lt;FQL&gt;&lt;Q&gt;MCHI^FMA_EVAL_EBITDA(NTMA,0,,,"PORTAGG","MEANR")&lt;/Q&gt;&lt;R&gt;1&lt;/R&gt;&lt;C&gt;1&lt;/C&gt;&lt;D xsi:type="xsd:double"&gt;8.91570777059077&lt;/D&gt;&lt;/FQL&gt;&lt;FQL&gt;&lt;Q&gt;EWM^FMA_DIV_YLD(NTMA,NOW,NOW,M,"PORTAGG","MEANR")&lt;/Q&gt;&lt;R&gt;1&lt;/R&gt;&lt;C&gt;1&lt;/C&gt;&lt;D xsi:type="xsd:double"&gt;4.13796373745037&lt;/D&gt;&lt;/FQL&gt;&lt;FQL&gt;&lt;Q&gt;EIDO^FG_FCF_YIELD_NTM(0)&lt;/Q&gt;&lt;R&gt;0&lt;/R&gt;&lt;C&gt;0&lt;/C&gt;&lt;/FQL&gt;&lt;FQL&gt;&lt;Q&gt;EZA^FG_COMPANY_NAME&lt;/Q&gt;&lt;R&gt;1&lt;/R&gt;&lt;C&gt;1&lt;/C&gt;&lt;D xsi:type="xsd:string"&gt;iShares MSCI South Africa ETF&lt;/D&gt;&lt;/FQL&gt;&lt;FQL&gt;&lt;Q&gt;TRYZA10Y-FDS^JULIAN(FG_YIELD(-10AY,0,CY,,"YTM").DATES)&lt;/Q&gt;&lt;R&gt;10&lt;/R&gt;&lt;C&gt;1&lt;/C&gt;&lt;D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xsi:type="xsd:long"&gt;45289&lt;/D&gt;&lt;/FQL&gt;&lt;FQL&gt;&lt;Q&gt;USDZAR^FG_PRICE_CHANGE(0,-1AM)&lt;/Q&gt;&lt;R&gt;1&lt;/R&gt;&lt;C&gt;1&lt;/C&gt;&lt;D xsi:type="xsd:double"&gt;0.60846806&lt;/D&gt;&lt;/FQL&gt;&lt;FQL&gt;&lt;Q&gt;DDR3512M-FDS^FG_PRICE_MAVG(0,,,,30)&lt;/Q&gt;&lt;R&gt;1&lt;/R&gt;&lt;C&gt;1&lt;/C&gt;&lt;D xsi:type="xsd:double"&gt;0.9721118&lt;/D&gt;&lt;/FQL&gt;&lt;FQL&gt;&lt;Q&gt;W-FDS^FG_PRICE_MAVG(0,,,,30)&lt;/Q&gt;&lt;R&gt;1&lt;/R&gt;&lt;C&gt;1&lt;/C&gt;&lt;D xsi:type="xsd:double"&gt;5.8834167&lt;/D&gt;&lt;/FQL&gt;&lt;FQL&gt;&lt;Q&gt;UAE^FG_TOTAL_RETURNC(0,-3AM)&lt;/Q&gt;&lt;R&gt;1&lt;/R&gt;&lt;C&gt;1&lt;/C&gt;&lt;D xsi:type="xsd:double"&gt;0.48143864&lt;/D&gt;&lt;/FQL&gt;&lt;FQL&gt;&lt;Q&gt;VWO^FMA_PCT_ABOVE_MAVG(200,0,,,,"PORTAGG")&lt;/Q&gt;&lt;R&gt;1&lt;/R&gt;&lt;C&gt;1&lt;/C&gt;&lt;D xsi:type="xsd:double"&gt;32.7024647887324&lt;/D&gt;&lt;/FQL&gt;&lt;FQL&gt;&lt;Q&gt;VWO^FMA_COS_UP("EPS","1M",+1,NOW,,,"PORTAGG","MEANR")&lt;/Q&gt;&lt;R&gt;1&lt;/R&gt;&lt;C&gt;1&lt;/C&gt;&lt;D xsi:type="xsd:double"&gt;773&lt;/D&gt;&lt;/FQL&gt;&lt;FQL&gt;&lt;Q&gt;REFTHREPO-FDS^PROPER_NAME(0,,,"SECURITY","NAME")&lt;/Q&gt;&lt;R&gt;1&lt;/R&gt;&lt;C&gt;1&lt;/C&gt;&lt;D xsi:type="xsd:string"&gt;Thailand Repo Rate - 1 Day&lt;/D&gt;&lt;/FQL&gt;&lt;FQL&gt;&lt;Q&gt;REFPHRREPO-FDS^(SUBARRAY(NOT_NA(NO_REPEAT_F(FG_YIELD(NOW,-10AY,D))),0,1)-SUBARRAY(NOT_NA(NO_REPEAT_F(FG_YIELD(NOW,-10AY,D))),1,1))*100&lt;/Q&gt;&lt;R&gt;1&lt;/R&gt;&lt;C&gt;1&lt;/C&gt;&lt;D xsi:type="xsd:double"&gt;25&lt;/D&gt;&lt;/FQL&gt;&lt;FQL&gt;&lt;Q&gt;TRYPH10Y-FDS^FG_YIELD(0,,,,"YTM")&lt;/Q&gt;&lt;R&gt;1&lt;/R&gt;&lt;C&gt;1&lt;/C&gt;&lt;D xsi:type="xsd:double"&gt;6.268301&lt;/D&gt;&lt;/FQL&gt;&lt;FQL&gt;&lt;Q&gt;VWO^FMA_EVAL_EBITDA(NTMA,0,,,"PORTAGG","MEANR")&lt;/Q&gt;&lt;R&gt;1&lt;/R&gt;&lt;C&gt;1&lt;/C&gt;&lt;D xsi:type="xsd:double"&gt;9.27102479443158&lt;/D&gt;&lt;/FQL&gt;&lt;FQL&gt;&lt;Q&gt;UAE^FG_FCF_YIELD_NTM(0)&lt;/Q&gt;&lt;R&gt;1&lt;/R&gt;&lt;C&gt;1&lt;/C&gt;&lt;D xsi:type="xsd:double"&gt;9.06868075321249&lt;/D&gt;&lt;/FQL&gt;&lt;FQL&gt;&lt;Q&gt;EWZ^FMA_DIV_YLD(NTMA,NOW,NOW,M,"PORTAGG","MEANR")&lt;/Q&gt;&lt;R&gt;1&lt;/R&gt;&lt;C&gt;1&lt;/C&gt;&lt;D xsi:type="xsd:double"&gt;5.93811156751748&lt;/D&gt;&lt;/FQL&gt;&lt;FQL&gt;&lt;Q&gt;USDVND^FG_PRICE_CHANGE(0,-3AM)&lt;/Q&gt;&lt;R&gt;1&lt;/R&gt;&lt;C&gt;1&lt;/C&gt;&lt;D xsi:type="xsd:double"&gt;1.816833&lt;/D&gt;&lt;/FQL&gt;&lt;FQL&gt;&lt;Q&gt;USDZAR^FG_PRICE_CHANGE(0,-1AY)&lt;/Q&gt;&lt;R&gt;1&lt;/R&gt;&lt;C&gt;1&lt;/C&gt;&lt;D xsi:type="xsd:double"&gt;4.5139074&lt;/D&gt;&lt;/FQL&gt;&lt;FQL&gt;&lt;Q&gt;USDIDR^FG_PRICE_CHANGE(0,-6AM)&lt;/Q&gt;&lt;R&gt;1&lt;/R&gt;&lt;C&gt;1&lt;/C&gt;&lt;D xsi:type="xsd:double"&gt;3.2808423&lt;/D&gt;&lt;/FQL&gt;&lt;FQL&gt;&lt;Q&gt;EIDO^P_PRICE_RETURNS_PR('52W',2,-10AY,0,AM)&lt;/Q&gt;&lt;R&gt;121&lt;/R&gt;&lt;C&gt;1&lt;/C&gt;&lt;D xsi:type="xsd:double"&gt;-22.202837&lt;/D&gt;&lt;D xsi:type="xsd:double"&gt;-15.657604&lt;/D&gt;&lt;D xsi:type="xsd:double"&gt;-20.163233&lt;/D&gt;&lt;D xsi:type="xsd:double"&gt;-17.589075&lt;/D&gt;&lt;D xsi:type="xsd:double"&gt;-9.101433&lt;/D&gt;&lt;D xsi:type="xsd:double"&gt;-2.077371&lt;/D&gt;&lt;D xsi:type="xsd:double"&gt;30.474209&lt;/D&gt;&lt;D xsi:type="xsd:double"&gt;7.663083&lt;/D&gt;&lt;D xsi:type="xsd:double"&gt;9.392965&lt;/D&gt;&lt;D xsi:type="xsd:double"&gt;24.197197&lt;/D&gt;&lt;D xsi:type="xsd:double"&gt;22.31829&lt;/D&gt;&lt;D xsi:type="xsd:double"&gt;19.244576&lt;/D&gt;&lt;D xsi:type="xsd:double"&gt;6.797576&lt;/D&gt;&lt;D xsi:type="xsd:double"&gt;-1.5916765&lt;/D&gt;&lt;D xsi:type="xsd:double"&gt;-6.58111&lt;/D&gt;&lt;D xsi:type="xsd:double"&gt;-8.729696&lt;/D&gt;&lt;D xsi:type="xsd:double"&gt;-10.293203&lt;/D&gt;&lt;D xsi:type="xsd:double"&gt;-21.036852&lt;/D&gt;&lt;D xsi:type="xsd:double"&gt;-33.183353&lt;/D&gt;&lt;D xsi:type="xsd:double"&gt;-31.581932&lt;/D&gt;&lt;D xsi:type="xsd:double"&gt;-20.850569&lt;/D&gt;&lt;D xsi:type="xsd:double"&gt;-22.837198&lt;/D&gt;&lt;D xsi:type="xsd:double"&gt;-22.105116&lt;/D&gt;&lt;D xsi:type="xsd:double"&gt;-19.802517&lt;/D&gt;&lt;D xsi:type="xsd:double"&gt;-11.429972&lt;/D&gt;&lt;D xsi:type="xsd:double"&gt;-13.143807&lt;/D&gt;&lt;D xsi:type="xsd:double"&gt;-11.059654&lt;/D&gt;&lt;D xsi:type="xsd:double"&gt;-6.3362303&lt;/D&gt;&lt;D xsi:type="xsd:double"&gt;6.453669&lt;/D&gt;&lt;D xsi:type="xsd:double"&gt;19.327784&lt;/D&gt;&lt;D xsi:type="xsd:double"&gt;33.51433&lt;/D&gt;&lt;D xsi:type="xsd:double"&gt;49.222828&lt;/D&gt;&lt;D xsi:type="xsd:double"&gt;21.117699&lt;/D&gt;&lt;D xsi:type="xsd:double"&gt;16.87168&lt;/D&gt;&lt;D xsi:type="xsd:double"&gt;20.593464&lt;/D&gt;&lt;D xsi:type="xsd:double"&gt;17.781807&lt;/D&gt;&lt;D xsi:type="xsd:double"&gt;5.961716&lt;/D&gt;&lt;D xsi:type="xsd:double"&gt;13.215399&lt;/D&gt;&lt;D xsi:type="xsd:double"&gt;19.47552&lt;/D&gt;&lt;D xsi:type="xsd:double"&gt;21.412682&lt;/D&gt;&lt;D xsi:type="xsd:double"&gt;13.562477&lt;/D&gt;&lt;D xsi:type="xsd:double"&gt;2.296579&lt;/D&gt;&lt;D xsi:type="xsd:double"&gt;8.551228&lt;/D&gt;&lt;D xsi:type="xsd:double"&gt;2.8718472&lt;/D&gt;&lt;D xsi:type="xsd:double"&gt;7.3786497&lt;/D&gt;&lt;</t>
        </r>
      </text>
    </comment>
    <comment ref="A22" authorId="0" shapeId="0" xr:uid="{7097A4C0-D09F-4801-9A96-CEFB0ED99012}">
      <text>
        <r>
          <rPr>
            <b/>
            <sz val="9"/>
            <color indexed="81"/>
            <rFont val="Tahoma"/>
            <family val="2"/>
          </rPr>
          <t>D xsi:type="xsd:double"&gt;12.78385&lt;/D&gt;&lt;D xsi:type="xsd:double"&gt;18.506468&lt;/D&gt;&lt;D xsi:type="xsd:double"&gt;19.617498&lt;/D&gt;&lt;D xsi:type="xsd:double"&gt;18.851805&lt;/D&gt;&lt;D xsi:type="xsd:double"&gt;4.743099&lt;/D&gt;&lt;D xsi:type="xsd:double"&gt;-5.6897044&lt;/D&gt;&lt;D xsi:type="xsd:double"&gt;-2.8098643&lt;/D&gt;&lt;D xsi:type="xsd:double"&gt;-18.262703&lt;/D&gt;&lt;D xsi:type="xsd:double"&gt;-7.4391365&lt;/D&gt;&lt;D xsi:type="xsd:double"&gt;-15.790391&lt;/D&gt;&lt;D xsi:type="xsd:double"&gt;-19.408983&lt;/D&gt;&lt;D xsi:type="xsd:double"&gt;-13.996726&lt;/D&gt;&lt;D xsi:type="xsd:double"&gt;-5.0307693&lt;/D&gt;&lt;D xsi:type="xsd:double"&gt;-7.481819&lt;/D&gt;&lt;D xsi:type="xsd:double"&gt;-4.2618694&lt;/D&gt;&lt;D xsi:type="xsd:double"&gt;-8.030886&lt;/D&gt;&lt;D xsi:type="xsd:double"&gt;-1.6999245&lt;/D&gt;&lt;D xsi:type="xsd:double"&gt;5.459285&lt;/D&gt;&lt;D xsi:type="xsd:double"&gt;-0.94997287&lt;/D&gt;&lt;D xsi:type="xsd:double"&gt;21.210182&lt;/D&gt;&lt;D xsi:type="xsd:double"&gt;7.201314&lt;/D&gt;&lt;D xsi:type="xsd:double"&gt;14.121628&lt;/D&gt;&lt;D xsi:type="xsd:double"&gt;16.20593&lt;/D&gt;&lt;D xsi:type="xsd:double"&gt;11.621261&lt;/D&gt;&lt;D xsi:type="xsd:double"&gt;1.4142752&lt;/D&gt;&lt;D xsi:type="xsd:double"&gt;4.4701457&lt;/D&gt;&lt;D xsi:type="xsd:double"&gt;-8.8986635&lt;/D&gt;&lt;D xsi:type="xsd:double"&gt;-10.747671&lt;/D&gt;&lt;D xsi:type="xsd:double"&gt;-45.564907&lt;/D&gt;&lt;D xsi:type="xsd:double"&gt;-36.075256&lt;/D&gt;&lt;D xsi:type="xsd:double"&gt;-23.305304&lt;/D&gt;&lt;D xsi:type="xsd:double"&gt;-28.421337&lt;/D&gt;&lt;D xsi:type="xsd:double"&gt;-25.35569&lt;/D&gt;&lt;D xsi:type="xsd:double"&gt;-21.723831&lt;/D&gt;&lt;D xsi:type="xsd:double"&gt;-26.049597&lt;/D&gt;&lt;D xsi:type="xsd:double"&gt;-21.714699&lt;/D&gt;&lt;D xsi:type="xsd:double"&gt;-6.700158&lt;/D&gt;&lt;D xsi:type="xsd:double"&gt;-5.2158117&lt;/D&gt;&lt;D xsi:type="xsd:double"&gt;-1.9126415&lt;/D&gt;&lt;D xsi:type="xsd:double"&gt;2.3285627&lt;/D&gt;&lt;D xsi:type="xsd:double"&gt;63.702454&lt;/D&gt;&lt;D xsi:type="xsd:double"&gt;36.125828&lt;/D&gt;&lt;D xsi:type="xsd:double"&gt;20.414114&lt;/D&gt;&lt;D xsi:type="xsd:double"&gt;13.658487&lt;/D&gt;&lt;D xsi:type="xsd:double"&gt;10.989343999999999&lt;/D&gt;&lt;D xsi:type="xsd:double"&gt;13.196075&lt;/D&gt;&lt;D xsi:type="xsd:double"&gt;30.14983&lt;/D&gt;&lt;D xsi:type="xsd:double"&gt;22.088278&lt;/D&gt;&lt;D xsi:type="xsd:double"&gt;2.9893637&lt;/D&gt;&lt;D xsi:type="xsd:double"&gt;-1.1632681&lt;/D&gt;&lt;D xsi:type="xsd:double"&gt;-0.5006254&lt;/D&gt;&lt;D xsi:type="xsd:double"&gt;7.038021&lt;/D&gt;&lt;D xsi:type="xsd:double"&gt;15.718293&lt;/D&gt;&lt;D xsi:type="xsd:double"&gt;20.98111&lt;/D&gt;&lt;D xsi:type="xsd:double"&gt;11.228967&lt;/D&gt;&lt;D xsi:type="xsd:double"&gt;11.132347&lt;/D&gt;&lt;D xsi:type="xsd:double"&gt;17.208885&lt;/D&gt;&lt;D xsi:type="xsd:double"&gt;15.699077&lt;/D&gt;&lt;D xsi:type="xsd:double"&gt;9.89511&lt;/D&gt;&lt;D xsi:type="xsd:double"&gt;3.6578774&lt;/D&gt;&lt;D xsi:type="xsd:double"&gt;4.79275&lt;/D&gt;&lt;D xsi:type="xsd:double"&gt;-1.576674&lt;/D&gt;&lt;D xsi:type="xsd:double"&gt;3.6732554&lt;/D&gt;&lt;D xsi:type="xsd:double"&gt;-3.256476&lt;/D&gt;&lt;D xsi:type="xsd:double"&gt;-3.374654&lt;/D&gt;&lt;D xsi:type="xsd:double"&gt;-3.2141984&lt;/D&gt;&lt;D xsi:type="xsd:double"&gt;-2.094525&lt;/D&gt;&lt;D xsi:type="xsd:double"&gt;7.911372&lt;/D&gt;&lt;D xsi:type="xsd:double"&gt;1.3466954&lt;/D&gt;&lt;D xsi:type="xsd:double"&gt;-0.12212992&lt;/D&gt;&lt;D xsi:type="xsd:double"&gt;-5.6845784&lt;/D&gt;&lt;D xsi:type="xsd:double"&gt;-5.0018907&lt;/D&gt;&lt;D xsi:type="xsd:double"&gt;-6.0112057&lt;/D&gt;&lt;D xsi:type="xsd:double"&gt;3.1750202&lt;/D&gt;&lt;D xsi:type="xsd:double"&gt;-3.5708725&lt;/D&gt;&lt;D xsi:type="xsd:double"&gt;0.94161034&lt;/D&gt;&lt;/FQL&gt;&lt;FQL&gt;&lt;Q&gt;VNM^FMA_PE(NTMA,-10AY,0,AM,"PORTAGG","MEANR")&lt;/Q&gt;&lt;R&gt;121&lt;/R&gt;&lt;C&gt;1&lt;/C&gt;&lt;D xsi:type="xsd:double"&gt;11.0745346704403&lt;/D&gt;&lt;D xsi:type="xsd:double"&gt;12.3039217799058&lt;/D&gt;&lt;D xsi:type="xsd:double"&gt;11.9365108933825&lt;/D&gt;&lt;D xsi:type="xsd:double"&gt;11.4923929133808&lt;/D&gt;&lt;D xsi:type="xsd:double"&gt;12.3432403459031&lt;/D&gt;&lt;D xsi:type="xsd:double"&gt;12.8034926600907&lt;/D&gt;&lt;D xsi:type="xsd:double"&gt;13.7010081383179&lt;/D&gt;&lt;D xsi:type="xsd:double"&gt;12.5173737680752&lt;/D&gt;&lt;D xsi:type="xsd:double"&gt;12.1180943348269&lt;/D&gt;&lt;D xsi:type="xsd:double"&gt;12.2362897692152&lt;/D&gt;&lt;D xsi:type="xsd:double"&gt;12.1327494658872&lt;/D&gt;&lt;D xsi:type="xsd:double"&gt;12.3190074572652&lt;/D&gt;&lt;D xsi:type="xsd:double"&gt;12.5512578069579&lt;/D&gt;&lt;D xsi:type="xsd:double"&gt;11.6118886618539&lt;/D&gt;&lt;D xsi:type="xsd:double"&gt;13.5706396091552&lt;/D&gt;&lt;D xsi:type="xsd:double"&gt;13.5685950549081&lt;/D&gt;&lt;D xsi:type="xsd:double"&gt;14.2031421376546&lt;/D&gt;&lt;D xsi:type="xsd:double"&gt;14.1005131313653&lt;/D&gt;&lt;D xsi:type="xsd:double"&gt;13.3545552955358&lt;/D&gt;&lt;D xsi:type="xsd:double"&gt;13.2529205148907&lt;/D&gt;&lt;D xsi:type="xsd:double"&gt;15.2878788141425&lt;/D&gt;&lt;D xsi:type="xsd:double"&gt;12.6627815639187&lt;/D&gt;&lt;D xsi:type="xsd:double"&gt;11.2851069282418&lt;/D&gt;&lt;D xsi:type="xsd:double"&gt;13.5221591349956&lt;/D&gt;&lt;D xsi:type="xsd:double"&gt;15.7168997098499&lt;/D&gt;&lt;D xsi:type="xsd:double"&gt;12.6284657345588&lt;/D&gt;&lt;D xsi:type="xsd:double"&gt;12.3659788319917&lt;/D&gt;&lt;D xsi:type="xsd:double"&gt;12.2805277018223&lt;/D&gt;&lt;D xsi:type="xsd:double"&gt;12.011355636629&lt;/D&gt;&lt;D xsi:type="xsd:double"&gt;11.7060415591134&lt;/D&gt;&lt;D xsi:type="xsd:double"&gt;11.6777633710124&lt;/D&gt;&lt;D xsi:type="xsd:double"&gt;13.6545775533942&lt;/D&gt;&lt;D xsi:type="xsd:double"&gt;12.415216647823&lt;/D&gt;&lt;D xsi:type="xsd:double"&gt;12.6111782601419&lt;/D&gt;&lt;D xsi:type="xsd:double"&gt;12.7567446103512&lt;/D&gt;&lt;D xsi:type="xsd:double"&gt;12.9687234289169&lt;/D&gt;&lt;D xsi:type="xsd:double"&gt;13.3151672379297&lt;/D&gt;&lt;D xsi:type="xsd:double"&gt;14.2672037708164&lt;/D&gt;&lt;D xsi:type="xsd:double"&gt;14.76120818843&lt;/D&gt;&lt;D xsi:type="xsd:double"&gt;14.4735237684794&lt;/D&gt;&lt;D xsi:type="xsd:double"&gt;16.1747637115422&lt;/D&gt;&lt;D xsi:type="xsd:double"&gt;15.2892048046816&lt;/D&gt;&lt;D xsi:type="xsd:double"&gt;15.9676403026347&lt;/D&gt;&lt;D xsi:type="xsd:double"&gt;15.8356094840193&lt;/D&gt;&lt;D xsi:type="xsd:double"&gt;16.0952120108067&lt;/D&gt;&lt;D xsi:type="xsd:double"&gt;18.5310912205064&lt;/D&gt;&lt;D xsi:type="xsd:double"&gt;19.705913512806&lt;/D&gt;&lt;D xsi:type="xsd:double"&gt;21.1567157587239&lt;/D&gt;&lt;D xsi:type="xsd:double"&gt;20.7560158292165&lt;/D&gt;&lt;D xsi:type="xsd:double"&gt;22.1044770797894&lt;/D&gt;&lt;D xsi:type="xsd:double"&gt;19.946633270766&lt;/D&gt;&lt;D xsi:type="xsd:double"&gt;20.7044619844495&lt;/D&gt;&lt;D xsi:type="xsd:double"&gt;16.6089381361305&lt;/D&gt;&lt;D xsi:type="xsd:double"&gt;17.796653830763&lt;/D&gt;&lt;D xsi:type="xsd:double"&gt;17.4623450816554&lt;/D&gt;&lt;D xsi:type="xsd:double"&gt;16.4393382901705&lt;/D&gt;&lt;D xsi:type="xsd:double"&gt;14.8786034780661&lt;/D&gt;&lt;D xsi:type="xsd:double"&gt;15.9703562113317&lt;/D&gt;&lt;D xsi:type="xsd:double"&gt;14.4996756085907&lt;/D&gt;&lt;D xsi:type="xsd:double"&gt;15.3734545332744&lt;/D&gt;&lt;D xsi:type="xsd:double"&gt;17.2783841661405&lt;/D&gt;&lt;D xsi:type="xsd:double"&gt;17.3196942311333&lt;/D&gt;&lt;D xsi:type="xsd:double"&gt;17.789631222142&lt;/D&gt;&lt;D xsi:type="xsd:double"&gt;16.8869343721714&lt;/D&gt;&lt;D xsi:type="xsd:double"&gt;16.5744647070977&lt;/D&gt;&lt;D xsi:type="xsd:double"&gt;15.6647422942497&lt;/D&gt;&lt;D xsi:type="xsd:double"&gt;14.0604347904319&lt;/D&gt;&lt;D xsi:type="xsd:double"&gt;14.2032815291523&lt;/D&gt;&lt;D xsi:type="xsd:double"&gt;14.4342222428385&lt;/D&gt;&lt;D xsi:type="xsd:double"&gt;14.5932294407685&lt;/D&gt;&lt;D xsi:type="xsd:double"&gt;14.3417711195782&lt;/D&gt;&lt;D xsi:type="xsd:double"&gt;13.0865217115723&lt;/D&gt;&lt;D xsi:type="xsd:double"&gt;12.8629546828064&lt;/D&gt;&lt;D xsi:type="xsd:double"&gt;11.2640541224976&lt;/D&gt;&lt;D xsi:type="xsd:double"&gt;14.0427001503771&lt;/D&gt;&lt;D xsi:type="xsd:double"&gt;15.9508939656539&lt;/D&gt;&lt;D xsi:type="xsd:double"&gt;14.7351123096245&lt;/D&gt;&lt;D xsi:type="xsd:double"&gt;14.6567323243402&lt;/D&gt;&lt;D xsi:type="xsd:double"&gt;15.7058188765969&lt;/D&gt;&lt;D xsi:type="xsd:double"&gt;15.5212664433624&lt;/D&gt;&lt;D xsi:type="xsd:double"&gt;15.1181781478296&lt;/D&gt;&lt;D xsi:type="xsd:double"&gt;15.4736761037756&lt;/D&gt;&lt;D xsi:type="xsd:double"&gt;16.7700512726855&lt;/D&gt;&lt;D xsi:type="xsd:double"&gt;16.835145762406&lt;/D&gt;&lt;D xsi:type="xsd:double"&gt;16.624710457091&lt;/D&gt;&lt;D xsi:type="xsd:double"&gt;16.7691028022526&lt;/D&gt;&lt;D xsi:type="xsd:double"&gt;16.4087254323589&lt;/D&gt;&lt;D xsi:type="xsd:double"&gt;18.04094076889&lt;/D&gt;&lt;D xsi:type="xsd:double"&gt;17.9948007890556&lt;/D&gt;&lt;D xsi:type="xsd:double"&gt;16.9359241533933&lt;/D&gt;&lt;D xsi:type="xsd:double"&gt;16.3347120239715&lt;/D&gt;&lt;D xsi:type="xsd:double"&gt;15.9119635775991&lt;/D&gt;&lt;D xsi:type="xsd:double"&gt;16.1001612846642&lt;/D&gt;&lt;D xsi:type="xsd:double"&gt;16.3603238122772&lt;/D&gt;&lt;D xsi:type="xsd:double"&gt;16.7078711412212&lt;/D&gt;&lt;D xsi:type="xsd:double"&gt;15.0417981494535&lt;/D&gt;&lt;D xsi:type="xsd:double"&gt;15.0125697713968&lt;/D&gt;&lt;D xsi:type="xsd:double"&gt;14.7054434551492&lt;/D&gt;&lt;D xsi:type="xsd:double"&gt;13.1527701105758&lt;/D&gt;&lt;D xsi:type="xsd:double"&gt;12.4818004052596&lt;/D&gt;&lt;D xsi:type="xsd:double"&gt;10.8035876353271&lt;/D&gt;&lt;D xsi:type="xsd:double"&gt;11.3586382278825&lt;/D&gt;&lt;D xsi:type="xsd:double"&gt;11.1821912633584&lt;/D&gt;&lt;D xsi:type="xsd:double"&gt;10.5784264194849&lt;/D&gt;&lt;D xsi:type="xsd:double"&gt;9.9256077690039&lt;/D&gt;&lt;D xsi:type="xsd:double"&gt;12.2361384459451&lt;/D&gt;&lt;D xsi:type="xsd:double"&gt;10.9749896458091&lt;/D&gt;&lt;D xsi:type="xsd:double"&gt;11.3387830210859&lt;/D&gt;&lt;D xsi:type="xsd:double"&gt;11.920685010875&lt;/D&gt;&lt;D xsi:type="xsd:double"&gt;13.9692302409064&lt;/D&gt;&lt;D xsi:type="xsd:double"&gt;13.518975801758&lt;/D&gt;&lt;D xsi:type="xsd:double"&gt;14.1768923816157&lt;/D&gt;&lt;D xsi:type="xsd:double"&gt;13.3671358978344&lt;/D&gt;&lt;D xsi:type="xsd:double"&gt;14.5487179061076&lt;/D&gt;&lt;D xsi:type="xsd:double"&gt;15.00021991551&lt;/D&gt;&lt;D xsi:type="xsd:double"&gt;12.7835981089712&lt;/D&gt;&lt;D xsi:type="xsd:double"&gt;13.2542983780115&lt;/D&gt;&lt;D xsi:type="xsd:double"&gt;14.6146026174883&lt;/D&gt;&lt;D xsi:type="xsd:double"&gt;14.6051818574187&lt;/D&gt;&lt;D xsi:type="xsd:double"&gt;14.314732317761&lt;/D&gt;&lt;D xsi:type="xsd:double"&gt;18.7078003029592&lt;/D&gt;&lt;/FQL&gt;&lt;FQL&gt;&lt;Q&gt;GREK^FG_PRICE_MAVG(0,,,,200)&lt;/Q&gt;&lt;R&gt;1&lt;/R&gt;&lt;C&gt;1&lt;/C&gt;&lt;D xsi:type="xsd:double"&gt;36.68876&lt;/D&gt;&lt;/FQL&gt;&lt;FQL&gt;&lt;Q&gt;EWM^P_PRICE(0)/P_PRICE_LOW_PR(0,,,USD,,,"PRICE","INTRA","52W")-1&lt;/Q&gt;&lt;R&gt;1&lt;/R&gt;&lt;C&gt;1&lt;/C&gt;&lt;D xsi:type="xsd:double"&gt;0.08870971&lt;/D&gt;&lt;/FQL&gt;&lt;FQL&gt;&lt;Q&gt;EWW^PERCENT_CHANGE(FMA_EPS(+1,0,,,,"PORTAGG","MEAN"),FMA_EPS(+1,-1AM,,,,"PORTAGG","MEAN"))&lt;/Q&gt;&lt;R&gt;1&lt;/R&gt;&lt;C&gt;1&lt;/C&gt;&lt;D xsi:type="xsd:double"&gt;-24.3178749970628&lt;/D&gt;&lt;/FQL&gt;&lt;FQL&gt;&lt;Q&gt;VGK^SIZE(FG_CONSTITUENTS)&lt;/Q&gt;&lt;R&gt;1&lt;/R&gt;&lt;C&gt;1&lt;/C&gt;&lt;D xsi:type="xsd:long"&gt;1291&lt;/D&gt;&lt;/FQL&gt;&lt;FQL&gt;&lt;Q&gt;EWY^FMA_COS_UP("EPS","1M",+1,NOW,,,"PORTAGG","MEANR")&lt;/Q&gt;&lt;R&gt;1&lt;/R&gt;&lt;C&gt;1&lt;/C&gt;&lt;D xsi:type="xsd:double"&gt;30&lt;/D&gt;&lt;/FQL&gt;&lt;FQL&gt;&lt;Q&gt;GREK^FMA_RBICS_REV_CURRENT(30, LOC, "PORTAGG")&lt;/Q&gt;&lt;R&gt;1&lt;/R&gt;&lt;C&gt;1&lt;/C&gt;&lt;D xsi:type="xsd:double"&gt;44.6988114809499&lt;/D&gt;&lt;/FQL&gt;&lt;FQL&gt;&lt;Q&gt;TRYTR7Y-FDS^FG_YIELD_NAME&lt;/Q&gt;&lt;R&gt;1&lt;/R&gt;&lt;C&gt;1&lt;/C&gt;&lt;D xsi:type="xsd:string"&gt;Treasury - Turkey Benchmark Bond 7Y&lt;/D&gt;&lt;/FQL&gt;&lt;FQL&gt;&lt;Q&gt;TRYBR10Y-FDS^PCTCHG(FG_YIELD(0,,,,"YTM"),FG_YIELD(-3AM,,,,"YTM"))&lt;/Q&gt;&lt;R&gt;1&lt;/R&gt;&lt;C&gt;1&lt;/C&gt;&lt;D xsi:type="xsd:double"&gt;-2.0568423&lt;/D&gt;&lt;/FQL&gt;&lt;FQL&gt;&lt;Q&gt;MCHI^FG_FCF_YIELD_NTM(0)&lt;/Q&gt;&lt;R&gt;1&lt;/R&gt;&lt;C&gt;1&lt;/C&gt;&lt;D xsi:type="xsd:double"&gt;5.8406769742396&lt;/D&gt;&lt;/FQL&gt;&lt;FQL&gt;&lt;Q&gt;EWM^FMA_PE(NTMA,0,,,"PORTAGG","MEANR")&lt;/Q&gt;&lt;R&gt;1&lt;/R&gt;&lt;C&gt;1&lt;/C&gt;&lt;D xsi:type="xsd:double"&gt;15.8657406208458&lt;/D&gt;&lt;/FQL&gt;&lt;FQL&gt;&lt;Q&gt;EWZ^FG_COMPANY_NAME&lt;/Q&gt;&lt;R&gt;1&lt;/R&gt;&lt;C&gt;1&lt;/C&gt;&lt;D xsi:type="xsd:string"&gt;iShares MSCI Brazil ETF&lt;/D&gt;&lt;/FQL&gt;&lt;FQL&gt;&lt;Q&gt;CAGDPY@QA^EE_ACTUAL_ANNUAL(MED,+1)&lt;/Q&gt;&lt;R&gt;1&lt;/R&gt;&lt;C&gt;1&lt;/C&gt;&lt;D xsi:type="xsd:double"&gt;12.05&lt;/D&gt;&lt;/FQL&gt;&lt;FQL&gt;&lt;Q&gt;USDZAR^FG_PRICE(0)&lt;/Q&gt;&lt;R&gt;1&lt;/R&gt;&lt;C&gt;1&lt;/C&gt;&lt;D xsi:type="xsd:double"&gt;19.015&lt;/D&gt;&lt;/FQL&gt;&lt;FQL&gt;&lt;Q&gt;ECH^P_PRICE_RETURNS_PR('52W',2,-10AY,0,AM)&lt;/Q&gt;&lt;R&gt;121&lt;/R&gt;&lt;C&gt;1&lt;/C&gt;&lt;D xsi:type="xsd:double"&gt;-33.470726&lt;/D&gt;&lt;D xsi:type="xsd:double"&gt;-27.61975&lt;/D&gt;&lt;D xsi:type="xsd:double"&gt;-24.877596&lt;/D&gt;&lt;D xsi:type="xsd:double"&gt;-16.663551&lt;/D&gt;&lt;D xsi:type="xsd:double"&gt;-9.814257&lt;/D&gt;&lt;D xsi:type="xsd:double"&gt;-10.042214&lt;/D&gt;&lt;D xsi:type="xsd:double"&gt;-6.124878&lt;/D&gt;&lt;D xsi:type="xsd:double"&gt;-16.090942&lt;/D&gt;&lt;D xsi:type="xsd:double"&gt;-15.842485&lt;/D&gt;&lt;D xsi:type="xsd:double"&gt;-9.468717&lt;/D&gt;&lt;D xsi:type="xsd:double"&gt;-13.141995&lt;/D&gt;&lt;D xsi:type="xsd:double"&gt;-1.0459125&lt;/D&gt;&lt;D xsi:type="xsd:double"&gt;-4.8749924&lt;/D&gt;&lt;D xsi:type="xsd:double"&gt;-8.626109&lt;/D&gt;&lt;D xsi:type="xsd:double"&gt;-7.7438474&lt;/D&gt;&lt;D xsi:type="xsd:double"&gt;-13.988161&lt;/D&gt;&lt;D xsi:type="xsd:double"&gt;-15.886182&lt;/D&gt;&lt;D xsi:type="xsd:double"&gt;-19.771797&lt;/D&gt;&lt;D xsi:type="xsd:double"&gt;-21.250147&lt;/D&gt;&lt;D xsi:type="xsd:double"&gt;-18.339516&lt;/D&gt;&lt;D xsi:type="xsd:double"&gt;-15.28393&lt;/D&gt;&lt;D xsi:type="xsd:double"&gt;-20.45343&lt;/D&gt;&lt;D xsi:type="xsd:double"&gt;-18.423765&lt;/D&gt;&lt;D xsi:type="xsd:double"&gt;-14.884096&lt;/D&gt;&lt;D xsi:type="xsd:double"&gt;-11.967123&lt;/D&gt;&lt;D xsi:type="xsd:double"&gt;-9.343547&lt;/D&gt;&lt;D xsi:type="xsd:double"&gt;-10.337311&lt;/D&gt;&lt;D xsi:type="xsd:double"&gt;-8.799517&lt;/D&gt;&lt;D xsi:type="xsd:double"&gt;1.005578&lt;/D&gt;&lt;D xsi:type="xsd:double"&gt;11.189758&lt;/D&gt;&lt;D xsi:type="xsd:double"&gt;10.358286&lt;/D&gt;&lt;D xsi:type="xsd:double"&gt;12.157833&lt;/D&gt;&lt;D xsi:type="xsd:double"&gt;12.313247&lt;/D&gt;&lt;D xsi:type="xsd:double"&gt;20.778692&lt;/D&gt;&lt;D xsi:type="xsd:double"&gt;20.371342&lt;/D&gt;&lt;D xsi:type="xsd:double"&gt;27.289188&lt;/D&gt;&lt;D xsi:type="xsd:double"&gt;18.751001&lt;/D&gt;&lt;D xsi:type="xsd:double"&gt;21.142937&lt;/D&gt;&lt;D xsi:type="xsd:double"&gt;17.330372&lt;/D&gt;&lt;D xsi:type="xsd:double"&gt;25.895714&lt;/D&gt;&lt;D xsi:type="xsd:double"&gt;14.667845&lt;/D&gt;&lt;D xsi:type="xsd:double"&gt;21.40503&lt;/D&gt;&lt;D xsi:type="xsd:double"&gt;34.669376&lt;/D&gt;&lt;D xsi:type="xsd:double"&gt;38.013313&lt;/D&gt;&lt;D xsi:type="xsd:double"&gt;29.617632&lt;/D&gt;&lt;D xsi:type="xsd:double"&gt;21.002626&lt;/D&gt;&lt;D xsi:type="xsd:double"&gt;47.311234&lt;/D&gt;&lt;D xsi:type="xsd:double"&gt;41.657196&lt;/D&gt;&lt;D xsi:type="xsd:double"&gt;34.40167&lt;/D&gt;&lt;D xsi:type="xsd:double"&gt;24.200571&lt;/D&gt;&lt;D xsi:type="xsd:double"&gt;23.790682&lt;/D&gt;&lt;D xsi:type="xsd:double"&gt;18.819786&lt;/D&gt;&lt;D xsi:type="xsd:double"&gt;12.86931&lt;/D&gt;&lt;D xsi:type="xsd:double"&gt;6.349349&lt;/D&gt;&lt;D xsi:type="xsd:double"&gt;-11.717296&lt;/D&gt;&lt;D xsi:type="xsd:double"&gt;-9.602213&lt;/D&gt;&lt;D xsi:type="xsd:double"&gt;-12.3098135&lt;/D&gt;&lt;D xsi:type="xsd:double"&gt;-1.3833463&lt;/D&gt;&lt;D xsi:type="xsd:double"&gt;-18.982082&lt;/D&gt;&lt;D xsi:type="xsd:double"&gt;-12.290615&lt;/D&gt;&lt;D xsi:type="xsd:double"&gt;-14.786148&lt;/D&gt;&lt;D xsi:type="xsd:double"&gt;-15.57281&lt;/D&gt;&lt;D xsi:type="xsd:double"&gt;-17.537498&lt;/D&gt;&lt;D xsi:type="xsd:double"&gt;-19.471247&lt;/D&gt;&lt;D xsi:type="xsd:double"&gt;-10.910481&lt;/D&gt;&lt;D xsi:type="xsd:double"&gt;-19.321924&lt;/D&gt;&lt;D xsi:type="xsd:double"&gt;-14.045202&lt;/D&gt;&lt;D xsi:type="xsd:double"&gt;-12.70917&lt;/D&gt;&lt;D xsi:type="xsd:double"&gt;-18.53894&lt;/D&gt;&lt;D xsi:type="xsd:double"&gt;-26.181602&lt;/D&gt;&lt;D xsi:type="xsd:double"&gt;-16.559565&lt;/D&gt;&lt;D xsi:type="xsd:double"&gt;-31.41864&lt;/D&gt;&lt;D xsi:type="xsd:double"&gt;-34.054478&lt;/D&gt;&lt;D xsi:type="xsd:double"&gt;-48.291077&lt;/D&gt;&lt;D xsi:type="xsd:double"&gt;-40.481316&lt;/D&gt;&lt;D xsi:type="xsd:double"&gt;-32.46318&lt;/D&gt;&lt;D xsi:type="xsd:double"&gt;-31.033295&lt;/D&gt;&lt;D xsi:type="xsd:double"&gt;-26.529158&lt;/D&gt;&lt;D xsi:type="xsd:double"&gt;-25.539238&lt;/D&gt;&lt;D xsi:type="xsd:double"&gt;-33.78388&lt;/D&gt;&lt;D xsi:type="xsd:double"&gt;-29.136091&lt;/D&gt;&lt;D xsi:type="xsd:double"&gt;-5.8085084&lt;/D&gt;&lt;D xsi:type="xsd:double"&gt;-6.566298&lt;/D&gt;&lt;D xsi:type="xsd:double"&gt;-1.3544083&lt;/D&gt;&lt;D xsi:type="xsd:double"&gt;14.73403&lt;/D&gt;&lt;D xsi:type="xsd:double"&gt;66.90801&lt;/D&gt;&lt;D xsi:type="xsd:double"&gt;37.719894&lt;/D&gt;&lt;D xsi:type="xsd:double"&gt;13.159216&lt;/D&gt;&lt;D xsi:type="xsd:double"&gt;8.1836815&lt;/D&gt;&lt;D xsi:type="xsd:double"&gt;1.5409946&lt;/D&gt;&lt;D xsi:type="xsd:double"&gt;13.900495&lt;/D&gt;&lt;D xsi:type="xsd:double"&gt;9.453667&lt;/D&gt;&lt;D xsi:type="xsd:double"&gt;13.066077&lt;/D&gt;&lt;D xsi:type="xsd:double"&gt;-10.102087&lt;/D&gt;&lt;D xsi:type="xsd:double"&gt;-21.898258&lt;/D&gt;&lt;D xsi:type="xsd:double"&gt;-15.684396&lt;/D&gt;&lt;D xsi:type="xsd:double"&gt;-12.078458&lt;/D&gt;&lt;D xsi:type="xsd:double"&gt;-8.738363&lt;/D&gt;&lt;D xsi:type="xsd:double"&gt;-15.471917&lt;/D&gt;&lt;D xsi:type="xsd:double"&gt;10.922551&lt;/D&gt;&lt;D xsi:type="xsd:double"&gt;-10.536236&lt;/D&gt;&lt;D xsi:type="xsd:double"&gt;4.4849873&lt;/D&gt;&lt;D xsi:type="xsd:double"&gt;12.166214&lt;/D&gt;&lt;D xsi:type="xsd:double"&gt;7.139027&lt;/D&gt;&lt;D xsi:type="xsd:double"&gt;3.3437967&lt;/D&gt;&lt;D xsi:type="xsd:double"&gt;18.36871&lt;/D&gt;&lt;D xsi:type="xsd:double"&gt;21.000147&lt;/D&gt;&lt;D xsi:type="xsd:double"&gt;26.12946&lt;/D&gt;&lt;D xsi:type="xsd:double"&gt;18.135012&lt;/D&gt;&lt;D xsi:type="xsd:double"&gt;-0.8300185&lt;/D&gt;&lt;D xsi:type="xsd:double"&gt;13.880741&lt;/D&gt;&lt;D xsi:type="xsd:double"&gt;2.6727557&lt;/D&gt;&lt;D xsi:type="xsd:double"&gt;31.772732&lt;/D&gt;&lt;D xsi:type="xsd:double"&gt;22.68877&lt;/D&gt;&lt;D xsi:type="xsd:double"&gt;10.627449&lt;/D&gt;&lt;D xsi:type="xsd:double"&gt;3.4228444&lt;/D&gt;&lt;D xsi:type="xsd:double"&gt;10.256517&lt;/D&gt;&lt;D xsi:type="xsd:double"&gt;4.597914&lt;/D&gt;&lt;D xsi:type="xsd:double"&gt;8.755016&lt;/D&gt;&lt;D xsi:type="xsd:double"&gt;-12.438136&lt;/D&gt;&lt;D xsi:type="xsd:double"&gt;-8.591473&lt;/D&gt;&lt;/FQL&gt;&lt;FQL&gt;&lt;Q&gt;TUR^FMA_PE(NTMA,-10AY,0,AM,"PORTAGG","MEANR")&lt;/Q&gt;&lt;R&gt;121&lt;/R&gt;&lt;C&gt;1&lt;/C&gt;&lt;D xsi:type="xsd:double"&gt;8.82457853295863&lt;/D&gt;&lt;D xsi:type="xsd:double"&gt;10.3519120431615&lt;/D&gt;&lt;D xsi:type="xsd:double"&gt;10.623155034645&lt;/D&gt;&lt;D xsi:type="xsd:double"&gt;10.7085567773843&lt;/D&gt;&lt;D xsi:type="xsd:double"&gt;10.3626590553598&lt;/D&gt;&lt;D xsi:type="xsd:double"&gt;10.7147937435025&lt;/D&gt;&lt;D xsi:type="xsd:double"&gt;10.5007535228384&lt;/D&gt;&lt;D xsi:type="xsd:double"&gt;9.37816086997927&lt;/D&gt;&lt;D xsi:type="xsd:double"&gt;10.017148733089&lt;/D&gt;&lt;D xsi:type="xsd:double"&gt;10.6794615427991&lt;/D&gt;&lt;D xsi:type="xsd:double"&gt;10.5104872981954&lt;/D&gt;&lt;D xsi:type="xsd:double"&gt;10.4565751799633&lt;/D&gt;&lt;D xsi:type="xsd:double"&gt;10.0618826498339&lt;/D&gt;&lt;D xsi:type="xsd:double"&gt;9.96797226488557&lt;/D&gt;&lt;D xsi:type="xsd:double"&gt;10.2666026373989&lt;/D&gt;&lt;D xsi:type="xsd:double"&gt;10.060068613609&lt;/D&gt;&lt;D xsi:type="xsd:double"&gt;9.93599414643927&lt;/D&gt;&lt;D xsi:type="xsd:double"&gt;9.37510518648299&lt;/D&gt;&lt;D xsi:type="xsd:double"&gt;8.66401350412957&lt;/D&gt;&lt;D xsi:type="xsd:double"&gt;8.80653742116365&lt;/D&gt;&lt;D xsi:type="xsd:double"&gt;9.848834541629&lt;/D&gt;&lt;D xsi:type="xsd:double"&gt;8.52220990023384&lt;/D&gt;&lt;D xsi:type="xsd:double"&gt;7.93166401032288&lt;/D&gt;&lt;D xsi:type="xsd:double"&gt;8.40672448029257&lt;/D&gt;&lt;D xsi:type="xsd:double"&gt;8.64162978334377&lt;/D&gt;&lt;D xsi:type="xsd:double"&gt;9.22806026220522&lt;/D&gt;&lt;D xsi:type="xsd:double"&gt;8.67898634467469&lt;/D&gt;&lt;D xsi:type="xsd:double"&gt;8.47475516343813&lt;/D&gt;&lt;D xsi:type="xsd:double"&gt;8.42250630233103&lt;/D&gt;&lt;D xsi:type="xsd:double"&gt;8.12855124966348&lt;/D&gt;&lt;D xsi:type="xsd:double"&gt;8.39746516701878&lt;/D&gt;&lt;D xsi:type="xsd:double"&gt;8.22387452346282&lt;/D&gt;&lt;D xsi:type="xsd:double"&gt;7.66383821518147&lt;/D&gt;&lt;D xsi:type="xsd:double"&gt;7.36964373671994&lt;/D&gt;&lt;D xsi:type="xsd:double"&gt;7.5151168070008&lt;/D&gt;&lt;D xsi:type="xsd:double"&gt;8.61934078210222&lt;/D&gt;&lt;D xsi:type="xsd:double"&gt;8.56771398096706&lt;/D&gt;&lt;D xsi:type="xsd:double"&gt;8.26476549097159&lt;/D&gt;&lt;D xsi:type="xsd:double"&gt;8.49247518551189&lt;/D&gt;&lt;D xsi:type="xsd:double"&gt;8.7987817293779&lt;/D&gt;&lt;D xsi:type="xsd:double"&gt;8.60085350586382&lt;/D&gt;&lt;D xsi:type="xsd:double"&gt;8.80868058186904&lt;/D&gt;&lt;D xsi:type="xsd:double"&gt;8.6979712777741&lt;/D&gt;&lt;D xsi:type="xsd:double"&gt;8.08526466159869&lt;/D&gt;&lt;D xsi:type="xsd:double"&gt;8.45876709842775&lt;/D&gt;&lt;D xsi:type="xsd:double"&gt;7.83791051572411&lt;/D&gt;&lt;D xsi:type="xsd:double"&gt;8.18214116717574&lt;/D&gt;&lt;D xsi:type="xsd:double"&gt;8.21756263275285&lt;/D&gt;&lt;D xsi:type="xsd:double"&gt;8.00332274232808&lt;/D&gt;&lt;D xsi:type="xsd:double"&gt;7.61825174263629&lt;/D&gt;&lt;D xsi:type="xsd:double"&gt;6.77738225578825&lt;/D&gt;&lt;D xsi:type="xsd:double"&gt;6.4672224880463&lt;/D&gt;&lt;D xsi:type="xsd:double"&gt;6.28713846458775&lt;/D&gt;&lt;D xsi:type="xsd:double"&gt;6.15294815529356&lt;/D&gt;&lt;D xsi:type="xsd:double"&gt;5.93033880409554&lt;/D&gt;&lt;D xsi:type="xsd:double"&gt;5.82358582048085&lt;/D&gt;&lt;D xsi:type="xsd:double"&gt;5.80986051107673&lt;/D&gt;&lt;D xsi:type="xsd:double"&gt;6.0974172756741&lt;/D&gt;&lt;D xsi:type="xsd:double"&gt;5.89759766508609&lt;/D&gt;&lt;D xsi:type="xsd:double"&gt;7.11483150541193&lt;/D&gt;&lt;D xsi:type="xsd:double"&gt;7.33664591177223&lt;/D&gt;&lt;D xsi:type="xsd:double"&gt;6.76231130591833&lt;/D&gt;&lt;D xsi:type="xsd:double"&gt;6.30209074172603&lt;/D&gt;&lt;D xsi:type="xsd:double"&gt;6.14752457682432&lt;/D&gt;&lt;D xsi:type="xsd:double"&gt;6.66917717483058&lt;/D&gt;&lt;D xsi:type="xsd:double"&gt;6.59938776344851&lt;/D&gt;&lt;D xsi:type="xsd:double"&gt;6.59942931356075&lt;/D&gt;&lt;D xsi:type="xsd:double"&gt;6.63570572735231&lt;/D&gt;&lt;D xsi:type="xsd:double"&gt;6.32748935223593&lt;/D&gt;&lt;D xsi:type="xsd:double"&gt;6.47478888931795&lt;/D&gt;&lt;D xsi:type="xsd:double"&gt;6.61769791045171&lt;/D&gt;&lt;D xsi:type="xsd:double"&gt;6.99879446370363&lt;/D&gt;&lt;D xsi:type="xsd:double"&gt;6.33660210567519&lt;/D&gt;&lt;D xsi:type="xsd:double"&gt;5.41220529687877&lt;/D&gt;&lt;D xsi:type="xsd:double"&gt;6.45847118008008&lt;/D&gt;&lt;D xsi:type="xsd:double"&gt;8.40334083362526&lt;/D&gt;&lt;D xsi:type="xsd:double"&gt;8.86064496942073&lt;/D&gt;&lt;D xsi:type="xsd:double"&gt;7.95522725601235&lt;/D&gt;&lt;D xsi:type="xsd:double"&gt;7.88294192680779&lt;/D&gt;&lt;D xsi:type="xsd:double"&gt;7.84981032423644&lt;/D&gt;&lt;D xsi:type="xsd:double"&gt;7.91120690869185&lt;/D&gt;&lt;D xsi:type="xsd:double"&gt;7.98534706638273&lt;/D&gt;&lt;D xsi:type="xsd:double"&gt;8.181396746712&lt;/D&gt;&lt;D xsi:type="xsd:double"&gt;7.78012656636135&lt;/D&gt;&lt;D xsi:type="xsd:double"&gt;7.43133009146742&lt;/D&gt;&lt;D xsi:type="xsd:double"&gt;6.78321280902025&lt;/D&gt;&lt;D xsi:type="xsd:double"&gt;6.41863302436457&lt;/D&gt;&lt;D xsi:type="xsd:double"&gt;6.28633243280995&lt;/D&gt;&lt;D xsi:type="xsd:double"&gt;5.8775249143183&lt;/D&gt;&lt;D xsi:type="xsd:double"&gt;5.78835369898247&lt;/D&gt;&lt;D xsi:type="xsd:double"&gt;5.65178170729673&lt;/D&gt;&lt;D xsi:type="xsd:double"&gt;5.28064805417548&lt;/D&gt;&lt;D xsi:type="xsd:double"&gt;5.60402364130682&lt;/D&gt;&lt;D xsi:type="xsd:double"&gt;6.37006556814218&lt;/D&gt;&lt;D xsi:type="xsd:double"&gt;5.98522082481386&lt;/D&gt;&lt;D xsi:type="xsd:double"&gt;4.62294373840548&lt;/D&gt;&lt;D xsi:type="xsd:double"&gt;4.49886405562055&lt;/D&gt;&lt;D xsi:type="xsd:double"&gt;5.06147189455985&lt;/D&gt;&lt;D xsi:type="xsd:double"&gt;4.70849642916757&lt;/D&gt;&lt;D xsi:type="xsd:double"&gt;5.16608130520939&lt;/D&gt;&lt;D xsi:type="xsd:double"&gt;4.5187640367086&lt;/D&gt;&lt;D xsi:type="xsd:double"&gt;4.52031592171034&lt;/D&gt;&lt;D xsi:type="xsd:double"&gt;4.74251050975495&lt;/D&gt;&lt;D xsi:type="xsd:double"&gt;4.82612179570775&lt;/D&gt;&lt;D xsi:type="xsd:double"&gt;5.41419995350328&lt;/D&gt;&lt;D xsi:type="xsd:double"&gt;5.75059468551892&lt;/D&gt;&lt;D xsi:type="xsd:double"&gt;6.45330808176799&lt;/D&gt;&lt;D xsi:type="xsd:double"&gt;5.25282342004574&lt;/D&gt;&lt;D xsi:type="xsd:double"&gt;5.2677006577209&lt;/D&gt;&lt;D xsi:type="xsd:double"&gt;5.04334307035617&lt;/D&gt;&lt;D xsi:type="xsd:double"&gt;4.28370942542807&lt;/D&gt;&lt;D xsi:type="xsd:double"&gt;4.71097300168817&lt;/D&gt;&lt;D xsi:type="xsd:double"&gt;5.51484093281795&lt;/D&gt;&lt;D xsi:type="xsd:double"&gt;6.16968149291781&lt;/D&gt;&lt;D xsi:type="xsd:double"&gt;6.42537662039869&lt;/D&gt;&lt;D xsi:type="xsd:double"&gt;6.22520821112092&lt;/D&gt;&lt;D xsi:type="xsd:double"&gt;5.09339636386654&lt;/D&gt;&lt;D xsi:type="xsd:double"&gt;5.02820464587528&lt;/D&gt;&lt;D xsi:type="xsd:double"&gt;4.62916529447199&lt;/D&gt;&lt;D xsi:type="xsd:double"&gt;5.29111851147843&lt;/D&gt;&lt;D xsi:type="xsd:double"&gt;6.52339758464223&lt;/D&gt;&lt;/FQL&gt;&lt;FQL&gt;&lt;Q&gt;DDR3512M-FDS^FG_PRICE(0)&lt;/Q&gt;&lt;R&gt;1&lt;/R&gt;&lt;C&gt;1&lt;/C&gt;&lt;D xsi:type="xsd:double"&gt;0.96913904&lt;/D&gt;&lt;/FQL&gt;&lt;FQL&gt;&lt;Q&gt;W-FDS^FG_PRICE(0)&lt;/Q&gt;&lt;R&gt;1&lt;/R&gt;&lt;C&gt;1&lt;/C&gt;&lt;D xsi:type="xsd:double"&gt;5.635&lt;/D&gt;&lt;/FQL&gt;&lt;FQL&gt;&lt;Q&gt;GREK^FG_PRICE_MAVG(0,,,,30)&lt;/Q&gt;&lt;R&gt;1&lt;/R&gt;&lt;C&gt;1&lt;/C&gt;&lt;D xsi:type="xsd:double"&gt;39.746&lt;/D&gt;&lt;/FQL&gt;&lt;FQL&gt;&lt;Q&gt;ECH^FG_PRICE_MAVG(0,,,,60)&lt;/Q&gt;&lt;R&gt;1&lt;/R&gt;&lt;C&gt;1&lt;/C&gt;&lt;D xsi:type="xsd:double"&gt;26.301&lt;/D&gt;&lt;/FQL&gt;&lt;FQL&gt;&lt;Q&gt;TUR^P_PRICE(0)/P_PRICE_LOW_PR(0,,,USD,,,"PRICE","INTRA","52W")-1&lt;/Q&gt;&lt;R&gt;1&lt;/R&gt;&lt;C&gt;1&lt;/C&gt;&lt;D xsi:type="xsd:double"&gt;0.3111192&lt;/D&gt;&lt;/FQL&gt;&lt;FQL&gt;&lt;Q&gt;EWM^P_PRICE(0)/P_PRICE_HIGH_PR(0,,,USD,,,"PRICE","INTRA","52W")&lt;/Q&gt;&lt;R&gt;1&lt;/R&gt;&lt;C&gt;1&lt;/C&gt;&lt;D xsi:type="xsd:double"&gt;0.95787144&lt;/D&gt;&lt;/FQL&gt;&lt;FQL&gt;&lt;Q&gt;VGK^FMA_PCT_ABOVE_MAVG(200,0,,,,"PORTAGG")&lt;/Q&gt;&lt;R&gt;1&lt;/R&gt;&lt;C&gt;1&lt;/C&gt;&lt;D xsi:type="xsd:double"&gt;61.2421383647799&lt;/D&gt;&lt;/FQL&gt;&lt;FQL&gt;&lt;Q&gt;EWT^PERCENT_CHANGE(FMA_EPS(+1,0,,,,"PORTAGG","MEAN"),FMA_EPS(+1,-1AM,,,,"PORTAGG","MEAN"))&lt;/Q&gt;&lt;R&gt;1&lt;/R&gt;&lt;C&gt;1&lt;/C&gt;&lt;D xsi:type="xsd:double"&gt;-17.7512423732576&lt;/D&gt;&lt;/FQL&gt;&lt;FQL&gt;&lt;Q&gt;VGK^FMA_COS_DOWN("EPS","1M",+1,NOW,,,"PORTAGG","MEANR")&lt;/Q&gt;&lt;R&gt;1&lt;/R&gt;&lt;C&gt;1&lt;/C&gt;&lt;D xsi:type="xsd:double"&gt;545&lt;/D&gt;&lt;/FQL&gt;&lt;FQL&gt;&lt;Q&gt;EWW^FMA_COS_DOWN("EPS","1M",+1,NOW,,,"PORTAGG","MEANR")&lt;/Q&gt;&lt;R&gt;1&lt;/R&gt;&lt;C&gt;1&lt;/C&gt;&lt;D xsi:type="xsd:double"&gt;28&lt;/D&gt;&lt;/FQL&gt;&lt;FQL&gt;&lt;Q&gt;REFQALEND-FDS^PROPER_NAME(0,,,"SECURITY","NAME")&lt;/Q&gt;&lt;R&gt;1&lt;/R&gt;&lt;C&gt;1&lt;/C&gt;&lt;D xsi:type="xsd:string"&gt;Qatar Lending Rate - Overnight&lt;/D&gt;&lt;/FQL&gt;&lt;FQL&gt;&lt;Q&gt;EWM^FMA_PE(LTM,0,,,"PORTAGG","MEANR")&lt;/Q&gt;&lt;R&gt;1&lt;/R&gt;&lt;C&gt;1&lt;/C&gt;&lt;D xsi:type="xsd:double"&gt;18.1532067227497&lt;/D&gt;&lt;/FQL&gt;&lt;FQL&gt;&lt;Q&gt;USDAED^FG_PRICE_CHANGE(0,-1AY)&lt;/Q&gt;&lt;R&gt;1&lt;/R&gt;&lt;C&gt;1&lt;/C&gt;&lt;D xsi:type="xsd:double"&gt;0.0027298927&lt;/D&gt;&lt;/FQL&gt;&lt;FQL&gt;&lt;Q&gt;SET-BKK^FMA_PE(NTMA,-10AY,0,AM,"PORTAGG","MEANR")&lt;/Q&gt;&lt;R&gt;121&lt;/R&gt;&lt;C&gt;1&lt;/C&gt;&lt;D xsi:type="xsd:double"&gt;13.5124847667894&lt;/D&gt;&lt;D xsi:type="xsd:double"&gt;13.8895530276347&lt;/D&gt;&lt;D xsi:type="xsd:double"&gt;14.2508476897551&lt;/D&gt;&lt;D xsi:type="xsd:double"&gt;14.3936879020965&lt;/D&gt;&lt;D xsi:type="xsd:double"&gt;14.2688189302568&lt;/D&gt;&lt;D xsi:type="xsd:double"&gt;14.3638825133665&lt;/D&gt;&lt;D xsi:type="xsd:double"&gt;15.9653806664351&lt;/D&gt;&lt;D xsi:type="xsd:double"&gt;15.6282329026935&lt;/D&gt;&lt;D xsi:type="xsd:double"&gt;15.7368193010122&lt;/D&gt;&lt;D xsi:type="xsd:double"&gt;15.7713176007469&lt;/D&gt;&lt;D xsi:type="xsd:double"&gt;14.7082121117559&lt;/D&gt;&lt;D xsi:type="xsd:double"&gt;16.286752457832&lt;/D&gt;&lt;D xsi:type="xsd:double"&gt;15.5214973027458&lt;/D&gt;&lt;D xsi:type="xsd:double"&gt;15.1717587079694&lt;/D&gt;&lt;D xsi:type="xsd:double"&gt;15.0495773339806&lt;/D&gt;&lt;D xsi:type="xsd:double"&gt;15.1785810566473&lt;/D&gt;&lt;D xsi:type="xsd:double"&gt;15.2022189206436&lt;/D&gt;&lt;D xsi:type="xsd:double"&gt;14.6299552844934&lt;/D&gt;&lt;D xsi:type="xsd:double"&gt;14.0528550770101&lt;/D&gt;&lt;D xsi:type="xsd:double"&gt;13.7203967600732&lt;/D&gt;&lt;D xsi:type="xsd:double"&gt;14.5218484726826&lt;/D&gt;&lt;D xsi:type="xsd:double"&gt;13.0829028549446&lt;/D&gt;&lt;D xsi:type="xsd:double"&gt;12.3442360838464&lt;/D&gt;&lt;D xsi:type="xsd:double"&gt;13.2983266633764&lt;/D&gt;&lt;D xsi:type="xsd:double"&gt;14.3063344671232&lt;/D&gt;&lt;D xsi:type="xsd:double"&gt;14.4845852272723&lt;/D&gt;&lt;D xsi:type="xsd:double"&gt;14.2688685260324&lt;/D&gt;&lt;D xsi:type="xsd:double"&gt;14.697794427046&lt;/D&gt;&lt;D xsi:type="xsd:double"&gt;14.8272297988212&lt;/D&gt;&lt;D xsi:type="xsd:double"&gt;15.1748621338548&lt;/D&gt;&lt;D xsi:type="xsd:double"&gt;15.0043683622727&lt;/D&gt;&lt;D xsi:type="xsd:double"&gt;14.7657950111201&lt;/D&gt;&lt;D xsi:type="xsd:double"&gt;14.5047138869341&lt;/D&gt;&lt;D xsi:type="xsd:double"&gt;14.6501293611528&lt;/D&gt;&lt;D xsi:type="xsd:double"&gt;15.0605709674573&lt;/D&gt;&lt;D xsi:type="xsd:double"&gt;15.1616619011563&lt;/D&gt;&lt;D xsi:type="xsd:double"&gt;15.0454425891933&lt;/D&gt;&lt;D xsi:type="xsd:double"&gt;15.0570688112615&lt;/D&gt;&lt;D xsi:type="xsd:double"&gt;14.7811867222674&lt;/D&gt;&lt;D xsi:type="xsd:double"&gt;14.6918166051467&lt;/D&gt;&lt;D xsi:type="xsd:double"&gt;14.6972305147115&lt;/D&gt;&lt;D xsi:type="xsd:double"&gt;14.7565377734157&lt;/D&gt;&lt;D xsi:type="xsd:double"&gt;15.0828990935629&lt;/D&gt;&lt;D xsi:type="xsd:double"&gt;15.5459437846981&lt;/D&gt;&lt;D xsi:type="xsd:double"&gt;15.6244217568667&lt;/D&gt;&lt;D xsi:type="xsd:double"&gt;15.4602505126247&lt;/D&gt;&lt;D xsi:type="xsd:double"&gt;16.2989394695633&lt;/D&gt;&lt;D xsi:type="xsd:double"&gt;16.3590082674836&lt;/D&gt;&lt;D xsi:type="xsd:double"&gt;16.0596573281298&lt;/D&gt;&lt;D xsi:type="xsd:double"&gt;14.8314905027512&lt;/D&gt;&lt;D xsi:type="xsd:double"&gt;15.3527350200222&lt;/D&gt;&lt;D xsi:type="xsd:double"&gt;15.0013319517108&lt;/D&gt;&lt;D xsi:type="xsd:double"&gt;14.1693320950564&lt;/D&gt;&lt;D xsi:type="xsd:double"&gt;14.80464815463&lt;/D&gt;&lt;D xsi:type="xsd:double"&gt;14.8540216808615&lt;/D&gt;&lt;D xsi:type="xsd:double"&gt;14.7827948582057&lt;/D&gt;&lt;D xsi:type="xsd:double"&gt;14.411770172684&lt;/D&gt;&lt;D xsi:type="xsd:double"&gt;14.4284184111462&lt;/D&gt;&lt;D xsi:type="xsd:double"&gt;13.642722211532&lt;/D&gt;&lt;D xsi:type="xsd:double"&gt;14.6181994637192&lt;/D&gt;&lt;D xsi:type="xsd:double"&gt;14.8168970388242&lt;/D&gt;&lt;D xsi:type="xsd:double"&gt;14.8295097000417&lt;/D&gt;&lt;D xsi:type="xsd:double"&gt;15.1534103676635&lt;/D&gt;&lt;D xsi:type="xsd:double"&gt;14.8938133700488&lt;/D&gt;&lt;D xsi:type="xsd:double"&gt;15.7539670981665&lt;/D&gt;&lt;D xsi:type="xsd:double"&gt;15.341146836643&lt;/D&gt;&lt;D xsi:type="xsd:double"&gt;15.481245753544&lt;/D&gt;&lt;D xsi:type="xsd:double"&gt;14.9944953529109&lt;/D&gt;&lt;D xsi:type="xsd:double"&gt;15.6033564571536&lt;/D&gt;&lt;D xsi:type="xsd:double"&gt;15.2390358849447&lt;/D&gt;&lt;D xsi:type="xsd:double"&gt;15.5075902490567&lt;/D&gt;&lt;D xsi:type="xsd:double"&gt;15.1015428448463&lt;/D&gt;&lt;D xsi:type="xsd:double"&gt;14.3699587838647&lt;/D&gt;&lt;D xsi:type="xsd:double"&gt;13.2755569761817&lt;/D&gt;&lt;D xsi:type="xsd:double"&gt;16.2486958033312&lt;/D&gt;&lt;D xsi:type="xsd:double"&gt;19.8043483753391&lt;/D&gt;&lt;D xsi:type="xsd:double"&gt;19.8417020831635&lt;/D&gt;&lt;D xsi:type="xsd:double"&gt;19.3709201140379&lt;/D&gt;&lt;D xsi:type="xsd:double"&gt;19.155392769495&lt;/D&gt;&lt;D xsi:type="xsd:double"&gt;17.9987539132752&lt;/D&gt;&lt;D xsi:type="xsd:double"&gt;16.7096483512105&lt;/D&gt;&lt;D xsi:type="xsd:double"&gt;19.456759195072&lt;/D&gt;&lt;D xsi:type="xsd:double"&gt;19.6301282809754&lt;/D&gt;&lt;D xsi:type="xsd:double"&gt;19.0524724332695&lt;/D&gt;&lt;D xsi:type="xsd:double"&gt;19.3499421745857&lt;/D&gt;&lt;D xsi:type="xsd:double"&gt;19.5529455417229&lt;/D&gt;&lt;D xsi:type="xsd:double"&gt;18.7017321649292&lt;/D&gt;&lt;D xsi:type="xsd:double"&gt;17.9608048959844&lt;/D&gt;&lt;D xsi:type="xsd:double"&gt;17.2480921142797&lt;/D&gt;&lt;D xsi:type="xsd:double"&gt;16.816838154209&lt;/D&gt;&lt;D xsi:type="xsd:double"&gt;18.0375870172517&lt;/D&gt;&lt;D xsi:type="xsd:double"&gt;17.2100311069849&lt;/D&gt;&lt;D xsi:type="xsd:double"&gt;17.2617300493231&lt;/D&gt;&lt;D xsi:type="xsd:double"&gt;16.700228439374&lt;/D&gt;&lt;D xsi:type="xsd:double"&gt;17.3975908328667&lt;/D&gt;&lt;D xsi:type="xsd:double"&gt;17.1696753017193&lt;/D&gt;&lt;D xsi:type="xsd:double"&gt;17.0437131704921&lt;/D&gt;&lt;D xsi:type="xsd:double"&gt;17.3592906497203&lt;/D&gt;&lt;D xsi:type="xsd:double"&gt;16.3908186693146&lt;/D&gt;&lt;D xsi:type="xsd:double"&gt;16.193868959958&lt;/D&gt;&lt;D xsi:type="xsd:double"&gt;15.0737039188932&lt;/D&gt;&lt;D xsi:type="xsd:double"&gt;15.2683856187487&lt;/D&gt;&lt;D xsi:type="xsd:double"&gt;15.3150604055113&lt;/D&gt;&lt;D xsi:type="xsd:double"&gt;14.9488996842819&lt;/D&gt;&lt;D xsi:type="xsd:double"&gt;15.4241103464842&lt;/D&gt;&lt;D xsi:type="xsd:double"&gt;15.764297952964&lt;/D&gt;&lt;D xsi:type="xsd:double"&gt;16.0155067159612&lt;/D&gt;&lt;D xsi:type="xsd:double"&gt;16.0995921155656&lt;/D&gt;&lt;D xsi:type="xsd:double"&gt;15.7735293691786&lt;/D&gt;&lt;D xsi:type="xsd:double"&gt;15.6786137864818&lt;/D&gt;&lt;D xsi:type="xsd:double"&gt;15.2658484462923&lt;/D&gt;&lt;D xsi:type="xsd:double"&gt;15.5434784362267&lt;/D&gt;&lt;D xsi:type="xsd:double"&gt;15.4899107565257&lt;/D&gt;&lt;D xsi:type="xsd:double"&gt;15.747645132025&lt;/D&gt;&lt;D xsi:type="xsd:double"&gt;15.9636708640761&lt;/D&gt;&lt;D xsi:type="xsd:double"&gt;14.8493673945159&lt;/D&gt;&lt;D xsi:type="xsd:double"&gt;14.5647372029106&lt;/D&gt;&lt;D xsi:type="xsd:double"&gt;14.2963320753714&lt;/D&gt;&lt;D xsi:type="xsd:double"&gt;14.7387353006851&lt;/D&gt;&lt;D xsi:type="xsd:double"&gt;14.3140183985172&lt;/D&gt;&lt;D xsi:type="xsd:double"&gt;14.1758308117199&lt;/D&gt;&lt;/FQL&gt;&lt;FQL&gt;&lt;Q&gt;EWM^FG_TOTAL_RETURNC(0,-6AM)&lt;/Q&gt;&lt;R&gt;1&lt;/R&gt;&lt;C&gt;1&lt;/C&gt;&lt;D xsi:type="xsd:double"&gt;3.5411239&lt;/D&gt;&lt;/FQL&gt;&lt;FQL&gt;&lt;Q&gt;VNM^PERCENT_CHANGE(FMA_EPS(+1,0,,,,"PORTAGG","MEAN"),FMA_EPS(+1,-3AM,,,,"PORTAGG","MEAN"))&lt;/Q&gt;&lt;R&gt;1&lt;/R&gt;&lt;C&gt;1&lt;/C&gt;&lt;D xsi:type="xsd:double"&gt;-24.2050595502618&lt;/D&gt;&lt;/FQL&gt;&lt;FQL&gt;&lt;Q&gt;EWW^FMA_COS_UP("EPS","1M",+1,NOW,,,"PORTAGG","MEANR")&lt;/Q&gt;&lt;R&gt;1&lt;/R&gt;&lt;C&gt;1&lt;/C&gt;&lt;D xsi:type="xsd:double"&gt;12&lt;/D&gt;&lt;/FQL&gt;&lt;FQL&gt;&lt;Q&gt;EWW^FG_COMPANY_NAME&lt;/Q&gt;&lt;R&gt;1&lt;/R&gt;&lt;C&gt;1&lt;/C&gt;&lt;D xsi:type="xsd:string"&gt;iShares MSCI Mexico ETF&lt;/D&gt;&lt;/FQL&gt;&lt;FQL&gt;&lt;Q&gt;CNYA^FG_PRICE_MAVG(0,,,,200)&lt;/Q&gt;&lt;R&gt;1&lt;/R&gt;&lt;C&gt;1&lt;/C&gt;&lt;D xsi:type="xsd:double"&gt;27.653019&lt;/D&gt;&lt;/FQL&gt;&lt;FQL&gt;&lt;Q&gt;VNM^PERCENT_CHANGE(FMA_EPS(+1,0,,,,"PORTAGG","MEAN"),FMA_EPS(+1,-1AM,,,,"PORTAGG","MEAN"))&lt;/Q&gt;&lt;R&gt;1&lt;/R&gt;&lt;C&gt;1&lt;/C&gt;&lt;D xsi:type="xsd:double"&gt;-19.6011352339812&lt;/D&gt;&lt;/FQL&gt;&lt;FQL&gt;&lt;Q&gt;INDA^FMA_EVAL_EBITDA(NTMA,0,,,"PORTAGG","MEANR")&lt;/Q&gt;&lt;R&gt;1&lt;/R&gt;&lt;C&gt;1&lt;/C&gt;&lt;D xsi:type="xsd:double"&gt;16.8084737810259&lt;/D&gt;&lt;/FQL&gt;&lt;FQL&gt;&lt;Q&gt;VWO^FG_TOTAL_RETURNC(0,-3AM)&lt;/Q&gt;&lt;R&gt;1&lt;/R&gt;&lt;C&gt;1&lt;/C&gt;&lt;D xsi:type="xsd:double"&gt;4.5764565&lt;/D&gt;&lt;/FQL&gt;&lt;FQL&gt;&lt;Q&gt;TUR^FMA_EVAL_EBIT(LTMA,NOW,NOW,M,"PORTAGG","MEANR")&lt;/Q&gt;&lt;R&gt;1&lt;/R&gt;&lt;C&gt;1&lt;/C&gt;&lt;D xsi:type="xsd:double"&gt;6.88277191611181&lt;/D&gt;&lt;/FQL&gt;&lt;FQL&gt;&lt;Q&gt;USDCLP^STD(FG_PRICE_CHANGE(0,-1AY,AM))&lt;/Q&gt;&lt;R&gt;1&lt;/R&gt;&lt;C&gt;1&lt;/C&gt;&lt;D xsi:type="xsd:double"&gt;3.52531860079917&lt;/D&gt;&lt;/FQL&gt;&lt;FQL&gt;&lt;Q&gt;VWO^FG_FCF_YIELD_NTM(0)&lt;/Q&gt;&lt;R&gt;1&lt;/R&gt;&lt;C&gt;1&lt;/C&gt;&lt;D xsi:type="xsd:double"&gt;5.06454561198217&lt;/D&gt;&lt;/FQL&gt;&lt;FQL&gt;&lt;Q&gt;UAE^FMA_DIV_YLD(NTMA,NOW,NOW,M,"PORTAGG","MEANR")&lt;/Q&gt;&lt;R&gt;1&lt;/R&gt;&lt;C&gt;1&lt;/C&gt;&lt;D xsi:type="xsd:double"&gt;4.93847077893073&lt;/D&gt;&lt;/FQL&gt;&lt;FQL&gt;&lt;Q&gt;EWZ^FMA_PE(NTMA,0,,,"PORTAGG","MEANR")&lt;/Q&gt;&lt;R&gt;1&lt;/R&gt;&lt;C&gt;1&lt;/C&gt;&lt;D xsi:type="xsd:double"&gt;8.59103163215807&lt;/D&gt;&lt;/FQL&gt;&lt;FQL&gt;&lt;Q&gt;EIDO^FMA_PE(LTM,0,,,"PORTAGG","MEANR")&lt;/Q&gt;&lt;R&gt;1&lt;/R&gt;&lt;C&gt;1&lt;/C&gt;&lt;D xsi:type="xsd:double"&gt;14.3787196169458&lt;/D&gt;&lt;/FQL&gt;&lt;FQL&gt;&lt;Q&gt;CAGDPY@IN^EE_ACTUAL_ANNUAL(MED,+1)&lt;/Q&gt;&lt;R&gt;1&lt;/R&gt;&lt;C&gt;1&lt;/C&gt;&lt;D xsi:type="xsd:double"&gt;-1.5&lt;/D&gt;&lt;/FQL&gt;&lt;FQL&gt;&lt;Q&gt;WL-FDS^FG_PRICE_CHANGE(0,-1AM)&lt;/Q&gt;&lt;R&gt;1&lt;/R&gt;&lt;C&gt;1&lt;/C&gt;&lt;D xsi:type="xsd:double"&gt;-10.2467080369305&lt;/D&gt;&lt;/FQL&gt;&lt;FQL&gt;&lt;Q&gt;ECH^FG_PRICE_MAVG(0,,,,30)&lt;/Q&gt;&lt;R&gt;1&lt;/R&gt;&lt;C&gt;1&lt;/C&gt;&lt;D xsi:type="xsd:double"&gt;25.452&lt;/D&gt;&lt;/FQL&gt;&lt;FQL&gt;&lt;Q&gt;SET-BKK^FG_TOTAL_RETURNC(0,-6AM)&lt;/Q&gt;&lt;R&gt;1&lt;/R&gt;&lt;C&gt;1&lt;/C&gt;&lt;D xsi:type="xsd:double"&gt;-12.016047&lt;/D&gt;&lt;/FQL&gt;&lt;FQL&gt;&lt;Q&gt;EWM^PERCENT_CHANGE(FMA_EPS(+1,0,,,,"PORTAGG","MEAN"),FMA_EPS(+1,-1AM,,,,"PORTAGG","MEAN"))&lt;/Q&gt;&lt;R&gt;1&lt;/R&gt;&lt;C&gt;1&lt;/C&gt;&lt;D xsi:type="xsd:double"&gt;-11.3057014499678&lt;/D&gt;&lt;/FQL&gt;&lt;FQL&gt;&lt;Q&gt;KSA^SIZE(FG_CONSTITUENTS)&lt;/Q&gt;&lt;R&gt;1&lt;/R&gt;&lt;C&gt;1&lt;/C&gt;&lt;D xsi:type="xsd:long"&gt;123&lt;/D&gt;&lt;/FQL&gt;&lt;FQL&gt;&lt;Q&gt;TRYBR10Y-FDS^PCTCHG(FG_YIELD(0,,,,"YTM"),FG_YIELD(-1AM,,,,"YTM"))&lt;/Q&gt;&lt;R&gt;1&lt;/R&gt;&lt;C&gt;1&lt;/C&gt;&lt;D xsi:type="xsd:double"&gt;0.7140713&lt;/D&gt;&lt;/FQL&gt;&lt;FQL&gt;&lt;Q&gt;EWY^FG_COMPANY_NAME&lt;/Q&gt;&lt;R&gt;1&lt;/R&gt;&lt;C&gt;1&lt;/C&gt;&lt;D xsi:type="xsd:string"&gt;iShares MSCI South Korea ETF&lt;/D&gt;&lt;/FQL&gt;&lt;FQL&gt;&lt;Q&gt;USDKRW^STD(FG_PRICE_CHANGE(0,-1AY,AM))&lt;/Q&gt;&lt;R&gt;1&lt;/R&gt;&lt;C&gt;1&lt;/C&gt;&lt;D xsi:type="xsd:double"&gt;2.18027826002648&lt;/D&gt;&lt;/FQL&gt;&lt;FQL&gt;&lt;Q&gt;CNYA^P_PRICE_RETURNS_PR('52W',2,-10AY,0,AM)&lt;/Q&gt;&lt;R&gt;121&lt;/R&gt;&lt;C&gt;1&lt;/C&gt;&lt;D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xsi:type="xsd:double"&gt;14.10327&lt;/D&gt;&lt;D xsi:type="xsd:double"&gt;14.869869&lt;/D&gt;&lt;D xsi:type="xsd:double"&gt;18.900085&lt;/D&gt;&lt;D xsi:type="xsd:double"&gt;22.406982&lt;/D&gt;&lt;D xsi:type="xsd:double"&gt;20.309973&lt;/D&gt;&lt;D xsi:type="xsd:double"&gt;16.846478&lt;/D&gt;&lt;D xsi:type="xsd:double"&gt;32.962894&lt;/D&gt;&lt;D xsi:type="xsd:double"&gt;32.71549&lt;/D&gt;&lt;D xsi:type="xsd:double"&gt;25.833023&lt;/D&gt;&lt;D xsi:type="xsd:double"&gt;20.980978&lt;/D&gt;&lt;D xsi:type="xsd:double"&gt;19.373035&lt;/D&gt;&lt;D xsi:type="xsd:double"&gt;15.092278&lt;/D&gt;&lt;D xsi:type="xsd:double"&gt;-4.672164&lt;/D&gt;&lt;D xsi:type="xsd:double"&gt;-10.540706&lt;/D&gt;&lt;D xsi:type="xsd:double"&gt;-15.475148&lt;/D&gt;&lt;D xsi:type="xsd:double"&gt;-18.111372&lt;/D&gt;&lt;D xsi:type="xsd:double"&gt;-19.388432&lt;/D&gt;&lt;D xsi:type="xsd:double"&gt;-19.624794&lt;/D&gt;&lt;D xsi:type="xsd:double"&gt;-26.902782&lt;/D&gt;&lt;D xsi:type="xsd:double"&gt;-24.183304&lt;/D&gt;&lt;D xsi:type="xsd:double"&gt;-6.9343386&lt;/D&gt;&lt;D xsi:type="xsd:double"&gt;0.970304&lt;/D&gt;&lt;D xsi:type="xsd:double"&gt;0.7364869&lt;/D&gt;&lt;D xsi:type="xsd:double"&gt;-10.509932&lt;/D&gt;&lt;D xsi:type="xsd:double"&gt;13.376904&lt;/D&gt;&lt;D xsi:type="xsd:double"&gt;8.428764&lt;/D&gt;&lt;D xsi:type="xsd:double"&gt;13.222384&lt;/D&gt;&lt;D xsi:type="xsd:double"&gt;12.71578&lt;/D&gt;&lt;D xsi:type="xsd:double"&gt;20.603323&lt;/D&gt;&lt;D xsi:type="xsd:double"&gt;17.811382&lt;/D&gt;&lt;D xsi:type="xsd:double"&gt;38.72352&lt;/D&gt;&lt;D xsi:type="xsd:double"&gt;15.838885&lt;/D&gt;&lt;D xsi:type="xsd:double"&gt;8.897233&lt;/D&gt;&lt;D xsi:type="xsd:double"&gt;-8.395338&lt;/D&gt;&lt;D xsi:type="xsd:double"&gt;-6.1394033&lt;/D&gt;&lt;D xsi:type="xsd:double"&gt;12.219763&lt;/D&gt;&lt;D xsi:type="xsd:double"&gt;15.21014&lt;/D&gt;&lt;D xsi:type="xsd:double"&gt;37.2854&lt;/D&gt;&lt;D xsi:type="x</t>
        </r>
      </text>
    </comment>
    <comment ref="A23" authorId="0" shapeId="0" xr:uid="{EB0EC8AC-96BF-4927-9FE4-235BB2FAA242}">
      <text>
        <r>
          <rPr>
            <b/>
            <sz val="9"/>
            <color indexed="81"/>
            <rFont val="Tahoma"/>
            <family val="2"/>
          </rPr>
          <t>sd:double"&gt;36.347473&lt;/D&gt;&lt;D xsi:type="xsd:double"&gt;36.096775&lt;/D&gt;&lt;D xsi:type="xsd:double"&gt;37.07112&lt;/D&gt;&lt;D xsi:type="xsd:double"&gt;47.401585&lt;/D&gt;&lt;D xsi:type="xsd:double"&gt;43.853462&lt;/D&gt;&lt;D xsi:type="xsd:double"&gt;60.793888&lt;/D&gt;&lt;D xsi:type="xsd:double"&gt;37.62653&lt;/D&gt;&lt;D xsi:type="xsd:double"&gt;57.189583&lt;/D&gt;&lt;D xsi:type="xsd:double"&gt;53.037323&lt;/D&gt;&lt;D xsi:type="xsd:double"&gt;53.3571&lt;/D&gt;&lt;D xsi:type="xsd:double"&gt;31.9363&lt;/D&gt;&lt;D xsi:type="xsd:double"&gt;17.011143&lt;/D&gt;&lt;D xsi:type="xsd:double"&gt;13.240933&lt;/D&gt;&lt;D xsi:type="xsd:double"&gt;14.512992&lt;/D&gt;&lt;D xsi:type="xsd:double"&gt;9.277225&lt;/D&gt;&lt;D xsi:type="xsd:double"&gt;7.33546&lt;/D&gt;&lt;D xsi:type="xsd:double"&gt;-0.14343262&lt;/D&gt;&lt;D xsi:type="xsd:double"&gt;-10.497051&lt;/D&gt;&lt;D xsi:type="xsd:double"&gt;-6.1106324&lt;/D&gt;&lt;D xsi:type="xsd:double"&gt;-8.643877&lt;/D&gt;&lt;D xsi:type="xsd:double"&gt;-18.971539&lt;/D&gt;&lt;D xsi:type="xsd:double"&gt;-20.827902&lt;/D&gt;&lt;D xsi:type="xsd:double"&gt;-12.8353&lt;/D&gt;&lt;D xsi:type="xsd:double"&gt;-17.950111&lt;/D&gt;&lt;D xsi:type="xsd:double"&gt;-21.350903&lt;/D&gt;&lt;D xsi:type="xsd:double"&gt;-22.834127&lt;/D&gt;&lt;D xsi:type="xsd:double"&gt;-27.412325&lt;/D&gt;&lt;D xsi:type="xsd:double"&gt;-24.680412&lt;/D&gt;&lt;D xsi:type="xsd:double"&gt;-23.742073&lt;/D&gt;&lt;D xsi:type="xsd:double"&gt;-13.743782&lt;/D&gt;&lt;D xsi:type="xsd:double"&gt;-14.691281&lt;/D&gt;&lt;D xsi:type="xsd:double"&gt;-9.60834&lt;/D&gt;&lt;D xsi:type="xsd:double"&gt;-1.5399754&lt;/D&gt;&lt;D xsi:type="xsd:double"&gt;-11.9429&lt;/D&gt;&lt;D xsi:type="xsd:double"&gt;-20.211231&lt;/D&gt;&lt;D xsi:type="xsd:double"&gt;-8.567447&lt;/D&gt;&lt;D xsi:type="xsd:double"&gt;-11.682093&lt;/D&gt;&lt;D xsi:type="xsd:double"&gt;-10.858875&lt;/D&gt;&lt;D xsi:type="xsd:double"&gt;-3.0044436&lt;/D&gt;&lt;D xsi:type="xsd:double"&gt;-14.033538&lt;/D&gt;&lt;D xsi:type="xsd:double"&gt;-18.367111&lt;/D&gt;&lt;D xsi:type="xsd:double"&gt;-30.199516&lt;/D&gt;&lt;D xsi:type="xsd:double"&gt;-18.313004&lt;/D&gt;&lt;/FQL&gt;&lt;FQL&gt;&lt;Q&gt;EWZ^FMA_PE(LTM,0,,,"PORTAGG","MEANR")&lt;/Q&gt;&lt;R&gt;1&lt;/R&gt;&lt;C&gt;1&lt;/C&gt;&lt;D xsi:type="xsd:double"&gt;7.86226452085974&lt;/D&gt;&lt;/FQL&gt;&lt;FQL&gt;&lt;Q&gt;ECH^JULIAN(P_PRICE_RETURNS_PR('52W',2,-10AY,0,AM).DATES)&lt;/Q&gt;&lt;R&gt;121&lt;/R&gt;&lt;C&gt;1&lt;/C&gt;&lt;D xsi:type="xsd:long"&gt;41702&lt;/D&gt;&lt;D xsi:type="xsd:long"&gt;41733&lt;/D&gt;&lt;D xsi:type="xsd:long"&gt;41761&lt;/D&gt;&lt;D xsi:type="xsd:long"&gt;41794&lt;/D&gt;&lt;D xsi:type="xsd:long"&gt;41823&lt;/D&gt;&lt;D xsi:type="xsd:long"&gt;41855&lt;/D&gt;&lt;D xsi:type="xsd:long"&gt;41886&lt;/D&gt;&lt;D xsi:type="xsd:long"&gt;41915&lt;/D&gt;&lt;D xsi:type="xsd:long"&gt;41947&lt;/D&gt;&lt;D xsi:type="xsd:long"&gt;41977&lt;/D&gt;&lt;D xsi:type="xsd:long"&gt;42006&lt;/D&gt;&lt;D xsi:type="xsd:long"&gt;42039&lt;/D&gt;&lt;D xsi:type="xsd:long"&gt;42067&lt;/D&gt;&lt;D xsi:type="xsd:long"&gt;42096&lt;/D&gt;&lt;D xsi:type="xsd:long"&gt;42128&lt;/D&gt;&lt;D xsi:type="xsd:long"&gt;42159&lt;/D&gt;&lt;D xsi:type="xsd:long"&gt;42187&lt;/D&gt;&lt;D xsi:type="xsd:long"&gt;42220&lt;/D&gt;&lt;D xsi:type="xsd:long"&gt;42251&lt;/D&gt;&lt;D xsi:type="xsd:long"&gt;42279&lt;/D&gt;&lt;D xsi:type="xsd:long"&gt;42312&lt;/D&gt;&lt;D xsi:type="xsd:long"&gt;42342&lt;/D&gt;&lt;D xsi:type="xsd:long"&gt;42373&lt;/D&gt;&lt;D xsi:type="xsd:long"&gt;42404&lt;/D&gt;&lt;D xsi:type="xsd:long"&gt;42433&lt;/D&gt;&lt;D xsi:type="xsd:long"&gt;42464&lt;/D&gt;&lt;D xsi:type="xsd:long"&gt;42494&lt;/D&gt;&lt;D xsi:type="xsd:long"&gt;42524&lt;/D&gt;&lt;D xsi:type="xsd:long"&gt;42552&lt;/D&gt;&lt;D xsi:type="xsd:long"&gt;42586&lt;/D&gt;&lt;D xsi:type="xsd:long"&gt;42615&lt;/D&gt;&lt;D xsi:type="xsd:long"&gt;42647&lt;/D&gt;&lt;D xsi:type="xsd:long"&gt;42678&lt;/D&gt;&lt;D xsi:type="xsd:long"&gt;42706&lt;/D&gt;&lt;D xsi:type="xsd:long"&gt;42739&lt;/D&gt;&lt;D xsi:type="xsd:long"&gt;42769&lt;/D&gt;&lt;D xsi:type="xsd:long"&gt;42797&lt;/D&gt;&lt;D xsi:type="xsd:long"&gt;42829&lt;/D&gt;&lt;D xsi:type="xsd:long"&gt;42859&lt;/D&gt;&lt;D xsi:type="xsd:long"&gt;42888&lt;/D&gt;&lt;D xsi:type="xsd:long"&gt;42919&lt;/D&gt;&lt;D xsi:type="xsd:long"&gt;42951&lt;/D&gt;&lt;D xsi:type="xsd:long"&gt;42979&lt;/D&gt;&lt;D xsi:type="xsd:long"&gt;43012&lt;/D&gt;&lt;D xsi:type="xsd:long"&gt;43042&lt;/D&gt;&lt;D xsi:type="xsd:long"&gt;43073&lt;/D&gt;&lt;D xsi:type="xsd:long"&gt;43104&lt;/D&gt;&lt;D xsi:type="xsd:long"&gt;43133&lt;/D&gt;&lt;D xsi:type="xsd:long"&gt;43161&lt;/D&gt;&lt;D xsi:type="xsd:long"&gt;43194&lt;/D&gt;&lt;D xsi:type="xsd:long"&gt;43224&lt;/D&gt;&lt;D xsi:type="xsd:long"&gt;43255&lt;/D&gt;&lt;D xsi:type="xsd:long"&gt;43284&lt;/D&gt;&lt;D xsi:type="xsd:long"&gt;43315&lt;/D&gt;&lt;D xsi:type="xsd:long"&gt;43347&lt;/D&gt;&lt;D xsi:type="xsd:long"&gt;43377&lt;/D&gt;&lt;D xsi:type="xsd:long"&gt;43406&lt;/D&gt;&lt;D xsi:type="xsd:long"&gt;43438&lt;/D&gt;&lt;D xsi:type="xsd:long"&gt;43469&lt;/D&gt;&lt;D xsi:type="xsd:long"&gt;43500&lt;/D&gt;&lt;D xsi:type="xsd:long"&gt;43528&lt;/D&gt;&lt;D xsi:type="xsd:long"&gt;43559&lt;/D&gt;&lt;D xsi:type="xsd:long"&gt;43588&lt;/D&gt;&lt;D xsi:type="xsd:long"&gt;43620&lt;/D&gt;&lt;D xsi:type="xsd:long"&gt;43649&lt;/D&gt;&lt;D xsi:type="xsd:long"&gt;43679&lt;/D&gt;&lt;D xsi:type="xsd:long"&gt;43712&lt;/D&gt;&lt;D xsi:type="xsd:long"&gt;43742&lt;/D&gt;&lt;D xsi:type="xsd:long"&gt;43773&lt;/D&gt;&lt;D xsi:type="xsd:long"&gt;43803&lt;/D&gt;&lt;D xsi:type="xsd:long"&gt;43833&lt;/D&gt;&lt;D xsi:type="xsd:long"&gt;43865&lt;/D&gt;&lt;D xsi:type="xsd:long"&gt;43894&lt;/D&gt;&lt;D xsi:type="xsd:long"&gt;43924&lt;/D&gt;&lt;D xsi:type="xsd:long"&gt;43955&lt;/D&gt;&lt;D xsi:type="xsd:long"&gt;43986&lt;/D&gt;&lt;D xsi:type="xsd:long"&gt;44014&lt;/D&gt;&lt;D xsi:type="xsd:long"&gt;44047&lt;/D&gt;&lt;D xsi:type="xsd:long"&gt;44078&lt;/D&gt;&lt;D xsi:type="xsd:long"&gt;44106&lt;/D&gt;&lt;D xsi:type="xsd:long"&gt;44139&lt;/D&gt;&lt;D xsi:type="xsd:long"&gt;44169&lt;/D&gt;&lt;D xsi:type="xsd:long"&gt;44200&lt;/D&gt;&lt;D xsi:type="xsd:long"&gt;44231&lt;/D&gt;&lt;D xsi:type="xsd:long"&gt;44259&lt;/D&gt;&lt;D xsi:type="xsd:long"&gt;44287&lt;/D&gt;&lt;D xsi:type="xsd:long"&gt;44320&lt;/D&gt;&lt;D xsi:type="xsd:long"&gt;44351&lt;/D&gt;&lt;D xsi:type="xsd:long"&gt;44379&lt;/D&gt;&lt;D xsi:type="xsd:long"&gt;44412&lt;/D&gt;&lt;D xsi:type="xsd:long"&gt;44442&lt;/D&gt;&lt;D xsi:type="xsd:long"&gt;44473&lt;/D&gt;&lt;D xsi:type="xsd:long"&gt;44504&lt;/D&gt;&lt;D xsi:type="xsd:long"&gt;44533&lt;/D&gt;&lt;D xsi:type="xsd:long"&gt;44565&lt;/D&gt;&lt;D xsi:type="xsd:long"&gt;44596&lt;/D&gt;&lt;D xsi:type="xsd:long"&gt;44624&lt;/D&gt;&lt;D xsi:type="xsd:long"&gt;44655&lt;/D&gt;&lt;D xsi:type="xsd:long"&gt;44685&lt;/D&gt;&lt;D xsi:type="xsd:long"&gt;44715&lt;/D&gt;&lt;D xsi:type="xsd:long"&gt;44743&lt;/D&gt;&lt;D xsi:type="xsd:long"&gt;44777&lt;/D&gt;&lt;D xsi:type="xsd:long"&gt;44806&lt;/D&gt;&lt;D xsi:type="xsd:long"&gt;44838&lt;/D&gt;&lt;D xsi:type="xsd:long"&gt;44869&lt;/D&gt;&lt;D xsi:type="xsd:long"&gt;44897&lt;/D&gt;&lt;D xsi:type="xsd:long"&gt;44930&lt;/D&gt;&lt;D xsi:type="xsd:long"&gt;44960&lt;/D&gt;&lt;D xsi:type="xsd:long"&gt;44988&lt;/D&gt;&lt;D xsi:type="xsd:long"&gt;45020&lt;/D&gt;&lt;D xsi:type="xsd:long"&gt;45050&lt;/D&gt;&lt;D xsi:type="xsd:long"&gt;45079&lt;/D&gt;&lt;D xsi:type="xsd:long"&gt;45110&lt;/D&gt;&lt;D xsi:type="xsd:long"&gt;45142&lt;/D&gt;&lt;D xsi:type="xsd:long"&gt;45170&lt;/D&gt;&lt;D xsi:type="xsd:long"&gt;45203&lt;/D&gt;&lt;D xsi:type="xsd:long"&gt;45233&lt;/D&gt;&lt;D xsi:type="xsd:long"&gt;45264&lt;/D&gt;&lt;D xsi:type="xsd:long"&gt;45295&lt;/D&gt;&lt;D xsi:type="xsd:long"&gt;45324&lt;/D&gt;&lt;D xsi:type="xsd:long"&gt;45355&lt;/D&gt;&lt;/FQL&gt;&lt;FQL&gt;&lt;Q&gt;COPP-FDS^MAX(FG_PRICE(0,-5AY))&lt;/Q&gt;&lt;R&gt;1&lt;/R&gt;&lt;C&gt;1&lt;/C&gt;&lt;D xsi:type="xsd:double"&gt;4.929&lt;/D&gt;&lt;/FQL&gt;&lt;FQL&gt;&lt;Q&gt;ECH^FG_PRICE(0)&lt;/Q&gt;&lt;R&gt;1&lt;/R&gt;&lt;C&gt;1&lt;/C&gt;&lt;D xsi:type="xsd:double"&gt;25.6&lt;/D&gt;&lt;/FQL&gt;&lt;FQL&gt;&lt;Q&gt;REFINREPO-FDS^PROPER_NAME(0,,,"SECURITY","NAME")&lt;/Q&gt;&lt;R&gt;1&lt;/R&gt;&lt;C&gt;1&lt;/C&gt;&lt;D xsi:type="xsd:string"&gt;India Repo Rate&lt;/D&gt;&lt;/FQL&gt;&lt;FQL&gt;&lt;Q&gt;VWO^JULIAN(FMA_DIV_YLD(NTMA,NOW,NOW,M,"PORTAGG","MEANR").DATES)&lt;/Q&gt;&lt;R&gt;1&lt;/R&gt;&lt;C&gt;1&lt;/C&gt;&lt;D xsi:type="xsd:long"&gt;45322&lt;/D&gt;&lt;/FQL&gt;&lt;FQL&gt;&lt;Q&gt;MCHI^FMA_PE(NTMA,0,,,"PORTAGG","MEANR")&lt;/Q&gt;&lt;R&gt;1&lt;/R&gt;&lt;C&gt;1&lt;/C&gt;&lt;D xsi:type="xsd:double"&gt;10.4707216811937&lt;/D&gt;&lt;/FQL&gt;&lt;FQL&gt;&lt;Q&gt;EWY^FMA_EVAL_EBITDA(NTMA,0,,,"PORTAGG","MEANR")&lt;/Q&gt;&lt;R&gt;1&lt;/R&gt;&lt;C&gt;1&lt;/C&gt;&lt;D xsi:type="xsd:double"&gt;8.89044789399639&lt;/D&gt;&lt;/FQL&gt;&lt;FQL&gt;&lt;Q&gt;USDAED^FG_COMPANY_NAME&lt;/Q&gt;&lt;R&gt;1&lt;/R&gt;&lt;C&gt;1&lt;/C&gt;&lt;D xsi:type="xsd:string"&gt;UAE Dirham per U.S. Dollar&lt;/D&gt;&lt;/FQL&gt;&lt;FQL&gt;&lt;Q&gt;EPU^FG_TOTAL_RETURNC(0,-3AM)&lt;/Q&gt;&lt;R&gt;1&lt;/R&gt;&lt;C&gt;1&lt;/C&gt;&lt;D xsi:type="xsd:double"&gt;17.965757&lt;/D&gt;&lt;/FQL&gt;&lt;FQL&gt;&lt;Q&gt;CC_SA^IMF_IFS_RCPI_Q(0)&lt;/Q&gt;&lt;R&gt;1&lt;/R&gt;&lt;C&gt;1&lt;/C&gt;&lt;D xsi:type="xsd:double"&gt;1.5943921&lt;/D&gt;&lt;/FQL&gt;&lt;FQL&gt;&lt;Q&gt;EPU^FMA_EVAL_EBIT(LTMA,NOW,NOW,M,"PORTAGG","MEANR")&lt;/Q&gt;&lt;R&gt;1&lt;/R&gt;&lt;C&gt;1&lt;/C&gt;&lt;D xsi:type="xsd:double"&gt;13.1861537630125&lt;/D&gt;&lt;/FQL&gt;&lt;FQL&gt;&lt;Q&gt;ECH^FMA_EVAL_EBIT(LTMA,NOW,NOW,M,"PORTAGG","MEANR")&lt;/Q&gt;&lt;R&gt;1&lt;/R&gt;&lt;C&gt;1&lt;/C&gt;&lt;D xsi:type="xsd:double"&gt;9.665514047746&lt;/D&gt;&lt;/FQL&gt;&lt;FQL&gt;&lt;Q&gt;EWT^FG_COMPANY_NAME&lt;/Q&gt;&lt;R&gt;1&lt;/R&gt;&lt;C&gt;1&lt;/C&gt;&lt;D xsi:type="xsd:string"&gt;iShares MSCI Taiwan ETF&lt;/D&gt;&lt;/FQL&gt;&lt;FQL&gt;&lt;Q&gt;COPP-FDS^FG_PRICE_CHANGE(0,-1AM)&lt;/Q&gt;&lt;R&gt;1&lt;/R&gt;&lt;C&gt;1&lt;/C&gt;&lt;D xsi:type="xsd:double"&gt;0.798115923066867&lt;/D&gt;&lt;/FQL&gt;&lt;FQL&gt;&lt;Q&gt;UAE^PERCENT_CHANGE(FMA_EPS(+1,0,,,,"PORTAGG","MEAN"),FMA_EPS(+1,-1AM,,,,"PORTAGG","MEAN"))&lt;/Q&gt;&lt;R&gt;1&lt;/R&gt;&lt;C&gt;1&lt;/C&gt;&lt;D xsi:type="xsd:double"&gt;10.0083693931916&lt;/D&gt;&lt;/FQL&gt;&lt;FQL&gt;&lt;Q&gt;EPU^PERCENT_CHANGE(FMA_EPS(+1,0,,,,"PORTAGG","MEAN"),FMA_EPS(+1,-3AM,,,,"PORTAGG","MEAN"))&lt;/Q&gt;&lt;R&gt;1&lt;/R&gt;&lt;C&gt;1&lt;/C&gt;&lt;D xsi:type="xsd:double"&gt;-26.6004699077926&lt;/D&gt;&lt;/FQL&gt;&lt;FQL&gt;&lt;Q&gt;REFPHRREPO-FDS^FG_YIELD(NOW,,,0)&lt;/Q&gt;&lt;R&gt;1&lt;/R&gt;&lt;C&gt;1&lt;/C&gt;&lt;D xsi:type="xsd:double"&gt;6.5&lt;/D&gt;&lt;/FQL&gt;&lt;FQL&gt;&lt;Q&gt;TRYTR7Y-FDS^FG_YIELD(0,,,,"YTM")&lt;/Q&gt;&lt;R&gt;1&lt;/R&gt;&lt;C&gt;1&lt;/C&gt;&lt;D xsi:type="xsd:double"&gt;23.918245&lt;/D&gt;&lt;/FQL&gt;&lt;FQL&gt;&lt;Q&gt;MCHI^FMA_DIV_YLD(NTMA,NOW,NOW,M,"PORTAGG","MEANR")&lt;/Q&gt;&lt;R&gt;1&lt;/R&gt;&lt;C&gt;1&lt;/C&gt;&lt;D xsi:type="xsd:double"&gt;2.89501557212149&lt;/D&gt;&lt;/FQL&gt;&lt;FQL&gt;&lt;Q&gt;CAGDPY@IN^EE_ACTUAL_ANNUAL(MED,0)&lt;/Q&gt;&lt;R&gt;0&lt;/R&gt;&lt;C&gt;0&lt;/C&gt;&lt;/FQL&gt;&lt;FQL&gt;&lt;Q&gt;GREK^FMA_PE(NTMA,0,,,"PORTAGG","MEANR")&lt;/Q&gt;&lt;R&gt;1&lt;/R&gt;&lt;C&gt;1&lt;/C&gt;&lt;D xsi:type="xsd:double"&gt;6.74632779174429&lt;/D&gt;&lt;/FQL&gt;&lt;FQL&gt;&lt;Q&gt;TRYSA10Y-FDS^FG_YIELD(0,,,,"YTM")&lt;/Q&gt;&lt;R&gt;1&lt;/R&gt;&lt;C&gt;1&lt;/C&gt;&lt;D xsi:type="xsd:double"&gt;5.2282166&lt;/D&gt;&lt;/FQL&gt;&lt;FQL&gt;&lt;Q&gt;EPU^FMA_RBICS_REV_CURRENT(30, LOC, "PORTAGG")&lt;/Q&gt;&lt;R&gt;1&lt;/R&gt;&lt;C&gt;1&lt;/C&gt;&lt;D xsi:type="xsd:double"&gt;29.804032462976&lt;/D&gt;&lt;/FQL&gt;&lt;FQL&gt;&lt;Q&gt;EWM^JULIAN(FMA_DIV_YLD(NTMA,NOW,NOW,M,"PORTAGG","MEANR").DATES)&lt;/Q&gt;&lt;R&gt;1&lt;/R&gt;&lt;C&gt;1&lt;/C&gt;&lt;D xsi:type="xsd:long"&gt;45351&lt;/D&gt;&lt;/FQL&gt;&lt;FQL&gt;&lt;Q&gt;GREK^FMA_PE(NTMA,-10AY,0,AM,"PORTAGG","MEANR")&lt;/Q&gt;&lt;R&gt;121&lt;/R&gt;&lt;C&gt;1&lt;/C&gt;&lt;D xsi:type="xsd:double"&gt;15.661063443389&lt;/D&gt;&lt;D xsi:type="xsd:double"&gt;15.841306304551&lt;/D&gt;&lt;D xsi:type="xsd:double"&gt;17.5751925211726&lt;/D&gt;&lt;D xsi:type="xsd:double"&gt;10.7347761074822&lt;/D&gt;&lt;D xsi:type="xsd:double"&gt;9.8182885413445&lt;/D&gt;&lt;D xsi:type="xsd:double"&gt;8.31335365478746&lt;/D&gt;&lt;D xsi:type="xsd:double"&gt;8.21693137360942&lt;/D&gt;&lt;D xsi:type="xsd:double"&gt;7.05599697268794&lt;/D&gt;&lt;D xsi:type="xsd:double"&gt;6.36391798098049&lt;/D&gt;&lt;D xsi:type="xsd:double"&gt;6.70633023859485&lt;/D&gt;&lt;D xsi:type="xsd:double"&gt;4.64343504738436&lt;/D&gt;&lt;D xsi:type="xsd:double"&gt;4.55214034017976&lt;/D&gt;&lt;D xsi:type="xsd:double"&gt;4.90092615439037&lt;/D&gt;&lt;D xsi:type="xsd:double"&gt;5.18309389389646&lt;/D&gt;&lt;D xsi:type="xsd:double"&gt;4.99088240209045&lt;/D&gt;&lt;D xsi:type="xsd:double"&gt;5.47584637564089&lt;/D&gt;&lt;D xsi:type="xsd:double"&gt;4.74942256821343&lt;/D&gt;&lt;D xsi:type="xsd:double"&gt;4.48845552671597&lt;/D&gt;&lt;D xsi:type="xsd:double"&gt;3.80069405083214&lt;/D&gt;&lt;D xsi:type="xsd:double"&gt;4.46858541645381&lt;/D&gt;&lt;D xsi:type="xsd:double"&gt;3.92098284085448&lt;/D&gt;&lt;D xsi:type="xsd:double"&gt;3.98255921292992&lt;/D&gt;&lt;D xsi:type="xsd:double"&gt;7.9394481626209&lt;/D&gt;&lt;D xsi:type="xsd:double"&gt;9.19201454990148&lt;/D&gt;&lt;D xsi:type="xsd:double"&gt;9.03684058393641&lt;/D&gt;&lt;D xsi:type="xsd:double"&gt;8.78581225668214&lt;/D&gt;&lt;D xsi:type="xsd:double"&gt;9.77585341808482&lt;/D&gt;&lt;D xsi:type="xsd:double"&gt;10.6925284336569&lt;/D&gt;&lt;D xsi:type="xsd:double"&gt;8.24174786063725&lt;/D&gt;&lt;D xsi:type="xsd:double"&gt;8.71963624964767&lt;/D&gt;&lt;D xsi:type="xsd:double"&gt;8.79438624776316&lt;/D&gt;&lt;D xsi:type="xsd:double"&gt;8.99277845925504&lt;/D&gt;&lt;D xsi:type="xsd:double"&gt;8.36973835516356&lt;/D&gt;&lt;D xsi:type="xsd:double"&gt;9.24607324971046&lt;/D&gt;&lt;D xsi:type="xsd:double"&gt;9.13186441065296&lt;/D&gt;&lt;D xsi:type="xsd:double"&gt;8.76326956932598&lt;/D&gt;&lt;D xsi:type="xsd:double"&gt;9.24773842941561&lt;/D&gt;&lt;D xsi:type="xsd:double"&gt;9.45039892527774&lt;/D&gt;&lt;D xsi:type="xsd:double"&gt;12.3745653524703&lt;/D&gt;&lt;D xsi:type="xsd:double"&gt;13.6886285876452&lt;/D&gt;&lt;D xsi:type="xsd:double"&gt;13.0673287245972&lt;/D&gt;&lt;D xsi:type="xsd:double"&gt;12.6480615774794&lt;/D&gt;&lt;D xsi:type="xsd:double"&gt;11.6157249986909&lt;/D&gt;&lt;D xsi:type="xsd:double"&gt;11.2186631972467&lt;/D&gt;&lt;D xsi:type="xsd:double"&gt;12.1805810469125&lt;/D&gt;&lt;D xsi:type="xsd:double"&gt;12.159496273306&lt;/D&gt;&lt;D xsi:type="xsd:double"&gt;13.8501690337594&lt;/D&gt;&lt;D xsi:type="xsd:double"&gt;14.9090678930461&lt;/D&gt;&lt;D xsi:type="xsd:double"&gt;14.1382485060325&lt;/D&gt;&lt;D xsi:type="xsd:double"&gt;13.3638041117002&lt;/D&gt;&lt;D xsi:type="xsd:double"&gt;14.7719245659908&lt;/D&gt;&lt;D xsi:type="xsd:double"&gt;14.8203021479288&lt;/D&gt;&lt;D xsi:type="xsd:double"&gt;14.6787721807466&lt;/D&gt;&lt;D xsi:type="xsd:double"&gt;14.5509157184601&lt;/D&gt;&lt;D xsi:type="xsd:double"&gt;13.7753709727057&lt;/D&gt;&lt;D xsi:type="xsd:double"&gt;13.9058341138835&lt;/D&gt;&lt;D xsi:type="xsd:double"&gt;11.8920343015053&lt;/D&gt;&lt;D xsi:type="xsd:double"&gt;12.2750524274508&lt;/D&gt;&lt;D xsi:type="xsd:double"&gt;10.9058370773039&lt;/D&gt;&lt;D xsi:type="xsd:double"&gt;11.2448003421316&lt;/D&gt;&lt;D xsi:type="xsd:double"&gt;12.7608760589954&lt;/D&gt;&lt;D xsi:type="xsd:double"&gt;13.8905172567232&lt;/D&gt;&lt;D xsi:type="xsd:double"&gt;13.9981641446923&lt;/D&gt;&lt;D xsi:type="xsd:double"&gt;14.0887309734451&lt;/D&gt;&lt;D xsi:type="xsd:double"&gt;14.9919736698298&lt;/D&gt;&lt;D xsi:type="xsd:double"&gt;13.8463433349827&lt;/D&gt;&lt;D xsi:type="xsd:double"&gt;13.7188873386191&lt;/D&gt;&lt;D xsi:type="xsd:double"&gt;12.0447810882857&lt;/D&gt;&lt;D xsi:type="xsd:double"&gt;11.9253338248751&lt;/D&gt;&lt;D xsi:type="xsd:double"&gt;11.4135888169524&lt;/D&gt;&lt;D xsi:type="xsd:double"&gt;11.3707790679188&lt;/D&gt;&lt;D xsi:type="xsd:double"&gt;10.8259620942521&lt;/D&gt;&lt;D xsi:type="xsd:double"&gt;9.25899474118983&lt;/D&gt;&lt;D xsi:type="xsd:double"&gt;6.76076669901636&lt;/D&gt;&lt;D xsi:type="xsd:double"&gt;9.81264299101587&lt;/D&gt;&lt;D xsi:type="xsd:double"&gt;11.711599502188&lt;/D&gt;&lt;D xsi:type="xsd:double"&gt;13.8777951085259&lt;/D&gt;&lt;D xsi:type="xsd:double"&gt;12.9609067407122&lt;/D&gt;&lt;D xsi:type="xsd:double"&gt;12.7197932880698&lt;/D&gt;&lt;D xsi:type="xsd:double"&gt;11.5258870653373&lt;/D&gt;&lt;D xsi:type="xsd:double"&gt;9.38868999466038&lt;/D&gt;&lt;D xsi:type="xsd:double"&gt;12.5729529218281&lt;/D&gt;&lt;D xsi:type="xsd:double"&gt;12.4784079370976&lt;/D&gt;&lt;D xsi:type="xsd:double"&gt;11.1797149268388&lt;/D&gt;&lt;D xsi:type="xsd:double"&gt;12.217765814443&lt;/D&gt;&lt;D xsi:type="xsd:double"&gt;12.1514454535887&lt;/D&gt;&lt;D xsi:type="xsd:double"&gt;13.0438026897202&lt;/D&gt;&lt;D xsi:type="xsd:double"&gt;12.7002384983671&lt;/D&gt;&lt;D xsi:type="xsd:double"&gt;11.9649355089025&lt;/D&gt;&lt;D xsi:type="xsd:double"&gt;11.1384403072879&lt;/D&gt;&lt;D xsi:type="xsd:double"&gt;11.1110996823916&lt;/D&gt;&lt;D xsi:type="xsd:double"&gt;10.1747293776915&lt;/D&gt;&lt;D xsi:type="xsd:double"&gt;11.0228352507281&lt;/D&gt;&lt;D xsi:type="xsd:double"&gt;9.73460391958803&lt;/D&gt;&lt;D xsi:type="xsd:double"&gt;9.6625245869553&lt;/D&gt;&lt;D xsi:type="xsd:double"&gt;10.0501368266708&lt;/D&gt;&lt;D xsi:type="xsd:double"&gt;8.97391106837102&lt;/D&gt;&lt;D xsi:type="xsd:double"&gt;10.0952297398055&lt;/D&gt;&lt;D xsi:type="xsd:double"&gt;9.6747772699381&lt;/D&gt;&lt;D xsi:type="xsd:double"&gt;9.55386758146727&lt;/D&gt;&lt;D xsi:type="xsd:double"&gt;7.84610341534436&lt;/D&gt;&lt;D xsi:type="xsd:double"&gt;8.2049878674986&lt;/D&gt;&lt;D xsi:type="xsd:double"&gt;7.12112228779996&lt;/D&gt;&lt;D xsi:type="xsd:double"&gt;6.73771910922507&lt;/D&gt;&lt;D xsi:type="xsd:double"&gt;6.86761662832667&lt;/D&gt;&lt;D xsi:type="xsd:double"&gt;6.80934592185484&lt;/D&gt;&lt;D xsi:type="xsd:double"&gt;6.73583793113561&lt;/D&gt;&lt;D xsi:type="xsd:double"&gt;7.48129476062507&lt;/D&gt;&lt;D xsi:type="xsd:double"&gt;7.86329465096803&lt;/D&gt;&lt;D xsi:type="xsd:double"&gt;7.1335358373733&lt;/D&gt;&lt;D xsi:type="xsd:double"&gt;6.95301844231934&lt;/D&gt;&lt;D xsi:type="xsd:double"&gt;7.49914308961432&lt;/D&gt;&lt;D xsi:type="xsd:double"&gt;7.98727198059101&lt;/D&gt;&lt;D xsi:type="xsd:double"&gt;7.9411383594501&lt;/D&gt;&lt;D xsi:type="xsd:double"&gt;7.27897485967923&lt;/D&gt;&lt;D xsi:type="xsd:double"&gt;6.55569342438667&lt;/D&gt;&lt;D xsi:type="xsd:double"&gt;6.7029257933195&lt;/D&gt;&lt;D xsi:type="xsd:double"&gt;6.66707567827662&lt;/D&gt;&lt;D xsi:type="xsd:double"&gt;6.71599902238277&lt;/D&gt;&lt;D xsi:type="xsd:double"&gt;6.96438659394922&lt;/D&gt;&lt;D xsi:type="xsd:double"&gt;6.74632779174429&lt;/D&gt;&lt;/FQL&gt;&lt;FQL&gt;&lt;Q&gt;QAT^P_PRICE(0)/P_PRICE_LOW_PR(0,,,USD,,,"PRICE","INTRA","52W")-1&lt;/Q&gt;&lt;R&gt;1&lt;/R&gt;&lt;C&gt;1&lt;/C&gt;&lt;D xsi:type="xsd:double"&gt;0.15517247&lt;/D&gt;&lt;/FQL&gt;&lt;FQL&gt;&lt;Q&gt;VNM^SIZE(FG_CONSTITUENTS)&lt;/Q&gt;&lt;R&gt;1&lt;/R&gt;&lt;C&gt;1&lt;/C&gt;&lt;D xsi:type="xsd:long"&gt;45&lt;/D&gt;&lt;/FQL&gt;&lt;FQL&gt;&lt;Q&gt;TRYMX10Y-FDS^PCTCHG(FG_YIELD(0,,,,"YTM"),FG_YIELD(-1AM,,,,"YTM"))&lt;/Q&gt;&lt;R&gt;1&lt;/R&gt;&lt;C&gt;1&lt;/C&gt;&lt;D xsi:type="xsd:double"&gt;-0.69846684&lt;/D&gt;&lt;/FQL&gt;&lt;FQL&gt;&lt;Q&gt;EWZ^FG_PRICE_MAVG(0,,,,200)&lt;/Q&gt;&lt;R&gt;1&lt;/R&gt;&lt;C&gt;1&lt;/C&gt;&lt;D xsi:type="xsd:double"&gt;32.2108&lt;/D&gt;&lt;/FQL&gt;&lt;FQL&gt;&lt;Q&gt;SET-BKK^FMA_PE(NTMA,0,,,"PORTAGG","MEANR")&lt;/Q&gt;&lt;R&gt;1&lt;/R&gt;&lt;C&gt;1&lt;/C&gt;&lt;D xsi:type="xsd:double"&gt;14.1758308117199&lt;/D&gt;&lt;/FQL&gt;&lt;FQL&gt;&lt;Q&gt;EWW^FG_FCF_YIELD_NTM(0)&lt;/Q&gt;&lt;R&gt;1&lt;/R&gt;&lt;C&gt;1&lt;/C&gt;&lt;D xsi:type="xsd:double"&gt;9.00173671692573&lt;/D&gt;&lt;/FQL&gt;&lt;FQL&gt;&lt;Q&gt;REFPHRREPO-FDS^PROPER_NAME(0,,,"SECURITY","NAME")&lt;/Q&gt;&lt;R&gt;1&lt;/R&gt;&lt;C&gt;1&lt;/C&gt;&lt;D xsi:type="xsd:string"&gt;Philippines Reverse Repo Rate - Overnight&lt;/D&gt;&lt;/FQL&gt;&lt;FQL&gt;&lt;Q&gt;VWO^FG_PE(0)&lt;/Q&gt;&lt;R&gt;1&lt;/R&gt;&lt;C&gt;1&lt;/C&gt;&lt;D xsi:type="xsd:double"&gt;12.8621994203067&lt;/D&gt;&lt;/FQL&gt;&lt;FQL&gt;&lt;Q&gt;EIDO^JULIAN(FMA_DIV_YLD(NTMA,NOW,NOW,M,"PORTAGG","MEANR").DATES)&lt;/Q&gt;&lt;R&gt;1&lt;/R&gt;&lt;C&gt;1&lt;/C&gt;&lt;D xsi:type="xsd:long"&gt;45350&lt;/D&gt;&lt;/FQL&gt;&lt;FQL&gt;&lt;Q&gt;USDAED^FG_PRICE(0)&lt;/Q&gt;&lt;R&gt;1&lt;/R&gt;&lt;C&gt;1&lt;/C&gt;&lt;D xsi:type="xsd:double"&gt;3.67295&lt;/D&gt;&lt;/FQL&gt;&lt;FQL&gt;&lt;Q&gt;EZA^FG_PRICE_MAVG(0,,,,60)&lt;/Q&gt;&lt;R&gt;1&lt;/R&gt;&lt;C&gt;1&lt;/C&gt;&lt;D xsi:type="xsd:double"&gt;39.218666&lt;/D&gt;&lt;/FQL&gt;&lt;FQL&gt;&lt;Q&gt;TUR^FMA_EVAL_EBITDA(NTMA,0,,,"PORTAGG","MEANR")&lt;/Q&gt;&lt;R&gt;1&lt;/R&gt;&lt;C&gt;1&lt;/C&gt;&lt;D xsi:type="xsd:double"&gt;5.84401798034789&lt;/D&gt;&lt;/FQL&gt;&lt;FQL&gt;&lt;Q&gt;INDA^FG_FCF_YIELD_NTM(0)&lt;/Q&gt;&lt;R&gt;1&lt;/R&gt;&lt;C&gt;1&lt;/C&gt;&lt;D xsi:type="xsd:double"&gt;2.46926761214609&lt;/D&gt;&lt;/FQL&gt;&lt;FQL&gt;&lt;Q&gt;EWJ^FMA_COS_DOWN("EPS","1M",+1,NOW,,,"PORTAGG","MEANR")&lt;/Q&gt;&lt;R&gt;1&lt;/R&gt;&lt;C&gt;1&lt;/C&gt;&lt;D xsi:type="xsd:double"&gt;101&lt;/D&gt;&lt;/FQL&gt;&lt;FQL&gt;&lt;Q&gt;EPHE^FMA_PE(NTMA,0,,,"PORTAGG","MEANR")&lt;/Q&gt;&lt;R&gt;1&lt;/R&gt;&lt;C&gt;1&lt;/C&gt;&lt;D xsi:type="xsd:double"&gt;10.6826859921152&lt;/D&gt;&lt;/FQL&gt;&lt;FQL&gt;&lt;Q&gt;EPU^P_PRICE(0)/P_PRICE_HIGH_PR(0,,,USD,,,"PRICE","INTRA","52W")&lt;/Q&gt;&lt;R&gt;1&lt;/R&gt;&lt;C&gt;1&lt;/C&gt;&lt;D xsi:type="xsd:double"&gt;0.9937358&lt;/D&gt;&lt;/FQL&gt;&lt;FQL&gt;&lt;Q&gt;EZA^P_PRICE(0)/P_PRICE_LOW_PR(0,,,USD,,,"PRICE","INTRA","52W")-1&lt;/Q&gt;&lt;R&gt;1&lt;/R&gt;&lt;C&gt;1&lt;/C&gt;&lt;D xsi:type="xsd:double"&gt;0.06208062&lt;/D&gt;&lt;/FQL&gt;&lt;FQL&gt;&lt;Q&gt;ECH^FMA_PCT_ABOVE_MAVG(200,0,,,,"PORTAGG")&lt;/Q&gt;&lt;R&gt;1&lt;/R&gt;&lt;C&gt;1&lt;/C&gt;&lt;D xsi:type="xsd:double"&gt;75.8620689655172&lt;/D&gt;&lt;/FQL&gt;&lt;FQL&gt;&lt;Q&gt;VNM^FMA_EVAL_EBITDA(NTMA,0,,,"PORTAGG","MEANR")&lt;/Q&gt;&lt;R&gt;1&lt;/R&gt;&lt;C&gt;1&lt;/C&gt;&lt;D xsi:type="xsd:double"&gt;11.9144531142722&lt;/D&gt;&lt;/FQL&gt;&lt;FQL&gt;&lt;Q&gt;REFIDRREPO-FDS^(SUBARRAY(NOT_NA(NO_REPEAT_F(FG_YIELD(NOW,-10AY,D))),0,1)-SUBARRAY(NOT_NA(NO_REPEAT_F(FG_YIELD(NOW,-10AY,D))),1,1))*100&lt;/Q&gt;&lt;R&gt;1&lt;/R&gt;&lt;C&gt;1&lt;/C&gt;&lt;D xsi:type="xsd:double"&gt;25&lt;/D&gt;&lt;/FQL&gt;&lt;FQL&gt;&lt;Q&gt;EWW^JULIAN(FMA_DIV_YLD(NTMA,NOW,NOW,M,"PORTAGG","MEANR").DATES)&lt;/Q&gt;&lt;R&gt;1&lt;/R&gt;&lt;C&gt;1&lt;/C&gt;&lt;D xsi:type="xsd:long"&gt;45350&lt;/D&gt;&lt;/FQL&gt;&lt;FQL&gt;&lt;Q&gt;EWM^FMA_PCT_ABOVE_MAVG(200,0,,,,"PORTAGG")&lt;/Q&gt;&lt;R&gt;1&lt;/R&gt;&lt;C&gt;1&lt;/C&gt;&lt;D xsi:type="xsd:double"&gt;84.375&lt;/D&gt;&lt;/FQL&gt;&lt;FQL&gt;&lt;Q&gt;KSA^FMA_COS_DOWN("EPS","1M",+1,NOW,,,"PORTAGG","MEANR")&lt;/Q&gt;&lt;R&gt;1&lt;/R&gt;&lt;C&gt;1&lt;/C&gt;&lt;D xsi:type="xsd:double"&gt;25&lt;/D&gt;&lt;/FQL&gt;&lt;FQL&gt;&lt;Q&gt;EPOL^FMA_RBICS_REV_CURRENT(30, LOC, "PORTAGG")&lt;/Q&gt;&lt;R&gt;1&lt;/R&gt;&lt;C&gt;1&lt;/C&gt;&lt;D xsi:type="xsd:double"&gt;48.9007931524452&lt;/D&gt;&lt;/FQL&gt;&lt;FQL&gt;&lt;Q&gt;PASP-FDS^FG_PRICE_CHANGE(0,-3AM)&lt;/Q&gt;&lt;R&gt;1&lt;/R&gt;&lt;C&gt;1&lt;/C&gt;&lt;D xsi:type="xsd:double"&gt;-1.53846153846153&lt;/D&gt;&lt;/FQL&gt;&lt;FQL&gt;&lt;Q&gt;CC_ID^IMF_IFS_RCPI_Q(0)&lt;/Q&gt;&lt;R&gt;1&lt;/R&gt;&lt;C&gt;1&lt;/C&gt;&lt;D xsi:type="xsd:double"&gt;2.681245&lt;/D&gt;&lt;/FQL&gt;&lt;FQL&gt;&lt;Q&gt;EZA^FMA_COS_UP("EPS","1M",+1,NOW,,,"PORTAGG","MEANR")&lt;/Q&gt;&lt;R&gt;1&lt;/R&gt;&lt;C&gt;1&lt;/C&gt;&lt;D xsi:type="xsd:double"&gt;13&lt;/D&gt;&lt;/FQL&gt;&lt;FQL&gt;&lt;Q&gt;TRYQA10Y-FDS^PCTCHG(FG_YIELD(0,,,,"YTM"),FG_YIELD(-1AM,,,,"YTM"))&lt;/Q&gt;&lt;R&gt;0&lt;/R&gt;&lt;C&gt;0&lt;/C&gt;&lt;/FQL&gt;&lt;FQL&gt;&lt;Q&gt;COPP-FDS^FG_PRICE_CHANGE(0,-6AM)&lt;/Q&gt;&lt;R&gt;1&lt;/R&gt;&lt;C&gt;1&lt;/C&gt;&lt;D xsi:type="xsd:double"&gt;1.03606557377049&lt;/D&gt;&lt;/FQL&gt;&lt;FQL&gt;&lt;Q&gt;USDCLP^FG_PRICE_CHANGE(0,-1AM)&lt;/Q&gt;&lt;R&gt;1&lt;/R&gt;&lt;C&gt;1&lt;/C&gt;&lt;D xsi:type="xsd:double"&gt;2.7692676&lt;/D&gt;&lt;/FQL&gt;&lt;FQL&gt;&lt;Q&gt;TUR^FG_FCF_YIELD_NTM(0)&lt;/Q&gt;&lt;R&gt;1&lt;/R&gt;&lt;C&gt;1&lt;/C&gt;&lt;D xsi:type="xsd:double"&gt;10.3910893618126&lt;/D&gt;&lt;/FQL&gt;&lt;FQL&gt;&lt;Q&gt;TIPSCL10Y-FDS^PCTCHG(FG_YIELD(0,,,,"YTM"),FG_YIELD(-3AM,,,,"YTM"))&lt;/Q&gt;&lt;R&gt;1&lt;/R&gt;&lt;C&gt;1&lt;/C&gt;&lt;D xsi:type="xsd:double"&gt;-54.133827&lt;/D&gt;&lt;/FQL&gt;&lt;FQL&gt;&lt;Q&gt;EZA^FMA_DIV_YLD(NTMA,NOW,NOW,M,"PORTAGG","MEANR")&lt;/Q&gt;&lt;R&gt;1&lt;/R&gt;&lt;C&gt;1&lt;/C&gt;&lt;D xsi:type="xsd:double"&gt;4.36757644295436&lt;/D&gt;&lt;/FQL&gt;&lt;FQL&gt;&lt;Q&gt;EWT^FMA_DIV_YLD(NTMA,NOW,NOW,M,"PORTAGG","MEANR")&lt;/Q&gt;&lt;R&gt;1&lt;/R&gt;&lt;C&gt;1&lt;/C&gt;&lt;D xsi:type="xsd:double"&gt;3.28276999305913&lt;/D&gt;&lt;/FQL&gt;&lt;FQL&gt;&lt;Q&gt;CAGDPY@ZA^EE_ACTUAL_ANNUAL(MED,+1)&lt;/Q&gt;&lt;R&gt;1&lt;/R&gt;&lt;C&gt;1&lt;/C&gt;&lt;D xsi:type="xsd:double"&gt;-2.2&lt;/D&gt;&lt;/FQL&gt;&lt;FQL&gt;&lt;Q&gt;EWY^FG_FCF_YIELD_NTM(0)&lt;/Q&gt;&lt;R&gt;1&lt;/R&gt;&lt;C&gt;1&lt;/C&gt;&lt;D xsi:type="xsd:double"&gt;0.516923919887174&lt;/D&gt;&lt;/FQL&gt;&lt;FQL&gt;&lt;Q&gt;EPOL^FMA_PE(LTM,0,,,"PORTAGG","MEANR")&lt;/Q&gt;&lt;R&gt;1&lt;/R&gt;&lt;C&gt;1&lt;/C&gt;&lt;D xsi:type="xsd:double"&gt;7.66872896380018&lt;/D&gt;&lt;/FQL&gt;&lt;FQL&gt;&lt;Q&gt;USDKRW^FG_COMPANY_NAME&lt;/Q&gt;&lt;R&gt;1&lt;/R&gt;&lt;C&gt;1&lt;/C&gt;&lt;D xsi:type="xsd:string"&gt;South Korean Won per U.S. Dollar&lt;/D&gt;&lt;/FQL&gt;&lt;FQL&gt;&lt;Q&gt;REFEUREFI-FDS^(SUBARRAY(NOT_NA(NO_REPEAT_F(FG_YIELD(NOW,-10AY,D))),0,1)-SUBARRAY(NOT_NA(NO_REPEAT_F(FG_YIELD(NOW,-10AY,D))),1,1))*100&lt;/Q&gt;&lt;R&gt;1&lt;/R&gt;&lt;C&gt;1&lt;/C&gt;&lt;D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xsi:type="xsd:double"&gt;25&lt;/D&gt;&lt;/FQL&gt;&lt;FQL&gt;&lt;Q&gt;TRYKR10Y-FDS^FG_YIELD(0,,,,"YTM")&lt;/Q&gt;&lt;R&gt;1&lt;/R&gt;&lt;C&gt;1&lt;/C&gt;&lt;D xsi:type="xsd:double"&gt;3.4352&lt;/D&gt;&lt;/FQL&gt;&lt;FQL&gt;&lt;Q&gt;UAE^FG_PRICE(0)&lt;/Q&gt;&lt;R&gt;1&lt;/R&gt;&lt;C&gt;1&lt;/C&gt;&lt;D xsi:type="xsd:double"&gt;14.635&lt;/D&gt;&lt;/FQL&gt;&lt;FQL&gt;&lt;Q&gt;GREK^FMA_PE(LTM,0,,,"PORTAGG","MEANR")&lt;/Q&gt;&lt;R&gt;1&lt;/R&gt;&lt;C&gt;1&lt;/C&gt;&lt;D xsi:type="xsd:double"&gt;7.56058934149672&lt;/D&gt;&lt;/FQL&gt;&lt;FQL&gt;&lt;Q&gt;CNYA^FMA_PE(NTMA,0,,,"PORTAGG","MEANR")&lt;/Q&gt;&lt;R&gt;1&lt;/R&gt;&lt;C&gt;1&lt;/C&gt;&lt;D xsi:type="xsd:double"&gt;13.3195767224934&lt;/D&gt;&lt;/FQL&gt;&lt;FQL&gt;&lt;Q&gt;DUMMY^ECON_DATE(45356,45199,'Q', 'MM/YYYY')&lt;/Q&gt;&lt;R&gt;2&lt;/R&gt;&lt;C&gt;1&lt;/C&gt;&lt;D xsi:type="xsd:string"&gt;12/2023&lt;/D&gt;&lt;D xsi:type="xsd:string"&gt;09/2023&lt;/D&gt;&lt;/FQL&gt;&lt;FQL&gt;&lt;Q&gt;DUMMY^ECON_EXPR_DATA('FDS_ECON[PMIDMMANHE]',45356,45199,Q)&lt;/Q&gt;&lt;R&gt;2&lt;/R&gt;&lt;C&gt;1&lt;/C&gt;&lt;D xsi:type="xsd:double"&gt;47.378044&lt;/D&gt;&lt;D xsi:type="xsd:double"&gt;47.086407&lt;/D&gt;&lt;/FQL&gt;&lt;FQL&gt;&lt;Q&gt;DUMMY^ECON_EXPR_DATA('FDS_ECON[NTCPMIMFGSA@EME]',45356,45199,Q)&lt;/Q&gt;&lt;R&gt;2&lt;/R&gt;&lt;C&gt;1&lt;/C&gt;&lt;D xsi:type="xsd:double"&gt;50.64065&lt;/D&gt;&lt;D xsi:type="xsd:double"&gt;50.814144&lt;/D&gt;&lt;/FQL&gt;&lt;FQL&gt;&lt;Q&gt;DUMMY^ECON_EXPR_DATA('FDS_ECON[NTCPMIMFGSA@CN]',45356,45199,Q)&lt;/Q&gt;&lt;R&gt;2&lt;/R&gt;&lt;C&gt;1&lt;/C&gt;&lt;D xsi:type="xsd:double"&gt;50.34384&lt;/D&gt;&lt;D xsi:type="xsd:double"&gt;50.266373&lt;/D&gt;&lt;/FQL&gt;&lt;FQL&gt;&lt;Q&gt;DUMMY^ECON_EXPR_DATA('FDS_ECON[NTCPMIMFGSA@CL]',45356,45199,Q)&lt;/Q&gt;&lt;R&gt;0&lt;/R&gt;&lt;C&gt;0&lt;/C&gt;&lt;/FQL&gt;&lt;FQL&gt;&lt;Q&gt;DUMMY^ECON_EXPR_DATA('FDS_ECON[NTCPMIMFGSA@ID]',45356,45199,Q)&lt;/Q&gt;&lt;R&gt;2&lt;/R&gt;&lt;C&gt;1&lt;/C&gt;&lt;D xsi:type="xsd:double"&gt;51.828487&lt;/D&gt;&lt;D xsi:type="xsd:double"&gt;53.156506&lt;/D&gt;&lt;/FQL&gt;&lt;FQL&gt;&lt;Q&gt;DUMMY^ECON_EXPR_DATA('FDS_ECON[NTCPMIPHMANHE]',45356,45199,Q)&lt;/Q&gt;&lt;R&gt;2&lt;/R&gt;&lt;C&gt;1&lt;/C&gt;&lt;D xsi:type="xsd:double"&gt;52.222515&lt;/D&gt;&lt;D xsi:type="xsd:double"&gt;50.747215&lt;/D&gt;&lt;/FQL&gt;&lt;FQL&gt;&lt;Q&gt;DUMMY^ECON_EXPR_DATA('FDS_ECON[NTCPMIMFGSA@PL]',45356,45199,Q)&lt;/Q&gt;&lt;R&gt;2&lt;/R&gt;&lt;C&gt;1&lt;/C&gt;&lt;D xsi:type="xsd:double"&gt;46.884846&lt;/D&gt;&lt;D xsi:type="xsd:double"&gt;43.504345&lt;/D&gt;&lt;/FQL&gt;&lt;FQL&gt;&lt;Q&gt;DUMMY^ECON_EXPR_DATA('FDS_ECON[NTCPMIMFGSA@PE]',45356,45199,Q)&lt;/Q&gt;&lt;R&gt;0&lt;/R&gt;&lt;C&gt;0&lt;/C&gt;&lt;/FQL&gt;&lt;FQL&gt;&lt;Q&gt;DUMMY^ECON_EXPR_DATA('FDS_ECON[PMIMYMANHE]',45356,45199,Q)&lt;/Q&gt;&lt;R&gt;2&lt;/R&gt;&lt;C&gt;1&lt;/C&gt;&lt;D xsi:type="xsd:double"&gt;47.499214&lt;/D&gt;&lt;D xsi:type="xsd:double"&gt;47.470974&lt;/D&gt;&lt;/FQL&gt;&lt;FQL&gt;&lt;Q&gt;DUMMY^ECON_EXPR_DATA('FDS_ECON[NTCPMIMFGSA@TW]',45356,45199,Q)&lt;/Q&gt;&lt;R&gt;2&lt;/R&gt;&lt;C&gt;1&lt;/C&gt;&lt;D xsi:type="xsd:double"&gt;47.63588&lt;/D&gt;&lt;D xsi:type="xsd:double"&gt;44.970745&lt;/D&gt;&lt;/FQL&gt;&lt;FQL&gt;&lt;Q&gt;DUMMY^ECON_EXPR_DATA('FDS_ECON[NTCPMIMFGSA@MX]',45356,45199,Q)&lt;/Q&gt;&lt;R&gt;2&lt;/R&gt;&lt;C&gt;1&lt;/C&gt;&lt;D xsi:type="xsd:double"&gt;52.180695&lt;/D&gt;&lt;D xsi:type="xsd:double"&gt;51.404537&lt;/D&gt;&lt;/FQL&gt;&lt;FQL&gt;&lt;Q&gt;DUMMY^ECON_EXPR_DATA('FDS_ECON[NTCPMIMFGSA@KR]',45356,45199,Q)&lt;/Q&gt;&lt;R&gt;2&lt;/R&gt;&lt;C&gt;1&lt;/C&gt;&lt;D xsi:type="xsd:double"&gt;49.900604&lt;/D&gt;&lt;D xsi:type="xsd:double"&gt;49.420246&lt;/D&gt;&lt;/FQL&gt;&lt;FQL&gt;&lt;Q&gt;DUMMY^ECON_EXPR_DATA('FDS_ECON[NTCPMIMFGSA@BR]',45356,45199,Q)&lt;/Q&gt;&lt;R&gt;2&lt;/R&gt;&lt;C&gt;1&lt;/C&gt;&lt;D xsi:type="xsd:double"&gt;48.798813&lt;/D&gt;&lt;D xsi:type="xsd:double"&gt;48.99601&lt;/D&gt;&lt;/FQL&gt;&lt;FQL&gt;&lt;Q&gt;DUMMY^ECON_EXPR_DATA('FDS_ECON[PMIMFGSA@ZA]',45356,45199,Q)&lt;/Q&gt;&lt;R&gt;2&lt;/R&gt;&lt;C&gt;1&lt;/C&gt;&lt;D xsi:type="xsd:double"&gt;49.293606&lt;/D&gt;&lt;D xsi:type="xsd:double"&gt;49.704178&lt;/D&gt;&lt;/FQL&gt;&lt;FQL&gt;&lt;Q&gt;DUMMY^ECON_EXPR_DATA('FDS_ECON[NTCPMIMFGSA@GR]',45356,45199,Q)&lt;/Q&gt;&lt;R&gt;2&lt;/R&gt;&lt;C&gt;1&lt;/C&gt;&lt;D xsi:type="xsd:double"&gt;50.99575&lt;/D&gt;&lt;D xsi:type="xsd:double"&gt;52.236584&lt;/D&gt;&lt;/FQL&gt;&lt;FQL&gt;&lt;Q&gt;DUMMY^ECON_EXPR_DATA('FDS_ECON[NTCPMIMFGSA@IN]',45356,45199,Q)&lt;/Q&gt;&lt;R&gt;2&lt;/R&gt;&lt;C&gt;1&lt;/C&gt;&lt;D xsi:type="xsd:double"&gt;55.461708&lt;/D&gt;&lt;D xsi:type="xsd:double"&gt;57.930668&lt;/D&gt;&lt;/FQL&gt;&lt;FQL&gt;&lt;Q&gt;DUMMY^ECON_EXPR_DATA('FDS_ECON[PMIQAWHEHE]',45356,45199,Q)&lt;/Q&gt;&lt;R&gt;2&lt;/R&gt;&lt;C&gt;1&lt;/C&gt;&lt;D xsi:type="xsd:double"&gt;50.688427&lt;/D&gt;&lt;D xsi:type="xsd:double"&gt;53.860752&lt;/D&gt;&lt;/FQL&gt;&lt;FQL&gt;&lt;Q&gt;DUMMY^ECON_EXPR_DATA('FDS_ECON[NTCPMITHMANHE]',45356,45199,Q)&lt;/Q&gt;&lt;R&gt;2&lt;/R&gt;&lt;C&gt;1&lt;/C&gt;&lt;D xsi:type="xsd:double"&gt;46.69516&lt;/D&gt;&lt;D xsi:type="xsd:double"&gt;49.120174&lt;/D&gt;&lt;/FQL&gt;&lt;FQL&gt;&lt;Q&gt;DUMMY^ECON_EXPR_DATA('FDS_ECON[NTCPMIMFGSA@TR]',45356,45199,Q)&lt;/Q&gt;&lt;R&gt;2&lt;/R&gt;&lt;C&gt;1&lt;/C&gt;&lt;D xsi:type="xsd:double"&gt;47.664864&lt;/D&gt;&lt;D xsi:type="xsd:double"&gt;49.509235&lt;/D&gt;&lt;/FQL&gt;&lt;FQL&gt;&lt;Q&gt;DUMMY^ECON_EXPR_DATA('FDS_ECON[NTCPMIMFGSA@AE]',45356,45199,Q)&lt;/Q&gt;&lt;R&gt;0&lt;/R&gt;&lt;C&gt;0&lt;/C&gt;&lt;/FQL&gt;&lt;FQL&gt;&lt;Q&gt;DUMMY^ECON_EXPR_DATA('FDS_ECON[NTCPMIMFGSA@VN]',45356,45199,Q)&lt;/Q&gt;&lt;R&gt;2&lt;/R&gt;&lt;C&gt;1&lt;/C&gt;&lt;D xsi:type="xsd:double"&gt;48.59743&lt;/D&gt;&lt;D xsi:type="xsd:double"&gt;49.616585&lt;/D&gt;&lt;/FQL&gt;&lt;FQL&gt;&lt;Q&gt;DUMMY^ECON_EXPR_DATA('FDS_ECON[NTCPMIINDEXSA@SA]',45356,45199,Q)&lt;/Q&gt;&lt;R&gt;2&lt;/R&gt;&lt;C&gt;1&lt;/C&gt;&lt;D xsi:type="xsd:double"&gt;57.793106&lt;/D&gt;&lt;D xsi:type="xsd:double"&gt;57.151814&lt;/D&gt;&lt;/FQL&gt;&lt;FQL&gt;&lt;Q&gt;DUMMY^ECON_DATE(45357,45199,'Q', 'MM/YYYY')&lt;/Q&gt;&lt;R&gt;2&lt;/R&gt;&lt;C&gt;1&lt;/C&gt;&lt;D xsi:type="xsd:string"&gt;12/2023&lt;/D&gt;&lt;D xsi:type="xsd:string"&gt;09/2023&lt;/D&gt;&lt;/FQL&gt;&lt;FQL&gt;&lt;Q&gt;DUMMY^ECON_EXPR_DATA('FDS_ECON[PMIDMMANHE]',45357,45199,Q)&lt;/Q&gt;&lt;R&gt;2&lt;/R&gt;&lt;C&gt;1&lt;/C&gt;&lt;D xsi:type="xsd:double"&gt;47.378044&lt;/D&gt;&lt;D xsi:type="xsd:double"&gt;47.086407&lt;/D&gt;&lt;/FQL&gt;&lt;FQL&gt;&lt;Q&gt;DUMMY^ECON_EXPR_DATA('FDS_ECON[NTCPMIMFGSA@EME]',45357,45199,Q)&lt;/Q&gt;&lt;R&gt;2&lt;/R&gt;&lt;C&gt;1&lt;/C&gt;&lt;D xsi:type="xsd:double"&gt;50.64065&lt;/D&gt;&lt;D xsi:type="xsd:double"&gt;50.814144&lt;/D&gt;&lt;/FQL&gt;&lt;FQL&gt;&lt;Q&gt;DUMMY^ECON_EXPR_DATA('FDS_ECON[NTCPMIMFGSA@CN]',45357,45199,Q)&lt;/Q&gt;&lt;R&gt;2&lt;/R&gt;&lt;C&gt;1&lt;/C&gt;&lt;D xsi:type="xsd:double"&gt;50.34384&lt;/D&gt;&lt;D xsi:type="xsd:double"&gt;50.266373&lt;/D&gt;&lt;/FQL&gt;&lt;FQL&gt;&lt;Q&gt;DUMMY^ECON_EXPR_DATA('FDS_ECON[NTCPMIMFGSA@CL]',45357,45199,Q)&lt;/Q&gt;&lt;R&gt;0&lt;/R&gt;&lt;C&gt;0&lt;/C&gt;&lt;/FQL&gt;&lt;FQL&gt;&lt;Q&gt;DUMMY^ECON_EXPR_DATA('FDS_ECON[NTCPMIMFGSA@ID]',45357,45199,Q)&lt;/Q&gt;&lt;R&gt;2&lt;/R&gt;&lt;C&gt;1&lt;/C&gt;&lt;D xsi:type="xsd:double"&gt;51.828487&lt;/D&gt;&lt;D xsi:type="xsd:double"&gt;53.156506&lt;/D&gt;&lt;/FQL&gt;&lt;FQL&gt;&lt;Q&gt;DUMMY^ECON_EXPR_DATA('FDS_ECON[NTCPMIPHMANHE]',45357,45199,Q)&lt;/Q&gt;&lt;R&gt;2&lt;/R&gt;&lt;C&gt;1&lt;/C&gt;&lt;D xsi:type="xsd:double"&gt;52.222515&lt;/D&gt;&lt;D xsi:type="xsd:double"&gt;50.747215&lt;/D&gt;&lt;/FQL&gt;&lt;FQL&gt;&lt;Q&gt;DUMMY^ECON_EXPR_DATA('FDS_ECON[NTCPMIMFGSA@PL]',45357,45199,Q)&lt;/Q&gt;&lt;R&gt;2&lt;/R&gt;&lt;C&gt;1&lt;/C&gt;&lt;D xsi:type="xsd:double"&gt;46.884846&lt;/D&gt;&lt;D xsi:type="xsd:double"&gt;43.504345&lt;/D&gt;&lt;/FQL&gt;&lt;FQL&gt;&lt;Q&gt;DUMMY^ECON_EXPR_DATA('FDS_ECON[NTCPMIMFGSA@PE]',45357,45199,Q)&lt;/Q&gt;&lt;R&gt;0&lt;/R&gt;&lt;C&gt;0&lt;/C&gt;&lt;/FQL&gt;&lt;FQL&gt;&lt;Q&gt;DUMMY^ECON_EXPR_DATA('FDS_ECON[PMIMYMANHE]',45357,45199,Q)&lt;/Q&gt;&lt;R&gt;2&lt;/R&gt;&lt;C&gt;1&lt;/C&gt;&lt;D xsi:type="xsd:double"&gt;47.499214&lt;/D&gt;&lt;D xsi:type="xsd:double"&gt;47.470974&lt;/D&gt;&lt;/FQL&gt;&lt;FQL&gt;&lt;Q&gt;DUMMY^ECON_EXPR_DATA('FDS_ECON[NTCPMIMFGSA@TW]',45357,45199,Q)&lt;/Q&gt;&lt;R&gt;2&lt;/R&gt;&lt;C&gt;1&lt;/C&gt;&lt;D xsi:type="xsd:double"&gt;47.63588&lt;/D&gt;&lt;D xsi:type="xsd:double"&gt;44.970745&lt;/D&gt;&lt;/FQL&gt;&lt;FQL&gt;&lt;Q&gt;DUMMY^ECON_EXPR_DATA('FDS_ECON[NTCPMIMFGSA@MX]',45357,45199,Q)&lt;/Q&gt;&lt;R&gt;2&lt;/R&gt;&lt;C&gt;1&lt;/C&gt;&lt;D xsi:type="xsd:double"&gt;52.180695&lt;/D&gt;&lt;D xsi:type="xsd:double"&gt;51.404537&lt;/D&gt;&lt;/FQL&gt;&lt;FQL&gt;&lt;Q&gt;DUMMY^ECON_EXPR_DATA('FDS_ECON[NTCPMIMFGSA@KR]',45357,45199,Q)&lt;/Q&gt;&lt;R&gt;2&lt;/R&gt;&lt;C&gt;1&lt;/C&gt;&lt;D xsi:type="xsd:double"&gt;49.900604&lt;/D&gt;&lt;D xsi:type="xsd:double"&gt;49.420246&lt;/D&gt;&lt;/FQL&gt;&lt;FQL&gt;&lt;Q&gt;DUMMY^ECON_EXPR_DATA('FDS_ECON[NTCPMIMFGSA@BR]',45357,45199,Q)&lt;/Q&gt;&lt;R&gt;2&lt;/R&gt;&lt;C&gt;1&lt;/C&gt;&lt;D xsi:type="xsd:double"&gt;48.798813&lt;/D&gt;&lt;D xsi:type="xsd:double"&gt;48.99601&lt;/D&gt;&lt;/FQL&gt;&lt;FQL&gt;&lt;Q&gt;DUMMY^ECON_EXPR_DATA('FDS_ECON[PMIMFGSA@ZA]',45357,45199,Q)&lt;/Q&gt;&lt;R&gt;2&lt;/R&gt;&lt;C&gt;1&lt;/C&gt;&lt;D xsi:type="xsd:double"&gt;49.293606&lt;/D&gt;&lt;D xsi:type="xsd:double"&gt;49.704178&lt;/D&gt;&lt;/FQL&gt;&lt;FQL&gt;&lt;Q&gt;DUMMY^ECON_EXPR_DATA('FDS_ECON[NTCPMIMFGSA@GR]',45357,45199,Q)&lt;/Q&gt;&lt;R&gt;2&lt;/R&gt;&lt;C&gt;1&lt;/C&gt;&lt;D xsi:type="xsd:double"&gt;50.99575&lt;/D&gt;&lt;D xsi:type="xsd:double"&gt;52.236584&lt;/D&gt;&lt;/FQL&gt;&lt;FQL&gt;&lt;Q&gt;DUMMY^ECON_EXPR_DATA('FDS_ECON[NTCPMIMFGSA@IN]',45357,45199,Q)&lt;/Q&gt;&lt;R&gt;2&lt;/R&gt;&lt;C&gt;1&lt;/C&gt;&lt;D xsi:type="xsd:double"&gt;55.461708&lt;/D&gt;&lt;D xsi:type="xsd:double"&gt;57.930668&lt;/D&gt;&lt;/FQL&gt;&lt;FQL&gt;&lt;Q&gt;DUMMY^ECON_EXPR_DATA('FDS_ECON[PMIQAWHEHE]',45357,45199,Q)&lt;/Q&gt;&lt;R&gt;2&lt;/R&gt;&lt;C&gt;1&lt;/C&gt;&lt;D xsi:type="xsd:double"&gt;50.688427&lt;/D&gt;&lt;D xsi:type="xsd:double"&gt;53.860752&lt;/D&gt;&lt;/FQL&gt;&lt;FQL&gt;&lt;Q&gt;DUMMY^ECON_EXPR_DATA('FDS_ECON[NTCPMITHMANHE]',45357,45199,Q)&lt;/Q&gt;&lt;R&gt;2&lt;/R&gt;&lt;C&gt;1&lt;/C&gt;&lt;D xsi:type="xsd:double"&gt;46.69516&lt;/D&gt;&lt;D xsi:type="xsd:double"&gt;49.120174&lt;/D&gt;&lt;/FQL&gt;&lt;FQL&gt;&lt;Q&gt;DUMMY^ECON_EXPR_DATA('FDS_ECON[NTCPMIMFGSA@TR]',45357,45199,Q)&lt;/Q&gt;&lt;R&gt;2&lt;/R&gt;&lt;C&gt;1&lt;/C&gt;&lt;D xsi:type="xsd:double"&gt;47.664864&lt;/D&gt;&lt;D xsi:type="xsd:double"&gt;49.509235&lt;/D&gt;&lt;/FQL&gt;&lt;FQL&gt;&lt;Q&gt;DUMMY^ECON_EXPR_DATA('FDS_ECON[NTCPMIMFGSA@AE]',45357,45199,Q)&lt;/Q&gt;&lt;R&gt;0&lt;/R&gt;&lt;C&gt;0&lt;/C&gt;&lt;/FQL&gt;&lt;FQL&gt;&lt;Q&gt;DUMMY^ECON_EXPR_DATA('FDS_ECON[NTCPMIMFGSA@VN]',45357,45199,Q)&lt;/Q&gt;&lt;R&gt;2&lt;/R&gt;&lt;C&gt;1&lt;/C&gt;&lt;D xsi:type="xsd:double"&gt;48.59743&lt;/D&gt;&lt;D xsi:type="xsd:double"&gt;49.616585&lt;/D&gt;&lt;/FQL&gt;&lt;FQL&gt;&lt;Q&gt;DUMMY^ECON_EXPR_DATA('FDS_ECON[NTCPMIINDEXSA@SA]',45357,45199,Q)&lt;/Q&gt;&lt;R&gt;2&lt;/R&gt;&lt;C&gt;1&lt;/C&gt;&lt;D xsi:type="xsd:double"&gt;57.793106&lt;/D&gt;&lt;D xsi:type="xsd:double"&gt;57.151814&lt;/D&gt;&lt;/FQL&gt;&lt;FQL&gt;&lt;Q&gt;DUMMY^ECON_EXPR_DATA('FDS_ECON[PMIDMMANHE]',EM,,Q)&lt;/Q&gt;&lt;R&gt;1&lt;/R&gt;&lt;C&gt;1&lt;/C&gt;&lt;D xsi:type="xsd:string"&gt;#NUM&lt;/D&gt;&lt;/FQL&gt;&lt;FQL&gt;&lt;Q&gt;DUMMY^ECON_EXPR_DATA('FDS_ECON[PMIDMMANHE]',MCHI,,Q)&lt;/Q&gt;&lt;R&gt;1&lt;/R&gt;&lt;C&gt;1&lt;/C&gt;&lt;D xsi:type="xsd:string"&gt;#NUM&lt;/D&gt;&lt;/FQL&gt;&lt;FQL&gt;&lt;Q&gt;DUMMY^ECON_EXPR_DATA('FDS_ECON[NTCPMIMFGSA@VN]',11/2023,,Q)&lt;/Q&gt;&lt;R&gt;1&lt;/R&gt;&lt;C&gt;1&lt;/C&gt;&lt;D xsi:type="xsd:double"&gt;49.616585&lt;/D&gt;&lt;/FQL&gt;&lt;FQL&gt;&lt;Q&gt;DUMMY^ECON_EXPR_DATA('FDS_ECON[NTCPMIINDEXSA@SA]',11/2023,,Q)&lt;/Q&gt;&lt;R&gt;1&lt;/R&gt;&lt;C&gt;1&lt;/C&gt;&lt;D xsi:type="xsd:double"&gt;57.151814&lt;/D&gt;&lt;/FQL&gt;&lt;FQL&gt;&lt;Q&gt;DUMMY^ECON_EXPR_DATA('FDS_ECON[NTCPMIMFGSA@AE]',11/2023,,Q)&lt;/Q&gt;&lt;R&gt;0&lt;/R&gt;&lt;C&gt;0&lt;/C&gt;&lt;/FQL&gt;&lt;FQL&gt;&lt;Q&gt;DUMMY^ECON_EXPR_DATA('FDS_ECON[NTCPMIMFGSA@TR]',11/2023,,Q)&lt;/Q&gt;&lt;R&gt;1&lt;/R&gt;&lt;C&gt;1&lt;/C&gt;&lt;D xsi:type="xsd:double"&gt;49.509235&lt;/D&gt;&lt;/FQL&gt;&lt;FQL&gt;&lt;Q&gt;DUMMY^ECON_EXPR_DATA('FDS_ECON[NTCPMITHMANHE]',02/2024,,Q)&lt;/Q&gt;&lt;R&gt;1&lt;/R&gt;&lt;C&gt;1&lt;/C&gt;&lt;D xsi:type="xsd:double"&gt;46.69516&lt;/D&gt;&lt;/FQL&gt;&lt;FQL&gt;&lt;Q&gt;DUMMY^ECON_EXPR_DATA('FDS_ECON[PMIQAWHEHE]',02/2024,,Q)&lt;/Q&gt;&lt;R&gt;1&lt;/R&gt;&lt;C&gt;1&lt;/C&gt;&lt;D xsi:type="xsd:double"&gt;50.688427&lt;/D&gt;&lt;/FQL&gt;&lt;FQL&gt;&lt;Q&gt;DUMMY^ECON_EXPR_DATA('FDS_ECON[NTCPMIMFGSA@IN]',02/2024,,Q)&lt;/Q&gt;&lt;R&gt;1&lt;/R&gt;&lt;C&gt;1&lt;/C&gt;&lt;D xsi:type="xsd:double"&gt;55.461708&lt;/D&gt;&lt;/FQL&gt;&lt;FQL&gt;&lt;Q&gt;DUMMY^ECON_EXPR_DATA('FDS_ECON[NTCPMIMFGSA@GR]',02/2024,,Q)&lt;/Q&gt;&lt;R&gt;1&lt;/R&gt;&lt;C&gt;1&lt;/C&gt;&lt;D xsi:type="xsd:double"&gt;50.99575&lt;/D&gt;&lt;/FQL&gt;&lt;FQL&gt;&lt;Q&gt;DUMMY^ECON_EXPR_DATA('FDS_ECON[PMIMFGSA@ZA]',02/2024,,Q)&lt;/Q&gt;&lt;R&gt;1&lt;/R&gt;&lt;C&gt;1&lt;/C&gt;&lt;D xsi:type="xsd:double"&gt;49.293606&lt;/D&gt;&lt;/FQL&gt;&lt;FQL&gt;&lt;Q&gt;DUMMY^ECON_EXPR_DATA('FDS_ECON[NTCPMIMFGSA@BR]',02/2024,,Q)&lt;/Q&gt;&lt;R&gt;1&lt;/R&gt;&lt;C&gt;1&lt;/C&gt;&lt;D xsi:type="xsd:double"&gt;48.798813&lt;/D&gt;&lt;/FQL&gt;&lt;FQL&gt;&lt;Q&gt;DUMMY^ECON_EXPR_DATA('FDS_ECON[NTCPMIMFGSA@KR]',02/2024,,Q)&lt;/Q&gt;&lt;R&gt;1&lt;/R&gt;&lt;C&gt;1&lt;/C&gt;&lt;D xsi:type="xsd:double"&gt;49.900604&lt;/D&gt;&lt;/FQL&gt;&lt;FQL&gt;&lt;Q&gt;DUMMY^ECON_EXPR_DATA('FDS_ECON[NTCPMIMFGSA@MX]',02/2024,,Q)&lt;/Q&gt;&lt;R&gt;1&lt;/R&gt;&lt;C&gt;1&lt;/C&gt;&lt;D xsi:type="xsd:double"&gt;52.180695&lt;/D&gt;&lt;/FQL&gt;&lt;FQL&gt;&lt;Q&gt;DUMMY^ECON_EXPR_DATA('FDS_ECON[NTCPMIMFGSA@TW]',02/2024,,Q)&lt;/Q&gt;&lt;R&gt;1&lt;/R&gt;&lt;C&gt;1&lt;/C&gt;&lt;D xsi:type="xsd:double"&gt;47.63588&lt;/D&gt;&lt;/FQL&gt;&lt;FQL&gt;&lt;Q&gt;DUMMY^ECON_EXPR_DATA('FDS_ECON[PMIMYMANHE]',02/2024,,Q)&lt;/Q&gt;&lt;R&gt;1&lt;/R&gt;&lt;C&gt;1&lt;/C&gt;&lt;D xsi:type="xsd:double"&gt;47.499214&lt;/D&gt;&lt;/FQL&gt;&lt;FQL&gt;&lt;Q&gt;DUMMY^ECON_EXPR_DATA('FDS_ECON[NTCPMIMFGSA@PE]',02/2024,,Q)&lt;/Q&gt;&lt;R&gt;0&lt;/R&gt;&lt;C&gt;0&lt;/C&gt;&lt;/FQL&gt;&lt;FQL&gt;&lt;Q&gt;DUMMY^ECON_EXPR_DATA('FDS_ECON[NTCPMIMFGSA@PL]',02/2024,,Q)&lt;/Q&gt;&lt;R&gt;1&lt;/R&gt;&lt;C&gt;1&lt;/C&gt;&lt;D xsi:type="xsd:double"&gt;46.884846&lt;/D&gt;&lt;/FQL&gt;&lt;FQL&gt;&lt;Q&gt;DUMMY^ECON_EXPR_DATA('FDS_ECON[NTCPMIPHMANHE]',02/2024,,Q)&lt;/Q&gt;&lt;R&gt;1&lt;/R&gt;&lt;C&gt;1&lt;/C&gt;&lt;D xsi:type="xsd:double"&gt;52.222515&lt;/D&gt;&lt;/FQL&gt;&lt;FQL&gt;&lt;Q&gt;DUMMY^ECON_EXPR_DATA('FDS_ECON[NTCPMIMFGSA@ID]',02/2024,,Q)&lt;/Q&gt;&lt;R&gt;1&lt;/R&gt;&lt;C&gt;1&lt;/C&gt;&lt;D xsi:type="xsd:double"&gt;51.828487&lt;/D&gt;&lt;/FQL&gt;&lt;FQL&gt;&lt;Q&gt;DUMMY^ECON_EXPR_DATA('FDS_ECON[NTCPMIMFGSA@CL]',02/2024,,Q)&lt;/Q&gt;&lt;R&gt;0&lt;/R&gt;&lt;C&gt;0&lt;/C&gt;&lt;/FQL&gt;&lt;FQL&gt;&lt;Q&gt;DUMMY^ECON_EXPR_DATA('FDS_ECON[NTCPMIMFGSA@CN]',02/2024,,Q)&lt;/Q&gt;&lt;R&gt;1&lt;/R&gt;&lt;C&gt;1&lt;/C&gt;&lt;D xsi:type="xsd:double"&gt;50.34384&lt;/D&gt;&lt;/FQL&gt;&lt;FQL&gt;&lt;Q&gt;DUMMY^ECON_DATE(45328,,, 'MM/YYYY')&lt;/Q&gt;&lt;R&gt;1&lt;/R&gt;&lt;C&gt;1&lt;/C&gt;&lt;D xsi:type="xsd:string"&gt;02/2024&lt;/D&gt;&lt;/FQL&gt;&lt;FQL&gt;&lt;Q&gt;DUMMY^ECON_DATE(45236,,, 'MM/YYYY')&lt;/Q&gt;&lt;R&gt;1&lt;/R&gt;&lt;C&gt;1&lt;/C&gt;&lt;D xsi:type="xsd:string"&gt;11/2023&lt;/D&gt;&lt;/FQL&gt;&lt;FQL&gt;&lt;Q&gt;DUMMY^ECON_EXPR_DATA('FDS_ECON[PMIDMMANHE]',,,M)&lt;/Q&gt;&lt;R&gt;1&lt;/R&gt;&lt;C&gt;1&lt;/C&gt;&lt;D xsi:type="xsd:double"&gt;49.253857&lt;/D&gt;&lt;/FQL&gt;&lt;FQL&gt;&lt;Q&gt;DUMMY^ECON_EXPR_DATA('FDS_ECON[NTCPMIMFGSA@EME]',,,M)&lt;/Q&gt;&lt;R&gt;1&lt;/R&gt;&lt;C&gt;1&lt;/C&gt;&lt;D xsi:type="xsd:double"&gt;51.4475&lt;/D&gt;&lt;/FQL&gt;&lt;FQL&gt;&lt;Q&gt;DUMMY^ECON_EXPR_DATA('FDS_ECON[NTCPMIMFGSA@CL]',,,M)&lt;/Q&gt;&lt;R&gt;0&lt;/R&gt;&lt;C&gt;0&lt;/C&gt;&lt;/FQL&gt;&lt;FQL&gt;&lt;Q&gt;DUMMY^ECON_EXPR_DATA('FDS_ECON[NTCPMIMFGSA@ID]',,,M)&lt;/Q&gt;&lt;R&gt;1&lt;/R&gt;&lt;C&gt;1&lt;/C&gt;&lt;D xsi:type="xsd:double"&gt;52.654537&lt;/D&gt;&lt;/FQL&gt;&lt;FQL&gt;&lt;Q&gt;DUMMY^ECON_EXPR_DATA('FDS_ECON[NTCPMIPHMANHE]',,,M)&lt;/Q&gt;&lt;R&gt;0&lt;/R&gt;&lt;C&gt;0&lt;/C&gt;&lt;/FQL&gt;&lt;FQL&gt;&lt;Q&gt;DUMMY^ECON_EXPR_DATA('FDS_ECON[NTCPMIMFGSA@PL]',,,M)&lt;/Q&gt;&lt;R&gt;1&lt;/R&gt;&lt;C&gt;1&lt;/C&gt;&lt;D xsi:type="xsd:double"&gt;47.87733&lt;/D&gt;&lt;/FQL&gt;&lt;FQL&gt;&lt;Q&gt;DUMMY^ECON_EXPR_DATA('FDS_ECON[NTCPMIMFGSA@PE]',,,M)&lt;/Q&gt;&lt;R&gt;0&lt;/R&gt;&lt;C&gt;0&lt;/C&gt;&lt;/FQL&gt;&lt;FQL&gt;&lt;Q&gt;DUMMY^ECON_EXPR_DATA('FDS_ECON[PMIMYMANHE]',,,M)&lt;/Q&gt;&lt;R&gt;1&lt;/R&gt;&lt;C&gt;1&lt;/C&gt;&lt;D xsi:type="xsd:double"&gt;49.473457&lt;/D&gt;&lt;/FQL&gt;&lt;FQL&gt;&lt;Q&gt;DUMMY^ECON_EXPR_DATA('FDS_ECON[NTCPMIMFGSA@TW]',,,M)&lt;/Q&gt;&lt;R&gt;1&lt;/R&gt;&lt;C&gt;1&lt;/C&gt;&lt;D xsi:type="xsd:double"&gt;48.6&lt;/D&gt;&lt;/FQL&gt;&lt;FQL&gt;&lt;Q&gt;DUMMY^ECON_EXPR_DATA('FDS_ECON[NTCPMIMFGSA@MX]',,,M)&lt;/Q&gt;&lt;R&gt;1&lt;/R&gt;&lt;C&gt;1&lt;/C&gt;&lt;D xsi:type="xsd:double"&gt;52.29834&lt;/D&gt;&lt;/FQL&gt;&lt;FQL&gt;&lt;Q&gt;DUMMY^ECON_EXPR_DATA('FDS_ECON[NTCPMIMFGSA@KR]',,,M)&lt;/Q&gt;&lt;R&gt;1&lt;/R&gt;&lt;C&gt;1&lt;/C&gt;&lt;D xsi:type="xsd:double"&gt;50.65793&lt;/D&gt;&lt;/FQL&gt;&lt;FQL&gt;&lt;Q&gt;DUMMY^ECON_EXPR_DATA('FDS_ECON[NTCPMIMFGSA@BR]',,,M)&lt;/Q&gt;&lt;R&gt;1&lt;/R&gt;&lt;C&gt;1&lt;/C&gt;&lt;D xsi:type="xsd:double"&gt;54.05694&lt;/D&gt;&lt;/FQL&gt;&lt;FQL&gt;&lt;Q&gt;DUMMY^ECON_EXPR_DATA('FDS_ECON[PMIMFGSA@ZA]',,,M)&lt;/Q&gt;&lt;R&gt;1&lt;/R&gt;&lt;C&gt;1&lt;/C&gt;&lt;D xsi:type="xsd:double"&gt;50.78166&lt;/D&gt;&lt;/FQL&gt;&lt;FQL&gt;&lt;Q&gt;DUMMY^ECON_EXPR_DATA('FDS_ECON[NTCPMIMFGSA@GR]',,,M)&lt;/Q&gt;&lt;R&gt;1&lt;/R&gt;&lt;C&gt;1&lt;/C&gt;&lt;D xsi:type="xsd:double"&gt;55.729668&lt;/D&gt;&lt;/FQL&gt;&lt;FQL&gt;&lt;Q&gt;DUMMY^ECON_EXPR_DATA('FDS_ECON[NTCPMIMFGSA@IN]',,,M)&lt;/Q&gt;&lt;R&gt;1&lt;/R&gt;&lt;C&gt;1&lt;/C&gt;&lt;D xsi:type="xsd:double"&gt;56.899437&lt;/D&gt;&lt;/FQL&gt;&lt;FQL&gt;&lt;Q&gt;DUMMY^ECON_EXPR_DATA('FDS_ECON[NTCPMIMFGSA@CN]',,,M)&lt;/Q&gt;&lt;R&gt;1&lt;/R&gt;&lt;C&gt;1&lt;/C&gt;&lt;D xsi:type="xsd:double"&gt;50.918056&lt;/D&gt;&lt;/FQL&gt;&lt;FQL&gt;&lt;Q&gt;DUMMY^ECON_EXPR_DATA('FDS_ECON[PMIQAWHEHE]',,,M)&lt;/Q&gt;&lt;R&gt;0&lt;/R&gt;&lt;C&gt;0&lt;/C&gt;&lt;/FQL&gt;&lt;FQL&gt;&lt;Q&gt;DUMMY^ECON_EXPR_DATA('FDS_ECON[NTCPMITHMANHE]',,,M)&lt;/Q&gt;&lt;R&gt;0&lt;/R&gt;&lt;C&gt;0&lt;/C&gt;&lt;/FQL&gt;&lt;FQL&gt;&lt;Q&gt;DUMMY^ECON_EXPR_DATA('FDS_ECON[NTCPMIMFGSA@TR]',,,M)&lt;/Q&gt;&lt;R&gt;1&lt;/R&gt;&lt;C&gt;1&lt;/C&gt;&lt;D xsi:type="xsd:double"&gt;50.248722&lt;/D&gt;&lt;/FQL&gt;&lt;FQL&gt;&lt;Q&gt;DUMMY^ECON_EXPR_DATA('FDS_ECON[NTCPMIMFGSA@AE]',,,M)&lt;/Q&gt;&lt;R&gt;0&lt;/R&gt;&lt;C&gt;0&lt;/C&gt;&lt;/FQL&gt;&lt;FQL&gt;&lt;Q&gt;DUMMY^ECON_EXPR_DATA('FDS_ECON[NTCPMIMFGSA@VN]',,,M)&lt;/Q&gt;&lt;R&gt;1&lt;/R&gt;&lt;C&gt;1&lt;/C&gt;&lt;D xsi:type="xsd:double"&gt;50.37239&lt;/D&gt;&lt;/FQL&gt;&lt;FQL&gt;&lt;Q&gt;DUMMY^ECON_EXPR_DATA('FDS_ECON[NTCPMIINDEXSA@SA]',,,M)&lt;/Q&gt;&lt;R&gt;1&lt;/R&gt;&lt;C&gt;1&lt;/C&gt;&lt;D xsi:type="xsd:double"&gt;57.158&lt;/D&gt;&lt;/FQL&gt;&lt;FQL&gt;&lt;Q&gt;DUMMY^ECON_EXPR_DATA('FDS_ECON[PMIDMMANHE]',11/2023,,Q)&lt;/Q&gt;&lt;R&gt;1&lt;/R&gt;&lt;C&gt;1&lt;/C&gt;&lt;D xsi:type="xsd:double"&gt;47.086407&lt;/D&gt;&lt;/FQL&gt;&lt;FQL&gt;&lt;Q&gt;DUMMY^ECON_EXPR_DATA('FDS_ECON[NTCPMIMFGSA@EME]',11/2023,,Q)&lt;/Q&gt;&lt;R&gt;1&lt;/R&gt;&lt;C&gt;1&lt;/C&gt;&lt;D xsi:type="xsd:double"&gt;50.814144&lt;/D&gt;&lt;/FQL&gt;&lt;FQL&gt;&lt;Q&gt;DUMMY^ECON_EXPR_DATA('FDS_ECON[PMIDMMANHE]',02/2024,,Q)&lt;/Q&gt;&lt;R&gt;1&lt;/R&gt;&lt;C&gt;1&lt;/C&gt;&lt;D xsi:type="xsd:double"&gt;47.378044&lt;/D&gt;&lt;/FQL&gt;&lt;FQL&gt;&lt;Q&gt;DUMMY^ECON_EXPR_DATA('FDS_ECON[NTCPMIMFGSA@EME]',02/2024,,Q)&lt;/Q&gt;&lt;R&gt;1&lt;/R&gt;&lt;C&gt;1&lt;/C&gt;&lt;D xsi:type="xsd:double"&gt;50.64065&lt;/D&gt;&lt;/FQL&gt;&lt;/Schema&gt;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tc={0195B492-FC6C-4B70-985C-FD0A6858133E}</author>
  </authors>
  <commentList>
    <comment ref="P3" authorId="0" shapeId="0" xr:uid="{00000000-0006-0000-04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 is good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<sst xmlns="http://schemas.openxmlformats.org/spreadsheetml/2006/main" count="2611" uniqueCount="923">
  <si>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</si>
  <si>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</si>
  <si>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</si>
  <si>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</si>
  <si>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</si>
  <si>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</si>
  <si>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</si>
  <si>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</si>
  <si>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</si>
  <si>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</si>
  <si>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</si>
  <si>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</si>
  <si>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</si>
  <si>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</si>
  <si>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</si>
  <si>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</si>
  <si>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</si>
  <si>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</si>
  <si>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</si>
  <si>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</si>
  <si>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</si>
  <si>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</si>
  <si>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</si>
  <si>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</si>
  <si>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</si>
  <si>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</si>
  <si>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</si>
  <si>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</si>
  <si>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</si>
  <si>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</si>
  <si>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</si>
  <si>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</si>
  <si>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</si>
  <si>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</si>
  <si>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</si>
  <si>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</si>
  <si>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</si>
  <si>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</si>
  <si>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</si>
  <si>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</si>
  <si>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</si>
  <si>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</si>
  <si>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</si>
  <si>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</si>
  <si>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</si>
  <si>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</si>
  <si>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</si>
  <si>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</si>
  <si>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</si>
  <si>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</si>
  <si>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</si>
  <si>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</si>
  <si>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</si>
  <si>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</si>
  <si>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</si>
  <si>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</si>
  <si>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</si>
  <si>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</si>
  <si>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</si>
  <si>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 month percentile</t>
  </si>
  <si>
    <t>12 month percentile</t>
  </si>
  <si>
    <t>Value</t>
  </si>
  <si>
    <t>Price</t>
  </si>
  <si>
    <t>Upgardes</t>
  </si>
  <si>
    <t>1 month%</t>
  </si>
  <si>
    <t>3 month%</t>
  </si>
  <si>
    <t>Risk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</si>
  <si>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</si>
  <si>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</si>
  <si>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</si>
  <si>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</si>
  <si>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</si>
  <si>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</si>
  <si>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</si>
  <si>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</si>
  <si>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</si>
  <si>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</si>
  <si>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</si>
  <si>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</si>
  <si>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</si>
  <si>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</si>
  <si>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</si>
  <si>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</si>
  <si>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</si>
  <si>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% of  model</t>
  </si>
  <si>
    <t>weights</t>
  </si>
  <si>
    <t>weight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</si>
  <si>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</si>
  <si>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</si>
  <si>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</si>
  <si>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</si>
  <si>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</si>
  <si>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</si>
  <si>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</si>
  <si>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</si>
  <si>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</si>
  <si>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</si>
  <si>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</si>
  <si>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</si>
  <si>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</si>
  <si>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</si>
  <si>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</si>
  <si>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</si>
  <si>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</si>
  <si>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</si>
  <si>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</si>
  <si>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</si>
  <si>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</si>
  <si>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</si>
  <si>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</si>
  <si>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</si>
  <si>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</si>
  <si>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</si>
  <si>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</si>
  <si>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</si>
  <si>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</si>
  <si>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</si>
  <si>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</si>
  <si>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</si>
  <si>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</si>
  <si>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</si>
  <si>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</si>
  <si>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</si>
  <si>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</si>
  <si>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</si>
  <si>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</si>
  <si>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</si>
  <si>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</si>
  <si>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</si>
  <si>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</si>
  <si>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</si>
  <si>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</si>
  <si>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</si>
  <si>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</si>
  <si>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</si>
  <si>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</si>
  <si>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</si>
  <si>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</si>
  <si>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</si>
  <si>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</si>
  <si>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</si>
  <si>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</si>
  <si>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</si>
  <si>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</si>
  <si>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</si>
  <si>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</si>
  <si>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</si>
  <si>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</si>
  <si>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</si>
  <si>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</si>
  <si>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</si>
  <si>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</si>
  <si>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</si>
  <si>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</si>
  <si>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</si>
  <si>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</si>
  <si>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</si>
  <si>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</si>
  <si>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</si>
  <si>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</si>
  <si>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</si>
  <si>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</si>
  <si>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</si>
  <si>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</si>
  <si>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</si>
  <si>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</si>
  <si>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</si>
  <si>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</si>
  <si>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</si>
  <si>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</si>
  <si>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</si>
  <si>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</si>
  <si>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</si>
  <si>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</si>
  <si>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</si>
  <si>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</si>
  <si>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</si>
  <si>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</si>
  <si>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</si>
  <si>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</si>
  <si>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</si>
  <si>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</si>
  <si>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</si>
  <si>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</si>
  <si>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</si>
  <si>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</si>
  <si>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</si>
  <si>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</si>
  <si>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</si>
  <si>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</si>
  <si>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</si>
  <si>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</si>
  <si>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</si>
  <si>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</si>
  <si>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</si>
  <si>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</si>
  <si>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</si>
  <si>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</si>
  <si>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</si>
  <si>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</si>
  <si>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</si>
  <si>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</si>
  <si>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</si>
  <si>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</si>
  <si>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</si>
  <si>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</si>
  <si>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</si>
  <si>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</si>
  <si>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</si>
  <si>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</si>
  <si>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</si>
  <si>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</si>
  <si>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</si>
  <si>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</si>
  <si>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</si>
  <si>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</si>
  <si>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</si>
  <si>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</si>
  <si>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</si>
  <si>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</si>
  <si>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</si>
  <si>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</si>
  <si>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</si>
  <si>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</si>
  <si>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</si>
  <si>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</si>
  <si>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</si>
  <si>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</si>
  <si>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</si>
  <si>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</si>
  <si>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</si>
  <si>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</si>
  <si>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</si>
  <si>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</si>
  <si>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</si>
  <si>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</si>
  <si>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</si>
  <si>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</si>
  <si>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</si>
  <si>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</si>
  <si>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</si>
  <si>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</si>
  <si>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</si>
  <si>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</si>
  <si>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</si>
  <si>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</si>
  <si>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</si>
  <si>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</si>
  <si>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</si>
  <si>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</si>
  <si>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</si>
  <si>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</si>
  <si>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</si>
  <si>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</si>
  <si>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</si>
  <si>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</si>
  <si>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</si>
  <si>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</si>
  <si>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</si>
  <si>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</si>
  <si>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</si>
  <si>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</si>
  <si>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</si>
  <si>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</si>
  <si>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</si>
  <si>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</si>
  <si>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</si>
  <si>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</si>
  <si>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</si>
  <si>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</si>
  <si>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</si>
  <si>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</si>
  <si>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</si>
  <si>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</si>
  <si>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</si>
  <si>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</si>
  <si>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</si>
  <si>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</si>
  <si>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</si>
  <si>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</si>
  <si>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</si>
  <si>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</si>
  <si>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</si>
  <si>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</si>
  <si>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</si>
  <si>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</si>
  <si>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</si>
  <si>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</si>
  <si>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</si>
  <si>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</si>
  <si>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</si>
  <si>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</si>
  <si>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</si>
  <si>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</si>
  <si>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</si>
  <si>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</si>
  <si>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</si>
  <si>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</si>
  <si>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</si>
  <si>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</si>
  <si>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</si>
  <si>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</si>
  <si>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</si>
  <si>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</si>
  <si>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</si>
  <si>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</si>
  <si>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</si>
  <si>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</si>
  <si>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</si>
  <si>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</si>
  <si>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</si>
  <si>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</si>
  <si>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</si>
  <si>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</si>
  <si>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</si>
  <si>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</si>
  <si>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</si>
  <si>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</si>
  <si>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</si>
  <si>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</si>
  <si>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</si>
  <si>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</si>
  <si>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</si>
  <si>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</si>
  <si>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</si>
  <si>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</si>
  <si>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</si>
  <si>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</si>
  <si>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</si>
  <si>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</si>
  <si>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</si>
  <si>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</si>
  <si>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</si>
  <si>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</si>
  <si>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</si>
  <si>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</si>
  <si>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</si>
  <si>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</si>
  <si>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</si>
  <si>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</si>
  <si>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</si>
  <si>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</si>
  <si>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</si>
  <si>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</si>
  <si>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</si>
  <si>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</si>
  <si>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</si>
  <si>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</si>
  <si>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</si>
  <si>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</si>
  <si>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</si>
  <si>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</si>
  <si>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</si>
  <si>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</si>
  <si>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</si>
  <si>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</si>
  <si>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</si>
  <si>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</si>
  <si>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</si>
  <si>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</si>
  <si>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</si>
  <si>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</si>
  <si>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</si>
  <si>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</si>
  <si>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</si>
  <si>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</si>
  <si>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</si>
  <si>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</si>
  <si>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</si>
  <si>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</si>
  <si>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</si>
  <si>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</si>
  <si>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</si>
  <si>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</si>
  <si>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</si>
  <si>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</si>
  <si>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</si>
  <si>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</si>
  <si>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</si>
  <si>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</si>
  <si>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</si>
  <si>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</si>
  <si>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</si>
  <si>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</si>
  <si>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</si>
  <si>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</si>
  <si>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</si>
  <si>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</si>
  <si>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</si>
  <si>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</si>
  <si>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USDZAR</t>
  </si>
  <si>
    <t>USDINR</t>
  </si>
  <si>
    <t>Currency change last 3  month</t>
  </si>
  <si>
    <t>Currency change last 1 month</t>
  </si>
  <si>
    <t>Rolling 12 month returns</t>
  </si>
  <si>
    <t>USDKRW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</si>
  <si>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</si>
  <si>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</si>
  <si>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</si>
  <si>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</si>
  <si>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</si>
  <si>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</si>
  <si>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</si>
  <si>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</si>
  <si>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</si>
  <si>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</si>
  <si>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</si>
  <si>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</si>
  <si>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</si>
  <si>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</si>
  <si>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</si>
  <si>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</si>
  <si>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</si>
  <si>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</si>
  <si>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</si>
  <si>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</si>
  <si>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</si>
  <si>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</si>
  <si>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</si>
  <si>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</si>
  <si>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</si>
  <si>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</si>
  <si>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</si>
  <si>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</si>
  <si>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</si>
  <si>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</si>
  <si>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</si>
  <si>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</si>
  <si>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</si>
  <si>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</si>
  <si>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</si>
  <si>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</si>
  <si>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</si>
  <si>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</si>
  <si>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</si>
  <si>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</si>
  <si>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</si>
  <si>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</si>
  <si>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</si>
  <si>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THD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</si>
  <si>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</si>
  <si>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</si>
  <si>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</si>
  <si>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</si>
  <si>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</si>
  <si>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</si>
  <si>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</si>
  <si>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</si>
  <si>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</si>
  <si>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</si>
  <si>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Thailand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</si>
  <si>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</si>
  <si>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</si>
  <si>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</si>
  <si>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</si>
  <si>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</si>
  <si>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</si>
  <si>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</si>
  <si>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TRYTH10Y-FDS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</si>
  <si>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</si>
  <si>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</si>
  <si>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</si>
  <si>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</si>
  <si>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</si>
  <si>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</si>
  <si>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</si>
  <si>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</si>
  <si>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</si>
  <si>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</si>
  <si>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</si>
  <si>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</si>
  <si>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</si>
  <si>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</si>
  <si>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</si>
  <si>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USDIDR</t>
  </si>
  <si>
    <t>USDBRL</t>
  </si>
  <si>
    <t>USDTHB</t>
  </si>
  <si>
    <t>USDVND</t>
  </si>
  <si>
    <t>USDCNH</t>
  </si>
  <si>
    <t>USDMYR</t>
  </si>
  <si>
    <t>USDTWD</t>
  </si>
  <si>
    <t>USDTRY</t>
  </si>
  <si>
    <t>USDPLN</t>
  </si>
  <si>
    <t>USDMXN</t>
  </si>
  <si>
    <t>USDPHP</t>
  </si>
  <si>
    <t>USDCLP</t>
  </si>
  <si>
    <t>USDPEN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</si>
  <si>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</si>
  <si>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</si>
  <si>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</si>
  <si>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</si>
  <si>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</si>
  <si>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</si>
  <si>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</si>
  <si>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</si>
  <si>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</si>
  <si>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</si>
  <si>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</si>
  <si>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</si>
  <si>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</si>
  <si>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</si>
  <si>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</si>
  <si>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</si>
  <si>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</si>
  <si>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</si>
  <si>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</si>
  <si>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</si>
  <si>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</si>
  <si>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</si>
  <si>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</si>
  <si>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</si>
  <si>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</si>
  <si>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</si>
  <si>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</si>
  <si>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</si>
  <si>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</si>
  <si>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</si>
  <si>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</si>
  <si>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</si>
  <si>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</si>
  <si>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</si>
  <si>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</si>
  <si>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</si>
  <si>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</si>
  <si>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</si>
  <si>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</si>
  <si>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</si>
  <si>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</si>
  <si>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</si>
  <si>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</si>
  <si>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</si>
  <si>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</si>
  <si>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</si>
  <si>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</si>
  <si>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</si>
  <si>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</si>
  <si>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Montlky freq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</si>
  <si>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</si>
  <si>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</si>
  <si>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</si>
  <si>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</si>
  <si>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</si>
  <si>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</si>
  <si>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</si>
  <si>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</si>
  <si>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</si>
  <si>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</si>
  <si>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</si>
  <si>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Overall Risk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</si>
  <si>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</si>
  <si>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</si>
  <si>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</si>
  <si>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</si>
  <si>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</si>
  <si>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</si>
  <si>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</si>
  <si>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</si>
  <si>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</si>
  <si>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</si>
  <si>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</si>
  <si>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</si>
  <si>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</si>
  <si>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</si>
  <si>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</si>
  <si>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</si>
  <si>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</si>
  <si>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</si>
  <si>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</si>
  <si>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</si>
  <si>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</si>
  <si>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</si>
  <si>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</si>
  <si>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USDAED</t>
  </si>
  <si>
    <t>USDSAR</t>
  </si>
  <si>
    <t>USDQAR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</si>
  <si>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</si>
  <si>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</si>
  <si>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</si>
  <si>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</si>
  <si>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</si>
  <si>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</si>
  <si>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</si>
  <si>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</si>
  <si>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</si>
  <si>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</si>
  <si>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</si>
  <si>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</si>
  <si>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</si>
  <si>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</si>
  <si>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</si>
  <si>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</si>
  <si>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</si>
  <si>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</si>
  <si>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</si>
  <si>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</si>
  <si>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</si>
  <si>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</si>
  <si>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</si>
  <si>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</si>
  <si>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</si>
  <si>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</si>
  <si>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</si>
  <si>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</si>
  <si>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</si>
  <si>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</si>
  <si>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</si>
  <si>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</si>
  <si>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</si>
  <si>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</si>
  <si>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</si>
  <si>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</si>
  <si>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</si>
  <si>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</si>
  <si>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</si>
  <si>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</si>
  <si>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</si>
  <si>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</si>
  <si>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</si>
  <si>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</si>
  <si>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</si>
  <si>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</si>
  <si>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</si>
  <si>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</si>
  <si>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</si>
  <si>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</si>
  <si>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</si>
  <si>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</si>
  <si>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</si>
  <si>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</si>
  <si>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</si>
  <si>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</si>
  <si>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</si>
  <si>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</si>
  <si>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</si>
  <si>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</si>
  <si>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</si>
  <si>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</si>
  <si>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</si>
  <si>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</si>
  <si>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</si>
  <si>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</si>
  <si>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</si>
  <si>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</si>
  <si>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</si>
  <si>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</si>
  <si>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</si>
  <si>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</si>
  <si>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</si>
  <si>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</si>
  <si>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</si>
  <si>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</si>
  <si>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</si>
  <si>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</si>
  <si>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</si>
  <si>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</si>
  <si>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</si>
  <si>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</si>
  <si>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</si>
  <si>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</si>
  <si>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</si>
  <si>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</si>
  <si>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</si>
  <si>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</si>
  <si>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</si>
  <si>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</si>
  <si>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</si>
  <si>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</si>
  <si>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</si>
  <si>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</si>
  <si>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</si>
  <si>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</si>
  <si>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</si>
  <si>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</si>
  <si>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</si>
  <si>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</si>
  <si>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</si>
  <si>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</si>
  <si>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</si>
  <si>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</si>
  <si>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</si>
  <si>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</si>
  <si>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</si>
  <si>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</si>
  <si>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</si>
  <si>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</si>
  <si>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</si>
  <si>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</si>
  <si>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</si>
  <si>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</si>
  <si>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</si>
  <si>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</si>
  <si>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</si>
  <si>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</si>
  <si>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</si>
  <si>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</si>
  <si>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</si>
  <si>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</si>
  <si>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</si>
  <si>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</si>
  <si>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</si>
  <si>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</si>
  <si>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</si>
  <si>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</si>
  <si>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</si>
  <si>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</si>
  <si>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</si>
  <si>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</si>
  <si>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</si>
  <si>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</si>
  <si>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</si>
  <si>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</si>
  <si>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</si>
  <si>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</si>
  <si>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</si>
  <si>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</si>
  <si>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</si>
  <si>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</si>
  <si>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</si>
  <si>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</si>
  <si>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</si>
  <si>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</si>
  <si>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</si>
  <si>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</si>
  <si>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</si>
  <si>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</si>
  <si>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</si>
  <si>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</si>
  <si>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</si>
  <si>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</si>
  <si>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</si>
  <si>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</si>
  <si>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</si>
  <si>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</si>
  <si>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</si>
  <si>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</si>
  <si>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</si>
  <si>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</si>
  <si>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</si>
  <si>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</si>
  <si>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</si>
  <si>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</si>
  <si>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</si>
  <si>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</si>
  <si>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</si>
  <si>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</si>
  <si>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</si>
  <si>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</si>
  <si>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</si>
  <si>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</si>
  <si>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</si>
  <si>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</si>
  <si>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</si>
  <si>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</si>
  <si>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</si>
  <si>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</si>
  <si>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</si>
  <si>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</si>
  <si>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</si>
  <si>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</si>
  <si>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</si>
  <si>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</si>
  <si>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</si>
  <si>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</si>
  <si>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</si>
  <si>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</si>
  <si>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</si>
  <si>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</si>
  <si>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</si>
  <si>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</si>
  <si>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</si>
  <si>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NTCPMIMFGSA@BR</t>
  </si>
  <si>
    <t>NTCPMIMFGSA@MX</t>
  </si>
  <si>
    <t>NTCPMIMFGSA@CN</t>
  </si>
  <si>
    <t>NTCPMIMFGSA@IN</t>
  </si>
  <si>
    <t>NTCPMIMFGSA@ID</t>
  </si>
  <si>
    <t>NTCPMIMFGSA@KR</t>
  </si>
  <si>
    <t>South Korea</t>
  </si>
  <si>
    <t>NTCPMIMFGSA@TW</t>
  </si>
  <si>
    <t>NTCPMIMFGSA@VN</t>
  </si>
  <si>
    <t>NTCPMIMFGSA@GR</t>
  </si>
  <si>
    <t>NTCPMIMFGSA@PL</t>
  </si>
  <si>
    <t>NTCPMIMFGSA@TR</t>
  </si>
  <si>
    <t>PMIDMMANHE</t>
  </si>
  <si>
    <t>Developed Markets</t>
  </si>
  <si>
    <t>NTCPMIMFGSA@EME</t>
  </si>
  <si>
    <t>Emerging Markets</t>
  </si>
  <si>
    <t>Country_Code</t>
  </si>
  <si>
    <t>PMI</t>
  </si>
  <si>
    <t>NTCPMIMFGSA@CL</t>
  </si>
  <si>
    <t>NTCPMIMFGSA@PE</t>
  </si>
  <si>
    <t>NTCPMIMFGSA@AE</t>
  </si>
  <si>
    <t>A-5</t>
  </si>
  <si>
    <t>Economic Momentm</t>
  </si>
  <si>
    <t>Q-Q Change</t>
  </si>
  <si>
    <t>GDP AVG 5 &amp; 10 YR CAGR</t>
  </si>
  <si>
    <t>GDP Percentile</t>
  </si>
  <si>
    <t>NTCPMIPHMANHE</t>
  </si>
  <si>
    <t>PMIMYMANHE</t>
  </si>
  <si>
    <t>PMIMFGSA@ZA</t>
  </si>
  <si>
    <t>PMIQAWHEHE</t>
  </si>
  <si>
    <t>NTCPMITHMANHE</t>
  </si>
  <si>
    <t>NTCPMIINDEXSA@SA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</si>
  <si>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</si>
  <si>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</si>
  <si>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</si>
  <si>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</si>
  <si>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</si>
  <si>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</si>
  <si>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</si>
  <si>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</si>
  <si>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</si>
  <si>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</si>
  <si>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</si>
  <si>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</si>
  <si>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&gt;</t>
  </si>
  <si>
    <t>&lt;</t>
  </si>
  <si>
    <t>Monthly Return Percentile</t>
  </si>
  <si>
    <t>RISK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</si>
  <si>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</si>
  <si>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</si>
  <si>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</si>
  <si>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</si>
  <si>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</si>
  <si>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</si>
  <si>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</si>
  <si>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</si>
  <si>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</si>
  <si>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</si>
  <si>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</si>
  <si>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</si>
  <si>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</si>
  <si>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</si>
  <si>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</si>
  <si>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</si>
  <si>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</si>
  <si>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</si>
  <si>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</si>
  <si>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</si>
  <si>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</si>
  <si>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</si>
  <si>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</si>
  <si>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</si>
  <si>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</si>
  <si>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</si>
  <si>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</si>
  <si>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</si>
  <si>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</si>
  <si>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</si>
  <si>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</si>
  <si>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</si>
  <si>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</si>
  <si>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</si>
  <si>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</si>
  <si>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</si>
  <si>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</si>
  <si>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</si>
  <si>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</si>
  <si>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</si>
  <si>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</si>
  <si>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</si>
  <si>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</si>
  <si>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</si>
  <si>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</si>
  <si>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</si>
  <si>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</si>
  <si>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</si>
  <si>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</si>
  <si>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</si>
  <si>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</si>
  <si>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</si>
  <si>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</si>
  <si>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</si>
  <si>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FC0000CN</t>
  </si>
  <si>
    <t>FC0000CL</t>
  </si>
  <si>
    <t>FC0000ID</t>
  </si>
  <si>
    <t>FC0000PH</t>
  </si>
  <si>
    <t>FC0000PL</t>
  </si>
  <si>
    <t>FC0000PE</t>
  </si>
  <si>
    <t>FC0000MY</t>
  </si>
  <si>
    <t>FC0000TW</t>
  </si>
  <si>
    <t>FC0000MX</t>
  </si>
  <si>
    <t>FC0000KR</t>
  </si>
  <si>
    <t>FC0000BR</t>
  </si>
  <si>
    <t>FC0000ZA</t>
  </si>
  <si>
    <t>FC0000GR</t>
  </si>
  <si>
    <t>FC0000IN</t>
  </si>
  <si>
    <t>FC0000QA</t>
  </si>
  <si>
    <t>FC0000TR</t>
  </si>
  <si>
    <t>FC0000AE</t>
  </si>
  <si>
    <t>FTSEWIVNXXXX</t>
  </si>
  <si>
    <t>FC0000SA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</si>
  <si>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</si>
  <si>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</si>
  <si>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</si>
  <si>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</si>
  <si>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</si>
  <si>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</si>
  <si>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</si>
  <si>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</si>
  <si>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</si>
  <si>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</si>
  <si>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</si>
  <si>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</si>
  <si>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</si>
  <si>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Rules</t>
  </si>
  <si>
    <t>QQ change</t>
  </si>
  <si>
    <t>&gt;50</t>
  </si>
  <si>
    <t>&gt;0</t>
  </si>
  <si>
    <t>&lt;0</t>
  </si>
  <si>
    <t>&lt;50</t>
  </si>
  <si>
    <t>Change overall rank using this logic, let logc box be there so we can see the assumptions and change according;ly</t>
  </si>
  <si>
    <t>A- 6</t>
  </si>
  <si>
    <t>Size</t>
  </si>
  <si>
    <t>Mcap of Underlying</t>
  </si>
  <si>
    <t>No  comp. with upward revisions (1 month)</t>
  </si>
  <si>
    <t>Market_Cap Percentile</t>
  </si>
  <si>
    <t>Sum</t>
  </si>
  <si>
    <t>% of Countries above 30 day</t>
  </si>
  <si>
    <t>% of Countries above 60 day</t>
  </si>
  <si>
    <t>% of Countries above 200 day</t>
  </si>
  <si>
    <t>TECHNICAL STRENGTH</t>
  </si>
  <si>
    <t>1 month change</t>
  </si>
  <si>
    <t>FC0000TH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</si>
</sst>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9"/>
      <color indexed="81"/>
      <name val="Tahoma"/>
      <family val="2"/>
    </font>
    <font>
      <sz val="7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8"/>
    <xf numFmtId="0" fontId="28" fillId="0" borderId="28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4"/>
    <xf numFmtId="0" fontId="34" fillId="17" borderId="14"/>
    <xf numFmtId="0" fontId="35" fillId="17" borderId="14"/>
    <xf numFmtId="0" fontId="36" fillId="0" borderId="29"/>
    <xf numFmtId="0" fontId="23" fillId="18" borderId="30"/>
    <xf numFmtId="0" fontId="24" fillId="0" borderId="0"/>
    <xf numFmtId="0" fontId="21" fillId="13" borderId="14"/>
    <xf numFmtId="0" fontId="37" fillId="0" borderId="0"/>
    <xf numFmtId="0" fontId="18" fillId="0" borderId="31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16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8" xfId="0" applyFont="1" applyBorder="1"/>
    <xf numFmtId="9" fontId="4" fillId="0" borderId="9" xfId="0" applyNumberFormat="1" applyFont="1" applyBorder="1"/>
    <xf numFmtId="0" fontId="3" fillId="0" borderId="0" xfId="0" applyFont="1"/>
    <xf numFmtId="0" fontId="1" fillId="0" borderId="8" xfId="0" applyFont="1" applyBorder="1"/>
    <xf numFmtId="166" fontId="0" fillId="0" borderId="9" xfId="0" applyNumberFormat="1" applyBorder="1"/>
    <xf numFmtId="9" fontId="0" fillId="0" borderId="9" xfId="0" applyNumberFormat="1" applyBorder="1"/>
    <xf numFmtId="0" fontId="0" fillId="0" borderId="10" xfId="0" applyBorder="1"/>
    <xf numFmtId="167" fontId="4" fillId="0" borderId="9" xfId="0" applyNumberFormat="1" applyFont="1" applyBorder="1"/>
    <xf numFmtId="0" fontId="0" fillId="0" borderId="8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9" fontId="0" fillId="0" borderId="10" xfId="0" applyNumberFormat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1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7" fontId="1" fillId="0" borderId="0" xfId="0" applyNumberFormat="1" applyFont="1"/>
    <xf numFmtId="2" fontId="1" fillId="0" borderId="0" xfId="0" applyNumberFormat="1" applyFon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65" fontId="1" fillId="0" borderId="0" xfId="0" applyNumberFormat="1" applyFont="1"/>
    <xf numFmtId="170" fontId="0" fillId="0" borderId="0" xfId="0" applyNumberFormat="1"/>
    <xf numFmtId="166" fontId="0" fillId="0" borderId="0" xfId="0" applyNumberFormat="1"/>
    <xf numFmtId="0" fontId="4" fillId="0" borderId="12" xfId="0" applyFont="1" applyBorder="1"/>
    <xf numFmtId="167" fontId="4" fillId="0" borderId="13" xfId="0" applyNumberFormat="1" applyFont="1" applyBorder="1"/>
    <xf numFmtId="0" fontId="0" fillId="0" borderId="12" xfId="0" applyBorder="1"/>
    <xf numFmtId="167" fontId="0" fillId="0" borderId="13" xfId="0" applyNumberFormat="1" applyBorder="1"/>
    <xf numFmtId="0" fontId="0" fillId="0" borderId="13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3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0" fontId="10" fillId="0" borderId="0" xfId="0" applyFont="1"/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16" xfId="0" applyBorder="1"/>
    <xf numFmtId="0" fontId="0" fillId="0" borderId="22" xfId="0" applyBorder="1"/>
    <xf numFmtId="0" fontId="0" fillId="0" borderId="20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1" xfId="4" applyNumberFormat="1" applyFont="1" applyFill="1" applyBorder="1" applyAlignment="1">
      <alignment horizontal="right" vertical="center"/>
    </xf>
    <xf numFmtId="165" fontId="19" fillId="0" borderId="22" xfId="4" applyNumberFormat="1" applyFont="1" applyBorder="1"/>
    <xf numFmtId="165" fontId="19" fillId="0" borderId="0" xfId="4" applyNumberFormat="1" applyFont="1"/>
    <xf numFmtId="165" fontId="19" fillId="0" borderId="23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3" xfId="4" applyFont="1" applyBorder="1" applyAlignment="1">
      <alignment horizontal="center"/>
    </xf>
    <xf numFmtId="3" fontId="19" fillId="0" borderId="0" xfId="4" applyNumberFormat="1" applyFont="1"/>
    <xf numFmtId="0" fontId="18" fillId="11" borderId="25" xfId="4" applyFont="1" applyFill="1" applyBorder="1" applyAlignment="1">
      <alignment horizontal="center" vertical="center" wrapText="1"/>
    </xf>
    <xf numFmtId="0" fontId="18" fillId="11" borderId="27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2" xfId="4" applyFont="1" applyBorder="1" applyAlignment="1">
      <alignment horizontal="center"/>
    </xf>
    <xf numFmtId="0" fontId="18" fillId="11" borderId="20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1" xfId="4" applyFont="1" applyFill="1" applyBorder="1" applyAlignment="1">
      <alignment horizontal="right" vertical="center"/>
    </xf>
    <xf numFmtId="0" fontId="20" fillId="0" borderId="22" xfId="4" applyFont="1" applyBorder="1" applyAlignment="1">
      <alignment horizontal="center"/>
    </xf>
    <xf numFmtId="0" fontId="19" fillId="0" borderId="22" xfId="4" applyFont="1" applyBorder="1"/>
    <xf numFmtId="1" fontId="18" fillId="11" borderId="20" xfId="4" applyNumberFormat="1" applyFont="1" applyFill="1" applyBorder="1" applyAlignment="1">
      <alignment horizontal="right" vertical="center"/>
    </xf>
    <xf numFmtId="0" fontId="21" fillId="13" borderId="14" xfId="20"/>
    <xf numFmtId="164" fontId="0" fillId="0" borderId="0" xfId="1" applyFont="1" applyBorder="1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4" xfId="0" applyFont="1" applyBorder="1"/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0" fontId="13" fillId="0" borderId="0" xfId="0" applyNumberFormat="1" applyFont="1"/>
    <xf numFmtId="165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3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9" fontId="0" fillId="0" borderId="13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64" fontId="1" fillId="0" borderId="0" xfId="1" applyFont="1" applyFill="1"/>
    <xf numFmtId="164" fontId="1" fillId="0" borderId="0" xfId="1" applyFont="1"/>
    <xf numFmtId="169" fontId="11" fillId="0" borderId="0" xfId="0" applyNumberFormat="1" applyFont="1"/>
    <xf numFmtId="167" fontId="1" fillId="0" borderId="0" xfId="1" applyNumberFormat="1" applyFont="1"/>
    <xf numFmtId="174" fontId="0" fillId="0" borderId="0" xfId="0" applyNumberFormat="1"/>
    <xf numFmtId="0" fontId="0" fillId="0" borderId="32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3" xfId="0" applyBorder="1"/>
    <xf numFmtId="173" fontId="0" fillId="2" borderId="0" xfId="0" applyNumberFormat="1" applyFill="1"/>
    <xf numFmtId="0" fontId="13" fillId="37" borderId="32" xfId="0" applyFont="1" applyFill="1" applyBorder="1"/>
    <xf numFmtId="10" fontId="0" fillId="0" borderId="34" xfId="3" applyNumberFormat="1" applyFont="1" applyBorder="1"/>
    <xf numFmtId="10" fontId="0" fillId="0" borderId="33" xfId="3" applyNumberFormat="1" applyFont="1" applyBorder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9" fontId="0" fillId="0" borderId="21" xfId="3" applyFont="1" applyBorder="1" applyAlignment="1">
      <alignment horizontal="center" vertical="center"/>
    </xf>
    <xf numFmtId="10" fontId="0" fillId="0" borderId="3" xfId="3" applyNumberFormat="1" applyFont="1" applyBorder="1"/>
    <xf numFmtId="2" fontId="0" fillId="0" borderId="3" xfId="0" applyNumberFormat="1" applyBorder="1"/>
    <xf numFmtId="10" fontId="0" fillId="0" borderId="32" xfId="3" applyNumberFormat="1" applyFont="1" applyBorder="1"/>
    <xf numFmtId="10" fontId="13" fillId="0" borderId="0" xfId="3" applyNumberFormat="1" applyFont="1"/>
    <xf numFmtId="167" fontId="0" fillId="0" borderId="4" xfId="0" applyNumberFormat="1" applyBorder="1"/>
    <xf numFmtId="0" fontId="13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3" fontId="20" fillId="0" borderId="0" xfId="4" applyNumberFormat="1" applyFont="1" applyAlignment="1">
      <alignment horizontal="center"/>
    </xf>
    <xf numFmtId="0" fontId="18" fillId="0" borderId="18" xfId="4" applyFont="1" applyBorder="1" applyAlignment="1">
      <alignment horizontal="center" vertical="center"/>
    </xf>
    <xf numFmtId="0" fontId="18" fillId="0" borderId="24" xfId="4" applyFont="1" applyBorder="1" applyAlignment="1">
      <alignment horizontal="center" vertical="center"/>
    </xf>
    <xf numFmtId="0" fontId="18" fillId="0" borderId="19" xfId="4" applyFont="1" applyBorder="1" applyAlignment="1">
      <alignment horizontal="center" vertical="center"/>
    </xf>
    <xf numFmtId="14" fontId="43" fillId="0" borderId="4" xfId="0" applyNumberFormat="1" applyFont="1" applyBorder="1"/>
    <xf numFmtId="14" fontId="43" fillId="0" borderId="7" xfId="0" applyNumberFormat="1" applyFont="1" applyBorder="1"/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3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1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Bhartia" id="{73387293-B317-4518-8BFD-06DD7862F882}" userId="685f778331df612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" dT="2023-03-07T03:52:57.25" personId="{73387293-B317-4518-8BFD-06DD7862F882}" id="{0195B492-FC6C-4B70-985C-FD0A6858133E}">
    <text xml:space="preserve">High is good 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NTCPMIINDEXSA@SA" TargetMode="External"/><Relationship Id="rId1" Type="http://schemas.openxmlformats.org/officeDocument/2006/relationships/hyperlink" Target="mailto:PMIMFGSA@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  <row r="16" spans="1:2" x14ac:dyDescent="0.35"/>
    <row r="17" spans="1:1" x14ac:dyDescent="0.35"/>
    <row r="18" spans="1:1" x14ac:dyDescent="0.35"/>
    <row r="19" spans="1:1" x14ac:dyDescent="0.35"/>
    <row r="20" spans="1:1" x14ac:dyDescent="0.35"/>
    <row r="21" spans="1:1" x14ac:dyDescent="0.35"/>
    <row r="22" spans="1:1" x14ac:dyDescent="0.35"/>
    <row r="23" spans="1: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5"/>
  <sheetViews>
    <sheetView topLeftCell="A52" zoomScaleNormal="100" workbookViewId="0">
      <selection activeCell="K24" sqref="K24"/>
    </sheetView>
  </sheetViews>
  <sheetFormatPr defaultRowHeight="14.5" x14ac:dyDescent="0.35"/>
  <cols>
    <col min="3" max="3" width="18.54296875" customWidth="1"/>
    <col min="4" max="4" width="26.90625" customWidth="1"/>
    <col min="5" max="5" width="21" customWidth="1"/>
    <col min="6" max="6" width="18.90625" customWidth="1"/>
    <col min="7" max="7" width="27" customWidth="1"/>
    <col min="8" max="8" width="22.453125" customWidth="1"/>
    <col min="9" max="9" width="19.453125" customWidth="1"/>
    <col min="10" max="10" width="24.36328125" customWidth="1"/>
    <col min="11" max="11" width="16.36328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62" t="s">
        <v>422</v>
      </c>
      <c r="D8" s="62" t="s">
        <v>55</v>
      </c>
    </row>
    <row r="9" spans="3:19" x14ac:dyDescent="0.35">
      <c r="M9" t="s">
        <v>489</v>
      </c>
      <c r="N9" s="78">
        <v>0.06</v>
      </c>
      <c r="S9" s="77"/>
    </row>
    <row r="10" spans="3:19" x14ac:dyDescent="0.35">
      <c r="C10" s="1" t="s">
        <v>423</v>
      </c>
      <c r="D10" t="s">
        <v>62</v>
      </c>
      <c r="E10" s="1" t="s">
        <v>9</v>
      </c>
      <c r="F10" s="1" t="s">
        <v>56</v>
      </c>
      <c r="G10" s="1" t="s">
        <v>57</v>
      </c>
    </row>
    <row r="11" spans="3:19" ht="15" thickBot="1" x14ac:dyDescent="0.4">
      <c r="D11" s="1" t="s">
        <v>85</v>
      </c>
      <c r="E11" s="80">
        <v>0.4</v>
      </c>
      <c r="F11" s="80">
        <v>0.3</v>
      </c>
      <c r="G11" s="80">
        <v>0.3</v>
      </c>
    </row>
    <row r="12" spans="3:19" s="19" customFormat="1" ht="15" thickBot="1" x14ac:dyDescent="0.4">
      <c r="D12" s="20" t="s">
        <v>83</v>
      </c>
      <c r="E12" s="21">
        <f>E11*$E$33</f>
        <v>0.4</v>
      </c>
      <c r="F12" s="21">
        <f t="shared" ref="F12:G12" si="0">F11*$E$33</f>
        <v>0.3</v>
      </c>
      <c r="G12" s="21">
        <f t="shared" si="0"/>
        <v>0.3</v>
      </c>
      <c r="H12" s="18"/>
      <c r="M12" s="72" t="s">
        <v>459</v>
      </c>
      <c r="N12" s="73"/>
      <c r="O12" s="75" t="s">
        <v>488</v>
      </c>
    </row>
    <row r="13" spans="3:19" s="19" customFormat="1" ht="15" thickBot="1" x14ac:dyDescent="0.4">
      <c r="D13" s="22"/>
      <c r="E13" s="18"/>
      <c r="F13" s="18"/>
      <c r="G13" s="18"/>
      <c r="M13" s="66" t="s">
        <v>460</v>
      </c>
      <c r="N13" s="67" t="e">
        <f>(1/'Value -2 '!#REF!)</f>
        <v>#REF!</v>
      </c>
      <c r="O13" s="67" t="e">
        <f>N13*(1+N9)</f>
        <v>#REF!</v>
      </c>
    </row>
    <row r="14" spans="3:19" ht="15" thickBot="1" x14ac:dyDescent="0.4">
      <c r="C14" s="1" t="s">
        <v>424</v>
      </c>
      <c r="D14" s="23" t="s">
        <v>80</v>
      </c>
      <c r="E14" s="24" t="s">
        <v>64</v>
      </c>
      <c r="F14" s="25" t="s">
        <v>65</v>
      </c>
      <c r="G14" s="25" t="s">
        <v>81</v>
      </c>
      <c r="H14" s="26" t="s">
        <v>79</v>
      </c>
      <c r="M14" s="68" t="s">
        <v>461</v>
      </c>
      <c r="N14" s="69" t="e">
        <f>(1/'Value -2 '!#REF!)</f>
        <v>#REF!</v>
      </c>
      <c r="O14" s="70"/>
    </row>
    <row r="15" spans="3:19" ht="15" thickBot="1" x14ac:dyDescent="0.4">
      <c r="D15" s="1" t="s">
        <v>85</v>
      </c>
      <c r="E15" s="78">
        <v>0.2</v>
      </c>
      <c r="F15" s="78">
        <v>0.2</v>
      </c>
      <c r="G15" s="78">
        <v>0.3</v>
      </c>
      <c r="H15" s="78">
        <v>0.3</v>
      </c>
      <c r="M15" s="68"/>
      <c r="N15" s="70"/>
      <c r="O15" s="70"/>
    </row>
    <row r="16" spans="3:19" ht="15" thickBot="1" x14ac:dyDescent="0.4">
      <c r="D16" s="20" t="s">
        <v>83</v>
      </c>
      <c r="E16" s="21">
        <f t="shared" ref="E16:F16" si="1">E15*$F$33</f>
        <v>0</v>
      </c>
      <c r="F16" s="21">
        <f t="shared" si="1"/>
        <v>0</v>
      </c>
      <c r="G16" s="21">
        <f>G15*$F$33</f>
        <v>0</v>
      </c>
      <c r="H16" s="21">
        <f>H15*$F$33</f>
        <v>0</v>
      </c>
      <c r="M16" s="68" t="s">
        <v>462</v>
      </c>
      <c r="N16" s="69" t="e">
        <f>'LIQIDITY 2'!#REF!/100</f>
        <v>#REF!</v>
      </c>
      <c r="O16" s="76">
        <v>4.4999999999999998E-2</v>
      </c>
    </row>
    <row r="17" spans="3:22" ht="15" thickBot="1" x14ac:dyDescent="0.4">
      <c r="D17" s="22"/>
      <c r="E17" s="18"/>
      <c r="F17" s="18"/>
      <c r="G17" s="18"/>
      <c r="H17" s="18"/>
      <c r="M17" s="68" t="s">
        <v>463</v>
      </c>
      <c r="N17" s="69" t="e">
        <f>'LIQIDITY 2'!#REF!/100</f>
        <v>#REF!</v>
      </c>
      <c r="O17" s="70"/>
    </row>
    <row r="18" spans="3:22" ht="15" thickBot="1" x14ac:dyDescent="0.4">
      <c r="C18" s="1" t="s">
        <v>425</v>
      </c>
      <c r="D18" s="28" t="s">
        <v>72</v>
      </c>
      <c r="E18" s="32" t="s">
        <v>75</v>
      </c>
      <c r="F18" s="5"/>
      <c r="M18" s="68"/>
      <c r="N18" s="70"/>
      <c r="O18" s="70"/>
    </row>
    <row r="19" spans="3:22" ht="15" thickBot="1" x14ac:dyDescent="0.4">
      <c r="D19" t="s">
        <v>86</v>
      </c>
      <c r="E19" s="78">
        <v>1</v>
      </c>
      <c r="F19" s="5"/>
      <c r="G19" s="5"/>
      <c r="M19" s="68"/>
      <c r="N19" s="70"/>
      <c r="O19" s="70"/>
    </row>
    <row r="20" spans="3:22" ht="15" thickBot="1" x14ac:dyDescent="0.4">
      <c r="D20" s="20" t="s">
        <v>84</v>
      </c>
      <c r="E20" s="27">
        <f>E19*G33</f>
        <v>0</v>
      </c>
      <c r="F20" s="5"/>
      <c r="G20" s="5"/>
      <c r="M20" s="68"/>
      <c r="N20" s="70"/>
      <c r="O20" s="70"/>
    </row>
    <row r="21" spans="3:22" ht="15" thickBot="1" x14ac:dyDescent="0.4">
      <c r="G21" s="5"/>
      <c r="M21" s="68" t="s">
        <v>464</v>
      </c>
      <c r="N21" s="69" t="e">
        <f>N13-N16</f>
        <v>#REF!</v>
      </c>
      <c r="O21" s="69" t="e">
        <f>O13-O16</f>
        <v>#REF!</v>
      </c>
    </row>
    <row r="22" spans="3:22" ht="15" thickBot="1" x14ac:dyDescent="0.4">
      <c r="C22" s="1" t="s">
        <v>521</v>
      </c>
      <c r="D22" s="15" t="s">
        <v>58</v>
      </c>
      <c r="E22" s="16" t="s">
        <v>519</v>
      </c>
      <c r="F22" s="10" t="s">
        <v>59</v>
      </c>
      <c r="G22" s="11" t="s">
        <v>60</v>
      </c>
      <c r="M22" s="12" t="s">
        <v>465</v>
      </c>
      <c r="N22" s="71" t="e">
        <f>N13-N17</f>
        <v>#REF!</v>
      </c>
      <c r="O22" s="69"/>
    </row>
    <row r="23" spans="3:22" x14ac:dyDescent="0.35">
      <c r="D23" s="68" t="s">
        <v>85</v>
      </c>
      <c r="E23" s="78">
        <v>0</v>
      </c>
      <c r="F23" s="5"/>
      <c r="G23" s="70"/>
      <c r="M23" s="9"/>
      <c r="N23" s="5"/>
      <c r="T23" s="9"/>
    </row>
    <row r="24" spans="3:22" ht="15" thickBot="1" x14ac:dyDescent="0.4">
      <c r="D24" s="12" t="s">
        <v>83</v>
      </c>
      <c r="E24" s="17">
        <f>E23*H33</f>
        <v>0</v>
      </c>
      <c r="F24" s="13"/>
      <c r="G24" s="14"/>
      <c r="Q24" s="5"/>
      <c r="R24" s="65"/>
      <c r="T24" s="9"/>
      <c r="V24" s="9"/>
    </row>
    <row r="25" spans="3:22" ht="15" thickBot="1" x14ac:dyDescent="0.4"/>
    <row r="26" spans="3:22" x14ac:dyDescent="0.35">
      <c r="C26" s="129" t="s">
        <v>791</v>
      </c>
      <c r="D26" s="178" t="s">
        <v>792</v>
      </c>
      <c r="E26" s="10" t="s">
        <v>787</v>
      </c>
      <c r="F26" s="11" t="s">
        <v>793</v>
      </c>
    </row>
    <row r="27" spans="3:22" ht="15" thickBot="1" x14ac:dyDescent="0.4">
      <c r="D27" s="12"/>
      <c r="E27" s="17">
        <v>0.6</v>
      </c>
      <c r="F27" s="179">
        <v>0.4</v>
      </c>
    </row>
    <row r="28" spans="3:22" ht="15" thickBot="1" x14ac:dyDescent="0.4"/>
    <row r="29" spans="3:22" ht="15" thickBot="1" x14ac:dyDescent="0.4">
      <c r="C29" t="s">
        <v>911</v>
      </c>
      <c r="D29" s="23" t="s">
        <v>912</v>
      </c>
      <c r="E29" s="32">
        <v>0.2</v>
      </c>
    </row>
    <row r="31" spans="3:22" ht="15" thickBot="1" x14ac:dyDescent="0.4"/>
    <row r="32" spans="3:22" x14ac:dyDescent="0.35">
      <c r="D32" s="15" t="s">
        <v>76</v>
      </c>
      <c r="E32" s="15" t="s">
        <v>62</v>
      </c>
      <c r="F32" s="16" t="s">
        <v>82</v>
      </c>
      <c r="G32" s="16" t="s">
        <v>72</v>
      </c>
      <c r="H32" s="16" t="s">
        <v>520</v>
      </c>
      <c r="I32" s="133" t="s">
        <v>792</v>
      </c>
      <c r="J32" s="133" t="s">
        <v>912</v>
      </c>
    </row>
    <row r="33" spans="3:12" ht="15" thickBot="1" x14ac:dyDescent="0.4">
      <c r="D33" s="12"/>
      <c r="E33" s="81">
        <v>1</v>
      </c>
      <c r="F33" s="82">
        <v>0</v>
      </c>
      <c r="G33" s="82">
        <v>0</v>
      </c>
      <c r="H33" s="82">
        <v>0</v>
      </c>
      <c r="I33" s="83">
        <v>0</v>
      </c>
      <c r="J33" s="83"/>
    </row>
    <row r="37" spans="3:12" x14ac:dyDescent="0.35">
      <c r="C37" s="62" t="s">
        <v>426</v>
      </c>
      <c r="D37" s="62" t="s">
        <v>61</v>
      </c>
    </row>
    <row r="38" spans="3:12" x14ac:dyDescent="0.35">
      <c r="E38" s="1" t="s">
        <v>417</v>
      </c>
      <c r="F38" t="s">
        <v>418</v>
      </c>
      <c r="G38" s="1" t="s">
        <v>419</v>
      </c>
      <c r="H38" t="s">
        <v>420</v>
      </c>
      <c r="I38" s="1" t="s">
        <v>436</v>
      </c>
      <c r="J38" s="1" t="s">
        <v>541</v>
      </c>
      <c r="K38" s="1" t="s">
        <v>766</v>
      </c>
    </row>
    <row r="39" spans="3:12" x14ac:dyDescent="0.35">
      <c r="E39" s="5">
        <v>0.05</v>
      </c>
      <c r="F39" s="5">
        <v>0.25</v>
      </c>
      <c r="G39" s="5">
        <v>0.25</v>
      </c>
      <c r="H39" s="5">
        <v>0.25</v>
      </c>
      <c r="I39" s="5">
        <v>0.1</v>
      </c>
      <c r="J39" s="5">
        <v>0</v>
      </c>
      <c r="K39" s="5">
        <v>0.1</v>
      </c>
      <c r="L39" s="5">
        <f>SUM(E39:K39)</f>
        <v>1</v>
      </c>
    </row>
    <row r="41" spans="3:12" x14ac:dyDescent="0.35">
      <c r="C41" s="62" t="s">
        <v>405</v>
      </c>
      <c r="D41" s="62" t="s">
        <v>10</v>
      </c>
    </row>
    <row r="42" spans="3:12" x14ac:dyDescent="0.35">
      <c r="C42" t="s">
        <v>427</v>
      </c>
      <c r="D42" t="s">
        <v>421</v>
      </c>
      <c r="E42" s="5">
        <v>0.5</v>
      </c>
    </row>
    <row r="43" spans="3:12" x14ac:dyDescent="0.35">
      <c r="C43" t="s">
        <v>428</v>
      </c>
      <c r="D43" t="s">
        <v>469</v>
      </c>
      <c r="E43" s="5">
        <v>0.25</v>
      </c>
      <c r="F43" s="5"/>
    </row>
    <row r="44" spans="3:12" x14ac:dyDescent="0.35">
      <c r="C44" t="s">
        <v>470</v>
      </c>
      <c r="D44" t="s">
        <v>471</v>
      </c>
      <c r="E44" s="5">
        <v>0.25</v>
      </c>
    </row>
    <row r="46" spans="3:12" x14ac:dyDescent="0.35">
      <c r="D46" s="1"/>
    </row>
    <row r="47" spans="3:12" x14ac:dyDescent="0.35">
      <c r="C47" s="62" t="s">
        <v>429</v>
      </c>
      <c r="D47" s="62" t="s">
        <v>66</v>
      </c>
    </row>
    <row r="48" spans="3:12" x14ac:dyDescent="0.35">
      <c r="E48" t="s">
        <v>402</v>
      </c>
      <c r="F48" t="s">
        <v>403</v>
      </c>
    </row>
    <row r="49" spans="3:8" x14ac:dyDescent="0.35">
      <c r="D49" t="s">
        <v>67</v>
      </c>
      <c r="E49" s="86">
        <v>-0.05</v>
      </c>
      <c r="F49">
        <v>-10</v>
      </c>
    </row>
    <row r="51" spans="3:8" x14ac:dyDescent="0.35">
      <c r="E51" s="1" t="s">
        <v>536</v>
      </c>
      <c r="F51" t="s">
        <v>537</v>
      </c>
      <c r="G51" t="s">
        <v>412</v>
      </c>
    </row>
    <row r="52" spans="3:8" x14ac:dyDescent="0.35">
      <c r="D52" s="1" t="s">
        <v>538</v>
      </c>
      <c r="E52" s="5">
        <v>0.25</v>
      </c>
      <c r="F52" s="5">
        <v>0.25</v>
      </c>
      <c r="G52" s="5">
        <v>0.5</v>
      </c>
    </row>
    <row r="54" spans="3:8" x14ac:dyDescent="0.35">
      <c r="C54" s="62" t="s">
        <v>431</v>
      </c>
      <c r="D54" s="62" t="s">
        <v>509</v>
      </c>
      <c r="F54" s="1">
        <v>1</v>
      </c>
      <c r="G54" s="1">
        <v>3</v>
      </c>
      <c r="H54" s="1">
        <v>6</v>
      </c>
    </row>
    <row r="55" spans="3:8" x14ac:dyDescent="0.35">
      <c r="C55" s="62" t="s">
        <v>432</v>
      </c>
      <c r="D55" t="s">
        <v>494</v>
      </c>
      <c r="E55" s="5">
        <v>0.5</v>
      </c>
      <c r="F55" s="5">
        <v>0.2</v>
      </c>
      <c r="G55" s="5">
        <v>0.4</v>
      </c>
      <c r="H55" s="5">
        <v>0.4</v>
      </c>
    </row>
    <row r="56" spans="3:8" x14ac:dyDescent="0.35">
      <c r="C56" t="s">
        <v>432</v>
      </c>
      <c r="D56" t="s">
        <v>433</v>
      </c>
      <c r="E56" s="5">
        <v>0.3</v>
      </c>
    </row>
    <row r="57" spans="3:8" x14ac:dyDescent="0.35">
      <c r="C57" t="s">
        <v>434</v>
      </c>
      <c r="D57" t="s">
        <v>435</v>
      </c>
      <c r="E57" s="5">
        <v>0.2</v>
      </c>
    </row>
    <row r="59" spans="3:8" x14ac:dyDescent="0.35">
      <c r="C59" s="62" t="s">
        <v>516</v>
      </c>
      <c r="D59" s="62" t="s">
        <v>511</v>
      </c>
    </row>
    <row r="60" spans="3:8" x14ac:dyDescent="0.35">
      <c r="D60" t="s">
        <v>513</v>
      </c>
      <c r="F60" s="5">
        <v>0.25</v>
      </c>
      <c r="G60" t="s">
        <v>544</v>
      </c>
    </row>
    <row r="61" spans="3:8" x14ac:dyDescent="0.35">
      <c r="D61" t="s">
        <v>514</v>
      </c>
      <c r="F61" s="5">
        <v>0.25</v>
      </c>
    </row>
    <row r="62" spans="3:8" x14ac:dyDescent="0.35">
      <c r="D62" t="s">
        <v>515</v>
      </c>
      <c r="F62" s="5">
        <v>0.25</v>
      </c>
    </row>
    <row r="63" spans="3:8" x14ac:dyDescent="0.35">
      <c r="D63" t="s">
        <v>557</v>
      </c>
      <c r="F63" s="5">
        <v>0.25</v>
      </c>
    </row>
    <row r="64" spans="3:8" x14ac:dyDescent="0.35">
      <c r="F64" s="5"/>
    </row>
    <row r="66" spans="3:9" x14ac:dyDescent="0.35">
      <c r="D66" s="1"/>
      <c r="E66" s="1"/>
      <c r="F66" s="1"/>
      <c r="G66" s="1"/>
      <c r="H66" s="1"/>
      <c r="I66" s="1"/>
    </row>
    <row r="67" spans="3:9" x14ac:dyDescent="0.35">
      <c r="D67" s="5"/>
      <c r="E67" s="5"/>
      <c r="F67" s="5"/>
      <c r="G67" s="5"/>
      <c r="H67" s="5"/>
      <c r="I67" s="5"/>
    </row>
    <row r="68" spans="3:9" x14ac:dyDescent="0.35">
      <c r="C68" s="62" t="s">
        <v>510</v>
      </c>
      <c r="D68" s="62" t="s">
        <v>430</v>
      </c>
    </row>
    <row r="70" spans="3:9" x14ac:dyDescent="0.35">
      <c r="C70" s="129" t="s">
        <v>809</v>
      </c>
      <c r="D70" s="6">
        <v>0.3</v>
      </c>
    </row>
    <row r="71" spans="3:9" x14ac:dyDescent="0.35">
      <c r="C71" s="19" t="s">
        <v>563</v>
      </c>
      <c r="D71" s="18">
        <v>0.33329999999999999</v>
      </c>
    </row>
    <row r="72" spans="3:9" x14ac:dyDescent="0.35">
      <c r="C72" s="19" t="s">
        <v>565</v>
      </c>
      <c r="D72" s="18">
        <v>0.33329999999999999</v>
      </c>
    </row>
    <row r="73" spans="3:9" x14ac:dyDescent="0.35">
      <c r="C73" s="19" t="s">
        <v>566</v>
      </c>
      <c r="D73" s="18">
        <v>0.33329999999999999</v>
      </c>
    </row>
    <row r="75" spans="3:9" x14ac:dyDescent="0.35">
      <c r="C75" s="129" t="s">
        <v>564</v>
      </c>
      <c r="D75" s="5">
        <v>0.2</v>
      </c>
    </row>
    <row r="76" spans="3:9" x14ac:dyDescent="0.35">
      <c r="G76" s="1"/>
      <c r="H76" s="1"/>
    </row>
    <row r="77" spans="3:9" x14ac:dyDescent="0.35">
      <c r="C77" s="129" t="s">
        <v>561</v>
      </c>
      <c r="D77" s="5">
        <v>0.4</v>
      </c>
    </row>
    <row r="79" spans="3:9" x14ac:dyDescent="0.35">
      <c r="C79" s="129" t="s">
        <v>567</v>
      </c>
      <c r="D79" s="5">
        <v>0.1</v>
      </c>
    </row>
    <row r="81" spans="3:8" x14ac:dyDescent="0.35">
      <c r="C81" t="s">
        <v>849</v>
      </c>
      <c r="D81" s="5">
        <f>D70+D75+D77+D79</f>
        <v>1</v>
      </c>
      <c r="G81" s="1"/>
      <c r="H81" s="1"/>
    </row>
    <row r="85" spans="3:8" x14ac:dyDescent="0.35">
      <c r="G85" s="1"/>
      <c r="H85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80E-BFD9-473A-B119-3481B7E41B8C}">
  <dimension ref="C4:D8"/>
  <sheetViews>
    <sheetView workbookViewId="0">
      <selection activeCell="H9" sqref="H9"/>
    </sheetView>
  </sheetViews>
  <sheetFormatPr defaultRowHeight="14.5" x14ac:dyDescent="0.35"/>
  <cols>
    <col min="3" max="3" width="26.90625" bestFit="1" customWidth="1"/>
    <col min="4" max="4" width="10.90625" customWidth="1"/>
  </cols>
  <sheetData>
    <row r="4" spans="3:4" x14ac:dyDescent="0.35">
      <c r="C4" s="1" t="s">
        <v>920</v>
      </c>
    </row>
    <row r="5" spans="3:4" ht="15" thickBot="1" x14ac:dyDescent="0.4"/>
    <row r="6" spans="3:4" x14ac:dyDescent="0.35">
      <c r="C6" s="74" t="s">
        <v>917</v>
      </c>
      <c r="D6" s="189">
        <f>Timing!L30</f>
        <v>0.66666666666666663</v>
      </c>
    </row>
    <row r="7" spans="3:4" x14ac:dyDescent="0.35">
      <c r="C7" s="68" t="s">
        <v>918</v>
      </c>
      <c r="D7" s="69">
        <f>Timing!M30</f>
        <v>0.7142857142857143</v>
      </c>
    </row>
    <row r="8" spans="3:4" ht="15" thickBot="1" x14ac:dyDescent="0.4">
      <c r="C8" s="12" t="s">
        <v>919</v>
      </c>
      <c r="D8" s="71">
        <f>Timing!N30</f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27"/>
  <sheetViews>
    <sheetView zoomScale="85" zoomScaleNormal="85" workbookViewId="0">
      <selection activeCell="F30" sqref="F30"/>
    </sheetView>
  </sheetViews>
  <sheetFormatPr defaultRowHeight="14.5" x14ac:dyDescent="0.35"/>
  <cols>
    <col min="2" max="2" width="13.453125" customWidth="1"/>
    <col min="3" max="3" width="34.36328125" bestFit="1" customWidth="1"/>
    <col min="4" max="4" width="12.36328125" bestFit="1" customWidth="1"/>
    <col min="5" max="6" width="12.36328125" customWidth="1"/>
    <col min="7" max="7" width="15" hidden="1" customWidth="1"/>
    <col min="8" max="8" width="15" customWidth="1"/>
    <col min="9" max="9" width="15.36328125" bestFit="1" customWidth="1"/>
    <col min="10" max="10" width="11" customWidth="1"/>
    <col min="11" max="11" width="11.36328125" bestFit="1" customWidth="1"/>
    <col min="12" max="12" width="16.36328125" bestFit="1" customWidth="1"/>
    <col min="13" max="13" width="18.08984375" customWidth="1"/>
    <col min="14" max="14" width="17.08984375" customWidth="1"/>
  </cols>
  <sheetData>
    <row r="2" spans="2:16" ht="18.75" customHeight="1" x14ac:dyDescent="0.35">
      <c r="D2" s="142">
        <f>Assumption!D71*Assumption!$D$70</f>
        <v>9.9989999999999996E-2</v>
      </c>
      <c r="E2" s="142">
        <f>Assumption!D72*Assumption!$D$70</f>
        <v>9.9989999999999996E-2</v>
      </c>
      <c r="F2" s="142">
        <f>Assumption!D73*Assumption!$D$70</f>
        <v>9.9989999999999996E-2</v>
      </c>
      <c r="G2" s="142"/>
      <c r="H2" s="142"/>
      <c r="I2" s="142">
        <f>Assumption!D75</f>
        <v>0.2</v>
      </c>
      <c r="J2" s="142">
        <f>Assumption!D77</f>
        <v>0.4</v>
      </c>
      <c r="K2" s="129"/>
      <c r="L2" s="142">
        <f>Assumption!D79</f>
        <v>0.1</v>
      </c>
      <c r="P2" s="61">
        <f>SUM(D2:N2)</f>
        <v>0.99996999999999991</v>
      </c>
    </row>
    <row r="4" spans="2:16" ht="60.75" customHeight="1" x14ac:dyDescent="0.35">
      <c r="B4" s="197" t="s">
        <v>562</v>
      </c>
      <c r="C4" s="198"/>
      <c r="D4" s="202" t="s">
        <v>809</v>
      </c>
      <c r="E4" s="203"/>
      <c r="F4" s="204"/>
      <c r="G4" s="205" t="s">
        <v>846</v>
      </c>
      <c r="H4" s="205" t="s">
        <v>846</v>
      </c>
      <c r="I4" s="195" t="s">
        <v>564</v>
      </c>
      <c r="J4" s="201" t="s">
        <v>561</v>
      </c>
      <c r="K4" s="201"/>
      <c r="L4" s="195" t="s">
        <v>567</v>
      </c>
      <c r="M4" s="195" t="s">
        <v>568</v>
      </c>
      <c r="N4" s="195" t="s">
        <v>757</v>
      </c>
    </row>
    <row r="5" spans="2:16" x14ac:dyDescent="0.35">
      <c r="B5" s="199"/>
      <c r="C5" s="200"/>
      <c r="D5" s="180" t="s">
        <v>563</v>
      </c>
      <c r="E5" s="180" t="s">
        <v>565</v>
      </c>
      <c r="F5" s="180" t="s">
        <v>566</v>
      </c>
      <c r="G5" s="206"/>
      <c r="H5" s="207"/>
      <c r="I5" s="196"/>
      <c r="J5" s="180" t="s">
        <v>571</v>
      </c>
      <c r="K5" s="180" t="s">
        <v>569</v>
      </c>
      <c r="L5" s="196"/>
      <c r="M5" s="196"/>
      <c r="N5" s="196"/>
    </row>
    <row r="6" spans="2:16" x14ac:dyDescent="0.35">
      <c r="B6" s="192"/>
      <c r="C6" s="193"/>
      <c r="D6" s="192"/>
      <c r="E6" s="192"/>
      <c r="F6" s="192"/>
      <c r="G6" s="190"/>
      <c r="H6" s="190"/>
      <c r="I6" s="193"/>
      <c r="J6" s="191"/>
      <c r="K6" s="194"/>
      <c r="L6" s="194"/>
      <c r="M6" s="194"/>
      <c r="N6" s="194"/>
    </row>
    <row r="7" spans="2:16" x14ac:dyDescent="0.35">
      <c r="B7" s="90" t="s">
        <v>12</v>
      </c>
      <c r="C7" s="92" t="s">
        <v>54</v>
      </c>
      <c r="D7" s="138">
        <f>VLOOKUP(B7,'Value -2 '!$D$3:$AC$23,26,FALSE)</f>
        <v>72.7</v>
      </c>
      <c r="E7" s="138">
        <f>VLOOKUP(B7,'Quality - 2'!$B$2:$S$22,18,FALSE)</f>
        <v>14.2</v>
      </c>
      <c r="F7" s="138">
        <f>VLOOKUP(B7,Risk!$B$4:$R$24,17,FALSE)</f>
        <v>9</v>
      </c>
      <c r="G7" s="144">
        <f t="shared" ref="G7:G27" si="0">(D7*$D$2 +E7*$E$2 +F7*$F$2)/($D$2+$E$2+$F$2)</f>
        <v>31.966666666666672</v>
      </c>
      <c r="H7" s="143" cm="1">
        <f t="array" ref="H7">_xlfn.PERCENTRANK.EXC(_xlfn._xlws.FILTER($G$7:G$27, ISNUMBER($G$7:G$27)),G7)*100</f>
        <v>9.5</v>
      </c>
      <c r="I7" s="181">
        <f>VLOOKUP(B7,'LIQIDITY 2'!$A$3:$X$23,24,FALSE)</f>
        <v>68.100000000000009</v>
      </c>
      <c r="J7" s="136">
        <f>VLOOKUP(B7,'Momnetum ranking'!$A$3:$AH$23,34,FALSE)</f>
        <v>50</v>
      </c>
      <c r="K7" s="183">
        <f>VLOOKUP(B7,'Momnetum ranking'!$A$3:$H$23,8,FALSE)</f>
        <v>0.37254901960784315</v>
      </c>
      <c r="L7" s="137">
        <f>VLOOKUP(B7,'Currency- 2'!$A$3:$U$23,21,FALSE)</f>
        <v>27.200000000000003</v>
      </c>
      <c r="M7" s="146">
        <f t="shared" ref="M7:M27" si="1">D7*$D$2 + E7*$E$2 + F7*$F$2 + I7*$I$2 + J7*$J$2 + L7*$L$2</f>
        <v>45.929040999999998</v>
      </c>
      <c r="N7" s="137" cm="1">
        <f t="array" ref="N7">_xlfn.PERCENTRANK.EXC(_xlfn._xlws.FILTER($M$7:M$27, ISNUMBER($M$7:M$27)),M7)*100</f>
        <v>42.8</v>
      </c>
    </row>
    <row r="8" spans="2:16" x14ac:dyDescent="0.35">
      <c r="B8" s="90" t="s">
        <v>23</v>
      </c>
      <c r="C8" s="92" t="s">
        <v>444</v>
      </c>
      <c r="D8" s="138">
        <f>VLOOKUP(B8,'Value -2 '!$D$3:$AC$23,26,FALSE)</f>
        <v>86.3</v>
      </c>
      <c r="E8" s="138">
        <f>VLOOKUP(B8,'Quality - 2'!$B$2:$S$22,18,FALSE)</f>
        <v>9.5</v>
      </c>
      <c r="F8" s="138">
        <f>VLOOKUP(B8,Risk!$B$4:$R$24,17,FALSE)</f>
        <v>4.5</v>
      </c>
      <c r="G8" s="144">
        <f t="shared" si="0"/>
        <v>33.43333333333333</v>
      </c>
      <c r="H8" s="144" cm="1">
        <f t="array" ref="H8">_xlfn.PERCENTRANK.EXC(_xlfn._xlws.FILTER($G$7:G$27, ISNUMBER($G$7:G$27)),G8)*100</f>
        <v>23.799999999999997</v>
      </c>
      <c r="I8" s="181">
        <f>VLOOKUP(B8,'LIQIDITY 2'!$A$3:$X$23,24,FALSE)</f>
        <v>77.2</v>
      </c>
      <c r="J8" s="136">
        <f>VLOOKUP(B8,'Momnetum ranking'!$A$3:$AH$23,34,FALSE)</f>
        <v>68.100000000000009</v>
      </c>
      <c r="K8" s="183">
        <f>VLOOKUP(B8,'Momnetum ranking'!$A$3:$H$23,8,FALSE)</f>
        <v>0.44117647058823528</v>
      </c>
      <c r="L8" s="137">
        <f>VLOOKUP(B8,'Currency- 2'!$A$3:$U$23,21,FALSE)</f>
        <v>68.100000000000009</v>
      </c>
      <c r="M8" s="146">
        <f t="shared" si="1"/>
        <v>59.518997000000013</v>
      </c>
      <c r="N8" s="137" cm="1">
        <f t="array" ref="N8">_xlfn.PERCENTRANK.EXC(_xlfn._xlws.FILTER($M$7:M$27, ISNUMBER($M$7:M$27)),M8)*100</f>
        <v>85.7</v>
      </c>
    </row>
    <row r="9" spans="2:16" x14ac:dyDescent="0.35">
      <c r="B9" s="90" t="s">
        <v>21</v>
      </c>
      <c r="C9" s="92" t="s">
        <v>38</v>
      </c>
      <c r="D9" s="138">
        <f>VLOOKUP(B9,'Value -2 '!$D$3:$AC$23,26,FALSE)</f>
        <v>4.5</v>
      </c>
      <c r="E9" s="138">
        <f>VLOOKUP(B9,'Quality - 2'!$B$2:$S$22,18,FALSE)</f>
        <v>76.099999999999994</v>
      </c>
      <c r="F9" s="138">
        <f>VLOOKUP(B9,Risk!$B$4:$R$24,17,FALSE)</f>
        <v>40.9</v>
      </c>
      <c r="G9" s="144">
        <f t="shared" si="0"/>
        <v>40.499999999999993</v>
      </c>
      <c r="H9" s="144" cm="1">
        <f t="array" ref="H9">_xlfn.PERCENTRANK.EXC(_xlfn._xlws.FILTER($G$7:G$27, ISNUMBER($G$7:G$27)),G9)*100</f>
        <v>42.8</v>
      </c>
      <c r="I9" s="181">
        <f>VLOOKUP(B9,'LIQIDITY 2'!$A$3:$X$23,24,FALSE)</f>
        <v>40.9</v>
      </c>
      <c r="J9" s="136">
        <f>VLOOKUP(B9,'Momnetum ranking'!$A$3:$AH$23,34,FALSE)</f>
        <v>63.6</v>
      </c>
      <c r="K9" s="183">
        <f>VLOOKUP(B9,'Momnetum ranking'!$A$3:$H$23,8,FALSE)</f>
        <v>0.27777777777777779</v>
      </c>
      <c r="L9" s="137">
        <f>VLOOKUP(B9,'Currency- 2'!$A$3:$U$23,21,FALSE)</f>
        <v>22.7</v>
      </c>
      <c r="M9" s="146">
        <f t="shared" si="1"/>
        <v>48.038784999999997</v>
      </c>
      <c r="N9" s="137" cm="1">
        <f t="array" ref="N9">_xlfn.PERCENTRANK.EXC(_xlfn._xlws.FILTER($M$7:M$27, ISNUMBER($M$7:M$27)),M9)*100</f>
        <v>52.300000000000004</v>
      </c>
    </row>
    <row r="10" spans="2:16" x14ac:dyDescent="0.35">
      <c r="B10" s="90" t="s">
        <v>24</v>
      </c>
      <c r="C10" s="92" t="s">
        <v>40</v>
      </c>
      <c r="D10" s="138">
        <f>VLOOKUP(B10,'Value -2 '!$D$3:$AC$23,26,FALSE)</f>
        <v>31.8</v>
      </c>
      <c r="E10" s="138">
        <f>VLOOKUP(B10,'Quality - 2'!$B$2:$S$22,18,FALSE)</f>
        <v>90.4</v>
      </c>
      <c r="F10" s="138">
        <f>VLOOKUP(B10,Risk!$B$4:$R$24,17,FALSE)</f>
        <v>90.9</v>
      </c>
      <c r="G10" s="144">
        <f t="shared" si="0"/>
        <v>71.033333333333346</v>
      </c>
      <c r="H10" s="144" cm="1">
        <f t="array" ref="H10">_xlfn.PERCENTRANK.EXC(_xlfn._xlws.FILTER($G$7:G$27, ISNUMBER($G$7:G$27)),G10)*100</f>
        <v>80.900000000000006</v>
      </c>
      <c r="I10" s="181">
        <f>VLOOKUP(B10,'LIQIDITY 2'!$A$3:$X$23,24,FALSE)</f>
        <v>40.9</v>
      </c>
      <c r="J10" s="136">
        <f>VLOOKUP(B10,'Momnetum ranking'!$A$3:$AH$23,34,FALSE)</f>
        <v>81.8</v>
      </c>
      <c r="K10" s="183">
        <f>VLOOKUP(B10,'Momnetum ranking'!$A$3:$H$23,8,FALSE)</f>
        <v>0.29032258064516131</v>
      </c>
      <c r="L10" s="137">
        <f>VLOOKUP(B10,'Currency- 2'!$A$3:$U$23,21,FALSE)</f>
        <v>81.8</v>
      </c>
      <c r="M10" s="146">
        <f t="shared" si="1"/>
        <v>70.387868999999995</v>
      </c>
      <c r="N10" s="137" cm="1">
        <f t="array" ref="N10">_xlfn.PERCENTRANK.EXC(_xlfn._xlws.FILTER($M$7:M$27, ISNUMBER($M$7:M$27)),M10)*100</f>
        <v>95.199999999999989</v>
      </c>
    </row>
    <row r="11" spans="2:16" x14ac:dyDescent="0.35">
      <c r="B11" s="90" t="s">
        <v>32</v>
      </c>
      <c r="C11" s="92" t="s">
        <v>52</v>
      </c>
      <c r="D11" s="138">
        <f>VLOOKUP(B11,'Value -2 '!$D$3:$AC$23,26,FALSE)</f>
        <v>9</v>
      </c>
      <c r="E11" s="138">
        <f>VLOOKUP(B11,'Quality - 2'!$B$2:$S$22,18,FALSE)</f>
        <v>71.399999999999991</v>
      </c>
      <c r="F11" s="138">
        <f>VLOOKUP(B11,Risk!$B$4:$R$24,17,FALSE)</f>
        <v>40.9</v>
      </c>
      <c r="G11" s="144">
        <f t="shared" si="0"/>
        <v>40.433333333333337</v>
      </c>
      <c r="H11" s="144" cm="1">
        <f t="array" ref="H11">_xlfn.PERCENTRANK.EXC(_xlfn._xlws.FILTER($G$7:G$27, ISNUMBER($G$7:G$27)),G11)*100</f>
        <v>38</v>
      </c>
      <c r="I11" s="181">
        <f>VLOOKUP(B11,'LIQIDITY 2'!$A$3:$X$23,24,FALSE)</f>
        <v>54.500000000000007</v>
      </c>
      <c r="J11" s="136">
        <f>VLOOKUP(B11,'Momnetum ranking'!$A$3:$AH$23,34,FALSE)</f>
        <v>95.399999999999991</v>
      </c>
      <c r="K11" s="183">
        <f>VLOOKUP(B11,'Momnetum ranking'!$A$3:$H$23,8,FALSE)</f>
        <v>0.45652173913043476</v>
      </c>
      <c r="L11" s="137">
        <f>VLOOKUP(B11,'Currency- 2'!$A$3:$U$23,21,FALSE)</f>
        <v>72.7</v>
      </c>
      <c r="M11" s="146">
        <f t="shared" si="1"/>
        <v>68.458787000000001</v>
      </c>
      <c r="N11" s="137" cm="1">
        <f t="array" ref="N11">_xlfn.PERCENTRANK.EXC(_xlfn._xlws.FILTER($M$7:M$27, ISNUMBER($M$7:M$27)),M11)*100</f>
        <v>90.4</v>
      </c>
    </row>
    <row r="12" spans="2:16" x14ac:dyDescent="0.35">
      <c r="B12" s="90" t="s">
        <v>34</v>
      </c>
      <c r="C12" s="92" t="s">
        <v>452</v>
      </c>
      <c r="D12" s="138">
        <f>VLOOKUP(B12,'Value -2 '!$D$3:$AC$23,26,FALSE)</f>
        <v>90.9</v>
      </c>
      <c r="E12" s="138">
        <f>VLOOKUP(B12,'Quality - 2'!$B$2:$S$22,18,FALSE)</f>
        <v>23.799999999999997</v>
      </c>
      <c r="F12" s="138">
        <f>VLOOKUP(B12,Risk!$B$4:$R$24,17,FALSE)</f>
        <v>72.7</v>
      </c>
      <c r="G12" s="144">
        <f t="shared" si="0"/>
        <v>62.466666666666676</v>
      </c>
      <c r="H12" s="144" cm="1">
        <f t="array" ref="H12">_xlfn.PERCENTRANK.EXC(_xlfn._xlws.FILTER($G$7:G$27, ISNUMBER($G$7:G$27)),G12)*100</f>
        <v>76.099999999999994</v>
      </c>
      <c r="I12" s="181">
        <f>VLOOKUP(B12,'LIQIDITY 2'!$A$3:$X$23,24,FALSE)</f>
        <v>4.5</v>
      </c>
      <c r="J12" s="136">
        <f>VLOOKUP(B12,'Momnetum ranking'!$A$3:$AH$23,34,FALSE)</f>
        <v>36.299999999999997</v>
      </c>
      <c r="K12" s="183">
        <f>VLOOKUP(B12,'Momnetum ranking'!$A$3:$H$23,8,FALSE)</f>
        <v>0.26190476190476192</v>
      </c>
      <c r="L12" s="137">
        <f>VLOOKUP(B12,'Currency- 2'!$A$3:$U$23,21,FALSE)</f>
        <v>95.399999999999991</v>
      </c>
      <c r="M12" s="146">
        <f t="shared" si="1"/>
        <v>43.698125999999995</v>
      </c>
      <c r="N12" s="137" cm="1">
        <f t="array" ref="N12">_xlfn.PERCENTRANK.EXC(_xlfn._xlws.FILTER($M$7:M$27, ISNUMBER($M$7:M$27)),M12)*100</f>
        <v>28.499999999999996</v>
      </c>
    </row>
    <row r="13" spans="2:16" x14ac:dyDescent="0.35">
      <c r="B13" s="90" t="s">
        <v>26</v>
      </c>
      <c r="C13" s="92" t="s">
        <v>41</v>
      </c>
      <c r="D13" s="138">
        <f>VLOOKUP(B13,'Value -2 '!$D$3:$AC$23,26,FALSE)</f>
        <v>77.2</v>
      </c>
      <c r="E13" s="138">
        <f>VLOOKUP(B13,'Quality - 2'!$B$2:$S$22,18,FALSE)</f>
        <v>85.7</v>
      </c>
      <c r="F13" s="138">
        <f>VLOOKUP(B13,Risk!$B$4:$R$24,17,FALSE)</f>
        <v>68.100000000000009</v>
      </c>
      <c r="G13" s="144">
        <f t="shared" si="0"/>
        <v>77.000000000000014</v>
      </c>
      <c r="H13" s="144" cm="1">
        <f t="array" ref="H13">_xlfn.PERCENTRANK.EXC(_xlfn._xlws.FILTER($G$7:G$27, ISNUMBER($G$7:G$27)),G13)*100</f>
        <v>90.4</v>
      </c>
      <c r="I13" s="181">
        <f>VLOOKUP(B13,'LIQIDITY 2'!$A$3:$X$23,24,FALSE)</f>
        <v>77.2</v>
      </c>
      <c r="J13" s="136">
        <f>VLOOKUP(B13,'Momnetum ranking'!$A$3:$AH$23,34,FALSE)</f>
        <v>9</v>
      </c>
      <c r="K13" s="183">
        <f>VLOOKUP(B13,'Momnetum ranking'!$A$3:$H$23,8,FALSE)</f>
        <v>0.18126888217522658</v>
      </c>
      <c r="L13" s="137">
        <f>VLOOKUP(B13,'Currency- 2'!$A$3:$U$23,21,FALSE)</f>
        <v>59</v>
      </c>
      <c r="M13" s="146">
        <f t="shared" si="1"/>
        <v>48.037689999999998</v>
      </c>
      <c r="N13" s="137" cm="1">
        <f t="array" ref="N13">_xlfn.PERCENTRANK.EXC(_xlfn._xlws.FILTER($M$7:M$27, ISNUMBER($M$7:M$27)),M13)*100</f>
        <v>47.599999999999994</v>
      </c>
    </row>
    <row r="14" spans="2:16" x14ac:dyDescent="0.35">
      <c r="B14" s="90" t="s">
        <v>437</v>
      </c>
      <c r="C14" s="92" t="s">
        <v>440</v>
      </c>
      <c r="D14" s="138">
        <f>VLOOKUP(B14,'Value -2 '!$D$3:$AC$23,26,FALSE)</f>
        <v>63.6</v>
      </c>
      <c r="E14" s="138">
        <f>VLOOKUP(B14,'Quality - 2'!$B$2:$S$22,18,FALSE)</f>
        <v>95.199999999999989</v>
      </c>
      <c r="F14" s="138">
        <f>VLOOKUP(B14,Risk!$B$4:$R$24,17,FALSE)</f>
        <v>81.8</v>
      </c>
      <c r="G14" s="144">
        <f t="shared" si="0"/>
        <v>80.199999999999989</v>
      </c>
      <c r="H14" s="144" cm="1">
        <f t="array" ref="H14">_xlfn.PERCENTRANK.EXC(_xlfn._xlws.FILTER($G$7:G$27, ISNUMBER($G$7:G$27)),G14)*100</f>
        <v>95.199999999999989</v>
      </c>
      <c r="I14" s="181">
        <f>VLOOKUP(B14,'LIQIDITY 2'!$A$3:$X$23,24,FALSE)</f>
        <v>77.2</v>
      </c>
      <c r="J14" s="136">
        <f>VLOOKUP(B14,'Momnetum ranking'!$A$3:$AH$23,34,FALSE)</f>
        <v>22.7</v>
      </c>
      <c r="K14" s="183">
        <f>VLOOKUP(B14,'Momnetum ranking'!$A$3:$H$23,8,FALSE)</f>
        <v>0.15192307692307691</v>
      </c>
      <c r="L14" s="137">
        <f>VLOOKUP(B14,'Currency- 2'!$A$3:$U$23,21,FALSE)</f>
        <v>59</v>
      </c>
      <c r="M14" s="146">
        <f t="shared" si="1"/>
        <v>54.477593999999989</v>
      </c>
      <c r="N14" s="137" cm="1">
        <f t="array" ref="N14">_xlfn.PERCENTRANK.EXC(_xlfn._xlws.FILTER($M$7:M$27, ISNUMBER($M$7:M$27)),M14)*100</f>
        <v>66.600000000000009</v>
      </c>
    </row>
    <row r="15" spans="2:16" x14ac:dyDescent="0.35">
      <c r="B15" s="90" t="s">
        <v>28</v>
      </c>
      <c r="C15" s="92" t="s">
        <v>448</v>
      </c>
      <c r="D15" s="138">
        <f>VLOOKUP(B15,'Value -2 '!$D$3:$AC$23,26,FALSE)</f>
        <v>81.8</v>
      </c>
      <c r="E15" s="138">
        <f>VLOOKUP(B15,'Quality - 2'!$B$2:$S$22,18,FALSE)</f>
        <v>4.7</v>
      </c>
      <c r="F15" s="138">
        <f>VLOOKUP(B15,Risk!$B$4:$R$24,17,FALSE)</f>
        <v>13.600000000000001</v>
      </c>
      <c r="G15" s="144">
        <f t="shared" si="0"/>
        <v>33.366666666666667</v>
      </c>
      <c r="H15" s="144" cm="1">
        <f t="array" ref="H15">_xlfn.PERCENTRANK.EXC(_xlfn._xlws.FILTER($G$7:G$27, ISNUMBER($G$7:G$27)),G15)*100</f>
        <v>19</v>
      </c>
      <c r="I15" s="181">
        <f>VLOOKUP(B15,'LIQIDITY 2'!$A$3:$X$23,24,FALSE)</f>
        <v>40.9</v>
      </c>
      <c r="J15" s="136">
        <f>VLOOKUP(B15,'Momnetum ranking'!$A$3:$AH$23,34,FALSE)</f>
        <v>77.2</v>
      </c>
      <c r="K15" s="183">
        <f>VLOOKUP(B15,'Momnetum ranking'!$A$3:$H$23,8,FALSE)</f>
        <v>0.33333333333333331</v>
      </c>
      <c r="L15" s="137">
        <f>VLOOKUP(B15,'Currency- 2'!$A$3:$U$23,21,FALSE)</f>
        <v>54.500000000000007</v>
      </c>
      <c r="M15" s="146">
        <f t="shared" si="1"/>
        <v>54.518999000000008</v>
      </c>
      <c r="N15" s="137" cm="1">
        <f t="array" ref="N15">_xlfn.PERCENTRANK.EXC(_xlfn._xlws.FILTER($M$7:M$27, ISNUMBER($M$7:M$27)),M15)*100</f>
        <v>71.399999999999991</v>
      </c>
    </row>
    <row r="16" spans="2:16" x14ac:dyDescent="0.35">
      <c r="B16" s="90" t="s">
        <v>30</v>
      </c>
      <c r="C16" s="92" t="s">
        <v>443</v>
      </c>
      <c r="D16" s="138">
        <f>VLOOKUP(B16,'Value -2 '!$D$3:$AC$23,26,FALSE)</f>
        <v>59</v>
      </c>
      <c r="E16" s="138">
        <f>VLOOKUP(B16,'Quality - 2'!$B$2:$S$22,18,FALSE)</f>
        <v>66.600000000000009</v>
      </c>
      <c r="F16" s="138">
        <f>VLOOKUP(B16,Risk!$B$4:$R$24,17,FALSE)</f>
        <v>50</v>
      </c>
      <c r="G16" s="144">
        <f t="shared" si="0"/>
        <v>58.533333333333346</v>
      </c>
      <c r="H16" s="144" cm="1">
        <f t="array" ref="H16">_xlfn.PERCENTRANK.EXC(_xlfn._xlws.FILTER($G$7:G$27, ISNUMBER($G$7:G$27)),G16)*100</f>
        <v>57.099999999999994</v>
      </c>
      <c r="I16" s="181">
        <f>VLOOKUP(B16,'LIQIDITY 2'!$A$3:$X$23,24,FALSE)</f>
        <v>4.5</v>
      </c>
      <c r="J16" s="136">
        <f>VLOOKUP(B16,'Momnetum ranking'!$A$3:$AH$23,34,FALSE)</f>
        <v>86.3</v>
      </c>
      <c r="K16" s="183">
        <f>VLOOKUP(B16,'Momnetum ranking'!$A$3:$H$23,8,FALSE)</f>
        <v>0.25714285714285712</v>
      </c>
      <c r="L16" s="137">
        <f>VLOOKUP(B16,'Currency- 2'!$A$3:$U$23,21,FALSE)</f>
        <v>50</v>
      </c>
      <c r="M16" s="146">
        <f t="shared" si="1"/>
        <v>57.978244000000004</v>
      </c>
      <c r="N16" s="137" cm="1">
        <f t="array" ref="N16">_xlfn.PERCENTRANK.EXC(_xlfn._xlws.FILTER($M$7:M$27, ISNUMBER($M$7:M$27)),M16)*100</f>
        <v>80.900000000000006</v>
      </c>
    </row>
    <row r="17" spans="2:14" x14ac:dyDescent="0.35">
      <c r="B17" s="90" t="s">
        <v>33</v>
      </c>
      <c r="C17" s="92" t="s">
        <v>446</v>
      </c>
      <c r="D17" s="138">
        <f>VLOOKUP(B17,'Value -2 '!$D$3:$AC$23,26,FALSE)</f>
        <v>40.9</v>
      </c>
      <c r="E17" s="138">
        <f>VLOOKUP(B17,'Quality - 2'!$B$2:$S$22,18,FALSE)</f>
        <v>61.9</v>
      </c>
      <c r="F17" s="138">
        <f>VLOOKUP(B17,Risk!$B$4:$R$24,17,FALSE)</f>
        <v>63.6</v>
      </c>
      <c r="G17" s="144">
        <f t="shared" si="0"/>
        <v>55.466666666666669</v>
      </c>
      <c r="H17" s="144" cm="1">
        <f t="array" ref="H17">_xlfn.PERCENTRANK.EXC(_xlfn._xlws.FILTER($G$7:G$27, ISNUMBER($G$7:G$27)),G17)*100</f>
        <v>52.300000000000004</v>
      </c>
      <c r="I17" s="181">
        <f>VLOOKUP(B17,'LIQIDITY 2'!$A$3:$X$23,24,FALSE)</f>
        <v>4.5</v>
      </c>
      <c r="J17" s="136">
        <f>VLOOKUP(B17,'Momnetum ranking'!$A$3:$AH$23,34,FALSE)</f>
        <v>54.500000000000007</v>
      </c>
      <c r="K17" s="183">
        <f>VLOOKUP(B17,'Momnetum ranking'!$A$3:$H$23,8,FALSE)</f>
        <v>0.48484848484848486</v>
      </c>
      <c r="L17" s="137">
        <f>VLOOKUP(B17,'Currency- 2'!$A$3:$U$23,21,FALSE)</f>
        <v>45.4</v>
      </c>
      <c r="M17" s="146">
        <f t="shared" si="1"/>
        <v>43.878335999999997</v>
      </c>
      <c r="N17" s="137" cm="1">
        <f t="array" ref="N17">_xlfn.PERCENTRANK.EXC(_xlfn._xlws.FILTER($M$7:M$27, ISNUMBER($M$7:M$27)),M17)*100</f>
        <v>33.300000000000004</v>
      </c>
    </row>
    <row r="18" spans="2:14" x14ac:dyDescent="0.35">
      <c r="B18" s="90" t="s">
        <v>36</v>
      </c>
      <c r="C18" s="92" t="s">
        <v>454</v>
      </c>
      <c r="D18" s="138">
        <f>VLOOKUP(B18,'Value -2 '!$D$3:$AC$23,26,FALSE)</f>
        <v>13.600000000000001</v>
      </c>
      <c r="E18" s="138">
        <f>VLOOKUP(B18,'Quality - 2'!$B$2:$S$22,18,FALSE)</f>
        <v>33.300000000000004</v>
      </c>
      <c r="F18" s="138">
        <f>VLOOKUP(B18,Risk!$B$4:$R$24,17,FALSE)</f>
        <v>50</v>
      </c>
      <c r="G18" s="144">
        <f t="shared" si="0"/>
        <v>32.300000000000004</v>
      </c>
      <c r="H18" s="144" cm="1">
        <f t="array" ref="H18">_xlfn.PERCENTRANK.EXC(_xlfn._xlws.FILTER($G$7:G$27, ISNUMBER($G$7:G$27)),G18)*100</f>
        <v>14.2</v>
      </c>
      <c r="I18" s="181">
        <f>VLOOKUP(B18,'LIQIDITY 2'!$A$3:$X$23,24,FALSE)</f>
        <v>4.5</v>
      </c>
      <c r="J18" s="136">
        <f>VLOOKUP(B18,'Momnetum ranking'!$A$3:$AH$23,34,FALSE)</f>
        <v>90.9</v>
      </c>
      <c r="K18" s="183">
        <f>VLOOKUP(B18,'Momnetum ranking'!$A$3:$H$23,8,FALSE)</f>
        <v>0.23577235772357724</v>
      </c>
      <c r="L18" s="137">
        <f>VLOOKUP(B18,'Currency- 2'!$A$3:$U$23,21,FALSE)</f>
        <v>86.3</v>
      </c>
      <c r="M18" s="146">
        <f t="shared" si="1"/>
        <v>55.579031000000008</v>
      </c>
      <c r="N18" s="137" cm="1">
        <f t="array" ref="N18">_xlfn.PERCENTRANK.EXC(_xlfn._xlws.FILTER($M$7:M$27, ISNUMBER($M$7:M$27)),M18)*100</f>
        <v>76.099999999999994</v>
      </c>
    </row>
    <row r="19" spans="2:14" x14ac:dyDescent="0.35">
      <c r="B19" s="90" t="s">
        <v>7</v>
      </c>
      <c r="C19" s="92" t="s">
        <v>53</v>
      </c>
      <c r="D19" s="138">
        <f>VLOOKUP(B19,'Value -2 '!$D$3:$AC$23,26,FALSE)</f>
        <v>27.200000000000003</v>
      </c>
      <c r="E19" s="138">
        <f>VLOOKUP(B19,'Quality - 2'!$B$2:$S$22,18,FALSE)</f>
        <v>52.300000000000004</v>
      </c>
      <c r="F19" s="138">
        <f>VLOOKUP(B19,Risk!$B$4:$R$24,17,FALSE)</f>
        <v>31.8</v>
      </c>
      <c r="G19" s="144">
        <f t="shared" si="0"/>
        <v>37.100000000000009</v>
      </c>
      <c r="H19" s="144" cm="1">
        <f t="array" ref="H19">_xlfn.PERCENTRANK.EXC(_xlfn._xlws.FILTER($G$7:G$27, ISNUMBER($G$7:G$27)),G19)*100</f>
        <v>33.300000000000004</v>
      </c>
      <c r="I19" s="181">
        <f>VLOOKUP(B19,'LIQIDITY 2'!$A$3:$X$23,24,FALSE)</f>
        <v>54.500000000000007</v>
      </c>
      <c r="J19" s="136">
        <f>VLOOKUP(B19,'Momnetum ranking'!$A$3:$AH$23,34,FALSE)</f>
        <v>59</v>
      </c>
      <c r="K19" s="183">
        <f>VLOOKUP(B19,'Momnetum ranking'!$A$3:$H$23,8,FALSE)</f>
        <v>0.27272727272727271</v>
      </c>
      <c r="L19" s="137">
        <f>VLOOKUP(B19,'Currency- 2'!$A$3:$U$23,21,FALSE)</f>
        <v>77.2</v>
      </c>
      <c r="M19" s="146">
        <f t="shared" si="1"/>
        <v>53.348887000000005</v>
      </c>
      <c r="N19" s="137" cm="1">
        <f t="array" ref="N19">_xlfn.PERCENTRANK.EXC(_xlfn._xlws.FILTER($M$7:M$27, ISNUMBER($M$7:M$27)),M19)*100</f>
        <v>61.9</v>
      </c>
    </row>
    <row r="20" spans="2:14" x14ac:dyDescent="0.35">
      <c r="B20" s="90" t="s">
        <v>29</v>
      </c>
      <c r="C20" s="92" t="s">
        <v>445</v>
      </c>
      <c r="D20" s="138">
        <f>VLOOKUP(B20,'Value -2 '!$D$3:$AC$23,26,FALSE)</f>
        <v>22.7</v>
      </c>
      <c r="E20" s="138" t="e">
        <f>VLOOKUP(B20,'Quality - 2'!$B$2:$S$22,18,FALSE)</f>
        <v>#VALUE!</v>
      </c>
      <c r="F20" s="138">
        <f>VLOOKUP(B20,Risk!$B$4:$R$24,17,FALSE)</f>
        <v>27.200000000000003</v>
      </c>
      <c r="G20" s="144" t="e">
        <f t="shared" si="0"/>
        <v>#VALUE!</v>
      </c>
      <c r="H20" s="144" t="e" cm="1">
        <f t="array" ref="H20">_xlfn.PERCENTRANK.EXC(_xlfn._xlws.FILTER($G$7:G$27, ISNUMBER($G$7:G$27)),G20)*100</f>
        <v>#VALUE!</v>
      </c>
      <c r="I20" s="181">
        <f>VLOOKUP(B20,'LIQIDITY 2'!$A$3:$X$23,24,FALSE)</f>
        <v>68.100000000000009</v>
      </c>
      <c r="J20" s="136">
        <f>VLOOKUP(B20,'Momnetum ranking'!$A$3:$AH$23,34,FALSE)</f>
        <v>72.7</v>
      </c>
      <c r="K20" s="183">
        <f>VLOOKUP(B20,'Momnetum ranking'!$A$3:$H$23,8,FALSE)</f>
        <v>0.33333333333333331</v>
      </c>
      <c r="L20" s="137">
        <f>VLOOKUP(B20,'Currency- 2'!$A$3:$U$23,21,FALSE)</f>
        <v>36.299999999999997</v>
      </c>
      <c r="M20" s="146" t="e">
        <f t="shared" si="1"/>
        <v>#VALUE!</v>
      </c>
      <c r="N20" s="137" t="e" cm="1">
        <f t="array" ref="N20">_xlfn.PERCENTRANK.EXC(_xlfn._xlws.FILTER($M$7:M$27, ISNUMBER($M$7:M$27)),M20)*100</f>
        <v>#VALUE!</v>
      </c>
    </row>
    <row r="21" spans="2:14" x14ac:dyDescent="0.35">
      <c r="B21" s="90" t="s">
        <v>764</v>
      </c>
      <c r="C21" s="92" t="s">
        <v>765</v>
      </c>
      <c r="D21" s="138">
        <f>VLOOKUP(B21,'Value -2 '!$D$3:$AC$23,26,FALSE)</f>
        <v>45.4</v>
      </c>
      <c r="E21" s="138">
        <f>VLOOKUP(B21,'Quality - 2'!$B$2:$S$22,18,FALSE)</f>
        <v>80.900000000000006</v>
      </c>
      <c r="F21" s="138">
        <f>VLOOKUP(B21,Risk!$B$4:$R$24,17,FALSE)</f>
        <v>95.399999999999991</v>
      </c>
      <c r="G21" s="144">
        <f t="shared" si="0"/>
        <v>73.900000000000006</v>
      </c>
      <c r="H21" s="144" cm="1">
        <f t="array" ref="H21">_xlfn.PERCENTRANK.EXC(_xlfn._xlws.FILTER($G$7:G$27, ISNUMBER($G$7:G$27)),G21)*100</f>
        <v>85.7</v>
      </c>
      <c r="I21" s="181">
        <f>VLOOKUP(B21,'LIQIDITY 2'!$A$3:$X$23,24,FALSE)</f>
        <v>54.500000000000007</v>
      </c>
      <c r="J21" s="136">
        <f>VLOOKUP(B21,'Momnetum ranking'!$A$3:$AH$23,34,FALSE)</f>
        <v>45.4</v>
      </c>
      <c r="K21" s="183">
        <f>VLOOKUP(B21,'Momnetum ranking'!$A$3:$H$23,8,FALSE)</f>
        <v>69</v>
      </c>
      <c r="L21" s="137">
        <f>VLOOKUP(B21,'Currency- 2'!$A$3:$U$23,21,FALSE)</f>
        <v>18.099999999999998</v>
      </c>
      <c r="M21" s="146">
        <f t="shared" si="1"/>
        <v>53.037783000000005</v>
      </c>
      <c r="N21" s="137" cm="1">
        <f t="array" ref="N21">_xlfn.PERCENTRANK.EXC(_xlfn._xlws.FILTER($M$7:M$27, ISNUMBER($M$7:M$27)),M21)*100</f>
        <v>57.099999999999994</v>
      </c>
    </row>
    <row r="22" spans="2:14" x14ac:dyDescent="0.35">
      <c r="B22" s="90" t="s">
        <v>22</v>
      </c>
      <c r="C22" s="92" t="s">
        <v>447</v>
      </c>
      <c r="D22" s="138">
        <f>VLOOKUP(B22,'Value -2 '!$D$3:$AC$23,26,FALSE)</f>
        <v>36.299999999999997</v>
      </c>
      <c r="E22" s="138">
        <f>VLOOKUP(B22,'Quality - 2'!$B$2:$S$22,18,FALSE)</f>
        <v>19</v>
      </c>
      <c r="F22" s="138">
        <f>VLOOKUP(B22,Risk!$B$4:$R$24,17,FALSE)</f>
        <v>50</v>
      </c>
      <c r="G22" s="144">
        <f t="shared" si="0"/>
        <v>35.1</v>
      </c>
      <c r="H22" s="144" cm="1">
        <f t="array" ref="H22">_xlfn.PERCENTRANK.EXC(_xlfn._xlws.FILTER($G$7:G$27, ISNUMBER($G$7:G$27)),G22)*100</f>
        <v>28.499999999999996</v>
      </c>
      <c r="I22" s="181">
        <f>VLOOKUP(B22,'LIQIDITY 2'!$A$3:$X$23,24,FALSE)</f>
        <v>4.5</v>
      </c>
      <c r="J22" s="136">
        <f>VLOOKUP(B22,'Momnetum ranking'!$A$3:$AH$23,34,FALSE)</f>
        <v>13.600000000000001</v>
      </c>
      <c r="K22" s="183">
        <f>VLOOKUP(B22,'Momnetum ranking'!$A$3:$H$23,8,FALSE)</f>
        <v>0.39393939393939392</v>
      </c>
      <c r="L22" s="137">
        <f>VLOOKUP(B22,'Currency- 2'!$A$3:$U$23,21,FALSE)</f>
        <v>13.600000000000001</v>
      </c>
      <c r="M22" s="146">
        <f t="shared" si="1"/>
        <v>18.228946999999998</v>
      </c>
      <c r="N22" s="137" cm="1">
        <f t="array" ref="N22">_xlfn.PERCENTRANK.EXC(_xlfn._xlws.FILTER($M$7:M$27, ISNUMBER($M$7:M$27)),M22)*100</f>
        <v>4.7</v>
      </c>
    </row>
    <row r="23" spans="2:14" x14ac:dyDescent="0.35">
      <c r="B23" s="90" t="s">
        <v>37</v>
      </c>
      <c r="C23" s="92" t="s">
        <v>453</v>
      </c>
      <c r="D23" s="138">
        <f>VLOOKUP(B23,'Value -2 '!$D$3:$AC$23,26,FALSE)</f>
        <v>18.099999999999998</v>
      </c>
      <c r="E23" s="138">
        <f>VLOOKUP(B23,'Quality - 2'!$B$2:$S$22,18,FALSE)</f>
        <v>28.499999999999996</v>
      </c>
      <c r="F23" s="138">
        <f>VLOOKUP(B23,Risk!$B$4:$R$24,17,FALSE)</f>
        <v>18.099999999999998</v>
      </c>
      <c r="G23" s="144">
        <f t="shared" si="0"/>
        <v>21.566666666666663</v>
      </c>
      <c r="H23" s="144" cm="1">
        <f t="array" ref="H23">_xlfn.PERCENTRANK.EXC(_xlfn._xlws.FILTER($G$7:G$27, ISNUMBER($G$7:G$27)),G23)*100</f>
        <v>4.7</v>
      </c>
      <c r="I23" s="181">
        <f>VLOOKUP(B23,'LIQIDITY 2'!$A$3:$X$23,24,FALSE)</f>
        <v>77.2</v>
      </c>
      <c r="J23" s="136">
        <f>VLOOKUP(B23,'Momnetum ranking'!$A$3:$AH$23,34,FALSE)</f>
        <v>18.099999999999998</v>
      </c>
      <c r="K23" s="183">
        <f>VLOOKUP(B23,'Momnetum ranking'!$A$3:$H$23,8,FALSE)</f>
        <v>0.2</v>
      </c>
      <c r="L23" s="137">
        <f>VLOOKUP(B23,'Currency- 2'!$A$3:$U$23,21,FALSE)</f>
        <v>40.9</v>
      </c>
      <c r="M23" s="146">
        <f t="shared" si="1"/>
        <v>33.239352999999994</v>
      </c>
      <c r="N23" s="137" cm="1">
        <f t="array" ref="N23">_xlfn.PERCENTRANK.EXC(_xlfn._xlws.FILTER($M$7:M$27, ISNUMBER($M$7:M$27)),M23)*100</f>
        <v>14.2</v>
      </c>
    </row>
    <row r="24" spans="2:14" x14ac:dyDescent="0.35">
      <c r="B24" s="90" t="s">
        <v>25</v>
      </c>
      <c r="C24" s="92" t="s">
        <v>451</v>
      </c>
      <c r="D24" s="138">
        <f>VLOOKUP(B24,'Value -2 '!$D$3:$AC$23,26,FALSE)</f>
        <v>54.500000000000007</v>
      </c>
      <c r="E24" s="138">
        <f>VLOOKUP(B24,'Quality - 2'!$B$2:$S$22,18,FALSE)</f>
        <v>47.599999999999994</v>
      </c>
      <c r="F24" s="138">
        <f>VLOOKUP(B24,Risk!$B$4:$R$24,17,FALSE)</f>
        <v>22.7</v>
      </c>
      <c r="G24" s="144">
        <f t="shared" si="0"/>
        <v>41.600000000000009</v>
      </c>
      <c r="H24" s="144" cm="1">
        <f t="array" ref="H24">_xlfn.PERCENTRANK.EXC(_xlfn._xlws.FILTER($G$7:G$27, ISNUMBER($G$7:G$27)),G24)*100</f>
        <v>47.599999999999994</v>
      </c>
      <c r="I24" s="181">
        <f>VLOOKUP(B24,'LIQIDITY 2'!$A$3:$X$23,24,FALSE)</f>
        <v>4.5</v>
      </c>
      <c r="J24" s="136">
        <f>VLOOKUP(B24,'Momnetum ranking'!$A$3:$AH$23,34,FALSE)</f>
        <v>27.200000000000003</v>
      </c>
      <c r="K24" s="183">
        <f>VLOOKUP(B24,'Momnetum ranking'!$A$3:$H$23,8,FALSE)</f>
        <v>0.24742268041237114</v>
      </c>
      <c r="L24" s="137">
        <f>VLOOKUP(B24,'Currency- 2'!$A$3:$U$23,21,FALSE)</f>
        <v>4.5</v>
      </c>
      <c r="M24" s="146">
        <f t="shared" si="1"/>
        <v>24.708752</v>
      </c>
      <c r="N24" s="137" cm="1">
        <f t="array" ref="N24">_xlfn.PERCENTRANK.EXC(_xlfn._xlws.FILTER($M$7:M$27, ISNUMBER($M$7:M$27)),M24)*100</f>
        <v>9.5</v>
      </c>
    </row>
    <row r="25" spans="2:14" x14ac:dyDescent="0.35">
      <c r="B25" s="90" t="s">
        <v>27</v>
      </c>
      <c r="C25" s="92" t="s">
        <v>441</v>
      </c>
      <c r="D25" s="138">
        <f>VLOOKUP(B25,'Value -2 '!$D$3:$AC$23,26,FALSE)</f>
        <v>95.399999999999991</v>
      </c>
      <c r="E25" s="138">
        <f>VLOOKUP(B25,'Quality - 2'!$B$2:$S$22,18,FALSE)</f>
        <v>57.099999999999994</v>
      </c>
      <c r="F25" s="138">
        <f>VLOOKUP(B25,Risk!$B$4:$R$24,17,FALSE)</f>
        <v>31.8</v>
      </c>
      <c r="G25" s="144">
        <f t="shared" si="0"/>
        <v>61.433333333333337</v>
      </c>
      <c r="H25" s="144" cm="1">
        <f t="array" ref="H25">_xlfn.PERCENTRANK.EXC(_xlfn._xlws.FILTER($G$7:G$27, ISNUMBER($G$7:G$27)),G25)*100</f>
        <v>71.399999999999991</v>
      </c>
      <c r="I25" s="181">
        <f>VLOOKUP(B25,'LIQIDITY 2'!$A$3:$X$23,24,FALSE)</f>
        <v>77.2</v>
      </c>
      <c r="J25" s="136">
        <f>VLOOKUP(B25,'Momnetum ranking'!$A$3:$AH$23,34,FALSE)</f>
        <v>4.5</v>
      </c>
      <c r="K25" s="183">
        <f>VLOOKUP(B25,'Momnetum ranking'!$A$3:$H$23,8,FALSE)</f>
        <v>0.44827586206896552</v>
      </c>
      <c r="L25" s="137">
        <f>VLOOKUP(B25,'Currency- 2'!$A$3:$U$23,21,FALSE)</f>
        <v>9</v>
      </c>
      <c r="M25" s="146">
        <f t="shared" si="1"/>
        <v>36.568156999999992</v>
      </c>
      <c r="N25" s="137" cm="1">
        <f t="array" ref="N25">_xlfn.PERCENTRANK.EXC(_xlfn._xlws.FILTER($M$7:M$27, ISNUMBER($M$7:M$27)),M25)*100</f>
        <v>23.799999999999997</v>
      </c>
    </row>
    <row r="26" spans="2:14" x14ac:dyDescent="0.35">
      <c r="B26" s="90" t="s">
        <v>31</v>
      </c>
      <c r="C26" s="92" t="s">
        <v>449</v>
      </c>
      <c r="D26" s="138">
        <f>VLOOKUP(B26,'Value -2 '!$D$3:$AC$23,26,FALSE)</f>
        <v>68.100000000000009</v>
      </c>
      <c r="E26" s="138">
        <f>VLOOKUP(B26,'Quality - 2'!$B$2:$S$22,18,FALSE)</f>
        <v>38</v>
      </c>
      <c r="F26" s="138">
        <f>VLOOKUP(B26,Risk!$B$4:$R$24,17,FALSE)</f>
        <v>72.7</v>
      </c>
      <c r="G26" s="144">
        <f t="shared" si="0"/>
        <v>59.6</v>
      </c>
      <c r="H26" s="144" cm="1">
        <f t="array" ref="H26">_xlfn.PERCENTRANK.EXC(_xlfn._xlws.FILTER($G$7:G$27, ISNUMBER($G$7:G$27)),G26)*100</f>
        <v>61.9</v>
      </c>
      <c r="I26" s="181">
        <f>VLOOKUP(B26,'LIQIDITY 2'!$A$3:$X$23,24,FALSE)</f>
        <v>4.5</v>
      </c>
      <c r="J26" s="136">
        <f>VLOOKUP(B26,'Momnetum ranking'!$A$3:$AH$23,34,FALSE)</f>
        <v>40.9</v>
      </c>
      <c r="K26" s="183">
        <f>VLOOKUP(B26,'Momnetum ranking'!$A$3:$H$23,8,FALSE)</f>
        <v>0.14285714285714285</v>
      </c>
      <c r="L26" s="137">
        <f>VLOOKUP(B26,'Currency- 2'!$A$3:$U$23,21,FALSE)</f>
        <v>90.9</v>
      </c>
      <c r="M26" s="146">
        <f t="shared" si="1"/>
        <v>44.228211999999999</v>
      </c>
      <c r="N26" s="137" cm="1">
        <f t="array" ref="N26">_xlfn.PERCENTRANK.EXC(_xlfn._xlws.FILTER($M$7:M$27, ISNUMBER($M$7:M$27)),M26)*100</f>
        <v>38</v>
      </c>
    </row>
    <row r="27" spans="2:14" x14ac:dyDescent="0.35">
      <c r="B27" s="91" t="s">
        <v>35</v>
      </c>
      <c r="C27" s="93" t="s">
        <v>442</v>
      </c>
      <c r="D27" s="139">
        <f>VLOOKUP(B27,'Value -2 '!$D$3:$AC$23,26,FALSE)</f>
        <v>50</v>
      </c>
      <c r="E27" s="139">
        <f>VLOOKUP(B27,'Quality - 2'!$B$2:$S$22,18,FALSE)</f>
        <v>42.8</v>
      </c>
      <c r="F27" s="139">
        <f>VLOOKUP(B27,Risk!$B$4:$R$24,17,FALSE)</f>
        <v>86.3</v>
      </c>
      <c r="G27" s="145">
        <f t="shared" si="0"/>
        <v>59.7</v>
      </c>
      <c r="H27" s="145" cm="1">
        <f t="array" ref="H27">_xlfn.PERCENTRANK.EXC(_xlfn._xlws.FILTER($G$7:G$27, ISNUMBER($G$7:G$27)),G27)*100</f>
        <v>66.600000000000009</v>
      </c>
      <c r="I27" s="182">
        <f>VLOOKUP(B27,'LIQIDITY 2'!$A$3:$X$23,24,FALSE)</f>
        <v>4.5</v>
      </c>
      <c r="J27" s="140">
        <f>VLOOKUP(B27,'Momnetum ranking'!$A$3:$AH$23,34,FALSE)</f>
        <v>31.8</v>
      </c>
      <c r="K27" s="184">
        <f>VLOOKUP(B27,'Momnetum ranking'!$A$3:$H$23,8,FALSE)</f>
        <v>0.24675324675324675</v>
      </c>
      <c r="L27" s="141">
        <f>VLOOKUP(B27,'Currency- 2'!$A$3:$U$23,21,FALSE)</f>
        <v>31.8</v>
      </c>
      <c r="M27" s="147">
        <f t="shared" si="1"/>
        <v>34.708208999999997</v>
      </c>
      <c r="N27" s="141" cm="1">
        <f t="array" ref="N27">_xlfn.PERCENTRANK.EXC(_xlfn._xlws.FILTER($M$7:M$27, ISNUMBER($M$7:M$27)),M27)*100</f>
        <v>19</v>
      </c>
    </row>
  </sheetData>
  <autoFilter ref="B6:N6" xr:uid="{529E9CE9-D88B-4C94-B4F6-F98AE1A97539}">
    <sortState xmlns:xlrd2="http://schemas.microsoft.com/office/spreadsheetml/2017/richdata2" ref="B7:N27">
      <sortCondition descending="1" ref="N6"/>
    </sortState>
  </autoFilter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30"/>
  <sheetViews>
    <sheetView topLeftCell="A4" zoomScale="82" zoomScaleNormal="82" workbookViewId="0">
      <selection activeCell="R12" sqref="R12"/>
    </sheetView>
  </sheetViews>
  <sheetFormatPr defaultRowHeight="14.5" x14ac:dyDescent="0.35"/>
  <cols>
    <col min="2" max="2" width="12.08984375" bestFit="1" customWidth="1"/>
    <col min="3" max="3" width="25.36328125" customWidth="1"/>
    <col min="4" max="4" width="15.453125" customWidth="1"/>
    <col min="5" max="5" width="14.453125" customWidth="1"/>
    <col min="6" max="6" width="11.6328125" bestFit="1" customWidth="1"/>
    <col min="7" max="7" width="7.36328125" bestFit="1" customWidth="1"/>
    <col min="8" max="8" width="10.08984375" bestFit="1" customWidth="1"/>
    <col min="9" max="9" width="11.453125" bestFit="1" customWidth="1"/>
    <col min="10" max="10" width="14.453125" hidden="1" customWidth="1"/>
    <col min="11" max="11" width="20.08984375" bestFit="1" customWidth="1"/>
    <col min="12" max="12" width="12" hidden="1" customWidth="1"/>
    <col min="13" max="13" width="15.36328125" bestFit="1" customWidth="1"/>
    <col min="14" max="14" width="12.6328125" hidden="1" customWidth="1"/>
    <col min="15" max="15" width="18.453125" bestFit="1" customWidth="1"/>
    <col min="16" max="16" width="13.36328125" hidden="1" customWidth="1"/>
    <col min="17" max="17" width="19.90625" bestFit="1" customWidth="1"/>
    <col min="18" max="18" width="20.6328125" bestFit="1" customWidth="1"/>
    <col min="19" max="19" width="21.6328125" bestFit="1" customWidth="1"/>
  </cols>
  <sheetData>
    <row r="1" spans="2:21" ht="15" thickBot="1" x14ac:dyDescent="0.4"/>
    <row r="2" spans="2:21" x14ac:dyDescent="0.35">
      <c r="C2" s="150" t="s">
        <v>856</v>
      </c>
      <c r="D2" s="151">
        <v>0.5</v>
      </c>
      <c r="E2" s="74" t="s">
        <v>870</v>
      </c>
      <c r="F2" s="148">
        <v>0.1</v>
      </c>
      <c r="R2" s="169" t="s">
        <v>896</v>
      </c>
      <c r="S2" s="169" t="s">
        <v>896</v>
      </c>
    </row>
    <row r="3" spans="2:21" ht="15" thickBot="1" x14ac:dyDescent="0.4">
      <c r="C3" s="152" t="s">
        <v>857</v>
      </c>
      <c r="D3" s="153">
        <v>70</v>
      </c>
      <c r="E3" s="68" t="s">
        <v>858</v>
      </c>
      <c r="F3" s="70">
        <v>50</v>
      </c>
      <c r="R3" s="173">
        <f>COUNTIF(R9:R29,"&gt;0")</f>
        <v>0</v>
      </c>
      <c r="S3" s="173">
        <f>COUNTIF(S9:S29,"&gt;0")</f>
        <v>0</v>
      </c>
    </row>
    <row r="4" spans="2:21" ht="15" thickBot="1" x14ac:dyDescent="0.4">
      <c r="C4" s="152" t="s">
        <v>859</v>
      </c>
      <c r="D4" s="154">
        <v>0.3</v>
      </c>
      <c r="E4" s="68" t="s">
        <v>865</v>
      </c>
      <c r="F4" s="149">
        <v>0.1</v>
      </c>
    </row>
    <row r="5" spans="2:21" ht="15" thickBot="1" x14ac:dyDescent="0.4">
      <c r="C5" s="155" t="s">
        <v>860</v>
      </c>
      <c r="D5" s="156">
        <v>70</v>
      </c>
      <c r="E5" s="12" t="s">
        <v>857</v>
      </c>
      <c r="F5" s="14">
        <v>60</v>
      </c>
      <c r="Q5" s="74" t="s">
        <v>894</v>
      </c>
      <c r="R5" s="11"/>
    </row>
    <row r="6" spans="2:21" ht="15" thickBot="1" x14ac:dyDescent="0.4">
      <c r="Q6" s="12" t="s">
        <v>895</v>
      </c>
      <c r="R6" s="172">
        <v>0.01</v>
      </c>
    </row>
    <row r="7" spans="2:21" ht="15" thickBot="1" x14ac:dyDescent="0.4"/>
    <row r="8" spans="2:21" ht="15" thickBot="1" x14ac:dyDescent="0.4">
      <c r="B8" s="160" t="s">
        <v>861</v>
      </c>
      <c r="C8" s="161" t="s">
        <v>534</v>
      </c>
      <c r="D8" s="161" t="s">
        <v>562</v>
      </c>
      <c r="E8" s="161" t="s">
        <v>862</v>
      </c>
      <c r="F8" s="161" t="s">
        <v>561</v>
      </c>
      <c r="G8" s="161" t="s">
        <v>563</v>
      </c>
      <c r="H8" s="161" t="s">
        <v>564</v>
      </c>
      <c r="I8" s="161" t="s">
        <v>567</v>
      </c>
      <c r="J8" s="161" t="s">
        <v>866</v>
      </c>
      <c r="K8" s="161" t="s">
        <v>898</v>
      </c>
      <c r="L8" s="161" t="s">
        <v>867</v>
      </c>
      <c r="M8" s="161" t="s">
        <v>903</v>
      </c>
      <c r="N8" s="161" t="s">
        <v>868</v>
      </c>
      <c r="O8" s="161" t="s">
        <v>899</v>
      </c>
      <c r="P8" s="161" t="s">
        <v>869</v>
      </c>
      <c r="Q8" s="161" t="s">
        <v>900</v>
      </c>
      <c r="R8" s="161" t="s">
        <v>901</v>
      </c>
      <c r="S8" s="175" t="s">
        <v>902</v>
      </c>
    </row>
    <row r="9" spans="2:21" x14ac:dyDescent="0.35">
      <c r="B9" s="74" t="s">
        <v>437</v>
      </c>
      <c r="C9" s="10" t="str" cm="1">
        <f t="array" ref="C9">_xll.FDS(B9,"FG_COMPANY_NAME")</f>
        <v>iShares MSCI China A ETF</v>
      </c>
      <c r="D9" s="10" t="s">
        <v>622</v>
      </c>
      <c r="E9" s="185">
        <f>HLOOKUP(B9,'Monthly Returns'!$A$1:$V$139,139,FALSE)</f>
        <v>0.20660590710038668</v>
      </c>
      <c r="F9" s="10">
        <f>VLOOKUP(B9,OUTPUT_COUNTRY!$B$7:$N$27, 9, FALSE)</f>
        <v>22.7</v>
      </c>
      <c r="G9" s="186">
        <f>VLOOKUP(B9,OUTPUT_COUNTRY!$B$7:$N$27, 7, FALSE)</f>
        <v>95.199999999999989</v>
      </c>
      <c r="H9" s="10">
        <f>VLOOKUP(B9,OUTPUT_COUNTRY!$B$7:$N$27, 8, FALSE)</f>
        <v>77.2</v>
      </c>
      <c r="I9" s="10">
        <f>VLOOKUP(B9,OUTPUT_COUNTRY!$B$7:$N$27, 11, FALSE)</f>
        <v>59</v>
      </c>
      <c r="J9" s="186">
        <f t="shared" ref="J9:J29" si="0">IF(F9&gt;=$D$3,1/E9,0)</f>
        <v>0</v>
      </c>
      <c r="K9" s="185">
        <f t="shared" ref="K9:K29" si="1">J9/$J$30</f>
        <v>0</v>
      </c>
      <c r="L9" s="10">
        <f t="shared" ref="L9:L29" si="2">IF(G9&gt;=$D$5,1/E9,0)</f>
        <v>4.8401326662655153</v>
      </c>
      <c r="M9" s="185" t="e">
        <f t="shared" ref="M9:M29" si="3">L9/$L$30</f>
        <v>#VALUE!</v>
      </c>
      <c r="N9" s="10">
        <f>IF(H9&gt;=$F$3,1/E9,0)</f>
        <v>4.8401326662655153</v>
      </c>
      <c r="O9" s="185">
        <f t="shared" ref="O9:O29" si="4">N9/$N$30</f>
        <v>0.11682008117161767</v>
      </c>
      <c r="P9" s="10">
        <f>IF(I9&gt;=$F$5,1/E9,0)</f>
        <v>0</v>
      </c>
      <c r="Q9" s="185">
        <f t="shared" ref="Q9:Q29" si="5">P9/$P$30</f>
        <v>0</v>
      </c>
      <c r="R9" s="185" t="e">
        <f t="shared" ref="R9:R29" si="6">IF($D$2*K9+$D$4*M9+$F$2*O9+$F$4*Q9 = 0,"",$D$2*K9+$D$4*M9+$F$2*O9+$F$4*Q9)</f>
        <v>#VALUE!</v>
      </c>
      <c r="S9" s="187" t="str">
        <f t="shared" ref="S9:S29" si="7">IFERROR(IF(R9&gt;=$R$6, R9/SUMIF($R$9:$R$29,"&gt;="&amp;$R$6), ""),"")</f>
        <v/>
      </c>
      <c r="U9" s="61"/>
    </row>
    <row r="10" spans="2:21" x14ac:dyDescent="0.35">
      <c r="B10" s="68" t="s">
        <v>27</v>
      </c>
      <c r="C10" t="str" cm="1">
        <f t="array" ref="C10">_xll.FDS(B10,"FG_COMPANY_NAME")</f>
        <v>iShares MSCI Chile ETF</v>
      </c>
      <c r="D10" t="s">
        <v>621</v>
      </c>
      <c r="E10" s="157">
        <f>HLOOKUP(B10,'Monthly Returns'!$A$1:$V$139,139,FALSE)</f>
        <v>0.27829774221900039</v>
      </c>
      <c r="F10">
        <f>VLOOKUP(B10,OUTPUT_COUNTRY!$B$7:$N$27, 9, FALSE)</f>
        <v>4.5</v>
      </c>
      <c r="G10" s="56">
        <f>VLOOKUP(B10,OUTPUT_COUNTRY!$B$7:$N$27, 7, FALSE)</f>
        <v>71.399999999999991</v>
      </c>
      <c r="H10">
        <f>VLOOKUP(B10,OUTPUT_COUNTRY!$B$7:$N$27, 8, FALSE)</f>
        <v>77.2</v>
      </c>
      <c r="I10">
        <f>VLOOKUP(B10,OUTPUT_COUNTRY!$B$7:$N$27, 11, FALSE)</f>
        <v>9</v>
      </c>
      <c r="J10" s="56">
        <f t="shared" si="0"/>
        <v>0</v>
      </c>
      <c r="K10" s="157">
        <f t="shared" si="1"/>
        <v>0</v>
      </c>
      <c r="L10">
        <f t="shared" si="2"/>
        <v>3.593273851331038</v>
      </c>
      <c r="M10" s="157" t="e">
        <f t="shared" si="3"/>
        <v>#VALUE!</v>
      </c>
      <c r="N10">
        <f t="shared" ref="N10:N29" si="8">IF(H10&gt;=$F$3,1/E10,0)</f>
        <v>3.593273851331038</v>
      </c>
      <c r="O10" s="157">
        <f t="shared" si="4"/>
        <v>8.6726247383673669E-2</v>
      </c>
      <c r="P10">
        <f t="shared" ref="P10:P29" si="9">IF(I10&gt;=$F$5,1/E10,0)</f>
        <v>0</v>
      </c>
      <c r="Q10" s="157">
        <f t="shared" si="5"/>
        <v>0</v>
      </c>
      <c r="R10" s="157" t="e">
        <f t="shared" si="6"/>
        <v>#VALUE!</v>
      </c>
      <c r="S10" s="176" t="str">
        <f t="shared" si="7"/>
        <v/>
      </c>
      <c r="U10" s="61"/>
    </row>
    <row r="11" spans="2:21" x14ac:dyDescent="0.35">
      <c r="B11" s="68" t="s">
        <v>35</v>
      </c>
      <c r="C11" t="str" cm="1">
        <f t="array" ref="C11">_xll.FDS(B11,"FG_COMPANY_NAME")</f>
        <v>iShares MSCI Indonesia ETF</v>
      </c>
      <c r="D11" t="s">
        <v>658</v>
      </c>
      <c r="E11" s="157">
        <f>HLOOKUP(B11,'Monthly Returns'!$A$1:$V$139,139,FALSE)</f>
        <v>0.24676125652499462</v>
      </c>
      <c r="F11">
        <f>VLOOKUP(B11,OUTPUT_COUNTRY!$B$7:$N$27, 9, FALSE)</f>
        <v>31.8</v>
      </c>
      <c r="G11" s="56">
        <f>VLOOKUP(B11,OUTPUT_COUNTRY!$B$7:$N$27, 7, FALSE)</f>
        <v>66.600000000000009</v>
      </c>
      <c r="H11">
        <f>VLOOKUP(B11,OUTPUT_COUNTRY!$B$7:$N$27, 8, FALSE)</f>
        <v>4.5</v>
      </c>
      <c r="I11">
        <f>VLOOKUP(B11,OUTPUT_COUNTRY!$B$7:$N$27, 11, FALSE)</f>
        <v>31.8</v>
      </c>
      <c r="J11" s="56">
        <f t="shared" si="0"/>
        <v>0</v>
      </c>
      <c r="K11" s="157">
        <f t="shared" si="1"/>
        <v>0</v>
      </c>
      <c r="L11">
        <f t="shared" si="2"/>
        <v>0</v>
      </c>
      <c r="M11" s="157" t="e">
        <f t="shared" si="3"/>
        <v>#VALUE!</v>
      </c>
      <c r="N11">
        <f t="shared" si="8"/>
        <v>0</v>
      </c>
      <c r="O11" s="157">
        <f t="shared" si="4"/>
        <v>0</v>
      </c>
      <c r="P11">
        <f t="shared" si="9"/>
        <v>0</v>
      </c>
      <c r="Q11" s="157">
        <f t="shared" si="5"/>
        <v>0</v>
      </c>
      <c r="R11" s="157" t="e">
        <f t="shared" si="6"/>
        <v>#VALUE!</v>
      </c>
      <c r="S11" s="176" t="str">
        <f t="shared" si="7"/>
        <v/>
      </c>
      <c r="U11" s="61"/>
    </row>
    <row r="12" spans="2:21" x14ac:dyDescent="0.35">
      <c r="B12" s="68" t="s">
        <v>30</v>
      </c>
      <c r="C12" t="str" cm="1">
        <f t="array" ref="C12">_xll.FDS(B12,"FG_COMPANY_NAME")</f>
        <v>iShares MSCI Philippines ETF</v>
      </c>
      <c r="D12" t="s">
        <v>706</v>
      </c>
      <c r="E12" s="157">
        <f>HLOOKUP(B12,'Monthly Returns'!$A$1:$V$139,139,FALSE)</f>
        <v>0.21509173404906548</v>
      </c>
      <c r="F12">
        <f>VLOOKUP(B12,OUTPUT_COUNTRY!$B$7:$N$27, 9, FALSE)</f>
        <v>86.3</v>
      </c>
      <c r="G12" s="56">
        <f>VLOOKUP(B12,OUTPUT_COUNTRY!$B$7:$N$27, 7, FALSE)</f>
        <v>57.099999999999994</v>
      </c>
      <c r="H12">
        <f>VLOOKUP(B12,OUTPUT_COUNTRY!$B$7:$N$27, 8, FALSE)</f>
        <v>4.5</v>
      </c>
      <c r="I12">
        <f>VLOOKUP(B12,OUTPUT_COUNTRY!$B$7:$N$27, 11, FALSE)</f>
        <v>50</v>
      </c>
      <c r="J12" s="56">
        <f t="shared" si="0"/>
        <v>4.6491791254604227</v>
      </c>
      <c r="K12" s="157">
        <f t="shared" si="1"/>
        <v>0.17021374912461404</v>
      </c>
      <c r="L12">
        <f t="shared" si="2"/>
        <v>0</v>
      </c>
      <c r="M12" s="157" t="e">
        <f t="shared" si="3"/>
        <v>#VALUE!</v>
      </c>
      <c r="N12">
        <f t="shared" si="8"/>
        <v>0</v>
      </c>
      <c r="O12" s="157">
        <f t="shared" si="4"/>
        <v>0</v>
      </c>
      <c r="P12">
        <f t="shared" si="9"/>
        <v>0</v>
      </c>
      <c r="Q12" s="157">
        <f t="shared" si="5"/>
        <v>0</v>
      </c>
      <c r="R12" s="157" t="e">
        <f t="shared" si="6"/>
        <v>#VALUE!</v>
      </c>
      <c r="S12" s="176" t="str">
        <f t="shared" si="7"/>
        <v/>
      </c>
      <c r="U12" s="61"/>
    </row>
    <row r="13" spans="2:21" x14ac:dyDescent="0.35">
      <c r="B13" s="68" t="s">
        <v>23</v>
      </c>
      <c r="C13" t="str" cm="1">
        <f t="array" ref="C13">_xll.FDS(B13,"FG_COMPANY_NAME")</f>
        <v>iShares MSCI Poland ETF</v>
      </c>
      <c r="D13" t="s">
        <v>707</v>
      </c>
      <c r="E13" s="157">
        <f>HLOOKUP(B13,'Monthly Returns'!$A$1:$V$139,139,FALSE)</f>
        <v>0.30434855926979998</v>
      </c>
      <c r="F13">
        <f>VLOOKUP(B13,OUTPUT_COUNTRY!$B$7:$N$27, 9, FALSE)</f>
        <v>68.100000000000009</v>
      </c>
      <c r="G13" s="56">
        <f>VLOOKUP(B13,OUTPUT_COUNTRY!$B$7:$N$27, 7, FALSE)</f>
        <v>23.799999999999997</v>
      </c>
      <c r="H13">
        <f>VLOOKUP(B13,OUTPUT_COUNTRY!$B$7:$N$27, 8, FALSE)</f>
        <v>77.2</v>
      </c>
      <c r="I13">
        <f>VLOOKUP(B13,OUTPUT_COUNTRY!$B$7:$N$27, 11, FALSE)</f>
        <v>68.100000000000009</v>
      </c>
      <c r="J13" s="56">
        <f t="shared" si="0"/>
        <v>0</v>
      </c>
      <c r="K13" s="157">
        <f t="shared" si="1"/>
        <v>0</v>
      </c>
      <c r="L13">
        <f t="shared" si="2"/>
        <v>0</v>
      </c>
      <c r="M13" s="157" t="e">
        <f t="shared" si="3"/>
        <v>#VALUE!</v>
      </c>
      <c r="N13">
        <f t="shared" si="8"/>
        <v>3.2857063703512277</v>
      </c>
      <c r="O13" s="157">
        <f t="shared" si="4"/>
        <v>7.9302885139032178E-2</v>
      </c>
      <c r="P13">
        <f t="shared" si="9"/>
        <v>3.2857063703512277</v>
      </c>
      <c r="Q13" s="157">
        <f t="shared" si="5"/>
        <v>9.4721027580662087E-2</v>
      </c>
      <c r="R13" s="157" t="e">
        <f t="shared" si="6"/>
        <v>#VALUE!</v>
      </c>
      <c r="S13" s="176" t="str">
        <f t="shared" si="7"/>
        <v/>
      </c>
      <c r="U13" s="61"/>
    </row>
    <row r="14" spans="2:21" x14ac:dyDescent="0.35">
      <c r="B14" s="68" t="s">
        <v>29</v>
      </c>
      <c r="C14" t="str" cm="1">
        <f t="array" ref="C14">_xll.FDS(B14,"FG_COMPANY_NAME")</f>
        <v>iShares MSCI Peru and Global Exposure ETF</v>
      </c>
      <c r="D14" t="s">
        <v>705</v>
      </c>
      <c r="E14" s="157">
        <f>HLOOKUP(B14,'Monthly Returns'!$A$1:$V$139,139,FALSE)</f>
        <v>0.2624664772899124</v>
      </c>
      <c r="F14">
        <f>VLOOKUP(B14,OUTPUT_COUNTRY!$B$7:$N$27, 9, FALSE)</f>
        <v>72.7</v>
      </c>
      <c r="G14" s="56" t="e">
        <f>VLOOKUP(B14,OUTPUT_COUNTRY!$B$7:$N$27, 7, FALSE)</f>
        <v>#VALUE!</v>
      </c>
      <c r="H14">
        <f>VLOOKUP(B14,OUTPUT_COUNTRY!$B$7:$N$27, 8, FALSE)</f>
        <v>68.100000000000009</v>
      </c>
      <c r="I14">
        <f>VLOOKUP(B14,OUTPUT_COUNTRY!$B$7:$N$27, 11, FALSE)</f>
        <v>36.299999999999997</v>
      </c>
      <c r="J14" s="56">
        <f t="shared" si="0"/>
        <v>3.8100103690401221</v>
      </c>
      <c r="K14" s="157">
        <f t="shared" si="1"/>
        <v>0.13949046307260723</v>
      </c>
      <c r="L14" t="e">
        <f t="shared" si="2"/>
        <v>#VALUE!</v>
      </c>
      <c r="M14" s="157" t="e">
        <f t="shared" si="3"/>
        <v>#VALUE!</v>
      </c>
      <c r="N14">
        <f t="shared" si="8"/>
        <v>3.8100103690401221</v>
      </c>
      <c r="O14" s="157">
        <f t="shared" si="4"/>
        <v>9.1957339037027949E-2</v>
      </c>
      <c r="P14">
        <f t="shared" si="9"/>
        <v>0</v>
      </c>
      <c r="Q14" s="157">
        <f t="shared" si="5"/>
        <v>0</v>
      </c>
      <c r="R14" s="157" t="e">
        <f t="shared" si="6"/>
        <v>#VALUE!</v>
      </c>
      <c r="S14" s="176" t="str">
        <f t="shared" si="7"/>
        <v/>
      </c>
      <c r="U14" s="61"/>
    </row>
    <row r="15" spans="2:21" x14ac:dyDescent="0.35">
      <c r="B15" s="68" t="s">
        <v>33</v>
      </c>
      <c r="C15" t="str" cm="1">
        <f t="array" ref="C15">_xll.FDS(B15,"FG_COMPANY_NAME")</f>
        <v>iShares MSCI Malaysia ETF</v>
      </c>
      <c r="D15" t="s">
        <v>680</v>
      </c>
      <c r="E15" s="157">
        <f>HLOOKUP(B15,'Monthly Returns'!$A$1:$V$139,139,FALSE)</f>
        <v>0.15852390504356834</v>
      </c>
      <c r="F15">
        <f>VLOOKUP(B15,OUTPUT_COUNTRY!$B$7:$N$27, 9, FALSE)</f>
        <v>54.500000000000007</v>
      </c>
      <c r="G15" s="56">
        <f>VLOOKUP(B15,OUTPUT_COUNTRY!$B$7:$N$27, 7, FALSE)</f>
        <v>52.300000000000004</v>
      </c>
      <c r="H15">
        <f>VLOOKUP(B15,OUTPUT_COUNTRY!$B$7:$N$27, 8, FALSE)</f>
        <v>4.5</v>
      </c>
      <c r="I15">
        <f>VLOOKUP(B15,OUTPUT_COUNTRY!$B$7:$N$27, 11, FALSE)</f>
        <v>45.4</v>
      </c>
      <c r="J15" s="56">
        <f t="shared" si="0"/>
        <v>0</v>
      </c>
      <c r="K15" s="157">
        <f t="shared" si="1"/>
        <v>0</v>
      </c>
      <c r="L15">
        <f t="shared" si="2"/>
        <v>0</v>
      </c>
      <c r="M15" s="157" t="e">
        <f t="shared" si="3"/>
        <v>#VALUE!</v>
      </c>
      <c r="N15">
        <f t="shared" si="8"/>
        <v>0</v>
      </c>
      <c r="O15" s="157">
        <f t="shared" si="4"/>
        <v>0</v>
      </c>
      <c r="P15">
        <f t="shared" si="9"/>
        <v>0</v>
      </c>
      <c r="Q15" s="157">
        <f t="shared" si="5"/>
        <v>0</v>
      </c>
      <c r="R15" s="157" t="e">
        <f t="shared" si="6"/>
        <v>#VALUE!</v>
      </c>
      <c r="S15" s="176" t="str">
        <f t="shared" si="7"/>
        <v/>
      </c>
      <c r="U15" s="61"/>
    </row>
    <row r="16" spans="2:21" x14ac:dyDescent="0.35">
      <c r="B16" s="68" t="s">
        <v>24</v>
      </c>
      <c r="C16" t="str" cm="1">
        <f t="array" ref="C16">_xll.FDS(B16,"FG_COMPANY_NAME")</f>
        <v>iShares MSCI Taiwan ETF</v>
      </c>
      <c r="D16" t="s">
        <v>727</v>
      </c>
      <c r="E16" s="157">
        <f>HLOOKUP(B16,'Monthly Returns'!$A$1:$V$139,139,FALSE)</f>
        <v>0.19508176864266377</v>
      </c>
      <c r="F16">
        <f>VLOOKUP(B16,OUTPUT_COUNTRY!$B$7:$N$27, 9, FALSE)</f>
        <v>81.8</v>
      </c>
      <c r="G16" s="56">
        <f>VLOOKUP(B16,OUTPUT_COUNTRY!$B$7:$N$27, 7, FALSE)</f>
        <v>80.900000000000006</v>
      </c>
      <c r="H16">
        <f>VLOOKUP(B16,OUTPUT_COUNTRY!$B$7:$N$27, 8, FALSE)</f>
        <v>40.9</v>
      </c>
      <c r="I16">
        <f>VLOOKUP(B16,OUTPUT_COUNTRY!$B$7:$N$27, 11, FALSE)</f>
        <v>81.8</v>
      </c>
      <c r="J16" s="56">
        <f t="shared" si="0"/>
        <v>5.1260556378885687</v>
      </c>
      <c r="K16" s="157">
        <f t="shared" si="1"/>
        <v>0.18767294715924057</v>
      </c>
      <c r="L16">
        <f t="shared" si="2"/>
        <v>5.1260556378885687</v>
      </c>
      <c r="M16" s="157" t="e">
        <f t="shared" si="3"/>
        <v>#VALUE!</v>
      </c>
      <c r="N16">
        <f t="shared" si="8"/>
        <v>0</v>
      </c>
      <c r="O16" s="157">
        <f t="shared" si="4"/>
        <v>0</v>
      </c>
      <c r="P16">
        <f t="shared" si="9"/>
        <v>5.1260556378885687</v>
      </c>
      <c r="Q16" s="157">
        <f t="shared" si="5"/>
        <v>0.14777499956715512</v>
      </c>
      <c r="R16" s="157" t="e">
        <f t="shared" si="6"/>
        <v>#VALUE!</v>
      </c>
      <c r="S16" s="176" t="str">
        <f t="shared" si="7"/>
        <v/>
      </c>
      <c r="U16" s="61"/>
    </row>
    <row r="17" spans="2:21" x14ac:dyDescent="0.35">
      <c r="B17" s="68" t="s">
        <v>7</v>
      </c>
      <c r="C17" t="str" cm="1">
        <f t="array" ref="C17">_xll.FDS(B17,"FG_COMPANY_NAME")</f>
        <v>iShares MSCI Mexico ETF</v>
      </c>
      <c r="D17" t="s">
        <v>685</v>
      </c>
      <c r="E17" s="157">
        <f>HLOOKUP(B17,'Monthly Returns'!$A$1:$V$139,139,FALSE)</f>
        <v>0.27042725059735068</v>
      </c>
      <c r="F17">
        <f>VLOOKUP(B17,OUTPUT_COUNTRY!$B$7:$N$27, 9, FALSE)</f>
        <v>59</v>
      </c>
      <c r="G17" s="56">
        <f>VLOOKUP(B17,OUTPUT_COUNTRY!$B$7:$N$27, 7, FALSE)</f>
        <v>33.300000000000004</v>
      </c>
      <c r="H17">
        <f>VLOOKUP(B17,OUTPUT_COUNTRY!$B$7:$N$27, 8, FALSE)</f>
        <v>54.500000000000007</v>
      </c>
      <c r="I17">
        <f>VLOOKUP(B17,OUTPUT_COUNTRY!$B$7:$N$27, 11, FALSE)</f>
        <v>77.2</v>
      </c>
      <c r="J17" s="56">
        <f t="shared" si="0"/>
        <v>0</v>
      </c>
      <c r="K17" s="157">
        <f t="shared" si="1"/>
        <v>0</v>
      </c>
      <c r="L17">
        <f t="shared" si="2"/>
        <v>0</v>
      </c>
      <c r="M17" s="157" t="e">
        <f t="shared" si="3"/>
        <v>#VALUE!</v>
      </c>
      <c r="N17">
        <f t="shared" si="8"/>
        <v>3.6978521868306005</v>
      </c>
      <c r="O17" s="157">
        <f t="shared" si="4"/>
        <v>8.925032068583745E-2</v>
      </c>
      <c r="P17">
        <f t="shared" si="9"/>
        <v>3.6978521868306005</v>
      </c>
      <c r="Q17" s="157">
        <f t="shared" si="5"/>
        <v>0.10660245301851218</v>
      </c>
      <c r="R17" s="157" t="e">
        <f t="shared" si="6"/>
        <v>#VALUE!</v>
      </c>
      <c r="S17" s="176" t="str">
        <f t="shared" si="7"/>
        <v/>
      </c>
      <c r="U17" s="61"/>
    </row>
    <row r="18" spans="2:21" x14ac:dyDescent="0.35">
      <c r="B18" s="68" t="s">
        <v>21</v>
      </c>
      <c r="C18" t="str" cm="1">
        <f t="array" ref="C18">_xll.FDS(B18,"FG_COMPANY_NAME")</f>
        <v>iShares MSCI South Korea ETF</v>
      </c>
      <c r="D18" t="s">
        <v>667</v>
      </c>
      <c r="E18" s="157">
        <f>HLOOKUP(B18,'Monthly Returns'!$A$1:$V$139,139,FALSE)</f>
        <v>0.21839916394527872</v>
      </c>
      <c r="F18">
        <f>VLOOKUP(B18,OUTPUT_COUNTRY!$B$7:$N$27, 9, FALSE)</f>
        <v>63.6</v>
      </c>
      <c r="G18" s="56">
        <f>VLOOKUP(B18,OUTPUT_COUNTRY!$B$7:$N$27, 7, FALSE)</f>
        <v>42.8</v>
      </c>
      <c r="H18">
        <f>VLOOKUP(B18,OUTPUT_COUNTRY!$B$7:$N$27, 8, FALSE)</f>
        <v>40.9</v>
      </c>
      <c r="I18">
        <f>VLOOKUP(B18,OUTPUT_COUNTRY!$B$7:$N$27, 11, FALSE)</f>
        <v>22.7</v>
      </c>
      <c r="J18" s="56">
        <f t="shared" si="0"/>
        <v>0</v>
      </c>
      <c r="K18" s="157">
        <f t="shared" si="1"/>
        <v>0</v>
      </c>
      <c r="L18">
        <f t="shared" si="2"/>
        <v>0</v>
      </c>
      <c r="M18" s="157" t="e">
        <f t="shared" si="3"/>
        <v>#VALUE!</v>
      </c>
      <c r="N18">
        <f t="shared" si="8"/>
        <v>0</v>
      </c>
      <c r="O18" s="157">
        <f t="shared" si="4"/>
        <v>0</v>
      </c>
      <c r="P18">
        <f t="shared" si="9"/>
        <v>0</v>
      </c>
      <c r="Q18" s="157">
        <f t="shared" si="5"/>
        <v>0</v>
      </c>
      <c r="R18" s="157" t="e">
        <f t="shared" si="6"/>
        <v>#VALUE!</v>
      </c>
      <c r="S18" s="176" t="str">
        <f t="shared" si="7"/>
        <v/>
      </c>
      <c r="U18" s="61"/>
    </row>
    <row r="19" spans="2:21" x14ac:dyDescent="0.35">
      <c r="B19" s="68" t="s">
        <v>12</v>
      </c>
      <c r="C19" t="str" cm="1">
        <f t="array" ref="C19">_xll.FDS(B19,"FG_COMPANY_NAME")</f>
        <v>iShares MSCI Brazil ETF</v>
      </c>
      <c r="D19" t="s">
        <v>610</v>
      </c>
      <c r="E19" s="157">
        <f>HLOOKUP(B19,'Monthly Returns'!$A$1:$V$139,139,FALSE)</f>
        <v>0.3624005080418839</v>
      </c>
      <c r="F19">
        <f>VLOOKUP(B19,OUTPUT_COUNTRY!$B$7:$N$27, 9, FALSE)</f>
        <v>50</v>
      </c>
      <c r="G19" s="56">
        <f>VLOOKUP(B19,OUTPUT_COUNTRY!$B$7:$N$27, 7, FALSE)</f>
        <v>9.5</v>
      </c>
      <c r="H19">
        <f>VLOOKUP(B19,OUTPUT_COUNTRY!$B$7:$N$27, 8, FALSE)</f>
        <v>68.100000000000009</v>
      </c>
      <c r="I19">
        <f>VLOOKUP(B19,OUTPUT_COUNTRY!$B$7:$N$27, 11, FALSE)</f>
        <v>27.200000000000003</v>
      </c>
      <c r="J19" s="56">
        <f t="shared" si="0"/>
        <v>0</v>
      </c>
      <c r="K19" s="157">
        <f t="shared" si="1"/>
        <v>0</v>
      </c>
      <c r="L19">
        <f t="shared" si="2"/>
        <v>0</v>
      </c>
      <c r="M19" s="157" t="e">
        <f t="shared" si="3"/>
        <v>#VALUE!</v>
      </c>
      <c r="N19">
        <f t="shared" si="8"/>
        <v>2.7593780301335187</v>
      </c>
      <c r="O19" s="157">
        <f t="shared" si="4"/>
        <v>6.6599572303064833E-2</v>
      </c>
      <c r="P19">
        <f t="shared" si="9"/>
        <v>0</v>
      </c>
      <c r="Q19" s="157">
        <f t="shared" si="5"/>
        <v>0</v>
      </c>
      <c r="R19" s="157" t="e">
        <f t="shared" si="6"/>
        <v>#VALUE!</v>
      </c>
      <c r="S19" s="176" t="str">
        <f t="shared" si="7"/>
        <v/>
      </c>
      <c r="U19" s="61"/>
    </row>
    <row r="20" spans="2:21" x14ac:dyDescent="0.35">
      <c r="B20" s="68" t="s">
        <v>22</v>
      </c>
      <c r="C20" t="str" cm="1">
        <f t="array" ref="C20">_xll.FDS(B20,"FG_COMPANY_NAME")</f>
        <v>iShares MSCI South Africa ETF</v>
      </c>
      <c r="D20" t="s">
        <v>720</v>
      </c>
      <c r="E20" s="157">
        <f>HLOOKUP(B20,'Monthly Returns'!$A$1:$V$139,139,FALSE)</f>
        <v>0.2619093206358804</v>
      </c>
      <c r="F20">
        <f>VLOOKUP(B20,OUTPUT_COUNTRY!$B$7:$N$27, 9, FALSE)</f>
        <v>13.600000000000001</v>
      </c>
      <c r="G20" s="56">
        <f>VLOOKUP(B20,OUTPUT_COUNTRY!$B$7:$N$27, 7, FALSE)</f>
        <v>28.499999999999996</v>
      </c>
      <c r="H20">
        <f>VLOOKUP(B20,OUTPUT_COUNTRY!$B$7:$N$27, 8, FALSE)</f>
        <v>4.5</v>
      </c>
      <c r="I20">
        <f>VLOOKUP(B20,OUTPUT_COUNTRY!$B$7:$N$27, 11, FALSE)</f>
        <v>13.600000000000001</v>
      </c>
      <c r="J20" s="56">
        <f t="shared" si="0"/>
        <v>0</v>
      </c>
      <c r="K20" s="157">
        <f t="shared" si="1"/>
        <v>0</v>
      </c>
      <c r="L20">
        <f t="shared" si="2"/>
        <v>0</v>
      </c>
      <c r="M20" s="157" t="e">
        <f t="shared" si="3"/>
        <v>#VALUE!</v>
      </c>
      <c r="N20">
        <f t="shared" si="8"/>
        <v>0</v>
      </c>
      <c r="O20" s="157">
        <f t="shared" si="4"/>
        <v>0</v>
      </c>
      <c r="P20">
        <f t="shared" si="9"/>
        <v>0</v>
      </c>
      <c r="Q20" s="157">
        <f t="shared" si="5"/>
        <v>0</v>
      </c>
      <c r="R20" s="157" t="e">
        <f t="shared" si="6"/>
        <v>#VALUE!</v>
      </c>
      <c r="S20" s="176" t="str">
        <f t="shared" si="7"/>
        <v/>
      </c>
      <c r="U20" s="61"/>
    </row>
    <row r="21" spans="2:21" x14ac:dyDescent="0.35">
      <c r="B21" s="68" t="s">
        <v>28</v>
      </c>
      <c r="C21" t="str" cm="1">
        <f t="array" ref="C21">_xll.FDS(B21,"FG_COMPANY_NAME")</f>
        <v>Global X MSCI Greece ETF</v>
      </c>
      <c r="D21" t="s">
        <v>647</v>
      </c>
      <c r="E21" s="157">
        <f>HLOOKUP(B21,'Monthly Returns'!$A$1:$V$139,139,FALSE)</f>
        <v>0.31221293327097605</v>
      </c>
      <c r="F21">
        <f>VLOOKUP(B21,OUTPUT_COUNTRY!$B$7:$N$27, 9, FALSE)</f>
        <v>77.2</v>
      </c>
      <c r="G21" s="56">
        <f>VLOOKUP(B21,OUTPUT_COUNTRY!$B$7:$N$27, 7, FALSE)</f>
        <v>19</v>
      </c>
      <c r="H21">
        <f>VLOOKUP(B21,OUTPUT_COUNTRY!$B$7:$N$27, 8, FALSE)</f>
        <v>40.9</v>
      </c>
      <c r="I21">
        <f>VLOOKUP(B21,OUTPUT_COUNTRY!$B$7:$N$27, 11, FALSE)</f>
        <v>54.500000000000007</v>
      </c>
      <c r="J21" s="56">
        <f t="shared" si="0"/>
        <v>3.2029422661106719</v>
      </c>
      <c r="K21" s="157">
        <f t="shared" si="1"/>
        <v>0.11726474644927631</v>
      </c>
      <c r="L21">
        <f t="shared" si="2"/>
        <v>0</v>
      </c>
      <c r="M21" s="157" t="e">
        <f t="shared" si="3"/>
        <v>#VALUE!</v>
      </c>
      <c r="N21">
        <f t="shared" si="8"/>
        <v>0</v>
      </c>
      <c r="O21" s="157">
        <f t="shared" si="4"/>
        <v>0</v>
      </c>
      <c r="P21">
        <f t="shared" si="9"/>
        <v>0</v>
      </c>
      <c r="Q21" s="157">
        <f t="shared" si="5"/>
        <v>0</v>
      </c>
      <c r="R21" s="157" t="e">
        <f t="shared" si="6"/>
        <v>#VALUE!</v>
      </c>
      <c r="S21" s="176" t="str">
        <f t="shared" si="7"/>
        <v/>
      </c>
      <c r="U21" s="61"/>
    </row>
    <row r="22" spans="2:21" x14ac:dyDescent="0.35">
      <c r="B22" s="68" t="s">
        <v>32</v>
      </c>
      <c r="C22" t="str" cm="1">
        <f t="array" ref="C22">_xll.FDS(B22,"FG_COMPANY_NAME")</f>
        <v>iShares MSCI India ETF</v>
      </c>
      <c r="D22" t="s">
        <v>657</v>
      </c>
      <c r="E22" s="157">
        <f>HLOOKUP(B22,'Monthly Returns'!$A$1:$V$139,139,FALSE)</f>
        <v>0.21809011788891691</v>
      </c>
      <c r="F22">
        <f>VLOOKUP(B22,OUTPUT_COUNTRY!$B$7:$N$27, 9, FALSE)</f>
        <v>95.399999999999991</v>
      </c>
      <c r="G22" s="56">
        <f>VLOOKUP(B22,OUTPUT_COUNTRY!$B$7:$N$27, 7, FALSE)</f>
        <v>38</v>
      </c>
      <c r="H22">
        <f>VLOOKUP(B22,OUTPUT_COUNTRY!$B$7:$N$27, 8, FALSE)</f>
        <v>54.500000000000007</v>
      </c>
      <c r="I22">
        <f>VLOOKUP(B22,OUTPUT_COUNTRY!$B$7:$N$27, 11, FALSE)</f>
        <v>72.7</v>
      </c>
      <c r="J22" s="56">
        <f t="shared" si="0"/>
        <v>4.5852604862607524</v>
      </c>
      <c r="K22" s="157">
        <f t="shared" si="1"/>
        <v>0.16787358736196267</v>
      </c>
      <c r="L22">
        <f t="shared" si="2"/>
        <v>0</v>
      </c>
      <c r="M22" s="157" t="e">
        <f t="shared" si="3"/>
        <v>#VALUE!</v>
      </c>
      <c r="N22">
        <f t="shared" si="8"/>
        <v>4.5852604862607524</v>
      </c>
      <c r="O22" s="157">
        <f t="shared" si="4"/>
        <v>0.11066855789539386</v>
      </c>
      <c r="P22">
        <f t="shared" si="9"/>
        <v>4.5852604862607524</v>
      </c>
      <c r="Q22" s="157">
        <f t="shared" si="5"/>
        <v>0.13218484430098293</v>
      </c>
      <c r="R22" s="157" t="e">
        <f t="shared" si="6"/>
        <v>#VALUE!</v>
      </c>
      <c r="S22" s="176" t="str">
        <f t="shared" si="7"/>
        <v/>
      </c>
      <c r="U22" s="61"/>
    </row>
    <row r="23" spans="2:21" x14ac:dyDescent="0.35">
      <c r="B23" s="68" t="s">
        <v>26</v>
      </c>
      <c r="C23" t="str" cm="1">
        <f t="array" ref="C23">_xll.FDS(B23,"FG_COMPANY_NAME")</f>
        <v>iShares MSCI China ETF</v>
      </c>
      <c r="D23" t="s">
        <v>622</v>
      </c>
      <c r="E23" s="157">
        <f>HLOOKUP(B23,'Monthly Returns'!$A$1:$V$139,139,FALSE)</f>
        <v>0.22592397699674133</v>
      </c>
      <c r="F23">
        <f>VLOOKUP(B23,OUTPUT_COUNTRY!$B$7:$N$27, 9, FALSE)</f>
        <v>9</v>
      </c>
      <c r="G23" s="56">
        <f>VLOOKUP(B23,OUTPUT_COUNTRY!$B$7:$N$27, 7, FALSE)</f>
        <v>90.4</v>
      </c>
      <c r="H23">
        <f>VLOOKUP(B23,OUTPUT_COUNTRY!$B$7:$N$27, 8, FALSE)</f>
        <v>77.2</v>
      </c>
      <c r="I23">
        <f>VLOOKUP(B23,OUTPUT_COUNTRY!$B$7:$N$27, 11, FALSE)</f>
        <v>59</v>
      </c>
      <c r="J23" s="56">
        <f t="shared" si="0"/>
        <v>0</v>
      </c>
      <c r="K23" s="157">
        <f t="shared" si="1"/>
        <v>0</v>
      </c>
      <c r="L23">
        <f t="shared" si="2"/>
        <v>4.4262676909871486</v>
      </c>
      <c r="M23" s="157" t="e">
        <f t="shared" si="3"/>
        <v>#VALUE!</v>
      </c>
      <c r="N23">
        <f t="shared" si="8"/>
        <v>4.4262676909871486</v>
      </c>
      <c r="O23" s="157">
        <f t="shared" si="4"/>
        <v>0.106831152491402</v>
      </c>
      <c r="P23">
        <f t="shared" si="9"/>
        <v>0</v>
      </c>
      <c r="Q23" s="157">
        <f t="shared" si="5"/>
        <v>0</v>
      </c>
      <c r="R23" s="157" t="e">
        <f t="shared" si="6"/>
        <v>#VALUE!</v>
      </c>
      <c r="S23" s="176" t="str">
        <f t="shared" si="7"/>
        <v/>
      </c>
      <c r="U23" s="61"/>
    </row>
    <row r="24" spans="2:21" x14ac:dyDescent="0.35">
      <c r="B24" s="68" t="s">
        <v>31</v>
      </c>
      <c r="C24" t="str" cm="1">
        <f t="array" ref="C24">_xll.FDS(B24,"FG_COMPANY_NAME")</f>
        <v>iShares MSCI Qatar ETF</v>
      </c>
      <c r="D24" t="s">
        <v>709</v>
      </c>
      <c r="E24" s="157">
        <f>HLOOKUP(B24,'Monthly Returns'!$A$1:$V$139,139,FALSE)</f>
        <v>0.16037478665878843</v>
      </c>
      <c r="F24">
        <f>VLOOKUP(B24,OUTPUT_COUNTRY!$B$7:$N$27, 9, FALSE)</f>
        <v>40.9</v>
      </c>
      <c r="G24" s="56">
        <f>VLOOKUP(B24,OUTPUT_COUNTRY!$B$7:$N$27, 7, FALSE)</f>
        <v>61.9</v>
      </c>
      <c r="H24">
        <f>VLOOKUP(B24,OUTPUT_COUNTRY!$B$7:$N$27, 8, FALSE)</f>
        <v>4.5</v>
      </c>
      <c r="I24">
        <f>VLOOKUP(B24,OUTPUT_COUNTRY!$B$7:$N$27, 11, FALSE)</f>
        <v>90.9</v>
      </c>
      <c r="J24" s="56">
        <f t="shared" si="0"/>
        <v>0</v>
      </c>
      <c r="K24" s="157">
        <f t="shared" si="1"/>
        <v>0</v>
      </c>
      <c r="L24">
        <f t="shared" si="2"/>
        <v>0</v>
      </c>
      <c r="M24" s="157" t="e">
        <f t="shared" si="3"/>
        <v>#VALUE!</v>
      </c>
      <c r="N24">
        <f t="shared" si="8"/>
        <v>0</v>
      </c>
      <c r="O24" s="157">
        <f t="shared" si="4"/>
        <v>0</v>
      </c>
      <c r="P24">
        <f t="shared" si="9"/>
        <v>6.235394109222347</v>
      </c>
      <c r="Q24" s="157">
        <f t="shared" si="5"/>
        <v>0.17975524006815399</v>
      </c>
      <c r="R24" s="157" t="e">
        <f t="shared" si="6"/>
        <v>#VALUE!</v>
      </c>
      <c r="S24" s="176" t="str">
        <f t="shared" si="7"/>
        <v/>
      </c>
      <c r="U24" s="61"/>
    </row>
    <row r="25" spans="2:21" x14ac:dyDescent="0.35">
      <c r="B25" s="68" t="s">
        <v>764</v>
      </c>
      <c r="C25" t="str" cm="1">
        <f t="array" ref="C25">_xll.FDS(B25,"FG_COMPANY_NAME")</f>
        <v>Thailand SET</v>
      </c>
      <c r="D25" t="s">
        <v>730</v>
      </c>
      <c r="E25" s="157">
        <f>HLOOKUP(B25,'Monthly Returns'!$A$1:$V$139,139,FALSE)</f>
        <v>0.15791544167532842</v>
      </c>
      <c r="F25">
        <f>VLOOKUP(B25,OUTPUT_COUNTRY!$B$7:$N$27, 9, FALSE)</f>
        <v>45.4</v>
      </c>
      <c r="G25" s="56">
        <f>VLOOKUP(B25,OUTPUT_COUNTRY!$B$7:$N$27, 7, FALSE)</f>
        <v>85.7</v>
      </c>
      <c r="H25">
        <f>VLOOKUP(B25,OUTPUT_COUNTRY!$B$7:$N$27, 8, FALSE)</f>
        <v>54.500000000000007</v>
      </c>
      <c r="I25">
        <f>VLOOKUP(B25,OUTPUT_COUNTRY!$B$7:$N$27, 11, FALSE)</f>
        <v>18.099999999999998</v>
      </c>
      <c r="J25" s="56">
        <f t="shared" si="0"/>
        <v>0</v>
      </c>
      <c r="K25" s="157">
        <f t="shared" si="1"/>
        <v>0</v>
      </c>
      <c r="L25">
        <f t="shared" si="2"/>
        <v>6.3325029483562707</v>
      </c>
      <c r="M25" s="157" t="e">
        <f t="shared" si="3"/>
        <v>#VALUE!</v>
      </c>
      <c r="N25">
        <f t="shared" si="8"/>
        <v>6.3325029483562707</v>
      </c>
      <c r="O25" s="157">
        <f t="shared" si="4"/>
        <v>0.15283951070235119</v>
      </c>
      <c r="P25">
        <f t="shared" si="9"/>
        <v>0</v>
      </c>
      <c r="Q25" s="157">
        <f t="shared" si="5"/>
        <v>0</v>
      </c>
      <c r="R25" s="157" t="e">
        <f t="shared" si="6"/>
        <v>#VALUE!</v>
      </c>
      <c r="S25" s="176" t="str">
        <f t="shared" si="7"/>
        <v/>
      </c>
      <c r="U25" s="61"/>
    </row>
    <row r="26" spans="2:21" x14ac:dyDescent="0.35">
      <c r="B26" s="68" t="s">
        <v>25</v>
      </c>
      <c r="C26" t="str" cm="1">
        <f t="array" ref="C26">_xll.FDS(B26,"FG_COMPANY_NAME")</f>
        <v>iShares MSCI Turkey ETF</v>
      </c>
      <c r="D26" t="s">
        <v>734</v>
      </c>
      <c r="E26" s="157">
        <f>HLOOKUP(B26,'Monthly Returns'!$A$1:$V$139,139,FALSE)</f>
        <v>0.34359226253384778</v>
      </c>
      <c r="F26">
        <f>VLOOKUP(B26,OUTPUT_COUNTRY!$B$7:$N$27, 9, FALSE)</f>
        <v>27.200000000000003</v>
      </c>
      <c r="G26" s="56">
        <f>VLOOKUP(B26,OUTPUT_COUNTRY!$B$7:$N$27, 7, FALSE)</f>
        <v>47.599999999999994</v>
      </c>
      <c r="H26">
        <f>VLOOKUP(B26,OUTPUT_COUNTRY!$B$7:$N$27, 8, FALSE)</f>
        <v>4.5</v>
      </c>
      <c r="I26">
        <f>VLOOKUP(B26,OUTPUT_COUNTRY!$B$7:$N$27, 11, FALSE)</f>
        <v>4.5</v>
      </c>
      <c r="J26" s="56">
        <f t="shared" si="0"/>
        <v>0</v>
      </c>
      <c r="K26" s="157">
        <f t="shared" si="1"/>
        <v>0</v>
      </c>
      <c r="L26">
        <f t="shared" si="2"/>
        <v>0</v>
      </c>
      <c r="M26" s="157" t="e">
        <f t="shared" si="3"/>
        <v>#VALUE!</v>
      </c>
      <c r="N26">
        <f t="shared" si="8"/>
        <v>0</v>
      </c>
      <c r="O26" s="157">
        <f t="shared" si="4"/>
        <v>0</v>
      </c>
      <c r="P26">
        <f t="shared" si="9"/>
        <v>0</v>
      </c>
      <c r="Q26" s="157">
        <f t="shared" si="5"/>
        <v>0</v>
      </c>
      <c r="R26" s="157" t="e">
        <f t="shared" si="6"/>
        <v>#VALUE!</v>
      </c>
      <c r="S26" s="176" t="str">
        <f t="shared" si="7"/>
        <v/>
      </c>
      <c r="U26" s="61"/>
    </row>
    <row r="27" spans="2:21" x14ac:dyDescent="0.35">
      <c r="B27" s="68" t="s">
        <v>34</v>
      </c>
      <c r="C27" t="str" cm="1">
        <f t="array" ref="C27">_xll.FDS(B27,"FG_COMPANY_NAME")</f>
        <v>iShares MSCI UAE ETF</v>
      </c>
      <c r="D27" t="s">
        <v>738</v>
      </c>
      <c r="E27" s="157">
        <f>HLOOKUP(B27,'Monthly Returns'!$A$1:$V$139,139,FALSE)</f>
        <v>0.17189052935361693</v>
      </c>
      <c r="F27">
        <f>VLOOKUP(B27,OUTPUT_COUNTRY!$B$7:$N$27, 9, FALSE)</f>
        <v>36.299999999999997</v>
      </c>
      <c r="G27" s="56">
        <f>VLOOKUP(B27,OUTPUT_COUNTRY!$B$7:$N$27, 7, FALSE)</f>
        <v>76.099999999999994</v>
      </c>
      <c r="H27">
        <f>VLOOKUP(B27,OUTPUT_COUNTRY!$B$7:$N$27, 8, FALSE)</f>
        <v>4.5</v>
      </c>
      <c r="I27">
        <f>VLOOKUP(B27,OUTPUT_COUNTRY!$B$7:$N$27, 11, FALSE)</f>
        <v>95.399999999999991</v>
      </c>
      <c r="J27" s="56">
        <f t="shared" si="0"/>
        <v>0</v>
      </c>
      <c r="K27" s="157">
        <f t="shared" si="1"/>
        <v>0</v>
      </c>
      <c r="L27">
        <f t="shared" si="2"/>
        <v>5.8176561778035971</v>
      </c>
      <c r="M27" s="157" t="e">
        <f t="shared" si="3"/>
        <v>#VALUE!</v>
      </c>
      <c r="N27">
        <f t="shared" si="8"/>
        <v>0</v>
      </c>
      <c r="O27" s="157">
        <f t="shared" si="4"/>
        <v>0</v>
      </c>
      <c r="P27">
        <f t="shared" si="9"/>
        <v>5.8176561778035971</v>
      </c>
      <c r="Q27" s="157">
        <f t="shared" si="5"/>
        <v>0.16771260397612414</v>
      </c>
      <c r="R27" s="157" t="e">
        <f t="shared" si="6"/>
        <v>#VALUE!</v>
      </c>
      <c r="S27" s="176" t="str">
        <f t="shared" si="7"/>
        <v/>
      </c>
      <c r="U27" s="61"/>
    </row>
    <row r="28" spans="2:21" x14ac:dyDescent="0.35">
      <c r="B28" s="68" t="s">
        <v>37</v>
      </c>
      <c r="C28" t="str" cm="1">
        <f t="array" ref="C28">_xll.FDS(B28,"FG_COMPANY_NAME")</f>
        <v>VanEck Vietnam ETF</v>
      </c>
      <c r="D28" t="s">
        <v>743</v>
      </c>
      <c r="E28" s="157">
        <f>HLOOKUP(B28,'Monthly Returns'!$A$1:$V$139,139,FALSE)</f>
        <v>0.24378446942860341</v>
      </c>
      <c r="F28">
        <f>VLOOKUP(B28,OUTPUT_COUNTRY!$B$7:$N$27, 9, FALSE)</f>
        <v>18.099999999999998</v>
      </c>
      <c r="G28" s="56">
        <f>VLOOKUP(B28,OUTPUT_COUNTRY!$B$7:$N$27, 7, FALSE)</f>
        <v>4.7</v>
      </c>
      <c r="H28">
        <f>VLOOKUP(B28,OUTPUT_COUNTRY!$B$7:$N$27, 8, FALSE)</f>
        <v>77.2</v>
      </c>
      <c r="I28">
        <f>VLOOKUP(B28,OUTPUT_COUNTRY!$B$7:$N$27, 11, FALSE)</f>
        <v>40.9</v>
      </c>
      <c r="J28" s="56">
        <f t="shared" si="0"/>
        <v>0</v>
      </c>
      <c r="K28" s="157">
        <f t="shared" si="1"/>
        <v>0</v>
      </c>
      <c r="L28">
        <f t="shared" si="2"/>
        <v>0</v>
      </c>
      <c r="M28" s="157" t="e">
        <f t="shared" si="3"/>
        <v>#VALUE!</v>
      </c>
      <c r="N28">
        <f t="shared" si="8"/>
        <v>4.1019840285308566</v>
      </c>
      <c r="O28" s="157">
        <f t="shared" si="4"/>
        <v>9.900433319059912E-2</v>
      </c>
      <c r="P28">
        <f t="shared" si="9"/>
        <v>0</v>
      </c>
      <c r="Q28" s="157">
        <f t="shared" si="5"/>
        <v>0</v>
      </c>
      <c r="R28" s="157" t="e">
        <f t="shared" si="6"/>
        <v>#VALUE!</v>
      </c>
      <c r="S28" s="176" t="str">
        <f t="shared" si="7"/>
        <v/>
      </c>
      <c r="U28" s="61"/>
    </row>
    <row r="29" spans="2:21" ht="15" thickBot="1" x14ac:dyDescent="0.4">
      <c r="B29" s="12" t="s">
        <v>36</v>
      </c>
      <c r="C29" s="13" t="str" cm="1">
        <f t="array" ref="C29">_xll.FDS(B29,"FG_COMPANY_NAME")</f>
        <v>iShares MSCI Saudi Arabia ETF</v>
      </c>
      <c r="D29" s="13" t="s">
        <v>713</v>
      </c>
      <c r="E29" s="158">
        <f>HLOOKUP(B29,'Monthly Returns'!$A$1:$V$139,139,FALSE)</f>
        <v>0.16834105100845995</v>
      </c>
      <c r="F29" s="13">
        <f>VLOOKUP(B29,OUTPUT_COUNTRY!$B$7:$N$27, 9, FALSE)</f>
        <v>90.9</v>
      </c>
      <c r="G29" s="159">
        <f>VLOOKUP(B29,OUTPUT_COUNTRY!$B$7:$N$27, 7, FALSE)</f>
        <v>14.2</v>
      </c>
      <c r="H29" s="13">
        <f>VLOOKUP(B29,OUTPUT_COUNTRY!$B$7:$N$27, 8, FALSE)</f>
        <v>4.5</v>
      </c>
      <c r="I29" s="13">
        <f>VLOOKUP(B29,OUTPUT_COUNTRY!$B$7:$N$27, 11, FALSE)</f>
        <v>86.3</v>
      </c>
      <c r="J29" s="159">
        <f t="shared" si="0"/>
        <v>5.9403217100607577</v>
      </c>
      <c r="K29" s="158">
        <f t="shared" si="1"/>
        <v>0.2174845068322992</v>
      </c>
      <c r="L29" s="13">
        <f t="shared" si="2"/>
        <v>0</v>
      </c>
      <c r="M29" s="158" t="e">
        <f t="shared" si="3"/>
        <v>#VALUE!</v>
      </c>
      <c r="N29" s="13">
        <f t="shared" si="8"/>
        <v>0</v>
      </c>
      <c r="O29" s="158">
        <f t="shared" si="4"/>
        <v>0</v>
      </c>
      <c r="P29" s="13">
        <f t="shared" si="9"/>
        <v>5.9403217100607577</v>
      </c>
      <c r="Q29" s="158">
        <f t="shared" si="5"/>
        <v>0.17124883148840944</v>
      </c>
      <c r="R29" s="158" t="e">
        <f t="shared" si="6"/>
        <v>#VALUE!</v>
      </c>
      <c r="S29" s="177" t="str">
        <f t="shared" si="7"/>
        <v/>
      </c>
      <c r="U29" s="61"/>
    </row>
    <row r="30" spans="2:21" x14ac:dyDescent="0.35">
      <c r="J30" s="56">
        <f>SUM(J9:J29)</f>
        <v>27.313769594821295</v>
      </c>
      <c r="L30" s="56" t="e">
        <f>SUM(L9:L29)</f>
        <v>#VALUE!</v>
      </c>
      <c r="N30">
        <f>SUM(N9:N29)</f>
        <v>41.432368628087055</v>
      </c>
      <c r="P30">
        <f>SUM(P9:P29)</f>
        <v>34.688246678417855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24"/>
  <sheetViews>
    <sheetView topLeftCell="B1" zoomScale="95" zoomScaleNormal="95" workbookViewId="0">
      <selection activeCell="N11" sqref="N11"/>
    </sheetView>
  </sheetViews>
  <sheetFormatPr defaultRowHeight="14.5" x14ac:dyDescent="0.35"/>
  <cols>
    <col min="3" max="3" width="8.36328125" bestFit="1" customWidth="1"/>
    <col min="4" max="4" width="34.36328125" bestFit="1" customWidth="1"/>
    <col min="5" max="5" width="9.6328125" customWidth="1"/>
    <col min="6" max="6" width="8.6328125" bestFit="1" customWidth="1"/>
    <col min="7" max="7" width="8" customWidth="1"/>
    <col min="8" max="8" width="14.36328125" customWidth="1"/>
    <col min="9" max="9" width="11.453125" customWidth="1"/>
    <col min="10" max="10" width="12.90625" customWidth="1"/>
    <col min="11" max="11" width="13.08984375" customWidth="1"/>
    <col min="12" max="12" width="17" customWidth="1"/>
  </cols>
  <sheetData>
    <row r="2" spans="3:12" x14ac:dyDescent="0.35">
      <c r="C2" s="197" t="s">
        <v>562</v>
      </c>
      <c r="D2" s="198"/>
      <c r="E2" s="202" t="s">
        <v>809</v>
      </c>
      <c r="F2" s="203"/>
      <c r="G2" s="204"/>
      <c r="H2" s="205" t="s">
        <v>809</v>
      </c>
      <c r="I2" s="195" t="s">
        <v>564</v>
      </c>
      <c r="J2" s="197" t="s">
        <v>561</v>
      </c>
      <c r="K2" s="195" t="s">
        <v>567</v>
      </c>
      <c r="L2" s="195" t="s">
        <v>757</v>
      </c>
    </row>
    <row r="3" spans="3:12" x14ac:dyDescent="0.35">
      <c r="C3" s="199"/>
      <c r="D3" s="200"/>
      <c r="E3" s="180" t="s">
        <v>563</v>
      </c>
      <c r="F3" s="180" t="s">
        <v>565</v>
      </c>
      <c r="G3" s="180" t="s">
        <v>566</v>
      </c>
      <c r="H3" s="206"/>
      <c r="I3" s="208"/>
      <c r="J3" s="209"/>
      <c r="K3" s="208"/>
      <c r="L3" s="208"/>
    </row>
    <row r="4" spans="3:12" x14ac:dyDescent="0.35">
      <c r="C4" s="90" t="s">
        <v>24</v>
      </c>
      <c r="D4" s="92" t="s">
        <v>40</v>
      </c>
      <c r="E4" s="136" t="str">
        <f>IF(VLOOKUP(C4,OUTPUT_COUNTRY!$B$7:$N$27,3,FALSE)&gt;75,"++",(IF(VLOOKUP(C4,OUTPUT_COUNTRY!$B$7:$N$27,3,FALSE)&gt;50,"+",(IF(VLOOKUP(C4,OUTPUT_COUNTRY!$B$7:$N$27,3,FALSE)&gt;25,"-","--")))))</f>
        <v>-</v>
      </c>
      <c r="F4" s="136" t="str">
        <f>IF(VLOOKUP(C4,OUTPUT_COUNTRY!$B$7:$N$27,4,FALSE)&gt;75,"++",(IF(VLOOKUP(C4,OUTPUT_COUNTRY!$B$7:$N$27,4,FALSE)&gt;50,"+",(IF(VLOOKUP(C4,OUTPUT_COUNTRY!$B$7:$N$27,4,FALSE)&gt;25,"-","--")))))</f>
        <v>++</v>
      </c>
      <c r="G4" s="138" t="str">
        <f>IF(VLOOKUP(C4,OUTPUT_COUNTRY!$B$7:$N$27,5,FALSE)&gt;75,"++",(IF(VLOOKUP(C4,OUTPUT_COUNTRY!$B$7:$N$27,5,FALSE)&gt;50,"+",(IF(VLOOKUP(C4,OUTPUT_COUNTRY!$B$7:$N$27,5,FALSE)&gt;25,"-","--")))))</f>
        <v>++</v>
      </c>
      <c r="H4" s="134" t="str">
        <f>IF(VLOOKUP(C4,OUTPUT_COUNTRY!$B$7:$N$27,7,FALSE)&gt;75,"++",(IF(VLOOKUP(C4,OUTPUT_COUNTRY!$B$7:$N$27,7,FALSE)&gt;50,"+",(IF(VLOOKUP(C4,OUTPUT_COUNTRY!$B$7:$N$27,7,FALSE)&gt;25,"-","--")))))</f>
        <v>++</v>
      </c>
      <c r="I4" s="134" t="str">
        <f>IF(VLOOKUP(C4,OUTPUT_COUNTRY!$B$7:$N$27,8,FALSE)&gt;75,"++",(IF(VLOOKUP(C4,OUTPUT_COUNTRY!$B$7:$N$27,8,FALSE)&gt;50,"+",(IF(VLOOKUP(C4,OUTPUT_COUNTRY!$B$7:$N$27,8,FALSE)&gt;25,"-","--")))))</f>
        <v>-</v>
      </c>
      <c r="J4" s="134" t="str">
        <f>IF(VLOOKUP(C4,OUTPUT_COUNTRY!$B$7:$N$27,9,FALSE)&gt;75,"++",(IF(VLOOKUP(C4,OUTPUT_COUNTRY!$B$7:$N$27,9,FALSE)&gt;50,"+",(IF(VLOOKUP(C4,OUTPUT_COUNTRY!$B$7:$N$27,9,FALSE)&gt;25,"-","--")))))</f>
        <v>++</v>
      </c>
      <c r="K4" s="134" t="str">
        <f>IF(VLOOKUP(C4,OUTPUT_COUNTRY!$B$7:$N$27,11,FALSE)&gt;75,"++",(IF(VLOOKUP(C4,OUTPUT_COUNTRY!$B$7:$N$27,11,FALSE)&gt;50,"+",(IF(VLOOKUP(C4,OUTPUT_COUNTRY!$B$7:$N$27,11,FALSE)&gt;25,"-","--")))))</f>
        <v>++</v>
      </c>
      <c r="L4" s="135" t="str">
        <f>IF(VLOOKUP(C4,OUTPUT_COUNTRY!$B$7:$N$27,13,FALSE)&gt;75,"++",(IF(VLOOKUP(C4,OUTPUT_COUNTRY!$B$7:$N$27,13,FALSE)&gt;50,"+",(IF(VLOOKUP(C4,OUTPUT_COUNTRY!$B$7:$N$27,13,FALSE)&gt;25,"-","--")))))</f>
        <v>++</v>
      </c>
    </row>
    <row r="5" spans="3:12" x14ac:dyDescent="0.35">
      <c r="C5" s="90" t="s">
        <v>37</v>
      </c>
      <c r="D5" s="92" t="s">
        <v>453</v>
      </c>
      <c r="E5" s="136" t="str">
        <f>IF(VLOOKUP(C5,OUTPUT_COUNTRY!$B$7:$N$27,3,FALSE)&gt;75,"++",(IF(VLOOKUP(C5,OUTPUT_COUNTRY!$B$7:$N$27,3,FALSE)&gt;50,"+",(IF(VLOOKUP(C5,OUTPUT_COUNTRY!$B$7:$N$27,3,FALSE)&gt;25,"-","--")))))</f>
        <v>--</v>
      </c>
      <c r="F5" s="136" t="str">
        <f>IF(VLOOKUP(C5,OUTPUT_COUNTRY!$B$7:$N$27,4,FALSE)&gt;75,"++",(IF(VLOOKUP(C5,OUTPUT_COUNTRY!$B$7:$N$27,4,FALSE)&gt;50,"+",(IF(VLOOKUP(C5,OUTPUT_COUNTRY!$B$7:$N$27,4,FALSE)&gt;25,"-","--")))))</f>
        <v>-</v>
      </c>
      <c r="G5" s="138" t="str">
        <f>IF(VLOOKUP(C5,OUTPUT_COUNTRY!$B$7:$N$27,5,FALSE)&gt;75,"++",(IF(VLOOKUP(C5,OUTPUT_COUNTRY!$B$7:$N$27,5,FALSE)&gt;50,"+",(IF(VLOOKUP(C5,OUTPUT_COUNTRY!$B$7:$N$27,5,FALSE)&gt;25,"-","--")))))</f>
        <v>--</v>
      </c>
      <c r="H5" s="138" t="str">
        <f>IF(VLOOKUP(C5,OUTPUT_COUNTRY!$B$7:$N$27,7,FALSE)&gt;75,"++",(IF(VLOOKUP(C5,OUTPUT_COUNTRY!$B$7:$N$27,7,FALSE)&gt;50,"+",(IF(VLOOKUP(C5,OUTPUT_COUNTRY!$B$7:$N$27,7,FALSE)&gt;25,"-","--")))))</f>
        <v>--</v>
      </c>
      <c r="I5" s="138" t="str">
        <f>IF(VLOOKUP(C5,OUTPUT_COUNTRY!$B$7:$N$27,8,FALSE)&gt;75,"++",(IF(VLOOKUP(C5,OUTPUT_COUNTRY!$B$7:$N$27,8,FALSE)&gt;50,"+",(IF(VLOOKUP(C5,OUTPUT_COUNTRY!$B$7:$N$27,8,FALSE)&gt;25,"-","--")))))</f>
        <v>++</v>
      </c>
      <c r="J5" s="138" t="str">
        <f>IF(VLOOKUP(C5,OUTPUT_COUNTRY!$B$7:$N$27,9,FALSE)&gt;75,"++",(IF(VLOOKUP(C5,OUTPUT_COUNTRY!$B$7:$N$27,9,FALSE)&gt;50,"+",(IF(VLOOKUP(C5,OUTPUT_COUNTRY!$B$7:$N$27,9,FALSE)&gt;25,"-","--")))))</f>
        <v>--</v>
      </c>
      <c r="K5" s="138" t="str">
        <f>IF(VLOOKUP(C5,OUTPUT_COUNTRY!$B$7:$N$27,11,FALSE)&gt;75,"++",(IF(VLOOKUP(C5,OUTPUT_COUNTRY!$B$7:$N$27,11,FALSE)&gt;50,"+",(IF(VLOOKUP(C5,OUTPUT_COUNTRY!$B$7:$N$27,11,FALSE)&gt;25,"-","--")))))</f>
        <v>-</v>
      </c>
      <c r="L5" s="136" t="str">
        <f>IF(VLOOKUP(C5,OUTPUT_COUNTRY!$B$7:$N$27,13,FALSE)&gt;75,"++",(IF(VLOOKUP(C5,OUTPUT_COUNTRY!$B$7:$N$27,13,FALSE)&gt;50,"+",(IF(VLOOKUP(C5,OUTPUT_COUNTRY!$B$7:$N$27,13,FALSE)&gt;25,"-","--")))))</f>
        <v>--</v>
      </c>
    </row>
    <row r="6" spans="3:12" x14ac:dyDescent="0.35">
      <c r="C6" s="90" t="s">
        <v>36</v>
      </c>
      <c r="D6" s="92" t="s">
        <v>454</v>
      </c>
      <c r="E6" s="136" t="str">
        <f>IF(VLOOKUP(C6,OUTPUT_COUNTRY!$B$7:$N$27,3,FALSE)&gt;75,"++",(IF(VLOOKUP(C6,OUTPUT_COUNTRY!$B$7:$N$27,3,FALSE)&gt;50,"+",(IF(VLOOKUP(C6,OUTPUT_COUNTRY!$B$7:$N$27,3,FALSE)&gt;25,"-","--")))))</f>
        <v>--</v>
      </c>
      <c r="F6" s="136" t="str">
        <f>IF(VLOOKUP(C6,OUTPUT_COUNTRY!$B$7:$N$27,4,FALSE)&gt;75,"++",(IF(VLOOKUP(C6,OUTPUT_COUNTRY!$B$7:$N$27,4,FALSE)&gt;50,"+",(IF(VLOOKUP(C6,OUTPUT_COUNTRY!$B$7:$N$27,4,FALSE)&gt;25,"-","--")))))</f>
        <v>-</v>
      </c>
      <c r="G6" s="138" t="str">
        <f>IF(VLOOKUP(C6,OUTPUT_COUNTRY!$B$7:$N$27,5,FALSE)&gt;75,"++",(IF(VLOOKUP(C6,OUTPUT_COUNTRY!$B$7:$N$27,5,FALSE)&gt;50,"+",(IF(VLOOKUP(C6,OUTPUT_COUNTRY!$B$7:$N$27,5,FALSE)&gt;25,"-","--")))))</f>
        <v>-</v>
      </c>
      <c r="H6" s="138" t="str">
        <f>IF(VLOOKUP(C6,OUTPUT_COUNTRY!$B$7:$N$27,7,FALSE)&gt;75,"++",(IF(VLOOKUP(C6,OUTPUT_COUNTRY!$B$7:$N$27,7,FALSE)&gt;50,"+",(IF(VLOOKUP(C6,OUTPUT_COUNTRY!$B$7:$N$27,7,FALSE)&gt;25,"-","--")))))</f>
        <v>--</v>
      </c>
      <c r="I6" s="138" t="str">
        <f>IF(VLOOKUP(C6,OUTPUT_COUNTRY!$B$7:$N$27,8,FALSE)&gt;75,"++",(IF(VLOOKUP(C6,OUTPUT_COUNTRY!$B$7:$N$27,8,FALSE)&gt;50,"+",(IF(VLOOKUP(C6,OUTPUT_COUNTRY!$B$7:$N$27,8,FALSE)&gt;25,"-","--")))))</f>
        <v>--</v>
      </c>
      <c r="J6" s="138" t="str">
        <f>IF(VLOOKUP(C6,OUTPUT_COUNTRY!$B$7:$N$27,9,FALSE)&gt;75,"++",(IF(VLOOKUP(C6,OUTPUT_COUNTRY!$B$7:$N$27,9,FALSE)&gt;50,"+",(IF(VLOOKUP(C6,OUTPUT_COUNTRY!$B$7:$N$27,9,FALSE)&gt;25,"-","--")))))</f>
        <v>++</v>
      </c>
      <c r="K6" s="138" t="str">
        <f>IF(VLOOKUP(C6,OUTPUT_COUNTRY!$B$7:$N$27,11,FALSE)&gt;75,"++",(IF(VLOOKUP(C6,OUTPUT_COUNTRY!$B$7:$N$27,11,FALSE)&gt;50,"+",(IF(VLOOKUP(C6,OUTPUT_COUNTRY!$B$7:$N$27,11,FALSE)&gt;25,"-","--")))))</f>
        <v>++</v>
      </c>
      <c r="L6" s="136" t="str">
        <f>IF(VLOOKUP(C6,OUTPUT_COUNTRY!$B$7:$N$27,13,FALSE)&gt;75,"++",(IF(VLOOKUP(C6,OUTPUT_COUNTRY!$B$7:$N$27,13,FALSE)&gt;50,"+",(IF(VLOOKUP(C6,OUTPUT_COUNTRY!$B$7:$N$27,13,FALSE)&gt;25,"-","--")))))</f>
        <v>++</v>
      </c>
    </row>
    <row r="7" spans="3:12" x14ac:dyDescent="0.35">
      <c r="C7" s="90" t="s">
        <v>764</v>
      </c>
      <c r="D7" s="92" t="s">
        <v>765</v>
      </c>
      <c r="E7" s="136" t="str">
        <f>IF(VLOOKUP(C7,OUTPUT_COUNTRY!$B$7:$N$27,3,FALSE)&gt;75,"++",(IF(VLOOKUP(C7,OUTPUT_COUNTRY!$B$7:$N$27,3,FALSE)&gt;50,"+",(IF(VLOOKUP(C7,OUTPUT_COUNTRY!$B$7:$N$27,3,FALSE)&gt;25,"-","--")))))</f>
        <v>-</v>
      </c>
      <c r="F7" s="136" t="str">
        <f>IF(VLOOKUP(C7,OUTPUT_COUNTRY!$B$7:$N$27,4,FALSE)&gt;75,"++",(IF(VLOOKUP(C7,OUTPUT_COUNTRY!$B$7:$N$27,4,FALSE)&gt;50,"+",(IF(VLOOKUP(C7,OUTPUT_COUNTRY!$B$7:$N$27,4,FALSE)&gt;25,"-","--")))))</f>
        <v>++</v>
      </c>
      <c r="G7" s="138" t="str">
        <f>IF(VLOOKUP(C7,OUTPUT_COUNTRY!$B$7:$N$27,5,FALSE)&gt;75,"++",(IF(VLOOKUP(C7,OUTPUT_COUNTRY!$B$7:$N$27,5,FALSE)&gt;50,"+",(IF(VLOOKUP(C7,OUTPUT_COUNTRY!$B$7:$N$27,5,FALSE)&gt;25,"-","--")))))</f>
        <v>++</v>
      </c>
      <c r="H7" s="138" t="str">
        <f>IF(VLOOKUP(C7,OUTPUT_COUNTRY!$B$7:$N$27,7,FALSE)&gt;75,"++",(IF(VLOOKUP(C7,OUTPUT_COUNTRY!$B$7:$N$27,7,FALSE)&gt;50,"+",(IF(VLOOKUP(C7,OUTPUT_COUNTRY!$B$7:$N$27,7,FALSE)&gt;25,"-","--")))))</f>
        <v>++</v>
      </c>
      <c r="I7" s="138" t="str">
        <f>IF(VLOOKUP(C7,OUTPUT_COUNTRY!$B$7:$N$27,8,FALSE)&gt;75,"++",(IF(VLOOKUP(C7,OUTPUT_COUNTRY!$B$7:$N$27,8,FALSE)&gt;50,"+",(IF(VLOOKUP(C7,OUTPUT_COUNTRY!$B$7:$N$27,8,FALSE)&gt;25,"-","--")))))</f>
        <v>+</v>
      </c>
      <c r="J7" s="138" t="str">
        <f>IF(VLOOKUP(C7,OUTPUT_COUNTRY!$B$7:$N$27,9,FALSE)&gt;75,"++",(IF(VLOOKUP(C7,OUTPUT_COUNTRY!$B$7:$N$27,9,FALSE)&gt;50,"+",(IF(VLOOKUP(C7,OUTPUT_COUNTRY!$B$7:$N$27,9,FALSE)&gt;25,"-","--")))))</f>
        <v>-</v>
      </c>
      <c r="K7" s="138" t="str">
        <f>IF(VLOOKUP(C7,OUTPUT_COUNTRY!$B$7:$N$27,11,FALSE)&gt;75,"++",(IF(VLOOKUP(C7,OUTPUT_COUNTRY!$B$7:$N$27,11,FALSE)&gt;50,"+",(IF(VLOOKUP(C7,OUTPUT_COUNTRY!$B$7:$N$27,11,FALSE)&gt;25,"-","--")))))</f>
        <v>--</v>
      </c>
      <c r="L7" s="136" t="str">
        <f>IF(VLOOKUP(C7,OUTPUT_COUNTRY!$B$7:$N$27,13,FALSE)&gt;75,"++",(IF(VLOOKUP(C7,OUTPUT_COUNTRY!$B$7:$N$27,13,FALSE)&gt;50,"+",(IF(VLOOKUP(C7,OUTPUT_COUNTRY!$B$7:$N$27,13,FALSE)&gt;25,"-","--")))))</f>
        <v>+</v>
      </c>
    </row>
    <row r="8" spans="3:12" x14ac:dyDescent="0.35">
      <c r="C8" s="90" t="s">
        <v>7</v>
      </c>
      <c r="D8" s="92" t="s">
        <v>53</v>
      </c>
      <c r="E8" s="136" t="str">
        <f>IF(VLOOKUP(C8,OUTPUT_COUNTRY!$B$7:$N$27,3,FALSE)&gt;75,"++",(IF(VLOOKUP(C8,OUTPUT_COUNTRY!$B$7:$N$27,3,FALSE)&gt;50,"+",(IF(VLOOKUP(C8,OUTPUT_COUNTRY!$B$7:$N$27,3,FALSE)&gt;25,"-","--")))))</f>
        <v>-</v>
      </c>
      <c r="F8" s="136" t="str">
        <f>IF(VLOOKUP(C8,OUTPUT_COUNTRY!$B$7:$N$27,4,FALSE)&gt;75,"++",(IF(VLOOKUP(C8,OUTPUT_COUNTRY!$B$7:$N$27,4,FALSE)&gt;50,"+",(IF(VLOOKUP(C8,OUTPUT_COUNTRY!$B$7:$N$27,4,FALSE)&gt;25,"-","--")))))</f>
        <v>+</v>
      </c>
      <c r="G8" s="138" t="str">
        <f>IF(VLOOKUP(C8,OUTPUT_COUNTRY!$B$7:$N$27,5,FALSE)&gt;75,"++",(IF(VLOOKUP(C8,OUTPUT_COUNTRY!$B$7:$N$27,5,FALSE)&gt;50,"+",(IF(VLOOKUP(C8,OUTPUT_COUNTRY!$B$7:$N$27,5,FALSE)&gt;25,"-","--")))))</f>
        <v>-</v>
      </c>
      <c r="H8" s="138" t="str">
        <f>IF(VLOOKUP(C8,OUTPUT_COUNTRY!$B$7:$N$27,7,FALSE)&gt;75,"++",(IF(VLOOKUP(C8,OUTPUT_COUNTRY!$B$7:$N$27,7,FALSE)&gt;50,"+",(IF(VLOOKUP(C8,OUTPUT_COUNTRY!$B$7:$N$27,7,FALSE)&gt;25,"-","--")))))</f>
        <v>-</v>
      </c>
      <c r="I8" s="138" t="str">
        <f>IF(VLOOKUP(C8,OUTPUT_COUNTRY!$B$7:$N$27,8,FALSE)&gt;75,"++",(IF(VLOOKUP(C8,OUTPUT_COUNTRY!$B$7:$N$27,8,FALSE)&gt;50,"+",(IF(VLOOKUP(C8,OUTPUT_COUNTRY!$B$7:$N$27,8,FALSE)&gt;25,"-","--")))))</f>
        <v>+</v>
      </c>
      <c r="J8" s="138" t="str">
        <f>IF(VLOOKUP(C8,OUTPUT_COUNTRY!$B$7:$N$27,9,FALSE)&gt;75,"++",(IF(VLOOKUP(C8,OUTPUT_COUNTRY!$B$7:$N$27,9,FALSE)&gt;50,"+",(IF(VLOOKUP(C8,OUTPUT_COUNTRY!$B$7:$N$27,9,FALSE)&gt;25,"-","--")))))</f>
        <v>+</v>
      </c>
      <c r="K8" s="138" t="str">
        <f>IF(VLOOKUP(C8,OUTPUT_COUNTRY!$B$7:$N$27,11,FALSE)&gt;75,"++",(IF(VLOOKUP(C8,OUTPUT_COUNTRY!$B$7:$N$27,11,FALSE)&gt;50,"+",(IF(VLOOKUP(C8,OUTPUT_COUNTRY!$B$7:$N$27,11,FALSE)&gt;25,"-","--")))))</f>
        <v>++</v>
      </c>
      <c r="L8" s="136" t="str">
        <f>IF(VLOOKUP(C8,OUTPUT_COUNTRY!$B$7:$N$27,13,FALSE)&gt;75,"++",(IF(VLOOKUP(C8,OUTPUT_COUNTRY!$B$7:$N$27,13,FALSE)&gt;50,"+",(IF(VLOOKUP(C8,OUTPUT_COUNTRY!$B$7:$N$27,13,FALSE)&gt;25,"-","--")))))</f>
        <v>+</v>
      </c>
    </row>
    <row r="9" spans="3:12" x14ac:dyDescent="0.35">
      <c r="C9" s="90" t="s">
        <v>35</v>
      </c>
      <c r="D9" s="92" t="s">
        <v>442</v>
      </c>
      <c r="E9" s="136" t="str">
        <f>IF(VLOOKUP(C9,OUTPUT_COUNTRY!$B$7:$N$27,3,FALSE)&gt;75,"++",(IF(VLOOKUP(C9,OUTPUT_COUNTRY!$B$7:$N$27,3,FALSE)&gt;50,"+",(IF(VLOOKUP(C9,OUTPUT_COUNTRY!$B$7:$N$27,3,FALSE)&gt;25,"-","--")))))</f>
        <v>-</v>
      </c>
      <c r="F9" s="136" t="str">
        <f>IF(VLOOKUP(C9,OUTPUT_COUNTRY!$B$7:$N$27,4,FALSE)&gt;75,"++",(IF(VLOOKUP(C9,OUTPUT_COUNTRY!$B$7:$N$27,4,FALSE)&gt;50,"+",(IF(VLOOKUP(C9,OUTPUT_COUNTRY!$B$7:$N$27,4,FALSE)&gt;25,"-","--")))))</f>
        <v>-</v>
      </c>
      <c r="G9" s="138" t="str">
        <f>IF(VLOOKUP(C9,OUTPUT_COUNTRY!$B$7:$N$27,5,FALSE)&gt;75,"++",(IF(VLOOKUP(C9,OUTPUT_COUNTRY!$B$7:$N$27,5,FALSE)&gt;50,"+",(IF(VLOOKUP(C9,OUTPUT_COUNTRY!$B$7:$N$27,5,FALSE)&gt;25,"-","--")))))</f>
        <v>++</v>
      </c>
      <c r="H9" s="138" t="str">
        <f>IF(VLOOKUP(C9,OUTPUT_COUNTRY!$B$7:$N$27,7,FALSE)&gt;75,"++",(IF(VLOOKUP(C9,OUTPUT_COUNTRY!$B$7:$N$27,7,FALSE)&gt;50,"+",(IF(VLOOKUP(C9,OUTPUT_COUNTRY!$B$7:$N$27,7,FALSE)&gt;25,"-","--")))))</f>
        <v>+</v>
      </c>
      <c r="I9" s="138" t="str">
        <f>IF(VLOOKUP(C9,OUTPUT_COUNTRY!$B$7:$N$27,8,FALSE)&gt;75,"++",(IF(VLOOKUP(C9,OUTPUT_COUNTRY!$B$7:$N$27,8,FALSE)&gt;50,"+",(IF(VLOOKUP(C9,OUTPUT_COUNTRY!$B$7:$N$27,8,FALSE)&gt;25,"-","--")))))</f>
        <v>--</v>
      </c>
      <c r="J9" s="138" t="str">
        <f>IF(VLOOKUP(C9,OUTPUT_COUNTRY!$B$7:$N$27,9,FALSE)&gt;75,"++",(IF(VLOOKUP(C9,OUTPUT_COUNTRY!$B$7:$N$27,9,FALSE)&gt;50,"+",(IF(VLOOKUP(C9,OUTPUT_COUNTRY!$B$7:$N$27,9,FALSE)&gt;25,"-","--")))))</f>
        <v>-</v>
      </c>
      <c r="K9" s="138" t="str">
        <f>IF(VLOOKUP(C9,OUTPUT_COUNTRY!$B$7:$N$27,11,FALSE)&gt;75,"++",(IF(VLOOKUP(C9,OUTPUT_COUNTRY!$B$7:$N$27,11,FALSE)&gt;50,"+",(IF(VLOOKUP(C9,OUTPUT_COUNTRY!$B$7:$N$27,11,FALSE)&gt;25,"-","--")))))</f>
        <v>-</v>
      </c>
      <c r="L9" s="136" t="str">
        <f>IF(VLOOKUP(C9,OUTPUT_COUNTRY!$B$7:$N$27,13,FALSE)&gt;75,"++",(IF(VLOOKUP(C9,OUTPUT_COUNTRY!$B$7:$N$27,13,FALSE)&gt;50,"+",(IF(VLOOKUP(C9,OUTPUT_COUNTRY!$B$7:$N$27,13,FALSE)&gt;25,"-","--")))))</f>
        <v>--</v>
      </c>
    </row>
    <row r="10" spans="3:12" x14ac:dyDescent="0.35">
      <c r="C10" s="90" t="s">
        <v>437</v>
      </c>
      <c r="D10" s="92" t="s">
        <v>440</v>
      </c>
      <c r="E10" s="136" t="str">
        <f>IF(VLOOKUP(C10,OUTPUT_COUNTRY!$B$7:$N$27,3,FALSE)&gt;75,"++",(IF(VLOOKUP(C10,OUTPUT_COUNTRY!$B$7:$N$27,3,FALSE)&gt;50,"+",(IF(VLOOKUP(C10,OUTPUT_COUNTRY!$B$7:$N$27,3,FALSE)&gt;25,"-","--")))))</f>
        <v>+</v>
      </c>
      <c r="F10" s="136" t="str">
        <f>IF(VLOOKUP(C10,OUTPUT_COUNTRY!$B$7:$N$27,4,FALSE)&gt;75,"++",(IF(VLOOKUP(C10,OUTPUT_COUNTRY!$B$7:$N$27,4,FALSE)&gt;50,"+",(IF(VLOOKUP(C10,OUTPUT_COUNTRY!$B$7:$N$27,4,FALSE)&gt;25,"-","--")))))</f>
        <v>++</v>
      </c>
      <c r="G10" s="138" t="str">
        <f>IF(VLOOKUP(C10,OUTPUT_COUNTRY!$B$7:$N$27,5,FALSE)&gt;75,"++",(IF(VLOOKUP(C10,OUTPUT_COUNTRY!$B$7:$N$27,5,FALSE)&gt;50,"+",(IF(VLOOKUP(C10,OUTPUT_COUNTRY!$B$7:$N$27,5,FALSE)&gt;25,"-","--")))))</f>
        <v>++</v>
      </c>
      <c r="H10" s="138" t="str">
        <f>IF(VLOOKUP(C10,OUTPUT_COUNTRY!$B$7:$N$27,7,FALSE)&gt;75,"++",(IF(VLOOKUP(C10,OUTPUT_COUNTRY!$B$7:$N$27,7,FALSE)&gt;50,"+",(IF(VLOOKUP(C10,OUTPUT_COUNTRY!$B$7:$N$27,7,FALSE)&gt;25,"-","--")))))</f>
        <v>++</v>
      </c>
      <c r="I10" s="138" t="str">
        <f>IF(VLOOKUP(C10,OUTPUT_COUNTRY!$B$7:$N$27,8,FALSE)&gt;75,"++",(IF(VLOOKUP(C10,OUTPUT_COUNTRY!$B$7:$N$27,8,FALSE)&gt;50,"+",(IF(VLOOKUP(C10,OUTPUT_COUNTRY!$B$7:$N$27,8,FALSE)&gt;25,"-","--")))))</f>
        <v>++</v>
      </c>
      <c r="J10" s="138" t="str">
        <f>IF(VLOOKUP(C10,OUTPUT_COUNTRY!$B$7:$N$27,9,FALSE)&gt;75,"++",(IF(VLOOKUP(C10,OUTPUT_COUNTRY!$B$7:$N$27,9,FALSE)&gt;50,"+",(IF(VLOOKUP(C10,OUTPUT_COUNTRY!$B$7:$N$27,9,FALSE)&gt;25,"-","--")))))</f>
        <v>--</v>
      </c>
      <c r="K10" s="138" t="str">
        <f>IF(VLOOKUP(C10,OUTPUT_COUNTRY!$B$7:$N$27,11,FALSE)&gt;75,"++",(IF(VLOOKUP(C10,OUTPUT_COUNTRY!$B$7:$N$27,11,FALSE)&gt;50,"+",(IF(VLOOKUP(C10,OUTPUT_COUNTRY!$B$7:$N$27,11,FALSE)&gt;25,"-","--")))))</f>
        <v>+</v>
      </c>
      <c r="L10" s="136" t="str">
        <f>IF(VLOOKUP(C10,OUTPUT_COUNTRY!$B$7:$N$27,13,FALSE)&gt;75,"++",(IF(VLOOKUP(C10,OUTPUT_COUNTRY!$B$7:$N$27,13,FALSE)&gt;50,"+",(IF(VLOOKUP(C10,OUTPUT_COUNTRY!$B$7:$N$27,13,FALSE)&gt;25,"-","--")))))</f>
        <v>+</v>
      </c>
    </row>
    <row r="11" spans="3:12" x14ac:dyDescent="0.35">
      <c r="C11" s="90" t="s">
        <v>23</v>
      </c>
      <c r="D11" s="92" t="s">
        <v>444</v>
      </c>
      <c r="E11" s="136" t="str">
        <f>IF(VLOOKUP(C11,OUTPUT_COUNTRY!$B$7:$N$27,3,FALSE)&gt;75,"++",(IF(VLOOKUP(C11,OUTPUT_COUNTRY!$B$7:$N$27,3,FALSE)&gt;50,"+",(IF(VLOOKUP(C11,OUTPUT_COUNTRY!$B$7:$N$27,3,FALSE)&gt;25,"-","--")))))</f>
        <v>++</v>
      </c>
      <c r="F11" s="136" t="str">
        <f>IF(VLOOKUP(C11,OUTPUT_COUNTRY!$B$7:$N$27,4,FALSE)&gt;75,"++",(IF(VLOOKUP(C11,OUTPUT_COUNTRY!$B$7:$N$27,4,FALSE)&gt;50,"+",(IF(VLOOKUP(C11,OUTPUT_COUNTRY!$B$7:$N$27,4,FALSE)&gt;25,"-","--")))))</f>
        <v>--</v>
      </c>
      <c r="G11" s="138" t="str">
        <f>IF(VLOOKUP(C11,OUTPUT_COUNTRY!$B$7:$N$27,5,FALSE)&gt;75,"++",(IF(VLOOKUP(C11,OUTPUT_COUNTRY!$B$7:$N$27,5,FALSE)&gt;50,"+",(IF(VLOOKUP(C11,OUTPUT_COUNTRY!$B$7:$N$27,5,FALSE)&gt;25,"-","--")))))</f>
        <v>--</v>
      </c>
      <c r="H11" s="138" t="str">
        <f>IF(VLOOKUP(C11,OUTPUT_COUNTRY!$B$7:$N$27,7,FALSE)&gt;75,"++",(IF(VLOOKUP(C11,OUTPUT_COUNTRY!$B$7:$N$27,7,FALSE)&gt;50,"+",(IF(VLOOKUP(C11,OUTPUT_COUNTRY!$B$7:$N$27,7,FALSE)&gt;25,"-","--")))))</f>
        <v>--</v>
      </c>
      <c r="I11" s="138" t="str">
        <f>IF(VLOOKUP(C11,OUTPUT_COUNTRY!$B$7:$N$27,8,FALSE)&gt;75,"++",(IF(VLOOKUP(C11,OUTPUT_COUNTRY!$B$7:$N$27,8,FALSE)&gt;50,"+",(IF(VLOOKUP(C11,OUTPUT_COUNTRY!$B$7:$N$27,8,FALSE)&gt;25,"-","--")))))</f>
        <v>++</v>
      </c>
      <c r="J11" s="138" t="str">
        <f>IF(VLOOKUP(C11,OUTPUT_COUNTRY!$B$7:$N$27,9,FALSE)&gt;75,"++",(IF(VLOOKUP(C11,OUTPUT_COUNTRY!$B$7:$N$27,9,FALSE)&gt;50,"+",(IF(VLOOKUP(C11,OUTPUT_COUNTRY!$B$7:$N$27,9,FALSE)&gt;25,"-","--")))))</f>
        <v>+</v>
      </c>
      <c r="K11" s="138" t="str">
        <f>IF(VLOOKUP(C11,OUTPUT_COUNTRY!$B$7:$N$27,11,FALSE)&gt;75,"++",(IF(VLOOKUP(C11,OUTPUT_COUNTRY!$B$7:$N$27,11,FALSE)&gt;50,"+",(IF(VLOOKUP(C11,OUTPUT_COUNTRY!$B$7:$N$27,11,FALSE)&gt;25,"-","--")))))</f>
        <v>+</v>
      </c>
      <c r="L11" s="136" t="str">
        <f>IF(VLOOKUP(C11,OUTPUT_COUNTRY!$B$7:$N$27,13,FALSE)&gt;75,"++",(IF(VLOOKUP(C11,OUTPUT_COUNTRY!$B$7:$N$27,13,FALSE)&gt;50,"+",(IF(VLOOKUP(C11,OUTPUT_COUNTRY!$B$7:$N$27,13,FALSE)&gt;25,"-","--")))))</f>
        <v>++</v>
      </c>
    </row>
    <row r="12" spans="3:12" x14ac:dyDescent="0.35">
      <c r="C12" s="90" t="s">
        <v>21</v>
      </c>
      <c r="D12" s="92" t="s">
        <v>38</v>
      </c>
      <c r="E12" s="136" t="str">
        <f>IF(VLOOKUP(C12,OUTPUT_COUNTRY!$B$7:$N$27,3,FALSE)&gt;75,"++",(IF(VLOOKUP(C12,OUTPUT_COUNTRY!$B$7:$N$27,3,FALSE)&gt;50,"+",(IF(VLOOKUP(C12,OUTPUT_COUNTRY!$B$7:$N$27,3,FALSE)&gt;25,"-","--")))))</f>
        <v>--</v>
      </c>
      <c r="F12" s="136" t="str">
        <f>IF(VLOOKUP(C12,OUTPUT_COUNTRY!$B$7:$N$27,4,FALSE)&gt;75,"++",(IF(VLOOKUP(C12,OUTPUT_COUNTRY!$B$7:$N$27,4,FALSE)&gt;50,"+",(IF(VLOOKUP(C12,OUTPUT_COUNTRY!$B$7:$N$27,4,FALSE)&gt;25,"-","--")))))</f>
        <v>++</v>
      </c>
      <c r="G12" s="138" t="str">
        <f>IF(VLOOKUP(C12,OUTPUT_COUNTRY!$B$7:$N$27,5,FALSE)&gt;75,"++",(IF(VLOOKUP(C12,OUTPUT_COUNTRY!$B$7:$N$27,5,FALSE)&gt;50,"+",(IF(VLOOKUP(C12,OUTPUT_COUNTRY!$B$7:$N$27,5,FALSE)&gt;25,"-","--")))))</f>
        <v>-</v>
      </c>
      <c r="H12" s="138" t="str">
        <f>IF(VLOOKUP(C12,OUTPUT_COUNTRY!$B$7:$N$27,7,FALSE)&gt;75,"++",(IF(VLOOKUP(C12,OUTPUT_COUNTRY!$B$7:$N$27,7,FALSE)&gt;50,"+",(IF(VLOOKUP(C12,OUTPUT_COUNTRY!$B$7:$N$27,7,FALSE)&gt;25,"-","--")))))</f>
        <v>-</v>
      </c>
      <c r="I12" s="138" t="str">
        <f>IF(VLOOKUP(C12,OUTPUT_COUNTRY!$B$7:$N$27,8,FALSE)&gt;75,"++",(IF(VLOOKUP(C12,OUTPUT_COUNTRY!$B$7:$N$27,8,FALSE)&gt;50,"+",(IF(VLOOKUP(C12,OUTPUT_COUNTRY!$B$7:$N$27,8,FALSE)&gt;25,"-","--")))))</f>
        <v>-</v>
      </c>
      <c r="J12" s="138" t="str">
        <f>IF(VLOOKUP(C12,OUTPUT_COUNTRY!$B$7:$N$27,9,FALSE)&gt;75,"++",(IF(VLOOKUP(C12,OUTPUT_COUNTRY!$B$7:$N$27,9,FALSE)&gt;50,"+",(IF(VLOOKUP(C12,OUTPUT_COUNTRY!$B$7:$N$27,9,FALSE)&gt;25,"-","--")))))</f>
        <v>+</v>
      </c>
      <c r="K12" s="138" t="str">
        <f>IF(VLOOKUP(C12,OUTPUT_COUNTRY!$B$7:$N$27,11,FALSE)&gt;75,"++",(IF(VLOOKUP(C12,OUTPUT_COUNTRY!$B$7:$N$27,11,FALSE)&gt;50,"+",(IF(VLOOKUP(C12,OUTPUT_COUNTRY!$B$7:$N$27,11,FALSE)&gt;25,"-","--")))))</f>
        <v>--</v>
      </c>
      <c r="L12" s="136" t="str">
        <f>IF(VLOOKUP(C12,OUTPUT_COUNTRY!$B$7:$N$27,13,FALSE)&gt;75,"++",(IF(VLOOKUP(C12,OUTPUT_COUNTRY!$B$7:$N$27,13,FALSE)&gt;50,"+",(IF(VLOOKUP(C12,OUTPUT_COUNTRY!$B$7:$N$27,13,FALSE)&gt;25,"-","--")))))</f>
        <v>+</v>
      </c>
    </row>
    <row r="13" spans="3:12" x14ac:dyDescent="0.35">
      <c r="C13" s="90" t="s">
        <v>28</v>
      </c>
      <c r="D13" s="92" t="s">
        <v>448</v>
      </c>
      <c r="E13" s="136" t="str">
        <f>IF(VLOOKUP(C13,OUTPUT_COUNTRY!$B$7:$N$27,3,FALSE)&gt;75,"++",(IF(VLOOKUP(C13,OUTPUT_COUNTRY!$B$7:$N$27,3,FALSE)&gt;50,"+",(IF(VLOOKUP(C13,OUTPUT_COUNTRY!$B$7:$N$27,3,FALSE)&gt;25,"-","--")))))</f>
        <v>++</v>
      </c>
      <c r="F13" s="136" t="str">
        <f>IF(VLOOKUP(C13,OUTPUT_COUNTRY!$B$7:$N$27,4,FALSE)&gt;75,"++",(IF(VLOOKUP(C13,OUTPUT_COUNTRY!$B$7:$N$27,4,FALSE)&gt;50,"+",(IF(VLOOKUP(C13,OUTPUT_COUNTRY!$B$7:$N$27,4,FALSE)&gt;25,"-","--")))))</f>
        <v>--</v>
      </c>
      <c r="G13" s="138" t="str">
        <f>IF(VLOOKUP(C13,OUTPUT_COUNTRY!$B$7:$N$27,5,FALSE)&gt;75,"++",(IF(VLOOKUP(C13,OUTPUT_COUNTRY!$B$7:$N$27,5,FALSE)&gt;50,"+",(IF(VLOOKUP(C13,OUTPUT_COUNTRY!$B$7:$N$27,5,FALSE)&gt;25,"-","--")))))</f>
        <v>--</v>
      </c>
      <c r="H13" s="138" t="str">
        <f>IF(VLOOKUP(C13,OUTPUT_COUNTRY!$B$7:$N$27,7,FALSE)&gt;75,"++",(IF(VLOOKUP(C13,OUTPUT_COUNTRY!$B$7:$N$27,7,FALSE)&gt;50,"+",(IF(VLOOKUP(C13,OUTPUT_COUNTRY!$B$7:$N$27,7,FALSE)&gt;25,"-","--")))))</f>
        <v>--</v>
      </c>
      <c r="I13" s="138" t="str">
        <f>IF(VLOOKUP(C13,OUTPUT_COUNTRY!$B$7:$N$27,8,FALSE)&gt;75,"++",(IF(VLOOKUP(C13,OUTPUT_COUNTRY!$B$7:$N$27,8,FALSE)&gt;50,"+",(IF(VLOOKUP(C13,OUTPUT_COUNTRY!$B$7:$N$27,8,FALSE)&gt;25,"-","--")))))</f>
        <v>-</v>
      </c>
      <c r="J13" s="138" t="str">
        <f>IF(VLOOKUP(C13,OUTPUT_COUNTRY!$B$7:$N$27,9,FALSE)&gt;75,"++",(IF(VLOOKUP(C13,OUTPUT_COUNTRY!$B$7:$N$27,9,FALSE)&gt;50,"+",(IF(VLOOKUP(C13,OUTPUT_COUNTRY!$B$7:$N$27,9,FALSE)&gt;25,"-","--")))))</f>
        <v>++</v>
      </c>
      <c r="K13" s="138" t="str">
        <f>IF(VLOOKUP(C13,OUTPUT_COUNTRY!$B$7:$N$27,11,FALSE)&gt;75,"++",(IF(VLOOKUP(C13,OUTPUT_COUNTRY!$B$7:$N$27,11,FALSE)&gt;50,"+",(IF(VLOOKUP(C13,OUTPUT_COUNTRY!$B$7:$N$27,11,FALSE)&gt;25,"-","--")))))</f>
        <v>+</v>
      </c>
      <c r="L13" s="136" t="str">
        <f>IF(VLOOKUP(C13,OUTPUT_COUNTRY!$B$7:$N$27,13,FALSE)&gt;75,"++",(IF(VLOOKUP(C13,OUTPUT_COUNTRY!$B$7:$N$27,13,FALSE)&gt;50,"+",(IF(VLOOKUP(C13,OUTPUT_COUNTRY!$B$7:$N$27,13,FALSE)&gt;25,"-","--")))))</f>
        <v>+</v>
      </c>
    </row>
    <row r="14" spans="3:12" x14ac:dyDescent="0.35">
      <c r="C14" s="90" t="s">
        <v>26</v>
      </c>
      <c r="D14" s="92" t="s">
        <v>41</v>
      </c>
      <c r="E14" s="136" t="str">
        <f>IF(VLOOKUP(C14,OUTPUT_COUNTRY!$B$7:$N$27,3,FALSE)&gt;75,"++",(IF(VLOOKUP(C14,OUTPUT_COUNTRY!$B$7:$N$27,3,FALSE)&gt;50,"+",(IF(VLOOKUP(C14,OUTPUT_COUNTRY!$B$7:$N$27,3,FALSE)&gt;25,"-","--")))))</f>
        <v>++</v>
      </c>
      <c r="F14" s="136" t="str">
        <f>IF(VLOOKUP(C14,OUTPUT_COUNTRY!$B$7:$N$27,4,FALSE)&gt;75,"++",(IF(VLOOKUP(C14,OUTPUT_COUNTRY!$B$7:$N$27,4,FALSE)&gt;50,"+",(IF(VLOOKUP(C14,OUTPUT_COUNTRY!$B$7:$N$27,4,FALSE)&gt;25,"-","--")))))</f>
        <v>++</v>
      </c>
      <c r="G14" s="138" t="str">
        <f>IF(VLOOKUP(C14,OUTPUT_COUNTRY!$B$7:$N$27,5,FALSE)&gt;75,"++",(IF(VLOOKUP(C14,OUTPUT_COUNTRY!$B$7:$N$27,5,FALSE)&gt;50,"+",(IF(VLOOKUP(C14,OUTPUT_COUNTRY!$B$7:$N$27,5,FALSE)&gt;25,"-","--")))))</f>
        <v>+</v>
      </c>
      <c r="H14" s="138" t="str">
        <f>IF(VLOOKUP(C14,OUTPUT_COUNTRY!$B$7:$N$27,7,FALSE)&gt;75,"++",(IF(VLOOKUP(C14,OUTPUT_COUNTRY!$B$7:$N$27,7,FALSE)&gt;50,"+",(IF(VLOOKUP(C14,OUTPUT_COUNTRY!$B$7:$N$27,7,FALSE)&gt;25,"-","--")))))</f>
        <v>++</v>
      </c>
      <c r="I14" s="138" t="str">
        <f>IF(VLOOKUP(C14,OUTPUT_COUNTRY!$B$7:$N$27,8,FALSE)&gt;75,"++",(IF(VLOOKUP(C14,OUTPUT_COUNTRY!$B$7:$N$27,8,FALSE)&gt;50,"+",(IF(VLOOKUP(C14,OUTPUT_COUNTRY!$B$7:$N$27,8,FALSE)&gt;25,"-","--")))))</f>
        <v>++</v>
      </c>
      <c r="J14" s="138" t="str">
        <f>IF(VLOOKUP(C14,OUTPUT_COUNTRY!$B$7:$N$27,9,FALSE)&gt;75,"++",(IF(VLOOKUP(C14,OUTPUT_COUNTRY!$B$7:$N$27,9,FALSE)&gt;50,"+",(IF(VLOOKUP(C14,OUTPUT_COUNTRY!$B$7:$N$27,9,FALSE)&gt;25,"-","--")))))</f>
        <v>--</v>
      </c>
      <c r="K14" s="138" t="str">
        <f>IF(VLOOKUP(C14,OUTPUT_COUNTRY!$B$7:$N$27,11,FALSE)&gt;75,"++",(IF(VLOOKUP(C14,OUTPUT_COUNTRY!$B$7:$N$27,11,FALSE)&gt;50,"+",(IF(VLOOKUP(C14,OUTPUT_COUNTRY!$B$7:$N$27,11,FALSE)&gt;25,"-","--")))))</f>
        <v>+</v>
      </c>
      <c r="L14" s="136" t="str">
        <f>IF(VLOOKUP(C14,OUTPUT_COUNTRY!$B$7:$N$27,13,FALSE)&gt;75,"++",(IF(VLOOKUP(C14,OUTPUT_COUNTRY!$B$7:$N$27,13,FALSE)&gt;50,"+",(IF(VLOOKUP(C14,OUTPUT_COUNTRY!$B$7:$N$27,13,FALSE)&gt;25,"-","--")))))</f>
        <v>-</v>
      </c>
    </row>
    <row r="15" spans="3:12" x14ac:dyDescent="0.35">
      <c r="C15" s="90" t="s">
        <v>32</v>
      </c>
      <c r="D15" s="92" t="s">
        <v>52</v>
      </c>
      <c r="E15" s="136" t="str">
        <f>IF(VLOOKUP(C15,OUTPUT_COUNTRY!$B$7:$N$27,3,FALSE)&gt;75,"++",(IF(VLOOKUP(C15,OUTPUT_COUNTRY!$B$7:$N$27,3,FALSE)&gt;50,"+",(IF(VLOOKUP(C15,OUTPUT_COUNTRY!$B$7:$N$27,3,FALSE)&gt;25,"-","--")))))</f>
        <v>--</v>
      </c>
      <c r="F15" s="136" t="str">
        <f>IF(VLOOKUP(C15,OUTPUT_COUNTRY!$B$7:$N$27,4,FALSE)&gt;75,"++",(IF(VLOOKUP(C15,OUTPUT_COUNTRY!$B$7:$N$27,4,FALSE)&gt;50,"+",(IF(VLOOKUP(C15,OUTPUT_COUNTRY!$B$7:$N$27,4,FALSE)&gt;25,"-","--")))))</f>
        <v>+</v>
      </c>
      <c r="G15" s="138" t="str">
        <f>IF(VLOOKUP(C15,OUTPUT_COUNTRY!$B$7:$N$27,5,FALSE)&gt;75,"++",(IF(VLOOKUP(C15,OUTPUT_COUNTRY!$B$7:$N$27,5,FALSE)&gt;50,"+",(IF(VLOOKUP(C15,OUTPUT_COUNTRY!$B$7:$N$27,5,FALSE)&gt;25,"-","--")))))</f>
        <v>-</v>
      </c>
      <c r="H15" s="138" t="str">
        <f>IF(VLOOKUP(C15,OUTPUT_COUNTRY!$B$7:$N$27,7,FALSE)&gt;75,"++",(IF(VLOOKUP(C15,OUTPUT_COUNTRY!$B$7:$N$27,7,FALSE)&gt;50,"+",(IF(VLOOKUP(C15,OUTPUT_COUNTRY!$B$7:$N$27,7,FALSE)&gt;25,"-","--")))))</f>
        <v>-</v>
      </c>
      <c r="I15" s="138" t="str">
        <f>IF(VLOOKUP(C15,OUTPUT_COUNTRY!$B$7:$N$27,8,FALSE)&gt;75,"++",(IF(VLOOKUP(C15,OUTPUT_COUNTRY!$B$7:$N$27,8,FALSE)&gt;50,"+",(IF(VLOOKUP(C15,OUTPUT_COUNTRY!$B$7:$N$27,8,FALSE)&gt;25,"-","--")))))</f>
        <v>+</v>
      </c>
      <c r="J15" s="138" t="str">
        <f>IF(VLOOKUP(C15,OUTPUT_COUNTRY!$B$7:$N$27,9,FALSE)&gt;75,"++",(IF(VLOOKUP(C15,OUTPUT_COUNTRY!$B$7:$N$27,9,FALSE)&gt;50,"+",(IF(VLOOKUP(C15,OUTPUT_COUNTRY!$B$7:$N$27,9,FALSE)&gt;25,"-","--")))))</f>
        <v>++</v>
      </c>
      <c r="K15" s="138" t="str">
        <f>IF(VLOOKUP(C15,OUTPUT_COUNTRY!$B$7:$N$27,11,FALSE)&gt;75,"++",(IF(VLOOKUP(C15,OUTPUT_COUNTRY!$B$7:$N$27,11,FALSE)&gt;50,"+",(IF(VLOOKUP(C15,OUTPUT_COUNTRY!$B$7:$N$27,11,FALSE)&gt;25,"-","--")))))</f>
        <v>+</v>
      </c>
      <c r="L15" s="136" t="str">
        <f>IF(VLOOKUP(C15,OUTPUT_COUNTRY!$B$7:$N$27,13,FALSE)&gt;75,"++",(IF(VLOOKUP(C15,OUTPUT_COUNTRY!$B$7:$N$27,13,FALSE)&gt;50,"+",(IF(VLOOKUP(C15,OUTPUT_COUNTRY!$B$7:$N$27,13,FALSE)&gt;25,"-","--")))))</f>
        <v>++</v>
      </c>
    </row>
    <row r="16" spans="3:12" x14ac:dyDescent="0.35">
      <c r="C16" s="90" t="s">
        <v>27</v>
      </c>
      <c r="D16" s="92" t="s">
        <v>441</v>
      </c>
      <c r="E16" s="136" t="str">
        <f>IF(VLOOKUP(C16,OUTPUT_COUNTRY!$B$7:$N$27,3,FALSE)&gt;75,"++",(IF(VLOOKUP(C16,OUTPUT_COUNTRY!$B$7:$N$27,3,FALSE)&gt;50,"+",(IF(VLOOKUP(C16,OUTPUT_COUNTRY!$B$7:$N$27,3,FALSE)&gt;25,"-","--")))))</f>
        <v>++</v>
      </c>
      <c r="F16" s="136" t="str">
        <f>IF(VLOOKUP(C16,OUTPUT_COUNTRY!$B$7:$N$27,4,FALSE)&gt;75,"++",(IF(VLOOKUP(C16,OUTPUT_COUNTRY!$B$7:$N$27,4,FALSE)&gt;50,"+",(IF(VLOOKUP(C16,OUTPUT_COUNTRY!$B$7:$N$27,4,FALSE)&gt;25,"-","--")))))</f>
        <v>+</v>
      </c>
      <c r="G16" s="138" t="str">
        <f>IF(VLOOKUP(C16,OUTPUT_COUNTRY!$B$7:$N$27,5,FALSE)&gt;75,"++",(IF(VLOOKUP(C16,OUTPUT_COUNTRY!$B$7:$N$27,5,FALSE)&gt;50,"+",(IF(VLOOKUP(C16,OUTPUT_COUNTRY!$B$7:$N$27,5,FALSE)&gt;25,"-","--")))))</f>
        <v>-</v>
      </c>
      <c r="H16" s="138" t="str">
        <f>IF(VLOOKUP(C16,OUTPUT_COUNTRY!$B$7:$N$27,7,FALSE)&gt;75,"++",(IF(VLOOKUP(C16,OUTPUT_COUNTRY!$B$7:$N$27,7,FALSE)&gt;50,"+",(IF(VLOOKUP(C16,OUTPUT_COUNTRY!$B$7:$N$27,7,FALSE)&gt;25,"-","--")))))</f>
        <v>+</v>
      </c>
      <c r="I16" s="138" t="str">
        <f>IF(VLOOKUP(C16,OUTPUT_COUNTRY!$B$7:$N$27,8,FALSE)&gt;75,"++",(IF(VLOOKUP(C16,OUTPUT_COUNTRY!$B$7:$N$27,8,FALSE)&gt;50,"+",(IF(VLOOKUP(C16,OUTPUT_COUNTRY!$B$7:$N$27,8,FALSE)&gt;25,"-","--")))))</f>
        <v>++</v>
      </c>
      <c r="J16" s="138" t="str">
        <f>IF(VLOOKUP(C16,OUTPUT_COUNTRY!$B$7:$N$27,9,FALSE)&gt;75,"++",(IF(VLOOKUP(C16,OUTPUT_COUNTRY!$B$7:$N$27,9,FALSE)&gt;50,"+",(IF(VLOOKUP(C16,OUTPUT_COUNTRY!$B$7:$N$27,9,FALSE)&gt;25,"-","--")))))</f>
        <v>--</v>
      </c>
      <c r="K16" s="138" t="str">
        <f>IF(VLOOKUP(C16,OUTPUT_COUNTRY!$B$7:$N$27,11,FALSE)&gt;75,"++",(IF(VLOOKUP(C16,OUTPUT_COUNTRY!$B$7:$N$27,11,FALSE)&gt;50,"+",(IF(VLOOKUP(C16,OUTPUT_COUNTRY!$B$7:$N$27,11,FALSE)&gt;25,"-","--")))))</f>
        <v>--</v>
      </c>
      <c r="L16" s="136" t="str">
        <f>IF(VLOOKUP(C16,OUTPUT_COUNTRY!$B$7:$N$27,13,FALSE)&gt;75,"++",(IF(VLOOKUP(C16,OUTPUT_COUNTRY!$B$7:$N$27,13,FALSE)&gt;50,"+",(IF(VLOOKUP(C16,OUTPUT_COUNTRY!$B$7:$N$27,13,FALSE)&gt;25,"-","--")))))</f>
        <v>--</v>
      </c>
    </row>
    <row r="17" spans="3:12" x14ac:dyDescent="0.35">
      <c r="C17" s="90" t="s">
        <v>25</v>
      </c>
      <c r="D17" s="92" t="s">
        <v>451</v>
      </c>
      <c r="E17" s="136" t="str">
        <f>IF(VLOOKUP(C17,OUTPUT_COUNTRY!$B$7:$N$27,3,FALSE)&gt;75,"++",(IF(VLOOKUP(C17,OUTPUT_COUNTRY!$B$7:$N$27,3,FALSE)&gt;50,"+",(IF(VLOOKUP(C17,OUTPUT_COUNTRY!$B$7:$N$27,3,FALSE)&gt;25,"-","--")))))</f>
        <v>+</v>
      </c>
      <c r="F17" s="136" t="str">
        <f>IF(VLOOKUP(C17,OUTPUT_COUNTRY!$B$7:$N$27,4,FALSE)&gt;75,"++",(IF(VLOOKUP(C17,OUTPUT_COUNTRY!$B$7:$N$27,4,FALSE)&gt;50,"+",(IF(VLOOKUP(C17,OUTPUT_COUNTRY!$B$7:$N$27,4,FALSE)&gt;25,"-","--")))))</f>
        <v>-</v>
      </c>
      <c r="G17" s="138" t="str">
        <f>IF(VLOOKUP(C17,OUTPUT_COUNTRY!$B$7:$N$27,5,FALSE)&gt;75,"++",(IF(VLOOKUP(C17,OUTPUT_COUNTRY!$B$7:$N$27,5,FALSE)&gt;50,"+",(IF(VLOOKUP(C17,OUTPUT_COUNTRY!$B$7:$N$27,5,FALSE)&gt;25,"-","--")))))</f>
        <v>--</v>
      </c>
      <c r="H17" s="138" t="str">
        <f>IF(VLOOKUP(C17,OUTPUT_COUNTRY!$B$7:$N$27,7,FALSE)&gt;75,"++",(IF(VLOOKUP(C17,OUTPUT_COUNTRY!$B$7:$N$27,7,FALSE)&gt;50,"+",(IF(VLOOKUP(C17,OUTPUT_COUNTRY!$B$7:$N$27,7,FALSE)&gt;25,"-","--")))))</f>
        <v>-</v>
      </c>
      <c r="I17" s="138" t="str">
        <f>IF(VLOOKUP(C17,OUTPUT_COUNTRY!$B$7:$N$27,8,FALSE)&gt;75,"++",(IF(VLOOKUP(C17,OUTPUT_COUNTRY!$B$7:$N$27,8,FALSE)&gt;50,"+",(IF(VLOOKUP(C17,OUTPUT_COUNTRY!$B$7:$N$27,8,FALSE)&gt;25,"-","--")))))</f>
        <v>--</v>
      </c>
      <c r="J17" s="138" t="str">
        <f>IF(VLOOKUP(C17,OUTPUT_COUNTRY!$B$7:$N$27,9,FALSE)&gt;75,"++",(IF(VLOOKUP(C17,OUTPUT_COUNTRY!$B$7:$N$27,9,FALSE)&gt;50,"+",(IF(VLOOKUP(C17,OUTPUT_COUNTRY!$B$7:$N$27,9,FALSE)&gt;25,"-","--")))))</f>
        <v>-</v>
      </c>
      <c r="K17" s="138" t="str">
        <f>IF(VLOOKUP(C17,OUTPUT_COUNTRY!$B$7:$N$27,11,FALSE)&gt;75,"++",(IF(VLOOKUP(C17,OUTPUT_COUNTRY!$B$7:$N$27,11,FALSE)&gt;50,"+",(IF(VLOOKUP(C17,OUTPUT_COUNTRY!$B$7:$N$27,11,FALSE)&gt;25,"-","--")))))</f>
        <v>--</v>
      </c>
      <c r="L17" s="136" t="str">
        <f>IF(VLOOKUP(C17,OUTPUT_COUNTRY!$B$7:$N$27,13,FALSE)&gt;75,"++",(IF(VLOOKUP(C17,OUTPUT_COUNTRY!$B$7:$N$27,13,FALSE)&gt;50,"+",(IF(VLOOKUP(C17,OUTPUT_COUNTRY!$B$7:$N$27,13,FALSE)&gt;25,"-","--")))))</f>
        <v>--</v>
      </c>
    </row>
    <row r="18" spans="3:12" x14ac:dyDescent="0.35">
      <c r="C18" s="90" t="s">
        <v>12</v>
      </c>
      <c r="D18" s="92" t="s">
        <v>54</v>
      </c>
      <c r="E18" s="136" t="str">
        <f>IF(VLOOKUP(C18,OUTPUT_COUNTRY!$B$7:$N$27,3,FALSE)&gt;75,"++",(IF(VLOOKUP(C18,OUTPUT_COUNTRY!$B$7:$N$27,3,FALSE)&gt;50,"+",(IF(VLOOKUP(C18,OUTPUT_COUNTRY!$B$7:$N$27,3,FALSE)&gt;25,"-","--")))))</f>
        <v>+</v>
      </c>
      <c r="F18" s="136" t="str">
        <f>IF(VLOOKUP(C18,OUTPUT_COUNTRY!$B$7:$N$27,4,FALSE)&gt;75,"++",(IF(VLOOKUP(C18,OUTPUT_COUNTRY!$B$7:$N$27,4,FALSE)&gt;50,"+",(IF(VLOOKUP(C18,OUTPUT_COUNTRY!$B$7:$N$27,4,FALSE)&gt;25,"-","--")))))</f>
        <v>--</v>
      </c>
      <c r="G18" s="138" t="str">
        <f>IF(VLOOKUP(C18,OUTPUT_COUNTRY!$B$7:$N$27,5,FALSE)&gt;75,"++",(IF(VLOOKUP(C18,OUTPUT_COUNTRY!$B$7:$N$27,5,FALSE)&gt;50,"+",(IF(VLOOKUP(C18,OUTPUT_COUNTRY!$B$7:$N$27,5,FALSE)&gt;25,"-","--")))))</f>
        <v>--</v>
      </c>
      <c r="H18" s="138" t="str">
        <f>IF(VLOOKUP(C18,OUTPUT_COUNTRY!$B$7:$N$27,7,FALSE)&gt;75,"++",(IF(VLOOKUP(C18,OUTPUT_COUNTRY!$B$7:$N$27,7,FALSE)&gt;50,"+",(IF(VLOOKUP(C18,OUTPUT_COUNTRY!$B$7:$N$27,7,FALSE)&gt;25,"-","--")))))</f>
        <v>--</v>
      </c>
      <c r="I18" s="138" t="str">
        <f>IF(VLOOKUP(C18,OUTPUT_COUNTRY!$B$7:$N$27,8,FALSE)&gt;75,"++",(IF(VLOOKUP(C18,OUTPUT_COUNTRY!$B$7:$N$27,8,FALSE)&gt;50,"+",(IF(VLOOKUP(C18,OUTPUT_COUNTRY!$B$7:$N$27,8,FALSE)&gt;25,"-","--")))))</f>
        <v>+</v>
      </c>
      <c r="J18" s="138" t="str">
        <f>IF(VLOOKUP(C18,OUTPUT_COUNTRY!$B$7:$N$27,9,FALSE)&gt;75,"++",(IF(VLOOKUP(C18,OUTPUT_COUNTRY!$B$7:$N$27,9,FALSE)&gt;50,"+",(IF(VLOOKUP(C18,OUTPUT_COUNTRY!$B$7:$N$27,9,FALSE)&gt;25,"-","--")))))</f>
        <v>-</v>
      </c>
      <c r="K18" s="138" t="str">
        <f>IF(VLOOKUP(C18,OUTPUT_COUNTRY!$B$7:$N$27,11,FALSE)&gt;75,"++",(IF(VLOOKUP(C18,OUTPUT_COUNTRY!$B$7:$N$27,11,FALSE)&gt;50,"+",(IF(VLOOKUP(C18,OUTPUT_COUNTRY!$B$7:$N$27,11,FALSE)&gt;25,"-","--")))))</f>
        <v>-</v>
      </c>
      <c r="L18" s="136" t="str">
        <f>IF(VLOOKUP(C18,OUTPUT_COUNTRY!$B$7:$N$27,13,FALSE)&gt;75,"++",(IF(VLOOKUP(C18,OUTPUT_COUNTRY!$B$7:$N$27,13,FALSE)&gt;50,"+",(IF(VLOOKUP(C18,OUTPUT_COUNTRY!$B$7:$N$27,13,FALSE)&gt;25,"-","--")))))</f>
        <v>-</v>
      </c>
    </row>
    <row r="19" spans="3:12" x14ac:dyDescent="0.35">
      <c r="C19" s="90" t="s">
        <v>29</v>
      </c>
      <c r="D19" s="92" t="s">
        <v>445</v>
      </c>
      <c r="E19" s="136" t="str">
        <f>IF(VLOOKUP(C19,OUTPUT_COUNTRY!$B$7:$N$27,3,FALSE)&gt;75,"++",(IF(VLOOKUP(C19,OUTPUT_COUNTRY!$B$7:$N$27,3,FALSE)&gt;50,"+",(IF(VLOOKUP(C19,OUTPUT_COUNTRY!$B$7:$N$27,3,FALSE)&gt;25,"-","--")))))</f>
        <v>--</v>
      </c>
      <c r="F19" s="136" t="e">
        <f>IF(VLOOKUP(C19,OUTPUT_COUNTRY!$B$7:$N$27,4,FALSE)&gt;75,"++",(IF(VLOOKUP(C19,OUTPUT_COUNTRY!$B$7:$N$27,4,FALSE)&gt;50,"+",(IF(VLOOKUP(C19,OUTPUT_COUNTRY!$B$7:$N$27,4,FALSE)&gt;25,"-","--")))))</f>
        <v>#VALUE!</v>
      </c>
      <c r="G19" s="138" t="str">
        <f>IF(VLOOKUP(C19,OUTPUT_COUNTRY!$B$7:$N$27,5,FALSE)&gt;75,"++",(IF(VLOOKUP(C19,OUTPUT_COUNTRY!$B$7:$N$27,5,FALSE)&gt;50,"+",(IF(VLOOKUP(C19,OUTPUT_COUNTRY!$B$7:$N$27,5,FALSE)&gt;25,"-","--")))))</f>
        <v>-</v>
      </c>
      <c r="H19" s="138" t="e">
        <f>IF(VLOOKUP(C19,OUTPUT_COUNTRY!$B$7:$N$27,7,FALSE)&gt;75,"++",(IF(VLOOKUP(C19,OUTPUT_COUNTRY!$B$7:$N$27,7,FALSE)&gt;50,"+",(IF(VLOOKUP(C19,OUTPUT_COUNTRY!$B$7:$N$27,7,FALSE)&gt;25,"-","--")))))</f>
        <v>#VALUE!</v>
      </c>
      <c r="I19" s="138" t="str">
        <f>IF(VLOOKUP(C19,OUTPUT_COUNTRY!$B$7:$N$27,8,FALSE)&gt;75,"++",(IF(VLOOKUP(C19,OUTPUT_COUNTRY!$B$7:$N$27,8,FALSE)&gt;50,"+",(IF(VLOOKUP(C19,OUTPUT_COUNTRY!$B$7:$N$27,8,FALSE)&gt;25,"-","--")))))</f>
        <v>+</v>
      </c>
      <c r="J19" s="138" t="str">
        <f>IF(VLOOKUP(C19,OUTPUT_COUNTRY!$B$7:$N$27,9,FALSE)&gt;75,"++",(IF(VLOOKUP(C19,OUTPUT_COUNTRY!$B$7:$N$27,9,FALSE)&gt;50,"+",(IF(VLOOKUP(C19,OUTPUT_COUNTRY!$B$7:$N$27,9,FALSE)&gt;25,"-","--")))))</f>
        <v>+</v>
      </c>
      <c r="K19" s="138" t="str">
        <f>IF(VLOOKUP(C19,OUTPUT_COUNTRY!$B$7:$N$27,11,FALSE)&gt;75,"++",(IF(VLOOKUP(C19,OUTPUT_COUNTRY!$B$7:$N$27,11,FALSE)&gt;50,"+",(IF(VLOOKUP(C19,OUTPUT_COUNTRY!$B$7:$N$27,11,FALSE)&gt;25,"-","--")))))</f>
        <v>-</v>
      </c>
      <c r="L19" s="136" t="e">
        <f>IF(VLOOKUP(C19,OUTPUT_COUNTRY!$B$7:$N$27,13,FALSE)&gt;75,"++",(IF(VLOOKUP(C19,OUTPUT_COUNTRY!$B$7:$N$27,13,FALSE)&gt;50,"+",(IF(VLOOKUP(C19,OUTPUT_COUNTRY!$B$7:$N$27,13,FALSE)&gt;25,"-","--")))))</f>
        <v>#VALUE!</v>
      </c>
    </row>
    <row r="20" spans="3:12" x14ac:dyDescent="0.35">
      <c r="C20" s="90" t="s">
        <v>33</v>
      </c>
      <c r="D20" s="92" t="s">
        <v>446</v>
      </c>
      <c r="E20" s="136" t="str">
        <f>IF(VLOOKUP(C20,OUTPUT_COUNTRY!$B$7:$N$27,3,FALSE)&gt;75,"++",(IF(VLOOKUP(C20,OUTPUT_COUNTRY!$B$7:$N$27,3,FALSE)&gt;50,"+",(IF(VLOOKUP(C20,OUTPUT_COUNTRY!$B$7:$N$27,3,FALSE)&gt;25,"-","--")))))</f>
        <v>-</v>
      </c>
      <c r="F20" s="136" t="str">
        <f>IF(VLOOKUP(C20,OUTPUT_COUNTRY!$B$7:$N$27,4,FALSE)&gt;75,"++",(IF(VLOOKUP(C20,OUTPUT_COUNTRY!$B$7:$N$27,4,FALSE)&gt;50,"+",(IF(VLOOKUP(C20,OUTPUT_COUNTRY!$B$7:$N$27,4,FALSE)&gt;25,"-","--")))))</f>
        <v>+</v>
      </c>
      <c r="G20" s="138" t="str">
        <f>IF(VLOOKUP(C20,OUTPUT_COUNTRY!$B$7:$N$27,5,FALSE)&gt;75,"++",(IF(VLOOKUP(C20,OUTPUT_COUNTRY!$B$7:$N$27,5,FALSE)&gt;50,"+",(IF(VLOOKUP(C20,OUTPUT_COUNTRY!$B$7:$N$27,5,FALSE)&gt;25,"-","--")))))</f>
        <v>+</v>
      </c>
      <c r="H20" s="138" t="str">
        <f>IF(VLOOKUP(C20,OUTPUT_COUNTRY!$B$7:$N$27,7,FALSE)&gt;75,"++",(IF(VLOOKUP(C20,OUTPUT_COUNTRY!$B$7:$N$27,7,FALSE)&gt;50,"+",(IF(VLOOKUP(C20,OUTPUT_COUNTRY!$B$7:$N$27,7,FALSE)&gt;25,"-","--")))))</f>
        <v>+</v>
      </c>
      <c r="I20" s="138" t="str">
        <f>IF(VLOOKUP(C20,OUTPUT_COUNTRY!$B$7:$N$27,8,FALSE)&gt;75,"++",(IF(VLOOKUP(C20,OUTPUT_COUNTRY!$B$7:$N$27,8,FALSE)&gt;50,"+",(IF(VLOOKUP(C20,OUTPUT_COUNTRY!$B$7:$N$27,8,FALSE)&gt;25,"-","--")))))</f>
        <v>--</v>
      </c>
      <c r="J20" s="138" t="str">
        <f>IF(VLOOKUP(C20,OUTPUT_COUNTRY!$B$7:$N$27,9,FALSE)&gt;75,"++",(IF(VLOOKUP(C20,OUTPUT_COUNTRY!$B$7:$N$27,9,FALSE)&gt;50,"+",(IF(VLOOKUP(C20,OUTPUT_COUNTRY!$B$7:$N$27,9,FALSE)&gt;25,"-","--")))))</f>
        <v>+</v>
      </c>
      <c r="K20" s="138" t="str">
        <f>IF(VLOOKUP(C20,OUTPUT_COUNTRY!$B$7:$N$27,11,FALSE)&gt;75,"++",(IF(VLOOKUP(C20,OUTPUT_COUNTRY!$B$7:$N$27,11,FALSE)&gt;50,"+",(IF(VLOOKUP(C20,OUTPUT_COUNTRY!$B$7:$N$27,11,FALSE)&gt;25,"-","--")))))</f>
        <v>-</v>
      </c>
      <c r="L20" s="136" t="str">
        <f>IF(VLOOKUP(C20,OUTPUT_COUNTRY!$B$7:$N$27,13,FALSE)&gt;75,"++",(IF(VLOOKUP(C20,OUTPUT_COUNTRY!$B$7:$N$27,13,FALSE)&gt;50,"+",(IF(VLOOKUP(C20,OUTPUT_COUNTRY!$B$7:$N$27,13,FALSE)&gt;25,"-","--")))))</f>
        <v>-</v>
      </c>
    </row>
    <row r="21" spans="3:12" x14ac:dyDescent="0.35">
      <c r="C21" s="90" t="s">
        <v>31</v>
      </c>
      <c r="D21" s="92" t="s">
        <v>449</v>
      </c>
      <c r="E21" s="136" t="str">
        <f>IF(VLOOKUP(C21,OUTPUT_COUNTRY!$B$7:$N$27,3,FALSE)&gt;75,"++",(IF(VLOOKUP(C21,OUTPUT_COUNTRY!$B$7:$N$27,3,FALSE)&gt;50,"+",(IF(VLOOKUP(C21,OUTPUT_COUNTRY!$B$7:$N$27,3,FALSE)&gt;25,"-","--")))))</f>
        <v>+</v>
      </c>
      <c r="F21" s="136" t="str">
        <f>IF(VLOOKUP(C21,OUTPUT_COUNTRY!$B$7:$N$27,4,FALSE)&gt;75,"++",(IF(VLOOKUP(C21,OUTPUT_COUNTRY!$B$7:$N$27,4,FALSE)&gt;50,"+",(IF(VLOOKUP(C21,OUTPUT_COUNTRY!$B$7:$N$27,4,FALSE)&gt;25,"-","--")))))</f>
        <v>-</v>
      </c>
      <c r="G21" s="138" t="str">
        <f>IF(VLOOKUP(C21,OUTPUT_COUNTRY!$B$7:$N$27,5,FALSE)&gt;75,"++",(IF(VLOOKUP(C21,OUTPUT_COUNTRY!$B$7:$N$27,5,FALSE)&gt;50,"+",(IF(VLOOKUP(C21,OUTPUT_COUNTRY!$B$7:$N$27,5,FALSE)&gt;25,"-","--")))))</f>
        <v>+</v>
      </c>
      <c r="H21" s="138" t="str">
        <f>IF(VLOOKUP(C21,OUTPUT_COUNTRY!$B$7:$N$27,7,FALSE)&gt;75,"++",(IF(VLOOKUP(C21,OUTPUT_COUNTRY!$B$7:$N$27,7,FALSE)&gt;50,"+",(IF(VLOOKUP(C21,OUTPUT_COUNTRY!$B$7:$N$27,7,FALSE)&gt;25,"-","--")))))</f>
        <v>+</v>
      </c>
      <c r="I21" s="138" t="str">
        <f>IF(VLOOKUP(C21,OUTPUT_COUNTRY!$B$7:$N$27,8,FALSE)&gt;75,"++",(IF(VLOOKUP(C21,OUTPUT_COUNTRY!$B$7:$N$27,8,FALSE)&gt;50,"+",(IF(VLOOKUP(C21,OUTPUT_COUNTRY!$B$7:$N$27,8,FALSE)&gt;25,"-","--")))))</f>
        <v>--</v>
      </c>
      <c r="J21" s="138" t="str">
        <f>IF(VLOOKUP(C21,OUTPUT_COUNTRY!$B$7:$N$27,9,FALSE)&gt;75,"++",(IF(VLOOKUP(C21,OUTPUT_COUNTRY!$B$7:$N$27,9,FALSE)&gt;50,"+",(IF(VLOOKUP(C21,OUTPUT_COUNTRY!$B$7:$N$27,9,FALSE)&gt;25,"-","--")))))</f>
        <v>-</v>
      </c>
      <c r="K21" s="138" t="str">
        <f>IF(VLOOKUP(C21,OUTPUT_COUNTRY!$B$7:$N$27,11,FALSE)&gt;75,"++",(IF(VLOOKUP(C21,OUTPUT_COUNTRY!$B$7:$N$27,11,FALSE)&gt;50,"+",(IF(VLOOKUP(C21,OUTPUT_COUNTRY!$B$7:$N$27,11,FALSE)&gt;25,"-","--")))))</f>
        <v>++</v>
      </c>
      <c r="L21" s="136" t="str">
        <f>IF(VLOOKUP(C21,OUTPUT_COUNTRY!$B$7:$N$27,13,FALSE)&gt;75,"++",(IF(VLOOKUP(C21,OUTPUT_COUNTRY!$B$7:$N$27,13,FALSE)&gt;50,"+",(IF(VLOOKUP(C21,OUTPUT_COUNTRY!$B$7:$N$27,13,FALSE)&gt;25,"-","--")))))</f>
        <v>-</v>
      </c>
    </row>
    <row r="22" spans="3:12" x14ac:dyDescent="0.35">
      <c r="C22" s="90" t="s">
        <v>30</v>
      </c>
      <c r="D22" s="92" t="s">
        <v>443</v>
      </c>
      <c r="E22" s="136" t="str">
        <f>IF(VLOOKUP(C22,OUTPUT_COUNTRY!$B$7:$N$27,3,FALSE)&gt;75,"++",(IF(VLOOKUP(C22,OUTPUT_COUNTRY!$B$7:$N$27,3,FALSE)&gt;50,"+",(IF(VLOOKUP(C22,OUTPUT_COUNTRY!$B$7:$N$27,3,FALSE)&gt;25,"-","--")))))</f>
        <v>+</v>
      </c>
      <c r="F22" s="136" t="str">
        <f>IF(VLOOKUP(C22,OUTPUT_COUNTRY!$B$7:$N$27,4,FALSE)&gt;75,"++",(IF(VLOOKUP(C22,OUTPUT_COUNTRY!$B$7:$N$27,4,FALSE)&gt;50,"+",(IF(VLOOKUP(C22,OUTPUT_COUNTRY!$B$7:$N$27,4,FALSE)&gt;25,"-","--")))))</f>
        <v>+</v>
      </c>
      <c r="G22" s="138" t="str">
        <f>IF(VLOOKUP(C22,OUTPUT_COUNTRY!$B$7:$N$27,5,FALSE)&gt;75,"++",(IF(VLOOKUP(C22,OUTPUT_COUNTRY!$B$7:$N$27,5,FALSE)&gt;50,"+",(IF(VLOOKUP(C22,OUTPUT_COUNTRY!$B$7:$N$27,5,FALSE)&gt;25,"-","--")))))</f>
        <v>-</v>
      </c>
      <c r="H22" s="138" t="str">
        <f>IF(VLOOKUP(C22,OUTPUT_COUNTRY!$B$7:$N$27,7,FALSE)&gt;75,"++",(IF(VLOOKUP(C22,OUTPUT_COUNTRY!$B$7:$N$27,7,FALSE)&gt;50,"+",(IF(VLOOKUP(C22,OUTPUT_COUNTRY!$B$7:$N$27,7,FALSE)&gt;25,"-","--")))))</f>
        <v>+</v>
      </c>
      <c r="I22" s="138" t="str">
        <f>IF(VLOOKUP(C22,OUTPUT_COUNTRY!$B$7:$N$27,8,FALSE)&gt;75,"++",(IF(VLOOKUP(C22,OUTPUT_COUNTRY!$B$7:$N$27,8,FALSE)&gt;50,"+",(IF(VLOOKUP(C22,OUTPUT_COUNTRY!$B$7:$N$27,8,FALSE)&gt;25,"-","--")))))</f>
        <v>--</v>
      </c>
      <c r="J22" s="138" t="str">
        <f>IF(VLOOKUP(C22,OUTPUT_COUNTRY!$B$7:$N$27,9,FALSE)&gt;75,"++",(IF(VLOOKUP(C22,OUTPUT_COUNTRY!$B$7:$N$27,9,FALSE)&gt;50,"+",(IF(VLOOKUP(C22,OUTPUT_COUNTRY!$B$7:$N$27,9,FALSE)&gt;25,"-","--")))))</f>
        <v>++</v>
      </c>
      <c r="K22" s="138" t="str">
        <f>IF(VLOOKUP(C22,OUTPUT_COUNTRY!$B$7:$N$27,11,FALSE)&gt;75,"++",(IF(VLOOKUP(C22,OUTPUT_COUNTRY!$B$7:$N$27,11,FALSE)&gt;50,"+",(IF(VLOOKUP(C22,OUTPUT_COUNTRY!$B$7:$N$27,11,FALSE)&gt;25,"-","--")))))</f>
        <v>-</v>
      </c>
      <c r="L22" s="136" t="str">
        <f>IF(VLOOKUP(C22,OUTPUT_COUNTRY!$B$7:$N$27,13,FALSE)&gt;75,"++",(IF(VLOOKUP(C22,OUTPUT_COUNTRY!$B$7:$N$27,13,FALSE)&gt;50,"+",(IF(VLOOKUP(C22,OUTPUT_COUNTRY!$B$7:$N$27,13,FALSE)&gt;25,"-","--")))))</f>
        <v>++</v>
      </c>
    </row>
    <row r="23" spans="3:12" x14ac:dyDescent="0.35">
      <c r="C23" s="90" t="s">
        <v>34</v>
      </c>
      <c r="D23" s="92" t="s">
        <v>452</v>
      </c>
      <c r="E23" s="136" t="str">
        <f>IF(VLOOKUP(C23,OUTPUT_COUNTRY!$B$7:$N$27,3,FALSE)&gt;75,"++",(IF(VLOOKUP(C23,OUTPUT_COUNTRY!$B$7:$N$27,3,FALSE)&gt;50,"+",(IF(VLOOKUP(C23,OUTPUT_COUNTRY!$B$7:$N$27,3,FALSE)&gt;25,"-","--")))))</f>
        <v>++</v>
      </c>
      <c r="F23" s="136" t="str">
        <f>IF(VLOOKUP(C23,OUTPUT_COUNTRY!$B$7:$N$27,4,FALSE)&gt;75,"++",(IF(VLOOKUP(C23,OUTPUT_COUNTRY!$B$7:$N$27,4,FALSE)&gt;50,"+",(IF(VLOOKUP(C23,OUTPUT_COUNTRY!$B$7:$N$27,4,FALSE)&gt;25,"-","--")))))</f>
        <v>--</v>
      </c>
      <c r="G23" s="138" t="str">
        <f>IF(VLOOKUP(C23,OUTPUT_COUNTRY!$B$7:$N$27,5,FALSE)&gt;75,"++",(IF(VLOOKUP(C23,OUTPUT_COUNTRY!$B$7:$N$27,5,FALSE)&gt;50,"+",(IF(VLOOKUP(C23,OUTPUT_COUNTRY!$B$7:$N$27,5,FALSE)&gt;25,"-","--")))))</f>
        <v>+</v>
      </c>
      <c r="H23" s="138" t="str">
        <f>IF(VLOOKUP(C23,OUTPUT_COUNTRY!$B$7:$N$27,7,FALSE)&gt;75,"++",(IF(VLOOKUP(C23,OUTPUT_COUNTRY!$B$7:$N$27,7,FALSE)&gt;50,"+",(IF(VLOOKUP(C23,OUTPUT_COUNTRY!$B$7:$N$27,7,FALSE)&gt;25,"-","--")))))</f>
        <v>++</v>
      </c>
      <c r="I23" s="138" t="str">
        <f>IF(VLOOKUP(C23,OUTPUT_COUNTRY!$B$7:$N$27,8,FALSE)&gt;75,"++",(IF(VLOOKUP(C23,OUTPUT_COUNTRY!$B$7:$N$27,8,FALSE)&gt;50,"+",(IF(VLOOKUP(C23,OUTPUT_COUNTRY!$B$7:$N$27,8,FALSE)&gt;25,"-","--")))))</f>
        <v>--</v>
      </c>
      <c r="J23" s="138" t="str">
        <f>IF(VLOOKUP(C23,OUTPUT_COUNTRY!$B$7:$N$27,9,FALSE)&gt;75,"++",(IF(VLOOKUP(C23,OUTPUT_COUNTRY!$B$7:$N$27,9,FALSE)&gt;50,"+",(IF(VLOOKUP(C23,OUTPUT_COUNTRY!$B$7:$N$27,9,FALSE)&gt;25,"-","--")))))</f>
        <v>-</v>
      </c>
      <c r="K23" s="138" t="str">
        <f>IF(VLOOKUP(C23,OUTPUT_COUNTRY!$B$7:$N$27,11,FALSE)&gt;75,"++",(IF(VLOOKUP(C23,OUTPUT_COUNTRY!$B$7:$N$27,11,FALSE)&gt;50,"+",(IF(VLOOKUP(C23,OUTPUT_COUNTRY!$B$7:$N$27,11,FALSE)&gt;25,"-","--")))))</f>
        <v>++</v>
      </c>
      <c r="L23" s="136" t="str">
        <f>IF(VLOOKUP(C23,OUTPUT_COUNTRY!$B$7:$N$27,13,FALSE)&gt;75,"++",(IF(VLOOKUP(C23,OUTPUT_COUNTRY!$B$7:$N$27,13,FALSE)&gt;50,"+",(IF(VLOOKUP(C23,OUTPUT_COUNTRY!$B$7:$N$27,13,FALSE)&gt;25,"-","--")))))</f>
        <v>-</v>
      </c>
    </row>
    <row r="24" spans="3:12" x14ac:dyDescent="0.35">
      <c r="C24" s="91" t="s">
        <v>22</v>
      </c>
      <c r="D24" s="93" t="s">
        <v>447</v>
      </c>
      <c r="E24" s="140" t="str">
        <f>IF(VLOOKUP(C24,OUTPUT_COUNTRY!$B$7:$N$27,3,FALSE)&gt;75,"++",(IF(VLOOKUP(C24,OUTPUT_COUNTRY!$B$7:$N$27,3,FALSE)&gt;50,"+",(IF(VLOOKUP(C24,OUTPUT_COUNTRY!$B$7:$N$27,3,FALSE)&gt;25,"-","--")))))</f>
        <v>-</v>
      </c>
      <c r="F24" s="140" t="str">
        <f>IF(VLOOKUP(C24,OUTPUT_COUNTRY!$B$7:$N$27,4,FALSE)&gt;75,"++",(IF(VLOOKUP(C24,OUTPUT_COUNTRY!$B$7:$N$27,4,FALSE)&gt;50,"+",(IF(VLOOKUP(C24,OUTPUT_COUNTRY!$B$7:$N$27,4,FALSE)&gt;25,"-","--")))))</f>
        <v>--</v>
      </c>
      <c r="G24" s="139" t="str">
        <f>IF(VLOOKUP(C24,OUTPUT_COUNTRY!$B$7:$N$27,5,FALSE)&gt;75,"++",(IF(VLOOKUP(C24,OUTPUT_COUNTRY!$B$7:$N$27,5,FALSE)&gt;50,"+",(IF(VLOOKUP(C24,OUTPUT_COUNTRY!$B$7:$N$27,5,FALSE)&gt;25,"-","--")))))</f>
        <v>-</v>
      </c>
      <c r="H24" s="139" t="str">
        <f>IF(VLOOKUP(C24,OUTPUT_COUNTRY!$B$7:$N$27,7,FALSE)&gt;75,"++",(IF(VLOOKUP(C24,OUTPUT_COUNTRY!$B$7:$N$27,7,FALSE)&gt;50,"+",(IF(VLOOKUP(C24,OUTPUT_COUNTRY!$B$7:$N$27,7,FALSE)&gt;25,"-","--")))))</f>
        <v>-</v>
      </c>
      <c r="I24" s="139" t="str">
        <f>IF(VLOOKUP(C24,OUTPUT_COUNTRY!$B$7:$N$27,8,FALSE)&gt;75,"++",(IF(VLOOKUP(C24,OUTPUT_COUNTRY!$B$7:$N$27,8,FALSE)&gt;50,"+",(IF(VLOOKUP(C24,OUTPUT_COUNTRY!$B$7:$N$27,8,FALSE)&gt;25,"-","--")))))</f>
        <v>--</v>
      </c>
      <c r="J24" s="139" t="str">
        <f>IF(VLOOKUP(C24,OUTPUT_COUNTRY!$B$7:$N$27,9,FALSE)&gt;75,"++",(IF(VLOOKUP(C24,OUTPUT_COUNTRY!$B$7:$N$27,9,FALSE)&gt;50,"+",(IF(VLOOKUP(C24,OUTPUT_COUNTRY!$B$7:$N$27,9,FALSE)&gt;25,"-","--")))))</f>
        <v>--</v>
      </c>
      <c r="K24" s="139" t="str">
        <f>IF(VLOOKUP(C24,OUTPUT_COUNTRY!$B$7:$N$27,11,FALSE)&gt;75,"++",(IF(VLOOKUP(C24,OUTPUT_COUNTRY!$B$7:$N$27,11,FALSE)&gt;50,"+",(IF(VLOOKUP(C24,OUTPUT_COUNTRY!$B$7:$N$27,11,FALSE)&gt;25,"-","--")))))</f>
        <v>--</v>
      </c>
      <c r="L24" s="140" t="str">
        <f>IF(VLOOKUP(C24,OUTPUT_COUNTRY!$B$7:$N$27,13,FALSE)&gt;75,"++",(IF(VLOOKUP(C24,OUTPUT_COUNTRY!$B$7:$N$27,13,FALSE)&gt;50,"+",(IF(VLOOKUP(C24,OUTPUT_COUNTRY!$B$7:$N$27,13,FALSE)&gt;25,"-","--")))))</f>
        <v>--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topLeftCell="A35" workbookViewId="0">
      <selection activeCell="B46" sqref="B46"/>
    </sheetView>
  </sheetViews>
  <sheetFormatPr defaultRowHeight="14.5" x14ac:dyDescent="0.35"/>
  <cols>
    <col min="1" max="1" width="16.36328125" style="36" customWidth="1"/>
    <col min="2" max="2" width="16.36328125" customWidth="1"/>
    <col min="3" max="3" width="66.08984375" bestFit="1" customWidth="1"/>
    <col min="4" max="4" width="16.453125" bestFit="1" customWidth="1"/>
  </cols>
  <sheetData>
    <row r="1" spans="1:4" x14ac:dyDescent="0.35">
      <c r="C1" s="1" t="s">
        <v>155</v>
      </c>
    </row>
    <row r="2" spans="1:4" x14ac:dyDescent="0.35">
      <c r="A2" s="37" t="s">
        <v>156</v>
      </c>
      <c r="B2" s="38" t="s">
        <v>157</v>
      </c>
      <c r="C2" s="39" t="s">
        <v>158</v>
      </c>
      <c r="D2" s="39" t="s">
        <v>159</v>
      </c>
    </row>
    <row r="3" spans="1:4" x14ac:dyDescent="0.35">
      <c r="C3" s="40" t="s">
        <v>160</v>
      </c>
      <c r="D3" s="41"/>
    </row>
    <row r="4" spans="1:4" x14ac:dyDescent="0.35">
      <c r="A4" s="36" t="s">
        <v>120</v>
      </c>
      <c r="B4" t="s">
        <v>161</v>
      </c>
      <c r="C4" t="s">
        <v>162</v>
      </c>
      <c r="D4" t="s">
        <v>163</v>
      </c>
    </row>
    <row r="5" spans="1:4" x14ac:dyDescent="0.35">
      <c r="A5" s="36" t="s">
        <v>164</v>
      </c>
      <c r="B5" t="s">
        <v>165</v>
      </c>
      <c r="C5" t="s">
        <v>166</v>
      </c>
      <c r="D5" t="s">
        <v>167</v>
      </c>
    </row>
    <row r="6" spans="1:4" x14ac:dyDescent="0.35">
      <c r="A6" s="36" t="s">
        <v>118</v>
      </c>
      <c r="B6" t="s">
        <v>168</v>
      </c>
      <c r="C6" t="s">
        <v>169</v>
      </c>
      <c r="D6" t="s">
        <v>170</v>
      </c>
    </row>
    <row r="7" spans="1:4" x14ac:dyDescent="0.35">
      <c r="A7" s="36" t="s">
        <v>119</v>
      </c>
      <c r="B7" t="s">
        <v>171</v>
      </c>
      <c r="C7" t="s">
        <v>172</v>
      </c>
      <c r="D7" t="s">
        <v>173</v>
      </c>
    </row>
    <row r="8" spans="1:4" x14ac:dyDescent="0.35">
      <c r="A8" s="36" t="s">
        <v>123</v>
      </c>
      <c r="B8" t="s">
        <v>174</v>
      </c>
      <c r="C8" t="s">
        <v>175</v>
      </c>
      <c r="D8" t="s">
        <v>176</v>
      </c>
    </row>
    <row r="9" spans="1:4" x14ac:dyDescent="0.35">
      <c r="A9" s="36" t="s">
        <v>154</v>
      </c>
      <c r="C9" s="40" t="s">
        <v>177</v>
      </c>
      <c r="D9" s="42"/>
    </row>
    <row r="10" spans="1:4" x14ac:dyDescent="0.35">
      <c r="A10" s="36" t="s">
        <v>117</v>
      </c>
      <c r="B10" t="s">
        <v>178</v>
      </c>
      <c r="C10" t="s">
        <v>179</v>
      </c>
      <c r="D10" t="s">
        <v>180</v>
      </c>
    </row>
    <row r="11" spans="1:4" x14ac:dyDescent="0.35">
      <c r="A11" s="36" t="s">
        <v>108</v>
      </c>
      <c r="B11" t="s">
        <v>181</v>
      </c>
      <c r="C11" t="s">
        <v>182</v>
      </c>
      <c r="D11" t="s">
        <v>183</v>
      </c>
    </row>
    <row r="12" spans="1:4" x14ac:dyDescent="0.35">
      <c r="A12" s="36" t="s">
        <v>184</v>
      </c>
      <c r="B12" t="s">
        <v>185</v>
      </c>
      <c r="C12" t="s">
        <v>186</v>
      </c>
      <c r="D12" t="s">
        <v>187</v>
      </c>
    </row>
    <row r="13" spans="1:4" x14ac:dyDescent="0.35">
      <c r="A13" s="36" t="s">
        <v>122</v>
      </c>
      <c r="B13" t="s">
        <v>188</v>
      </c>
      <c r="C13" t="s">
        <v>189</v>
      </c>
      <c r="D13" t="s">
        <v>190</v>
      </c>
    </row>
    <row r="14" spans="1:4" x14ac:dyDescent="0.35">
      <c r="A14" s="36" t="s">
        <v>128</v>
      </c>
      <c r="B14" t="s">
        <v>191</v>
      </c>
      <c r="C14" t="s">
        <v>192</v>
      </c>
      <c r="D14" t="s">
        <v>193</v>
      </c>
    </row>
    <row r="15" spans="1:4" x14ac:dyDescent="0.35">
      <c r="A15" s="36" t="s">
        <v>118</v>
      </c>
      <c r="B15" t="s">
        <v>168</v>
      </c>
      <c r="C15" t="s">
        <v>169</v>
      </c>
      <c r="D15" t="s">
        <v>170</v>
      </c>
    </row>
    <row r="16" spans="1:4" x14ac:dyDescent="0.35">
      <c r="A16" s="36" t="s">
        <v>194</v>
      </c>
      <c r="B16" t="s">
        <v>195</v>
      </c>
      <c r="C16" t="s">
        <v>196</v>
      </c>
      <c r="D16" t="s">
        <v>197</v>
      </c>
    </row>
    <row r="17" spans="1:4" x14ac:dyDescent="0.35">
      <c r="A17" s="36" t="s">
        <v>126</v>
      </c>
      <c r="B17" t="s">
        <v>198</v>
      </c>
      <c r="C17" t="s">
        <v>199</v>
      </c>
      <c r="D17" t="s">
        <v>200</v>
      </c>
    </row>
    <row r="18" spans="1:4" x14ac:dyDescent="0.35">
      <c r="A18" s="36" t="s">
        <v>201</v>
      </c>
      <c r="B18" t="s">
        <v>202</v>
      </c>
      <c r="C18" t="s">
        <v>203</v>
      </c>
      <c r="D18" t="s">
        <v>204</v>
      </c>
    </row>
    <row r="19" spans="1:4" x14ac:dyDescent="0.35">
      <c r="A19" s="36" t="s">
        <v>205</v>
      </c>
      <c r="B19" t="s">
        <v>206</v>
      </c>
      <c r="C19" t="s">
        <v>207</v>
      </c>
      <c r="D19" t="s">
        <v>208</v>
      </c>
    </row>
    <row r="20" spans="1:4" x14ac:dyDescent="0.35">
      <c r="A20" s="36" t="s">
        <v>121</v>
      </c>
      <c r="B20" t="s">
        <v>209</v>
      </c>
      <c r="C20" t="s">
        <v>210</v>
      </c>
      <c r="D20" t="s">
        <v>211</v>
      </c>
    </row>
    <row r="21" spans="1:4" x14ac:dyDescent="0.35">
      <c r="A21" s="36" t="s">
        <v>212</v>
      </c>
      <c r="B21" t="s">
        <v>213</v>
      </c>
    </row>
    <row r="22" spans="1:4" x14ac:dyDescent="0.35">
      <c r="A22" s="36" t="s">
        <v>105</v>
      </c>
      <c r="B22" t="s">
        <v>214</v>
      </c>
      <c r="C22" t="s">
        <v>215</v>
      </c>
      <c r="D22" t="s">
        <v>216</v>
      </c>
    </row>
    <row r="23" spans="1:4" x14ac:dyDescent="0.35">
      <c r="A23" s="36" t="s">
        <v>217</v>
      </c>
      <c r="B23" t="s">
        <v>218</v>
      </c>
      <c r="C23" t="s">
        <v>219</v>
      </c>
      <c r="D23" t="s">
        <v>220</v>
      </c>
    </row>
    <row r="24" spans="1:4" x14ac:dyDescent="0.35">
      <c r="A24" s="36" t="s">
        <v>107</v>
      </c>
      <c r="B24" t="s">
        <v>221</v>
      </c>
      <c r="C24" t="s">
        <v>222</v>
      </c>
      <c r="D24" t="s">
        <v>223</v>
      </c>
    </row>
    <row r="25" spans="1:4" x14ac:dyDescent="0.35">
      <c r="A25" s="36" t="s">
        <v>224</v>
      </c>
      <c r="B25" t="s">
        <v>225</v>
      </c>
      <c r="C25" t="s">
        <v>226</v>
      </c>
      <c r="D25" t="s">
        <v>227</v>
      </c>
    </row>
    <row r="26" spans="1:4" x14ac:dyDescent="0.35">
      <c r="A26" s="36" t="s">
        <v>130</v>
      </c>
      <c r="B26" t="s">
        <v>228</v>
      </c>
      <c r="C26" t="s">
        <v>229</v>
      </c>
      <c r="D26" t="s">
        <v>230</v>
      </c>
    </row>
    <row r="27" spans="1:4" x14ac:dyDescent="0.35">
      <c r="A27" s="36" t="s">
        <v>154</v>
      </c>
      <c r="C27" s="40" t="s">
        <v>231</v>
      </c>
    </row>
    <row r="28" spans="1:4" x14ac:dyDescent="0.35">
      <c r="A28" s="36" t="s">
        <v>232</v>
      </c>
      <c r="B28" t="s">
        <v>233</v>
      </c>
      <c r="C28" t="s">
        <v>234</v>
      </c>
      <c r="D28" t="s">
        <v>235</v>
      </c>
    </row>
    <row r="29" spans="1:4" x14ac:dyDescent="0.35">
      <c r="A29" s="36" t="s">
        <v>236</v>
      </c>
      <c r="B29" t="s">
        <v>237</v>
      </c>
      <c r="C29" t="s">
        <v>238</v>
      </c>
      <c r="D29" t="s">
        <v>239</v>
      </c>
    </row>
    <row r="30" spans="1:4" x14ac:dyDescent="0.35">
      <c r="A30" s="36" t="s">
        <v>240</v>
      </c>
      <c r="B30" t="s">
        <v>241</v>
      </c>
      <c r="C30" t="s">
        <v>242</v>
      </c>
      <c r="D30" t="s">
        <v>243</v>
      </c>
    </row>
    <row r="31" spans="1:4" x14ac:dyDescent="0.35">
      <c r="A31" s="36" t="s">
        <v>244</v>
      </c>
      <c r="B31" t="s">
        <v>245</v>
      </c>
      <c r="C31" t="s">
        <v>246</v>
      </c>
      <c r="D31" t="s">
        <v>247</v>
      </c>
    </row>
    <row r="32" spans="1:4" x14ac:dyDescent="0.35">
      <c r="A32" s="36" t="s">
        <v>248</v>
      </c>
      <c r="B32" t="s">
        <v>165</v>
      </c>
      <c r="C32" t="s">
        <v>166</v>
      </c>
      <c r="D32" t="s">
        <v>167</v>
      </c>
    </row>
    <row r="33" spans="1:4" x14ac:dyDescent="0.35">
      <c r="A33" s="36" t="s">
        <v>249</v>
      </c>
      <c r="B33" t="s">
        <v>250</v>
      </c>
      <c r="C33" t="s">
        <v>251</v>
      </c>
      <c r="D33" t="s">
        <v>252</v>
      </c>
    </row>
    <row r="34" spans="1:4" x14ac:dyDescent="0.35">
      <c r="A34" s="36" t="s">
        <v>253</v>
      </c>
      <c r="B34" t="s">
        <v>254</v>
      </c>
      <c r="C34" t="s">
        <v>255</v>
      </c>
      <c r="D34" t="s">
        <v>256</v>
      </c>
    </row>
    <row r="35" spans="1:4" x14ac:dyDescent="0.35">
      <c r="A35" s="36" t="s">
        <v>257</v>
      </c>
      <c r="B35" t="s">
        <v>258</v>
      </c>
      <c r="C35" t="s">
        <v>259</v>
      </c>
      <c r="D35" t="s">
        <v>260</v>
      </c>
    </row>
    <row r="36" spans="1:4" x14ac:dyDescent="0.35">
      <c r="A36" s="36" t="s">
        <v>104</v>
      </c>
      <c r="B36" t="s">
        <v>261</v>
      </c>
      <c r="C36" t="s">
        <v>262</v>
      </c>
      <c r="D36" t="s">
        <v>263</v>
      </c>
    </row>
    <row r="37" spans="1:4" x14ac:dyDescent="0.35">
      <c r="A37" s="36" t="s">
        <v>264</v>
      </c>
      <c r="B37" t="s">
        <v>265</v>
      </c>
      <c r="C37" t="s">
        <v>266</v>
      </c>
      <c r="D37" t="s">
        <v>267</v>
      </c>
    </row>
    <row r="38" spans="1:4" x14ac:dyDescent="0.35">
      <c r="A38" s="36" t="s">
        <v>268</v>
      </c>
      <c r="B38" t="s">
        <v>269</v>
      </c>
      <c r="C38" t="s">
        <v>270</v>
      </c>
      <c r="D38" t="s">
        <v>271</v>
      </c>
    </row>
    <row r="39" spans="1:4" x14ac:dyDescent="0.35">
      <c r="A39" s="36" t="s">
        <v>272</v>
      </c>
      <c r="B39" t="s">
        <v>273</v>
      </c>
      <c r="C39" t="s">
        <v>274</v>
      </c>
      <c r="D39" t="s">
        <v>275</v>
      </c>
    </row>
    <row r="40" spans="1:4" x14ac:dyDescent="0.35">
      <c r="A40" s="36" t="s">
        <v>276</v>
      </c>
      <c r="B40" t="s">
        <v>277</v>
      </c>
      <c r="C40" t="s">
        <v>278</v>
      </c>
      <c r="D40" t="s">
        <v>279</v>
      </c>
    </row>
    <row r="41" spans="1:4" x14ac:dyDescent="0.35">
      <c r="A41" s="36" t="s">
        <v>114</v>
      </c>
      <c r="B41" t="s">
        <v>280</v>
      </c>
      <c r="C41" t="s">
        <v>281</v>
      </c>
      <c r="D41" t="s">
        <v>282</v>
      </c>
    </row>
    <row r="42" spans="1:4" x14ac:dyDescent="0.35">
      <c r="A42" s="36" t="s">
        <v>109</v>
      </c>
      <c r="B42" t="s">
        <v>283</v>
      </c>
      <c r="C42" t="s">
        <v>284</v>
      </c>
      <c r="D42" t="s">
        <v>285</v>
      </c>
    </row>
    <row r="43" spans="1:4" x14ac:dyDescent="0.35">
      <c r="A43" s="36" t="s">
        <v>286</v>
      </c>
      <c r="B43" t="s">
        <v>287</v>
      </c>
      <c r="C43" t="s">
        <v>288</v>
      </c>
      <c r="D43" t="s">
        <v>289</v>
      </c>
    </row>
    <row r="44" spans="1:4" x14ac:dyDescent="0.35">
      <c r="A44" s="36" t="s">
        <v>119</v>
      </c>
      <c r="B44" t="s">
        <v>171</v>
      </c>
      <c r="C44" t="s">
        <v>172</v>
      </c>
      <c r="D44" t="s">
        <v>173</v>
      </c>
    </row>
    <row r="45" spans="1:4" x14ac:dyDescent="0.35">
      <c r="A45" t="s">
        <v>106</v>
      </c>
      <c r="B45" t="s">
        <v>575</v>
      </c>
      <c r="C45" t="s">
        <v>166</v>
      </c>
      <c r="D45" t="s">
        <v>167</v>
      </c>
    </row>
    <row r="46" spans="1:4" x14ac:dyDescent="0.35">
      <c r="A46" s="36" t="s">
        <v>115</v>
      </c>
      <c r="B46" t="s">
        <v>503</v>
      </c>
      <c r="C46" t="s">
        <v>166</v>
      </c>
      <c r="D46" t="s">
        <v>167</v>
      </c>
    </row>
    <row r="47" spans="1:4" x14ac:dyDescent="0.35">
      <c r="A47" s="36" t="s">
        <v>154</v>
      </c>
      <c r="C47" s="40" t="s">
        <v>290</v>
      </c>
      <c r="D47" s="42"/>
    </row>
    <row r="48" spans="1:4" x14ac:dyDescent="0.35">
      <c r="A48" s="36" t="s">
        <v>291</v>
      </c>
      <c r="B48" t="s">
        <v>292</v>
      </c>
      <c r="C48" t="s">
        <v>293</v>
      </c>
      <c r="D48" t="s">
        <v>294</v>
      </c>
    </row>
    <row r="49" spans="1:4" x14ac:dyDescent="0.35">
      <c r="A49" s="36" t="s">
        <v>131</v>
      </c>
      <c r="B49" t="s">
        <v>295</v>
      </c>
      <c r="C49" t="s">
        <v>296</v>
      </c>
      <c r="D49" t="s">
        <v>297</v>
      </c>
    </row>
    <row r="50" spans="1:4" x14ac:dyDescent="0.35">
      <c r="A50" s="36" t="s">
        <v>111</v>
      </c>
      <c r="B50" t="s">
        <v>298</v>
      </c>
      <c r="C50" t="s">
        <v>299</v>
      </c>
      <c r="D50" t="s">
        <v>300</v>
      </c>
    </row>
    <row r="51" spans="1:4" x14ac:dyDescent="0.35">
      <c r="A51" s="36" t="s">
        <v>301</v>
      </c>
      <c r="B51" t="s">
        <v>302</v>
      </c>
      <c r="C51" t="s">
        <v>303</v>
      </c>
      <c r="D51" t="s">
        <v>304</v>
      </c>
    </row>
    <row r="52" spans="1:4" x14ac:dyDescent="0.35">
      <c r="A52" s="36" t="s">
        <v>125</v>
      </c>
      <c r="B52" t="s">
        <v>305</v>
      </c>
      <c r="C52" t="s">
        <v>306</v>
      </c>
      <c r="D52" t="s">
        <v>307</v>
      </c>
    </row>
    <row r="53" spans="1:4" x14ac:dyDescent="0.35">
      <c r="A53" s="36" t="s">
        <v>116</v>
      </c>
      <c r="B53" t="s">
        <v>308</v>
      </c>
      <c r="C53" t="s">
        <v>309</v>
      </c>
      <c r="D53" t="s">
        <v>310</v>
      </c>
    </row>
    <row r="54" spans="1:4" x14ac:dyDescent="0.35">
      <c r="A54" s="36" t="s">
        <v>311</v>
      </c>
      <c r="B54" t="s">
        <v>312</v>
      </c>
      <c r="C54" t="s">
        <v>313</v>
      </c>
      <c r="D54" t="s">
        <v>314</v>
      </c>
    </row>
    <row r="55" spans="1:4" x14ac:dyDescent="0.35">
      <c r="A55" s="36" t="s">
        <v>154</v>
      </c>
      <c r="C55" s="40" t="s">
        <v>315</v>
      </c>
      <c r="D55" s="42"/>
    </row>
    <row r="56" spans="1:4" x14ac:dyDescent="0.35">
      <c r="A56" s="36" t="s">
        <v>316</v>
      </c>
      <c r="B56" t="s">
        <v>317</v>
      </c>
      <c r="C56" t="s">
        <v>318</v>
      </c>
      <c r="D56" t="s">
        <v>319</v>
      </c>
    </row>
    <row r="57" spans="1:4" x14ac:dyDescent="0.35">
      <c r="A57" s="36" t="s">
        <v>320</v>
      </c>
      <c r="B57" t="s">
        <v>321</v>
      </c>
      <c r="C57" t="s">
        <v>322</v>
      </c>
      <c r="D57" t="s">
        <v>323</v>
      </c>
    </row>
    <row r="58" spans="1:4" x14ac:dyDescent="0.35">
      <c r="A58" s="36" t="s">
        <v>324</v>
      </c>
      <c r="B58" t="s">
        <v>325</v>
      </c>
      <c r="C58" t="s">
        <v>326</v>
      </c>
      <c r="D58" t="s">
        <v>327</v>
      </c>
    </row>
    <row r="59" spans="1:4" x14ac:dyDescent="0.35">
      <c r="A59" s="36" t="s">
        <v>328</v>
      </c>
      <c r="B59" t="s">
        <v>329</v>
      </c>
      <c r="C59" t="s">
        <v>330</v>
      </c>
      <c r="D59" t="s">
        <v>331</v>
      </c>
    </row>
    <row r="60" spans="1:4" x14ac:dyDescent="0.35">
      <c r="A60" s="36" t="s">
        <v>332</v>
      </c>
      <c r="B60" t="s">
        <v>333</v>
      </c>
      <c r="C60" t="s">
        <v>334</v>
      </c>
      <c r="D60" t="s">
        <v>335</v>
      </c>
    </row>
    <row r="61" spans="1:4" x14ac:dyDescent="0.35">
      <c r="A61" s="36" t="s">
        <v>336</v>
      </c>
      <c r="B61" t="s">
        <v>337</v>
      </c>
      <c r="C61" t="s">
        <v>338</v>
      </c>
      <c r="D61" t="s">
        <v>339</v>
      </c>
    </row>
    <row r="62" spans="1:4" x14ac:dyDescent="0.35">
      <c r="A62" s="36" t="s">
        <v>340</v>
      </c>
      <c r="B62" t="s">
        <v>341</v>
      </c>
      <c r="C62" t="s">
        <v>342</v>
      </c>
      <c r="D62" t="s">
        <v>343</v>
      </c>
    </row>
    <row r="63" spans="1:4" x14ac:dyDescent="0.35">
      <c r="A63" s="36" t="s">
        <v>344</v>
      </c>
      <c r="B63" t="s">
        <v>345</v>
      </c>
      <c r="C63" t="s">
        <v>346</v>
      </c>
      <c r="D63" t="s">
        <v>347</v>
      </c>
    </row>
    <row r="64" spans="1:4" x14ac:dyDescent="0.35">
      <c r="A64" s="36" t="s">
        <v>348</v>
      </c>
      <c r="B64" t="s">
        <v>349</v>
      </c>
      <c r="C64" t="s">
        <v>350</v>
      </c>
      <c r="D64" t="s">
        <v>351</v>
      </c>
    </row>
    <row r="65" spans="1:4" x14ac:dyDescent="0.35">
      <c r="A65" s="36" t="s">
        <v>352</v>
      </c>
      <c r="B65" t="s">
        <v>353</v>
      </c>
      <c r="C65" t="s">
        <v>354</v>
      </c>
      <c r="D65" t="s">
        <v>355</v>
      </c>
    </row>
    <row r="66" spans="1:4" x14ac:dyDescent="0.35">
      <c r="A66" s="36" t="s">
        <v>356</v>
      </c>
      <c r="B66" t="s">
        <v>357</v>
      </c>
      <c r="C66" t="s">
        <v>358</v>
      </c>
      <c r="D66" t="s">
        <v>359</v>
      </c>
    </row>
    <row r="67" spans="1:4" x14ac:dyDescent="0.35">
      <c r="A67" s="36" t="s">
        <v>360</v>
      </c>
      <c r="B67" t="s">
        <v>361</v>
      </c>
      <c r="C67" t="s">
        <v>362</v>
      </c>
      <c r="D67" t="s">
        <v>363</v>
      </c>
    </row>
    <row r="68" spans="1:4" x14ac:dyDescent="0.35">
      <c r="A68" s="36" t="s">
        <v>124</v>
      </c>
      <c r="B68" t="s">
        <v>364</v>
      </c>
      <c r="C68" t="s">
        <v>365</v>
      </c>
      <c r="D68" t="s">
        <v>366</v>
      </c>
    </row>
    <row r="69" spans="1:4" x14ac:dyDescent="0.35">
      <c r="A69" s="36" t="s">
        <v>129</v>
      </c>
      <c r="B69" t="s">
        <v>367</v>
      </c>
      <c r="C69" t="s">
        <v>368</v>
      </c>
      <c r="D69" t="s">
        <v>369</v>
      </c>
    </row>
    <row r="70" spans="1:4" x14ac:dyDescent="0.35">
      <c r="A70" s="36" t="s">
        <v>103</v>
      </c>
      <c r="B70" t="s">
        <v>370</v>
      </c>
      <c r="C70" t="s">
        <v>371</v>
      </c>
      <c r="D70" t="s">
        <v>372</v>
      </c>
    </row>
    <row r="71" spans="1:4" x14ac:dyDescent="0.35">
      <c r="A71" s="36" t="s">
        <v>373</v>
      </c>
      <c r="B71" t="s">
        <v>374</v>
      </c>
      <c r="C71" t="s">
        <v>375</v>
      </c>
      <c r="D71" t="s">
        <v>376</v>
      </c>
    </row>
    <row r="72" spans="1:4" x14ac:dyDescent="0.35">
      <c r="A72" s="36" t="s">
        <v>127</v>
      </c>
      <c r="B72" t="s">
        <v>377</v>
      </c>
      <c r="C72" t="s">
        <v>378</v>
      </c>
      <c r="D72" t="s">
        <v>379</v>
      </c>
    </row>
    <row r="73" spans="1:4" x14ac:dyDescent="0.35">
      <c r="A73" s="36" t="s">
        <v>380</v>
      </c>
      <c r="B73" t="s">
        <v>381</v>
      </c>
      <c r="C73" t="s">
        <v>382</v>
      </c>
      <c r="D73" t="s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9"/>
  <sheetViews>
    <sheetView topLeftCell="Q1" workbookViewId="0">
      <selection activeCell="AD3" sqref="AD3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08984375" customWidth="1"/>
    <col min="6" max="6" width="9.90625" customWidth="1"/>
    <col min="7" max="7" width="7.54296875" customWidth="1"/>
    <col min="8" max="8" width="9.36328125" customWidth="1"/>
    <col min="9" max="9" width="8.6328125" customWidth="1"/>
    <col min="10" max="10" width="11" customWidth="1"/>
    <col min="11" max="11" width="12.90625" customWidth="1"/>
    <col min="12" max="12" width="8.6328125" customWidth="1"/>
    <col min="14" max="14" width="10.54296875" customWidth="1"/>
    <col min="15" max="15" width="10.6328125" customWidth="1"/>
    <col min="16" max="16" width="15" customWidth="1"/>
    <col min="17" max="17" width="12.453125" customWidth="1"/>
    <col min="18" max="20" width="13.36328125" customWidth="1"/>
    <col min="21" max="21" width="14" customWidth="1"/>
    <col min="22" max="22" width="16.36328125" customWidth="1"/>
    <col min="23" max="23" width="14.6328125" customWidth="1"/>
    <col min="24" max="24" width="14.36328125" customWidth="1"/>
    <col min="25" max="25" width="11.6328125" customWidth="1"/>
    <col min="26" max="26" width="14.6328125" customWidth="1"/>
    <col min="27" max="28" width="11.6328125" customWidth="1"/>
  </cols>
  <sheetData>
    <row r="2" spans="1:29" ht="50.25" customHeight="1" x14ac:dyDescent="0.35">
      <c r="B2" t="s">
        <v>760</v>
      </c>
      <c r="D2" s="84" t="s">
        <v>0</v>
      </c>
      <c r="E2" s="84" t="s">
        <v>581</v>
      </c>
      <c r="F2" s="84"/>
      <c r="G2" s="84" t="s">
        <v>2</v>
      </c>
      <c r="H2" s="84" t="s">
        <v>3</v>
      </c>
      <c r="I2" s="84" t="s">
        <v>413</v>
      </c>
      <c r="J2" s="84" t="s">
        <v>8</v>
      </c>
      <c r="K2" s="84" t="s">
        <v>69</v>
      </c>
      <c r="L2" s="84" t="s">
        <v>414</v>
      </c>
      <c r="M2" s="84" t="s">
        <v>415</v>
      </c>
      <c r="N2" s="84" t="s">
        <v>525</v>
      </c>
      <c r="O2" s="84" t="s">
        <v>761</v>
      </c>
      <c r="P2" s="84" t="s">
        <v>794</v>
      </c>
      <c r="Q2" s="84" t="s">
        <v>526</v>
      </c>
      <c r="R2" s="84" t="s">
        <v>527</v>
      </c>
      <c r="S2" s="84" t="s">
        <v>528</v>
      </c>
      <c r="T2" s="84" t="s">
        <v>762</v>
      </c>
      <c r="U2" s="84" t="s">
        <v>529</v>
      </c>
      <c r="V2" s="84" t="s">
        <v>530</v>
      </c>
      <c r="W2" s="84" t="s">
        <v>531</v>
      </c>
      <c r="X2" s="84" t="s">
        <v>532</v>
      </c>
      <c r="Y2" s="84" t="s">
        <v>533</v>
      </c>
      <c r="Z2" s="84" t="s">
        <v>763</v>
      </c>
      <c r="AA2" s="130" t="s">
        <v>795</v>
      </c>
      <c r="AB2" s="84" t="s">
        <v>547</v>
      </c>
      <c r="AC2" s="84" t="s">
        <v>559</v>
      </c>
    </row>
    <row r="3" spans="1:29" x14ac:dyDescent="0.35">
      <c r="A3" t="s">
        <v>437</v>
      </c>
      <c r="B3" t="s">
        <v>181</v>
      </c>
      <c r="C3" t="s">
        <v>440</v>
      </c>
      <c r="D3" t="s">
        <v>437</v>
      </c>
      <c r="E3" t="s">
        <v>622</v>
      </c>
      <c r="F3" s="2" cm="1">
        <f t="array" ref="F3">_xll.FDS(D3,"JULIAN(FMA_DIV_YLD(NTMA,NOW,NOW,M,""PORTAGG"",""MEANR"").dates)")</f>
        <v>45350</v>
      </c>
      <c r="G3" s="4" cm="1">
        <f t="array" ref="G3">_xll.FDS(D3,"FMA_PE(LTM,0,,,""PORTAGG"",""MEANR"")")</f>
        <v>13.8509561597744</v>
      </c>
      <c r="H3" s="4" cm="1">
        <f t="array" ref="H3">_xll.FDS(D3,"FMA_PE(NTMA,0,,,""PORTAGG"",""MEANR"")")</f>
        <v>13.3195767224934</v>
      </c>
      <c r="I3" cm="1">
        <f t="array" ref="I3">_xll.FDS(D3,"FMA_DIV_YLD(NTMA,NOW,NOW,M,""PORTAGG"",""MEANR"")")</f>
        <v>2.7571938274240302</v>
      </c>
      <c r="J3" s="64" cm="1">
        <f t="array" ref="J3">IFERROR(_xll.FDS(D3,"FG_FCF_YIELD_NTM(0)"),(1/G3*100))</f>
        <v>3.2407593884480801</v>
      </c>
      <c r="K3" s="3" cm="1">
        <f t="array" ref="K3">_xll.FDS(D3,"FMA_EVAL_EBITDA(NTMA,0,,,""PORTAGG"",""MEANR"")")</f>
        <v>10.7878664651675</v>
      </c>
      <c r="L3" cm="1">
        <f t="array" ref="L3">_xll.FDS(D3,"FMA_EVAL_EBIT(LTMA,NOW,NOW,M,""PORTAGG"",""MEANR"")")</f>
        <v>16.145288833893201</v>
      </c>
      <c r="M3">
        <f>HLOOKUP(D3,'Index ROE'!$A$1:$V$25,25,FALSE)</f>
        <v>12.046140061537701</v>
      </c>
      <c r="N3">
        <f>VLOOKUP(A3,'LIQIDITY 2'!$A$3:$E$26,5,FALSE)</f>
        <v>2.3653</v>
      </c>
      <c r="O3" cm="1">
        <f t="array" ref="O3">IFERROR(_xll.FDS(B3,"IMF_IFS_RCPI_Q(0)"),$D$31)</f>
        <v>-0.32258100000000001</v>
      </c>
      <c r="P3">
        <f>VLOOKUP(E3,GDP_GROWTH!$B$10:$W$165,22,FALSE)</f>
        <v>5.6866931054303738</v>
      </c>
      <c r="Q3">
        <f t="shared" ref="Q3:Q23" si="0">I3-N3</f>
        <v>0.39189382742403023</v>
      </c>
      <c r="R3" s="64">
        <f t="shared" ref="R3:R23" si="1">J3-N3</f>
        <v>0.87545938844808013</v>
      </c>
      <c r="S3">
        <f t="shared" ref="S3:S23" si="2">M3-N3</f>
        <v>9.680840061537701</v>
      </c>
      <c r="T3">
        <f>M3-O3</f>
        <v>12.3687210615377</v>
      </c>
      <c r="U3" cm="1">
        <f t="array" ref="U3">_xlfn.PERCENTRANK.EXC(_xlfn._xlws.FILTER(Q$3:Q$23, ISNUMBER(Q$3:Q$23)),Q3)*100</f>
        <v>59</v>
      </c>
      <c r="V3" cm="1">
        <f t="array" ref="V3">_xlfn.PERCENTRANK.EXC(_xlfn._xlws.FILTER(R$3:R$23, ISNUMBER(R$3:R$23)),R3)*100</f>
        <v>59</v>
      </c>
      <c r="W3" cm="1">
        <f t="array" ref="W3">_xlfn.PERCENTRANK.EXC(_xlfn._xlws.FILTER(S$3:S$23, ISNUMBER(S$3:S$23)),S3)*100</f>
        <v>86.3</v>
      </c>
      <c r="X3" cm="1">
        <f t="array" ref="X3">(1-_xlfn.PERCENTRANK.EXC(_xlfn._xlws.FILTER(G$3:G$23, ISNUMBER(G$3:G$23)),G3))*100</f>
        <v>45.499999999999993</v>
      </c>
      <c r="Y3" cm="1">
        <f t="array" ref="Y3">(1-_xlfn.PERCENTRANK.EXC(_xlfn._xlws.FILTER(H$3:H$23, ISNUMBER(H$3:H$23)),H3))*100</f>
        <v>50</v>
      </c>
      <c r="Z3" cm="1">
        <f t="array" ref="Z3">_xlfn.PERCENTRANK.EXC(_xlfn._xlws.FILTER(T$3:T$23, ISNUMBER(T$3:T$23)),T3)*100</f>
        <v>86.3</v>
      </c>
      <c r="AA3" cm="1">
        <f t="array" ref="AA3">_xlfn.PERCENTRANK.EXC(_xlfn._xlws.FILTER(P$3:P$23, ISNUMBER(P$3:P$23)),P3)*100</f>
        <v>86.3</v>
      </c>
      <c r="AB3">
        <f>U3*Assumption!$E$39 + V3*Assumption!$F$39 + X3*Assumption!$G$39 + Y3*Assumption!$H$39 + W3*Assumption!$I$39 +Z3* Assumption!$K$39 + AA3* Assumption!$J$39</f>
        <v>58.835000000000001</v>
      </c>
      <c r="AC3" cm="1">
        <f t="array" ref="AC3">_xlfn.PERCENTRANK.EXC(_xlfn._xlws.FILTER(AB$3:AB$23, ISNUMBER(AB$3:AB$23)),AB3)*100</f>
        <v>63.6</v>
      </c>
    </row>
    <row r="4" spans="1:29" x14ac:dyDescent="0.35">
      <c r="A4" t="s">
        <v>27</v>
      </c>
      <c r="B4" t="s">
        <v>298</v>
      </c>
      <c r="C4" t="s">
        <v>441</v>
      </c>
      <c r="D4" t="s">
        <v>27</v>
      </c>
      <c r="E4" t="s">
        <v>621</v>
      </c>
      <c r="F4" s="2" cm="1">
        <f t="array" ref="F4">_xll.FDS(D4,"JULIAN(FMA_DIV_YLD(NTMA,NOW,NOW,M,""PORTAGG"",""MEANR"").dates)")</f>
        <v>45351</v>
      </c>
      <c r="G4" s="4" cm="1">
        <f t="array" ref="G4">_xll.FDS(D4,"FMA_PE(LTM,0,,,""PORTAGG"",""MEANR"")")</f>
        <v>9.1096252312010702</v>
      </c>
      <c r="H4" s="4" cm="1">
        <f t="array" ref="H4">_xll.FDS(D4,"FMA_PE(NTMA,0,,,""PORTAGG"",""MEANR"")")</f>
        <v>7.1110567025657101</v>
      </c>
      <c r="I4" cm="1">
        <f t="array" ref="I4">_xll.FDS(D4,"FMA_DIV_YLD(NTMA,NOW,NOW,M,""PORTAGG"",""MEANR"")")</f>
        <v>7.2969538818018496</v>
      </c>
      <c r="J4" s="64" cm="1">
        <f t="array" ref="J4">IFERROR(_xll.FDS(D4,"FG_FCF_YIELD_NTM(0)"),(1/G4*100))</f>
        <v>5.4925889608741301</v>
      </c>
      <c r="K4" s="3" cm="1">
        <f t="array" ref="K4">_xll.FDS(D4,"FMA_EVAL_EBITDA(NTMA,0,,,""PORTAGG"",""MEANR"")")</f>
        <v>6.3927425704827501</v>
      </c>
      <c r="L4" cm="1">
        <f t="array" ref="L4">_xll.FDS(D4,"FMA_EVAL_EBIT(LTMA,NOW,NOW,M,""PORTAGG"",""MEANR"")")</f>
        <v>9.6655140477460009</v>
      </c>
      <c r="M4">
        <f>HLOOKUP(D4,'Index ROE'!$A$1:$V$25,25,FALSE)</f>
        <v>13.7800684317394</v>
      </c>
      <c r="N4">
        <f>VLOOKUP(A4,'LIQIDITY 2'!$A$3:$E$26,5,FALSE)</f>
        <v>2.4597888000000001</v>
      </c>
      <c r="O4" cm="1">
        <f t="array" ref="O4">IFERROR(_xll.FDS(B4,"IMF_IFS_RCPI_Q(0)"),$D$31)</f>
        <v>4.5860630000000002</v>
      </c>
      <c r="P4">
        <f>VLOOKUP(E4,GDP_GROWTH!$B$10:$W$165,22,FALSE)</f>
        <v>2.8445276358834981</v>
      </c>
      <c r="Q4">
        <f t="shared" si="0"/>
        <v>4.8371650818018495</v>
      </c>
      <c r="R4" s="64">
        <f t="shared" si="1"/>
        <v>3.03280016087413</v>
      </c>
      <c r="S4">
        <f t="shared" si="2"/>
        <v>11.3202796317394</v>
      </c>
      <c r="T4">
        <f t="shared" ref="T4:T23" si="3">M4-O4</f>
        <v>9.1940054317393987</v>
      </c>
      <c r="U4" cm="1">
        <f t="array" ref="U4">_xlfn.PERCENTRANK.EXC(_xlfn._xlws.FILTER(Q$3:Q$23, ISNUMBER(Q$3:Q$23)),Q4)*100</f>
        <v>95.399999999999991</v>
      </c>
      <c r="V4" cm="1">
        <f t="array" ref="V4">_xlfn.PERCENTRANK.EXC(_xlfn._xlws.FILTER(R$3:R$23, ISNUMBER(R$3:R$23)),R4)*100</f>
        <v>68.100000000000009</v>
      </c>
      <c r="W4" cm="1">
        <f t="array" ref="W4">_xlfn.PERCENTRANK.EXC(_xlfn._xlws.FILTER(S$3:S$23, ISNUMBER(S$3:S$23)),S4)*100</f>
        <v>95.399999999999991</v>
      </c>
      <c r="X4" cm="1">
        <f t="array" ref="X4">(1-_xlfn.PERCENTRANK.EXC(_xlfn._xlws.FILTER(G$3:G$23, ISNUMBER(G$3:G$23)),G4))*100</f>
        <v>72.8</v>
      </c>
      <c r="Y4" cm="1">
        <f t="array" ref="Y4">(1-_xlfn.PERCENTRANK.EXC(_xlfn._xlws.FILTER(H$3:H$23, ISNUMBER(H$3:H$23)),H4))*100</f>
        <v>86.4</v>
      </c>
      <c r="Z4" cm="1">
        <f t="array" ref="Z4">_xlfn.PERCENTRANK.EXC(_xlfn._xlws.FILTER(T$3:T$23, ISNUMBER(T$3:T$23)),T4)*100</f>
        <v>54.500000000000007</v>
      </c>
      <c r="AA4" cm="1">
        <f t="array" ref="AA4">_xlfn.PERCENTRANK.EXC(_xlfn._xlws.FILTER(P$3:P$23, ISNUMBER(P$3:P$23)),P4)*100</f>
        <v>50</v>
      </c>
      <c r="AB4">
        <f>U4*Assumption!$E$39 + V4*Assumption!$F$39 + X4*Assumption!$G$39 + Y4*Assumption!$H$39 + W4*Assumption!$I$39 +Z4* Assumption!$K$39 + AA4* Assumption!$J$39</f>
        <v>76.585000000000008</v>
      </c>
      <c r="AC4" cm="1">
        <f t="array" ref="AC4">_xlfn.PERCENTRANK.EXC(_xlfn._xlws.FILTER(AB$3:AB$23, ISNUMBER(AB$3:AB$23)),AB4)*100</f>
        <v>95.399999999999991</v>
      </c>
    </row>
    <row r="5" spans="1:29" x14ac:dyDescent="0.35">
      <c r="A5" t="s">
        <v>35</v>
      </c>
      <c r="B5" t="s">
        <v>191</v>
      </c>
      <c r="C5" t="s">
        <v>442</v>
      </c>
      <c r="D5" t="s">
        <v>35</v>
      </c>
      <c r="E5" t="s">
        <v>658</v>
      </c>
      <c r="F5" s="2" cm="1">
        <f t="array" ref="F5">_xll.FDS(D5,"JULIAN(FMA_DIV_YLD(NTMA,NOW,NOW,M,""PORTAGG"",""MEANR"").dates)")</f>
        <v>45350</v>
      </c>
      <c r="G5" s="4" cm="1">
        <f t="array" ref="G5">_xll.FDS(D5,"FMA_PE(LTM,0,,,""PORTAGG"",""MEANR"")")</f>
        <v>14.3787196169458</v>
      </c>
      <c r="H5" s="4" cm="1">
        <f t="array" ref="H5">_xll.FDS(D5,"FMA_PE(NTMA,0,,,""PORTAGG"",""MEANR"")")</f>
        <v>14.238272895742501</v>
      </c>
      <c r="I5" cm="1">
        <f t="array" ref="I5">_xll.FDS(D5,"FMA_DIV_YLD(NTMA,NOW,NOW,M,""PORTAGG"",""MEANR"")")</f>
        <v>4.1062593055377299</v>
      </c>
      <c r="J5" s="64" cm="1">
        <f t="array" ref="J5">IFERROR(_xll.FDS(D5,"FG_FCF_YIELD_NTM(0)"),(1/G5*100))</f>
        <v>6.9547221633104712</v>
      </c>
      <c r="K5" s="3" cm="1">
        <f t="array" ref="K5">_xll.FDS(D5,"FMA_EVAL_EBITDA(NTMA,0,,,""PORTAGG"",""MEANR"")")</f>
        <v>6.6556353703216899</v>
      </c>
      <c r="L5" cm="1">
        <f t="array" ref="L5">_xll.FDS(D5,"FMA_EVAL_EBIT(LTMA,NOW,NOW,M,""PORTAGG"",""MEANR"")")</f>
        <v>9.6150554282063698</v>
      </c>
      <c r="M5">
        <f>HLOOKUP(D5,'Index ROE'!$A$1:$V$25,25,FALSE)</f>
        <v>14.0315270121823</v>
      </c>
      <c r="N5">
        <f>VLOOKUP(A5,'LIQIDITY 2'!$A$3:$E$26,5,FALSE)</f>
        <v>6.6471749999999998</v>
      </c>
      <c r="O5" cm="1">
        <f t="array" ref="O5">IFERROR(_xll.FDS(B5,"IMF_IFS_RCPI_Q(0)"),$D$31)</f>
        <v>2.6812450000000001</v>
      </c>
      <c r="P5">
        <f>VLOOKUP(E5,GDP_GROWTH!$B$10:$W$165,22,FALSE)</f>
        <v>3.8153657829076093</v>
      </c>
      <c r="Q5">
        <f t="shared" si="0"/>
        <v>-2.5409156944622699</v>
      </c>
      <c r="R5" s="64">
        <f t="shared" si="1"/>
        <v>0.30754716331047138</v>
      </c>
      <c r="S5">
        <f t="shared" si="2"/>
        <v>7.3843520121823003</v>
      </c>
      <c r="T5">
        <f t="shared" si="3"/>
        <v>11.3502820121823</v>
      </c>
      <c r="U5" cm="1">
        <f t="array" ref="U5">_xlfn.PERCENTRANK.EXC(_xlfn._xlws.FILTER(Q$3:Q$23, ISNUMBER(Q$3:Q$23)),Q5)*100</f>
        <v>36.299999999999997</v>
      </c>
      <c r="V5" cm="1">
        <f t="array" ref="V5">_xlfn.PERCENTRANK.EXC(_xlfn._xlws.FILTER(R$3:R$23, ISNUMBER(R$3:R$23)),R5)*100</f>
        <v>54.500000000000007</v>
      </c>
      <c r="W5" cm="1">
        <f t="array" ref="W5">_xlfn.PERCENTRANK.EXC(_xlfn._xlws.FILTER(S$3:S$23, ISNUMBER(S$3:S$23)),S5)*100</f>
        <v>50</v>
      </c>
      <c r="X5" cm="1">
        <f t="array" ref="X5">(1-_xlfn.PERCENTRANK.EXC(_xlfn._xlws.FILTER(G$3:G$23, ISNUMBER(G$3:G$23)),G5))*100</f>
        <v>41</v>
      </c>
      <c r="Y5" cm="1">
        <f t="array" ref="Y5">(1-_xlfn.PERCENTRANK.EXC(_xlfn._xlws.FILTER(H$3:H$23, ISNUMBER(H$3:H$23)),H5))*100</f>
        <v>41</v>
      </c>
      <c r="Z5" cm="1">
        <f t="array" ref="Z5">_xlfn.PERCENTRANK.EXC(_xlfn._xlws.FILTER(T$3:T$23, ISNUMBER(T$3:T$23)),T5)*100</f>
        <v>77.2</v>
      </c>
      <c r="AA5" cm="1">
        <f t="array" ref="AA5">_xlfn.PERCENTRANK.EXC(_xlfn._xlws.FILTER(P$3:P$23, ISNUMBER(P$3:P$23)),P5)*100</f>
        <v>68.100000000000009</v>
      </c>
      <c r="AB5">
        <f>U5*Assumption!$E$39 + V5*Assumption!$F$39 + X5*Assumption!$G$39 + Y5*Assumption!$H$39 + W5*Assumption!$I$39 +Z5* Assumption!$K$39 + AA5* Assumption!$J$39</f>
        <v>48.66</v>
      </c>
      <c r="AC5" cm="1">
        <f t="array" ref="AC5">_xlfn.PERCENTRANK.EXC(_xlfn._xlws.FILTER(AB$3:AB$23, ISNUMBER(AB$3:AB$23)),AB5)*100</f>
        <v>50</v>
      </c>
    </row>
    <row r="6" spans="1:29" x14ac:dyDescent="0.35">
      <c r="A6" t="s">
        <v>30</v>
      </c>
      <c r="B6" t="s">
        <v>209</v>
      </c>
      <c r="C6" t="s">
        <v>443</v>
      </c>
      <c r="D6" t="s">
        <v>30</v>
      </c>
      <c r="E6" t="s">
        <v>706</v>
      </c>
      <c r="F6" s="2" cm="1">
        <f t="array" ref="F6">_xll.FDS(D6,"JULIAN(FMA_DIV_YLD(NTMA,NOW,NOW,M,""PORTAGG"",""MEANR"").dates)")</f>
        <v>45351</v>
      </c>
      <c r="G6" s="4" cm="1">
        <f t="array" ref="G6">_xll.FDS(D6,"FMA_PE(LTM,0,,,""PORTAGG"",""MEANR"")")</f>
        <v>11.564930795004701</v>
      </c>
      <c r="H6" s="4" cm="1">
        <f t="array" ref="H6">_xll.FDS(D6,"FMA_PE(NTMA,0,,,""PORTAGG"",""MEANR"")")</f>
        <v>10.6826859921152</v>
      </c>
      <c r="I6" cm="1">
        <f t="array" ref="I6">_xll.FDS(D6,"FMA_DIV_YLD(NTMA,NOW,NOW,M,""PORTAGG"",""MEANR"")")</f>
        <v>2.7345970834503199</v>
      </c>
      <c r="J6" s="64" cm="1">
        <f t="array" ref="J6">IFERROR(_xll.FDS(D6,"FG_FCF_YIELD_NTM(0)"),(1/G6*100))</f>
        <v>6.5501103717874898</v>
      </c>
      <c r="K6" s="3" cm="1">
        <f t="array" ref="K6">_xll.FDS(D6,"FMA_EVAL_EBITDA(NTMA,0,,,""PORTAGG"",""MEANR"")")</f>
        <v>9.9086424002815097</v>
      </c>
      <c r="L6" cm="1">
        <f t="array" ref="L6">_xll.FDS(D6,"FMA_EVAL_EBIT(LTMA,NOW,NOW,M,""PORTAGG"",""MEANR"")")</f>
        <v>13.6900780038393</v>
      </c>
      <c r="M6">
        <f>HLOOKUP(D6,'Index ROE'!$A$1:$V$25,25,FALSE)</f>
        <v>11.9407094450334</v>
      </c>
      <c r="N6">
        <f>VLOOKUP(A6,'LIQIDITY 2'!$A$3:$E$26,5,FALSE)</f>
        <v>6.2683010000000001</v>
      </c>
      <c r="O6" cm="1">
        <f t="array" ref="O6">IFERROR(_xll.FDS(B6,"IMF_IFS_RCPI_Q(0)"),$D$31)</f>
        <v>3.2433991</v>
      </c>
      <c r="P6">
        <f>VLOOKUP(E6,GDP_GROWTH!$B$10:$W$165,22,FALSE)</f>
        <v>3.9454348254778893</v>
      </c>
      <c r="Q6">
        <f t="shared" si="0"/>
        <v>-3.5337039165496802</v>
      </c>
      <c r="R6" s="64">
        <f t="shared" si="1"/>
        <v>0.28180937178748966</v>
      </c>
      <c r="S6">
        <f t="shared" si="2"/>
        <v>5.6724084450334002</v>
      </c>
      <c r="T6">
        <f t="shared" si="3"/>
        <v>8.6973103450334008</v>
      </c>
      <c r="U6" cm="1">
        <f t="array" ref="U6">_xlfn.PERCENTRANK.EXC(_xlfn._xlws.FILTER(Q$3:Q$23, ISNUMBER(Q$3:Q$23)),Q6)*100</f>
        <v>27.200000000000003</v>
      </c>
      <c r="V6" cm="1">
        <f t="array" ref="V6">_xlfn.PERCENTRANK.EXC(_xlfn._xlws.FILTER(R$3:R$23, ISNUMBER(R$3:R$23)),R6)*100</f>
        <v>50</v>
      </c>
      <c r="W6" cm="1">
        <f t="array" ref="W6">_xlfn.PERCENTRANK.EXC(_xlfn._xlws.FILTER(S$3:S$23, ISNUMBER(S$3:S$23)),S6)*100</f>
        <v>22.7</v>
      </c>
      <c r="X6" cm="1">
        <f t="array" ref="X6">(1-_xlfn.PERCENTRANK.EXC(_xlfn._xlws.FILTER(G$3:G$23, ISNUMBER(G$3:G$23)),G6))*100</f>
        <v>63.7</v>
      </c>
      <c r="Y6" cm="1">
        <f t="array" ref="Y6">(1-_xlfn.PERCENTRANK.EXC(_xlfn._xlws.FILTER(H$3:H$23, ISNUMBER(H$3:H$23)),H6))*100</f>
        <v>59.099999999999994</v>
      </c>
      <c r="Z6" cm="1">
        <f t="array" ref="Z6">_xlfn.PERCENTRANK.EXC(_xlfn._xlws.FILTER(T$3:T$23, ISNUMBER(T$3:T$23)),T6)*100</f>
        <v>36.299999999999997</v>
      </c>
      <c r="AA6" cm="1">
        <f t="array" ref="AA6">_xlfn.PERCENTRANK.EXC(_xlfn._xlws.FILTER(P$3:P$23, ISNUMBER(P$3:P$23)),P6)*100</f>
        <v>72.7</v>
      </c>
      <c r="AB6">
        <f>U6*Assumption!$E$39 + V6*Assumption!$F$39 + X6*Assumption!$G$39 + Y6*Assumption!$H$39 + W6*Assumption!$I$39 +Z6* Assumption!$K$39 + AA6* Assumption!$J$39</f>
        <v>50.460000000000008</v>
      </c>
      <c r="AC6" cm="1">
        <f t="array" ref="AC6">_xlfn.PERCENTRANK.EXC(_xlfn._xlws.FILTER(AB$3:AB$23, ISNUMBER(AB$3:AB$23)),AB6)*100</f>
        <v>59</v>
      </c>
    </row>
    <row r="7" spans="1:29" x14ac:dyDescent="0.35">
      <c r="A7" t="s">
        <v>23</v>
      </c>
      <c r="B7" t="s">
        <v>261</v>
      </c>
      <c r="C7" t="s">
        <v>444</v>
      </c>
      <c r="D7" t="s">
        <v>23</v>
      </c>
      <c r="E7" t="s">
        <v>707</v>
      </c>
      <c r="F7" s="2" cm="1">
        <f t="array" ref="F7">_xll.FDS(D7,"JULIAN(FMA_DIV_YLD(NTMA,NOW,NOW,M,""PORTAGG"",""MEANR"").dates)")</f>
        <v>45351</v>
      </c>
      <c r="G7" s="4" cm="1">
        <f t="array" ref="G7">_xll.FDS(D7,"FMA_PE(LTM,0,,,""PORTAGG"",""MEANR"")")</f>
        <v>7.6687289638001799</v>
      </c>
      <c r="H7" s="4" cm="1">
        <f t="array" ref="H7">_xll.FDS(D7,"FMA_PE(NTMA,0,,,""PORTAGG"",""MEANR"")")</f>
        <v>8.9647049313944898</v>
      </c>
      <c r="I7" cm="1">
        <f t="array" ref="I7">_xll.FDS(D7,"FMA_DIV_YLD(NTMA,NOW,NOW,M,""PORTAGG"",""MEANR"")")</f>
        <v>4.7594676792514097</v>
      </c>
      <c r="J7" s="64" cm="1">
        <f t="array" ref="J7">IFERROR(_xll.FDS(D7,"FG_FCF_YIELD_NTM(0)"),(1/G7*100))</f>
        <v>13.039970570357173</v>
      </c>
      <c r="K7" s="3" cm="1">
        <f t="array" ref="K7">_xll.FDS(D7,"FMA_EVAL_EBITDA(NTMA,0,,,""PORTAGG"",""MEANR"")")</f>
        <v>4.3229927374031103</v>
      </c>
      <c r="L7" cm="1">
        <f t="array" ref="L7">_xll.FDS(D7,"FMA_EVAL_EBIT(LTMA,NOW,NOW,M,""PORTAGG"",""MEANR"")")</f>
        <v>7.5220481525449596</v>
      </c>
      <c r="M7">
        <f>HLOOKUP(D7,'Index ROE'!$A$1:$V$25,25,FALSE)</f>
        <v>12.394579327579899</v>
      </c>
      <c r="N7">
        <f>VLOOKUP(A7,'LIQIDITY 2'!$A$3:$E$26,5,FALSE)</f>
        <v>5.2389999999999999</v>
      </c>
      <c r="O7" cm="1">
        <f t="array" ref="O7">IFERROR(_xll.FDS(B7,"IMF_IFS_RCPI_Q(0)"),$D$31)</f>
        <v>6.2023080000000004</v>
      </c>
      <c r="P7">
        <f>VLOOKUP(E7,GDP_GROWTH!$B$10:$W$165,22,FALSE)</f>
        <v>3.7030435940290873</v>
      </c>
      <c r="Q7">
        <f t="shared" si="0"/>
        <v>-0.4795323207485902</v>
      </c>
      <c r="R7" s="64">
        <f t="shared" si="1"/>
        <v>7.8009705703571735</v>
      </c>
      <c r="S7">
        <f t="shared" si="2"/>
        <v>7.1555793275798996</v>
      </c>
      <c r="T7">
        <f t="shared" si="3"/>
        <v>6.1922713275798991</v>
      </c>
      <c r="U7" cm="1">
        <f t="array" ref="U7">_xlfn.PERCENTRANK.EXC(_xlfn._xlws.FILTER(Q$3:Q$23, ISNUMBER(Q$3:Q$23)),Q7)*100</f>
        <v>50</v>
      </c>
      <c r="V7" cm="1">
        <f t="array" ref="V7">_xlfn.PERCENTRANK.EXC(_xlfn._xlws.FILTER(R$3:R$23, ISNUMBER(R$3:R$23)),R7)*100</f>
        <v>95.399999999999991</v>
      </c>
      <c r="W7" cm="1">
        <f t="array" ref="W7">_xlfn.PERCENTRANK.EXC(_xlfn._xlws.FILTER(S$3:S$23, ISNUMBER(S$3:S$23)),S7)*100</f>
        <v>45.4</v>
      </c>
      <c r="X7" cm="1">
        <f t="array" ref="X7">(1-_xlfn.PERCENTRANK.EXC(_xlfn._xlws.FILTER(G$3:G$23, ISNUMBER(G$3:G$23)),G7))*100</f>
        <v>86.4</v>
      </c>
      <c r="Y7" cm="1">
        <f t="array" ref="Y7">(1-_xlfn.PERCENTRANK.EXC(_xlfn._xlws.FILTER(H$3:H$23, ISNUMBER(H$3:H$23)),H7))*100</f>
        <v>77.3</v>
      </c>
      <c r="Z7" cm="1">
        <f t="array" ref="Z7">_xlfn.PERCENTRANK.EXC(_xlfn._xlws.FILTER(T$3:T$23, ISNUMBER(T$3:T$23)),T7)*100</f>
        <v>18.099999999999998</v>
      </c>
      <c r="AA7" cm="1">
        <f t="array" ref="AA7">_xlfn.PERCENTRANK.EXC(_xlfn._xlws.FILTER(P$3:P$23, ISNUMBER(P$3:P$23)),P7)*100</f>
        <v>63.6</v>
      </c>
      <c r="AB7">
        <f>U7*Assumption!$E$39 + V7*Assumption!$F$39 + X7*Assumption!$G$39 + Y7*Assumption!$H$39 + W7*Assumption!$I$39 +Z7* Assumption!$K$39 + AA7* Assumption!$J$39</f>
        <v>73.625000000000014</v>
      </c>
      <c r="AC7" cm="1">
        <f t="array" ref="AC7">_xlfn.PERCENTRANK.EXC(_xlfn._xlws.FILTER(AB$3:AB$23, ISNUMBER(AB$3:AB$23)),AB7)*100</f>
        <v>86.3</v>
      </c>
    </row>
    <row r="8" spans="1:29" x14ac:dyDescent="0.35">
      <c r="A8" t="s">
        <v>29</v>
      </c>
      <c r="B8" t="s">
        <v>308</v>
      </c>
      <c r="C8" t="s">
        <v>445</v>
      </c>
      <c r="D8" t="s">
        <v>29</v>
      </c>
      <c r="E8" t="s">
        <v>705</v>
      </c>
      <c r="F8" s="2" cm="1">
        <f t="array" ref="F8">_xll.FDS(D8,"JULIAN(FMA_DIV_YLD(NTMA,NOW,NOW,M,""PORTAGG"",""MEANR"").dates)")</f>
        <v>45350</v>
      </c>
      <c r="G8" s="4" cm="1">
        <f t="array" ref="G8">_xll.FDS(D8,"FMA_PE(LTM,0,,,""PORTAGG"",""MEANR"")")</f>
        <v>14.9509840901102</v>
      </c>
      <c r="H8" s="4" cm="1">
        <f t="array" ref="H8">_xll.FDS(D8,"FMA_PE(NTMA,0,,,""PORTAGG"",""MEANR"")")</f>
        <v>15.0043884321815</v>
      </c>
      <c r="I8" cm="1">
        <f t="array" ref="I8">_xll.FDS(D8,"FMA_DIV_YLD(NTMA,NOW,NOW,M,""PORTAGG"",""MEANR"")")</f>
        <v>3.7810168885696198</v>
      </c>
      <c r="J8" s="64" cm="1">
        <f t="array" ref="J8">IFERROR(_xll.FDS(D8,"FG_FCF_YIELD_NTM(0)"),(1/G8*100))</f>
        <v>5.5123878034436302</v>
      </c>
      <c r="K8" s="3" cm="1">
        <f t="array" ref="K8">_xll.FDS(D8,"FMA_EVAL_EBITDA(NTMA,0,,,""PORTAGG"",""MEANR"")")</f>
        <v>7.2043027028682998</v>
      </c>
      <c r="L8" cm="1">
        <f t="array" ref="L8">_xll.FDS(D8,"FMA_EVAL_EBIT(LTMA,NOW,NOW,M,""PORTAGG"",""MEANR"")")</f>
        <v>13.1861537630125</v>
      </c>
      <c r="M8">
        <f>HLOOKUP(D8,'Index ROE'!$A$1:$V$25,25,FALSE)</f>
        <v>12.932447367368299</v>
      </c>
      <c r="N8">
        <f>VLOOKUP(A8,'LIQIDITY 2'!$A$3:$E$26,5,FALSE)</f>
        <v>6.8605729999999996</v>
      </c>
      <c r="O8" cm="1">
        <f t="array" ref="O8">IFERROR(_xll.FDS(B8,"IMF_IFS_RCPI_Q(0)"),$D$31)</f>
        <v>3.9030174999999998</v>
      </c>
      <c r="P8">
        <f>VLOOKUP(E8,GDP_GROWTH!$B$10:$W$165,22,FALSE)</f>
        <v>2.3642552134477857</v>
      </c>
      <c r="Q8">
        <f t="shared" si="0"/>
        <v>-3.0795561114303798</v>
      </c>
      <c r="R8" s="64">
        <f t="shared" si="1"/>
        <v>-1.3481851965563694</v>
      </c>
      <c r="S8">
        <f t="shared" si="2"/>
        <v>6.0718743673682996</v>
      </c>
      <c r="T8">
        <f t="shared" si="3"/>
        <v>9.0294298673683002</v>
      </c>
      <c r="U8" cm="1">
        <f t="array" ref="U8">_xlfn.PERCENTRANK.EXC(_xlfn._xlws.FILTER(Q$3:Q$23, ISNUMBER(Q$3:Q$23)),Q8)*100</f>
        <v>31.8</v>
      </c>
      <c r="V8" cm="1">
        <f t="array" ref="V8">_xlfn.PERCENTRANK.EXC(_xlfn._xlws.FILTER(R$3:R$23, ISNUMBER(R$3:R$23)),R8)*100</f>
        <v>31.8</v>
      </c>
      <c r="W8" cm="1">
        <f t="array" ref="W8">_xlfn.PERCENTRANK.EXC(_xlfn._xlws.FILTER(S$3:S$23, ISNUMBER(S$3:S$23)),S8)*100</f>
        <v>31.8</v>
      </c>
      <c r="X8" cm="1">
        <f t="array" ref="X8">(1-_xlfn.PERCENTRANK.EXC(_xlfn._xlws.FILTER(G$3:G$23, ISNUMBER(G$3:G$23)),G8))*100</f>
        <v>36.4</v>
      </c>
      <c r="Y8" cm="1">
        <f t="array" ref="Y8">(1-_xlfn.PERCENTRANK.EXC(_xlfn._xlws.FILTER(H$3:H$23, ISNUMBER(H$3:H$23)),H8))*100</f>
        <v>36.4</v>
      </c>
      <c r="Z8" cm="1">
        <f t="array" ref="Z8">_xlfn.PERCENTRANK.EXC(_xlfn._xlws.FILTER(T$3:T$23, ISNUMBER(T$3:T$23)),T8)*100</f>
        <v>50</v>
      </c>
      <c r="AA8" cm="1">
        <f t="array" ref="AA8">_xlfn.PERCENTRANK.EXC(_xlfn._xlws.FILTER(P$3:P$23, ISNUMBER(P$3:P$23)),P8)*100</f>
        <v>36.299999999999997</v>
      </c>
      <c r="AB8">
        <f>U8*Assumption!$E$39 + V8*Assumption!$F$39 + X8*Assumption!$G$39 + Y8*Assumption!$H$39 + W8*Assumption!$I$39 +Z8* Assumption!$K$39 + AA8* Assumption!$J$39</f>
        <v>35.92</v>
      </c>
      <c r="AC8" cm="1">
        <f t="array" ref="AC8">_xlfn.PERCENTRANK.EXC(_xlfn._xlws.FILTER(AB$3:AB$23, ISNUMBER(AB$3:AB$23)),AB8)*100</f>
        <v>22.7</v>
      </c>
    </row>
    <row r="9" spans="1:29" x14ac:dyDescent="0.35">
      <c r="A9" t="s">
        <v>33</v>
      </c>
      <c r="B9" t="s">
        <v>198</v>
      </c>
      <c r="C9" t="s">
        <v>446</v>
      </c>
      <c r="D9" t="s">
        <v>33</v>
      </c>
      <c r="E9" t="s">
        <v>680</v>
      </c>
      <c r="F9" s="2" cm="1">
        <f t="array" ref="F9">_xll.FDS(D9,"JULIAN(FMA_DIV_YLD(NTMA,NOW,NOW,M,""PORTAGG"",""MEANR"").dates)")</f>
        <v>45351</v>
      </c>
      <c r="G9" s="4" cm="1">
        <f t="array" ref="G9">_xll.FDS(D9,"FMA_PE(LTM,0,,,""PORTAGG"",""MEANR"")")</f>
        <v>18.153206722749701</v>
      </c>
      <c r="H9" s="4" cm="1">
        <f t="array" ref="H9">_xll.FDS(D9,"FMA_PE(NTMA,0,,,""PORTAGG"",""MEANR"")")</f>
        <v>15.8657406208458</v>
      </c>
      <c r="I9" cm="1">
        <f t="array" ref="I9">_xll.FDS(D9,"FMA_DIV_YLD(NTMA,NOW,NOW,M,""PORTAGG"",""MEANR"")")</f>
        <v>4.1379637374503702</v>
      </c>
      <c r="J9" s="64" cm="1">
        <f t="array" ref="J9">IFERROR(_xll.FDS(D9,"FG_FCF_YIELD_NTM(0)"),(1/G9*100))</f>
        <v>7.8830487234084199</v>
      </c>
      <c r="K9" s="3" cm="1">
        <f t="array" ref="K9">_xll.FDS(D9,"FMA_EVAL_EBITDA(NTMA,0,,,""PORTAGG"",""MEANR"")")</f>
        <v>9.8033314372426297</v>
      </c>
      <c r="L9" cm="1">
        <f t="array" ref="L9">_xll.FDS(D9,"FMA_EVAL_EBIT(LTMA,NOW,NOW,M,""PORTAGG"",""MEANR"")")</f>
        <v>18.461865519746802</v>
      </c>
      <c r="M9">
        <f>HLOOKUP(D9,'Index ROE'!$A$1:$V$25,25,FALSE)</f>
        <v>9.55887744824477</v>
      </c>
      <c r="N9">
        <f>VLOOKUP(A9,'LIQIDITY 2'!$A$3:$E$26,5,FALSE)</f>
        <v>3.8128920000000002</v>
      </c>
      <c r="O9" cm="1">
        <f t="array" ref="O9">IFERROR(_xll.FDS(B9,"IMF_IFS_RCPI_Q(0)"),$D$31)</f>
        <v>3.2433991</v>
      </c>
      <c r="P9">
        <f>VLOOKUP(E9,GDP_GROWTH!$B$10:$W$165,22,FALSE)</f>
        <v>3.5466921531802975</v>
      </c>
      <c r="Q9">
        <f t="shared" si="0"/>
        <v>0.32507173745036999</v>
      </c>
      <c r="R9" s="64">
        <f t="shared" si="1"/>
        <v>4.0701567234084202</v>
      </c>
      <c r="S9">
        <f t="shared" si="2"/>
        <v>5.7459854482447703</v>
      </c>
      <c r="T9">
        <f t="shared" si="3"/>
        <v>6.3154783482447705</v>
      </c>
      <c r="U9" cm="1">
        <f t="array" ref="U9">_xlfn.PERCENTRANK.EXC(_xlfn._xlws.FILTER(Q$3:Q$23, ISNUMBER(Q$3:Q$23)),Q9)*100</f>
        <v>54.500000000000007</v>
      </c>
      <c r="V9" cm="1">
        <f t="array" ref="V9">_xlfn.PERCENTRANK.EXC(_xlfn._xlws.FILTER(R$3:R$23, ISNUMBER(R$3:R$23)),R9)*100</f>
        <v>86.3</v>
      </c>
      <c r="W9" cm="1">
        <f t="array" ref="W9">_xlfn.PERCENTRANK.EXC(_xlfn._xlws.FILTER(S$3:S$23, ISNUMBER(S$3:S$23)),S9)*100</f>
        <v>27.200000000000003</v>
      </c>
      <c r="X9" cm="1">
        <f t="array" ref="X9">(1-_xlfn.PERCENTRANK.EXC(_xlfn._xlws.FILTER(G$3:G$23, ISNUMBER(G$3:G$23)),G9))*100</f>
        <v>27.3</v>
      </c>
      <c r="Y9" cm="1">
        <f t="array" ref="Y9">(1-_xlfn.PERCENTRANK.EXC(_xlfn._xlws.FILTER(H$3:H$23, ISNUMBER(H$3:H$23)),H9))*100</f>
        <v>31.899999999999995</v>
      </c>
      <c r="Z9" cm="1">
        <f t="array" ref="Z9">_xlfn.PERCENTRANK.EXC(_xlfn._xlws.FILTER(T$3:T$23, ISNUMBER(T$3:T$23)),T9)*100</f>
        <v>22.7</v>
      </c>
      <c r="AA9" cm="1">
        <f t="array" ref="AA9">_xlfn.PERCENTRANK.EXC(_xlfn._xlws.FILTER(P$3:P$23, ISNUMBER(P$3:P$23)),P9)*100</f>
        <v>59</v>
      </c>
      <c r="AB9">
        <f>U9*Assumption!$E$39 + V9*Assumption!$F$39 + X9*Assumption!$G$39 + Y9*Assumption!$H$39 + W9*Assumption!$I$39 +Z9* Assumption!$K$39 + AA9* Assumption!$J$39</f>
        <v>44.09</v>
      </c>
      <c r="AC9" cm="1">
        <f t="array" ref="AC9">_xlfn.PERCENTRANK.EXC(_xlfn._xlws.FILTER(AB$3:AB$23, ISNUMBER(AB$3:AB$23)),AB9)*100</f>
        <v>40.9</v>
      </c>
    </row>
    <row r="10" spans="1:29" x14ac:dyDescent="0.35">
      <c r="A10" t="s">
        <v>24</v>
      </c>
      <c r="B10" t="s">
        <v>221</v>
      </c>
      <c r="C10" t="s">
        <v>40</v>
      </c>
      <c r="D10" t="s">
        <v>24</v>
      </c>
      <c r="E10" t="s">
        <v>727</v>
      </c>
      <c r="F10" s="2" cm="1">
        <f t="array" ref="F10">_xll.FDS(D10,"JULIAN(FMA_DIV_YLD(NTMA,NOW,NOW,M,""PORTAGG"",""MEANR"").dates)")</f>
        <v>45350</v>
      </c>
      <c r="G10" s="4" cm="1">
        <f t="array" ref="G10">_xll.FDS(D10,"FMA_PE(LTM,0,,,""PORTAGG"",""MEANR"")")</f>
        <v>21.666547513578799</v>
      </c>
      <c r="H10" s="4" cm="1">
        <f t="array" ref="H10">_xll.FDS(D10,"FMA_PE(NTMA,0,,,""PORTAGG"",""MEANR"")")</f>
        <v>19.6608504675566</v>
      </c>
      <c r="I10" cm="1">
        <f t="array" ref="I10">_xll.FDS(D10,"FMA_DIV_YLD(NTMA,NOW,NOW,M,""PORTAGG"",""MEANR"")")</f>
        <v>3.2827699930591301</v>
      </c>
      <c r="J10" s="64" cm="1">
        <f t="array" ref="J10">IFERROR(_xll.FDS(D10,"FG_FCF_YIELD_NTM(0)"),(1/G10*100))</f>
        <v>4.7033827881093098</v>
      </c>
      <c r="K10" s="3" cm="1">
        <f t="array" ref="K10">_xll.FDS(D10,"FMA_EVAL_EBITDA(NTMA,0,,,""PORTAGG"",""MEANR"")")</f>
        <v>11.615917448377299</v>
      </c>
      <c r="L10" cm="1">
        <f t="array" ref="L10">_xll.FDS(D10,"FMA_EVAL_EBIT(LTMA,NOW,NOW,M,""PORTAGG"",""MEANR"")")</f>
        <v>20.377099991457602</v>
      </c>
      <c r="M10">
        <f>HLOOKUP(D10,'Index ROE'!$A$1:$V$25,25,FALSE)</f>
        <v>11.9152161134331</v>
      </c>
      <c r="N10">
        <f>VLOOKUP(A10,'LIQIDITY 2'!$A$3:$E$26,5,FALSE)</f>
        <v>1.216</v>
      </c>
      <c r="O10" cm="1">
        <f t="array" ref="O10">IFERROR(_xll.FDS(B10,"IMF_IFS_RCPI_Q(0)"),$D$31)</f>
        <v>3.2433991</v>
      </c>
      <c r="P10">
        <f>VLOOKUP(E10,GDP_GROWTH!$B$10:$W$165,22,FALSE)</f>
        <v>3.5195870793715778</v>
      </c>
      <c r="Q10">
        <f t="shared" si="0"/>
        <v>2.0667699930591299</v>
      </c>
      <c r="R10" s="64">
        <f t="shared" si="1"/>
        <v>3.4873827881093096</v>
      </c>
      <c r="S10">
        <f t="shared" si="2"/>
        <v>10.699216113433101</v>
      </c>
      <c r="T10">
        <f t="shared" si="3"/>
        <v>8.6718170134331007</v>
      </c>
      <c r="U10" cm="1">
        <f t="array" ref="U10">_xlfn.PERCENTRANK.EXC(_xlfn._xlws.FILTER(Q$3:Q$23, ISNUMBER(Q$3:Q$23)),Q10)*100</f>
        <v>90.9</v>
      </c>
      <c r="V10" cm="1">
        <f t="array" ref="V10">_xlfn.PERCENTRANK.EXC(_xlfn._xlws.FILTER(R$3:R$23, ISNUMBER(R$3:R$23)),R10)*100</f>
        <v>77.2</v>
      </c>
      <c r="W10" cm="1">
        <f t="array" ref="W10">_xlfn.PERCENTRANK.EXC(_xlfn._xlws.FILTER(S$3:S$23, ISNUMBER(S$3:S$23)),S10)*100</f>
        <v>90.9</v>
      </c>
      <c r="X10" cm="1">
        <f t="array" ref="X10">(1-_xlfn.PERCENTRANK.EXC(_xlfn._xlws.FILTER(G$3:G$23, ISNUMBER(G$3:G$23)),G10))*100</f>
        <v>13.700000000000001</v>
      </c>
      <c r="Y10" cm="1">
        <f t="array" ref="Y10">(1-_xlfn.PERCENTRANK.EXC(_xlfn._xlws.FILTER(H$3:H$23, ISNUMBER(H$3:H$23)),H10))*100</f>
        <v>13.700000000000001</v>
      </c>
      <c r="Z10" cm="1">
        <f t="array" ref="Z10">_xlfn.PERCENTRANK.EXC(_xlfn._xlws.FILTER(T$3:T$23, ISNUMBER(T$3:T$23)),T10)*100</f>
        <v>31.8</v>
      </c>
      <c r="AA10" cm="1">
        <f t="array" ref="AA10">_xlfn.PERCENTRANK.EXC(_xlfn._xlws.FILTER(P$3:P$23, ISNUMBER(P$3:P$23)),P10)*100</f>
        <v>54.500000000000007</v>
      </c>
      <c r="AB10">
        <f>U10*Assumption!$E$39 + V10*Assumption!$F$39 + X10*Assumption!$G$39 + Y10*Assumption!$H$39 + W10*Assumption!$I$39 +Z10* Assumption!$K$39 + AA10* Assumption!$J$39</f>
        <v>42.965000000000003</v>
      </c>
      <c r="AC10" cm="1">
        <f t="array" ref="AC10">_xlfn.PERCENTRANK.EXC(_xlfn._xlws.FILTER(AB$3:AB$23, ISNUMBER(AB$3:AB$23)),AB10)*100</f>
        <v>31.8</v>
      </c>
    </row>
    <row r="11" spans="1:29" x14ac:dyDescent="0.35">
      <c r="A11" t="s">
        <v>7</v>
      </c>
      <c r="B11" t="s">
        <v>305</v>
      </c>
      <c r="C11" t="s">
        <v>53</v>
      </c>
      <c r="D11" t="s">
        <v>7</v>
      </c>
      <c r="E11" t="s">
        <v>685</v>
      </c>
      <c r="F11" s="2" cm="1">
        <f t="array" ref="F11">_xll.FDS(D11,"JULIAN(FMA_DIV_YLD(NTMA,NOW,NOW,M,""PORTAGG"",""MEANR"").dates)")</f>
        <v>45350</v>
      </c>
      <c r="G11" s="4" cm="1">
        <f t="array" ref="G11">_xll.FDS(D11,"FMA_PE(LTM,0,,,""PORTAGG"",""MEANR"")")</f>
        <v>12.746659449667099</v>
      </c>
      <c r="H11" s="4" cm="1">
        <f t="array" ref="H11">_xll.FDS(D11,"FMA_PE(NTMA,0,,,""PORTAGG"",""MEANR"")")</f>
        <v>16.092148898922101</v>
      </c>
      <c r="I11" cm="1">
        <f t="array" ref="I11">_xll.FDS(D11,"FMA_DIV_YLD(NTMA,NOW,NOW,M,""PORTAGG"",""MEANR"")")</f>
        <v>3.9832611741694199</v>
      </c>
      <c r="J11" s="64" cm="1">
        <f t="array" ref="J11">IFERROR(_xll.FDS(D11,"FG_FCF_YIELD_NTM(0)"),(1/G11*100))</f>
        <v>9.0017367169257305</v>
      </c>
      <c r="K11" s="3" cm="1">
        <f t="array" ref="K11">_xll.FDS(D11,"FMA_EVAL_EBITDA(NTMA,0,,,""PORTAGG"",""MEANR"")")</f>
        <v>6.6662330290296596</v>
      </c>
      <c r="L11" cm="1">
        <f t="array" ref="L11">_xll.FDS(D11,"FMA_EVAL_EBIT(LTMA,NOW,NOW,M,""PORTAGG"",""MEANR"")")</f>
        <v>10.554702368057599</v>
      </c>
      <c r="M11">
        <f>HLOOKUP(D11,'Index ROE'!$A$1:$V$25,25,FALSE)</f>
        <v>13.699010101723401</v>
      </c>
      <c r="N11">
        <f>VLOOKUP(A11,'LIQIDITY 2'!$A$3:$E$26,5,FALSE)</f>
        <v>9.2126999999999999</v>
      </c>
      <c r="O11" cm="1">
        <f t="array" ref="O11">IFERROR(_xll.FDS(B11,"IMF_IFS_RCPI_Q(0)"),$D$31)</f>
        <v>4.4145545999999998</v>
      </c>
      <c r="P11">
        <f>VLOOKUP(E11,GDP_GROWTH!$B$10:$W$165,22,FALSE)</f>
        <v>0.75528355941661962</v>
      </c>
      <c r="Q11">
        <f t="shared" si="0"/>
        <v>-5.22943882583058</v>
      </c>
      <c r="R11" s="64">
        <f t="shared" si="1"/>
        <v>-0.21096328307426937</v>
      </c>
      <c r="S11">
        <f t="shared" si="2"/>
        <v>4.4863101017234008</v>
      </c>
      <c r="T11">
        <f t="shared" si="3"/>
        <v>9.2844555017234001</v>
      </c>
      <c r="U11" cm="1">
        <f t="array" ref="U11">_xlfn.PERCENTRANK.EXC(_xlfn._xlws.FILTER(Q$3:Q$23, ISNUMBER(Q$3:Q$23)),Q11)*100</f>
        <v>18.099999999999998</v>
      </c>
      <c r="V11" cm="1">
        <f t="array" ref="V11">_xlfn.PERCENTRANK.EXC(_xlfn._xlws.FILTER(R$3:R$23, ISNUMBER(R$3:R$23)),R11)*100</f>
        <v>45.4</v>
      </c>
      <c r="W11" cm="1">
        <f t="array" ref="W11">_xlfn.PERCENTRANK.EXC(_xlfn._xlws.FILTER(S$3:S$23, ISNUMBER(S$3:S$23)),S11)*100</f>
        <v>13.600000000000001</v>
      </c>
      <c r="X11" cm="1">
        <f t="array" ref="X11">(1-_xlfn.PERCENTRANK.EXC(_xlfn._xlws.FILTER(G$3:G$23, ISNUMBER(G$3:G$23)),G11))*100</f>
        <v>50</v>
      </c>
      <c r="Y11" cm="1">
        <f t="array" ref="Y11">(1-_xlfn.PERCENTRANK.EXC(_xlfn._xlws.FILTER(H$3:H$23, ISNUMBER(H$3:H$23)),H11))*100</f>
        <v>27.3</v>
      </c>
      <c r="Z11" cm="1">
        <f t="array" ref="Z11">_xlfn.PERCENTRANK.EXC(_xlfn._xlws.FILTER(T$3:T$23, ISNUMBER(T$3:T$23)),T11)*100</f>
        <v>59</v>
      </c>
      <c r="AA11" cm="1">
        <f t="array" ref="AA11">_xlfn.PERCENTRANK.EXC(_xlfn._xlws.FILTER(P$3:P$23, ISNUMBER(P$3:P$23)),P11)*100</f>
        <v>4.5</v>
      </c>
      <c r="AB11">
        <f>U11*Assumption!$E$39 + V11*Assumption!$F$39 + X11*Assumption!$G$39 + Y11*Assumption!$H$39 + W11*Assumption!$I$39 +Z11* Assumption!$K$39 + AA11* Assumption!$J$39</f>
        <v>38.839999999999996</v>
      </c>
      <c r="AC11" cm="1">
        <f t="array" ref="AC11">_xlfn.PERCENTRANK.EXC(_xlfn._xlws.FILTER(AB$3:AB$23, ISNUMBER(AB$3:AB$23)),AB11)*100</f>
        <v>27.200000000000003</v>
      </c>
    </row>
    <row r="12" spans="1:29" x14ac:dyDescent="0.35">
      <c r="A12" t="s">
        <v>21</v>
      </c>
      <c r="B12" t="s">
        <v>214</v>
      </c>
      <c r="C12" t="s">
        <v>38</v>
      </c>
      <c r="D12" t="s">
        <v>21</v>
      </c>
      <c r="E12" t="s">
        <v>667</v>
      </c>
      <c r="F12" s="2" cm="1">
        <f t="array" ref="F12">_xll.FDS(D12,"JULIAN(FMA_DIV_YLD(NTMA,NOW,NOW,M,""PORTAGG"",""MEANR"").dates)")</f>
        <v>45350</v>
      </c>
      <c r="G12" s="4" cm="1">
        <f t="array" ref="G12">_xll.FDS(D12,"FMA_PE(LTM,0,,,""PORTAGG"",""MEANR"")")</f>
        <v>18.609493299242502</v>
      </c>
      <c r="H12" s="4" cm="1">
        <f t="array" ref="H12">_xll.FDS(D12,"FMA_PE(NTMA,0,,,""PORTAGG"",""MEANR"")")</f>
        <v>16.320410620351101</v>
      </c>
      <c r="I12" cm="1">
        <f t="array" ref="I12">_xll.FDS(D12,"FMA_DIV_YLD(NTMA,NOW,NOW,M,""PORTAGG"",""MEANR"")")</f>
        <v>2.2572390326523202</v>
      </c>
      <c r="J12" s="64" cm="1">
        <f t="array" ref="J12">IFERROR(_xll.FDS(D12,"FG_FCF_YIELD_NTM(0)"),(1/G12*100))</f>
        <v>0.51692391988717401</v>
      </c>
      <c r="K12" s="3" cm="1">
        <f t="array" ref="K12">_xll.FDS(D12,"FMA_EVAL_EBITDA(NTMA,0,,,""PORTAGG"",""MEANR"")")</f>
        <v>8.8904478939963898</v>
      </c>
      <c r="L12" cm="1">
        <f t="array" ref="L12">_xll.FDS(D12,"FMA_EVAL_EBIT(LTMA,NOW,NOW,M,""PORTAGG"",""MEANR"")")</f>
        <v>21.081320278453699</v>
      </c>
      <c r="M12">
        <f>HLOOKUP(D12,'Index ROE'!$A$1:$V$25,25,FALSE)</f>
        <v>8.9018523713911009</v>
      </c>
      <c r="N12">
        <f>VLOOKUP(A12,'LIQIDITY 2'!$A$3:$E$26,5,FALSE)</f>
        <v>3.4352</v>
      </c>
      <c r="O12" cm="1">
        <f t="array" ref="O12">IFERROR(_xll.FDS(B12,"IMF_IFS_RCPI_Q(0)"),$D$31)</f>
        <v>3.404687</v>
      </c>
      <c r="P12">
        <f>VLOOKUP(E12,GDP_GROWTH!$B$10:$W$165,22,FALSE)</f>
        <v>2.41003689527024</v>
      </c>
      <c r="Q12">
        <f t="shared" si="0"/>
        <v>-1.1779609673476799</v>
      </c>
      <c r="R12" s="64">
        <f t="shared" si="1"/>
        <v>-2.9182760801128262</v>
      </c>
      <c r="S12">
        <f t="shared" si="2"/>
        <v>5.4666523713911008</v>
      </c>
      <c r="T12">
        <f t="shared" si="3"/>
        <v>5.4971653713911008</v>
      </c>
      <c r="U12" cm="1">
        <f t="array" ref="U12">_xlfn.PERCENTRANK.EXC(_xlfn._xlws.FILTER(Q$3:Q$23, ISNUMBER(Q$3:Q$23)),Q12)*100</f>
        <v>45.4</v>
      </c>
      <c r="V12" cm="1">
        <f t="array" ref="V12">_xlfn.PERCENTRANK.EXC(_xlfn._xlws.FILTER(R$3:R$23, ISNUMBER(R$3:R$23)),R12)*100</f>
        <v>22.7</v>
      </c>
      <c r="W12" cm="1">
        <f t="array" ref="W12">_xlfn.PERCENTRANK.EXC(_xlfn._xlws.FILTER(S$3:S$23, ISNUMBER(S$3:S$23)),S12)*100</f>
        <v>18.099999999999998</v>
      </c>
      <c r="X12" cm="1">
        <f t="array" ref="X12">(1-_xlfn.PERCENTRANK.EXC(_xlfn._xlws.FILTER(G$3:G$23, ISNUMBER(G$3:G$23)),G12))*100</f>
        <v>22.799999999999997</v>
      </c>
      <c r="Y12" cm="1">
        <f t="array" ref="Y12">(1-_xlfn.PERCENTRANK.EXC(_xlfn._xlws.FILTER(H$3:H$23, ISNUMBER(H$3:H$23)),H12))*100</f>
        <v>22.799999999999997</v>
      </c>
      <c r="Z12" cm="1">
        <f t="array" ref="Z12">_xlfn.PERCENTRANK.EXC(_xlfn._xlws.FILTER(T$3:T$23, ISNUMBER(T$3:T$23)),T12)*100</f>
        <v>9</v>
      </c>
      <c r="AA12" cm="1">
        <f t="array" ref="AA12">_xlfn.PERCENTRANK.EXC(_xlfn._xlws.FILTER(P$3:P$23, ISNUMBER(P$3:P$23)),P12)*100</f>
        <v>40.9</v>
      </c>
      <c r="AB12">
        <f>U12*Assumption!$E$39 + V12*Assumption!$F$39 + X12*Assumption!$G$39 + Y12*Assumption!$H$39 + W12*Assumption!$I$39 +Z12* Assumption!$K$39 + AA12* Assumption!$J$39</f>
        <v>22.054999999999996</v>
      </c>
      <c r="AC12" cm="1">
        <f t="array" ref="AC12">_xlfn.PERCENTRANK.EXC(_xlfn._xlws.FILTER(AB$3:AB$23, ISNUMBER(AB$3:AB$23)),AB12)*100</f>
        <v>4.5</v>
      </c>
    </row>
    <row r="13" spans="1:29" x14ac:dyDescent="0.35">
      <c r="A13" t="s">
        <v>12</v>
      </c>
      <c r="B13" t="s">
        <v>295</v>
      </c>
      <c r="C13" t="s">
        <v>54</v>
      </c>
      <c r="D13" t="s">
        <v>12</v>
      </c>
      <c r="E13" t="s">
        <v>610</v>
      </c>
      <c r="F13" s="2" cm="1">
        <f t="array" ref="F13">_xll.FDS(D13,"JULIAN(FMA_DIV_YLD(NTMA,NOW,NOW,M,""PORTAGG"",""MEANR"").dates)")</f>
        <v>45350</v>
      </c>
      <c r="G13" s="4" cm="1">
        <f t="array" ref="G13">_xll.FDS(D13,"FMA_PE(LTM,0,,,""PORTAGG"",""MEANR"")")</f>
        <v>7.8622645208597399</v>
      </c>
      <c r="H13" s="4" cm="1">
        <f t="array" ref="H13">_xll.FDS(D13,"FMA_PE(NTMA,0,,,""PORTAGG"",""MEANR"")")</f>
        <v>8.5910316321580709</v>
      </c>
      <c r="I13" cm="1">
        <f t="array" ref="I13">_xll.FDS(D13,"FMA_DIV_YLD(NTMA,NOW,NOW,M,""PORTAGG"",""MEANR"")")</f>
        <v>5.9381115675174803</v>
      </c>
      <c r="J13" s="64" cm="1">
        <f t="array" ref="J13">IFERROR(_xll.FDS(D13,"FG_FCF_YIELD_NTM(0)"),(1/G13*100))</f>
        <v>9.8832740753198998</v>
      </c>
      <c r="K13" s="3" cm="1">
        <f t="array" ref="K13">_xll.FDS(D13,"FMA_EVAL_EBITDA(NTMA,0,,,""PORTAGG"",""MEANR"")")</f>
        <v>5.0411502388321798</v>
      </c>
      <c r="L13" cm="1">
        <f t="array" ref="L13">_xll.FDS(D13,"FMA_EVAL_EBIT(LTMA,NOW,NOW,M,""PORTAGG"",""MEANR"")")</f>
        <v>6.8810102487092397</v>
      </c>
      <c r="M13">
        <f>HLOOKUP(D13,'Index ROE'!$A$1:$V$25,25,FALSE)</f>
        <v>18.6294532976694</v>
      </c>
      <c r="N13">
        <f>VLOOKUP(A13,'LIQIDITY 2'!$A$3:$E$26,5,FALSE)</f>
        <v>10.887092000000001</v>
      </c>
      <c r="O13" cm="1">
        <f t="array" ref="O13">IFERROR(_xll.FDS(B13,"IMF_IFS_RCPI_Q(0)"),$D$31)</f>
        <v>4.7076507000000003</v>
      </c>
      <c r="P13">
        <f>VLOOKUP(E13,GDP_GROWTH!$B$10:$W$165,22,FALSE)</f>
        <v>0.86151944639016875</v>
      </c>
      <c r="Q13">
        <f t="shared" si="0"/>
        <v>-4.9489804324825206</v>
      </c>
      <c r="R13" s="64">
        <f t="shared" si="1"/>
        <v>-1.0038179246801011</v>
      </c>
      <c r="S13">
        <f t="shared" si="2"/>
        <v>7.7423612976693992</v>
      </c>
      <c r="T13">
        <f t="shared" si="3"/>
        <v>13.9218025976694</v>
      </c>
      <c r="U13" cm="1">
        <f t="array" ref="U13">_xlfn.PERCENTRANK.EXC(_xlfn._xlws.FILTER(Q$3:Q$23, ISNUMBER(Q$3:Q$23)),Q13)*100</f>
        <v>22.7</v>
      </c>
      <c r="V13" cm="1">
        <f t="array" ref="V13">_xlfn.PERCENTRANK.EXC(_xlfn._xlws.FILTER(R$3:R$23, ISNUMBER(R$3:R$23)),R13)*100</f>
        <v>40.9</v>
      </c>
      <c r="W13" cm="1">
        <f t="array" ref="W13">_xlfn.PERCENTRANK.EXC(_xlfn._xlws.FILTER(S$3:S$23, ISNUMBER(S$3:S$23)),S13)*100</f>
        <v>54.500000000000007</v>
      </c>
      <c r="X13" cm="1">
        <f t="array" ref="X13">(1-_xlfn.PERCENTRANK.EXC(_xlfn._xlws.FILTER(G$3:G$23, ISNUMBER(G$3:G$23)),G13))*100</f>
        <v>81.899999999999991</v>
      </c>
      <c r="Y13" cm="1">
        <f t="array" ref="Y13">(1-_xlfn.PERCENTRANK.EXC(_xlfn._xlws.FILTER(H$3:H$23, ISNUMBER(H$3:H$23)),H13))*100</f>
        <v>81.899999999999991</v>
      </c>
      <c r="Z13" cm="1">
        <f t="array" ref="Z13">_xlfn.PERCENTRANK.EXC(_xlfn._xlws.FILTER(T$3:T$23, ISNUMBER(T$3:T$23)),T13)*100</f>
        <v>95.399999999999991</v>
      </c>
      <c r="AA13" cm="1">
        <f t="array" ref="AA13">_xlfn.PERCENTRANK.EXC(_xlfn._xlws.FILTER(P$3:P$23, ISNUMBER(P$3:P$23)),P13)*100</f>
        <v>13.600000000000001</v>
      </c>
      <c r="AB13">
        <f>U13*Assumption!$E$39 + V13*Assumption!$F$39 + X13*Assumption!$G$39 + Y13*Assumption!$H$39 + W13*Assumption!$I$39 +Z13* Assumption!$K$39 + AA13* Assumption!$J$39</f>
        <v>67.3</v>
      </c>
      <c r="AC13" cm="1">
        <f t="array" ref="AC13">_xlfn.PERCENTRANK.EXC(_xlfn._xlws.FILTER(AB$3:AB$23, ISNUMBER(AB$3:AB$23)),AB13)*100</f>
        <v>72.7</v>
      </c>
    </row>
    <row r="14" spans="1:29" x14ac:dyDescent="0.35">
      <c r="A14" t="s">
        <v>22</v>
      </c>
      <c r="B14" t="s">
        <v>370</v>
      </c>
      <c r="C14" t="s">
        <v>447</v>
      </c>
      <c r="D14" t="s">
        <v>22</v>
      </c>
      <c r="E14" t="s">
        <v>720</v>
      </c>
      <c r="F14" s="2" cm="1">
        <f t="array" ref="F14">_xll.FDS(D14,"JULIAN(FMA_DIV_YLD(NTMA,NOW,NOW,M,""PORTAGG"",""MEANR"").dates)")</f>
        <v>45350</v>
      </c>
      <c r="G14" s="4" cm="1">
        <f t="array" ref="G14">_xll.FDS(D14,"FMA_PE(LTM,0,,,""PORTAGG"",""MEANR"")")</f>
        <v>8.9409742561453402</v>
      </c>
      <c r="H14" s="4" cm="1">
        <f t="array" ref="H14">_xll.FDS(D14,"FMA_PE(NTMA,0,,,""PORTAGG"",""MEANR"")")</f>
        <v>10.6071607470119</v>
      </c>
      <c r="I14" cm="1">
        <f t="array" ref="I14">_xll.FDS(D14,"FMA_DIV_YLD(NTMA,NOW,NOW,M,""PORTAGG"",""MEANR"")")</f>
        <v>4.36757644295436</v>
      </c>
      <c r="J14" s="64" cm="1">
        <f t="array" ref="J14">IFERROR(_xll.FDS(D14,"FG_FCF_YIELD_NTM(0)"),(1/G14*100))</f>
        <v>4.9527995255908799</v>
      </c>
      <c r="K14" s="3" cm="1">
        <f t="array" ref="K14">_xll.FDS(D14,"FMA_EVAL_EBITDA(NTMA,0,,,""PORTAGG"",""MEANR"")")</f>
        <v>7.5092502035856699</v>
      </c>
      <c r="L14" cm="1">
        <f t="array" ref="L14">_xll.FDS(D14,"FMA_EVAL_EBIT(LTMA,NOW,NOW,M,""PORTAGG"",""MEANR"")")</f>
        <v>11.807340465079699</v>
      </c>
      <c r="M14">
        <f>HLOOKUP(D14,'Index ROE'!$A$1:$V$25,25,FALSE)</f>
        <v>14.5722752976358</v>
      </c>
      <c r="N14">
        <f>VLOOKUP(A14,'LIQIDITY 2'!$A$3:$E$26,5,FALSE)</f>
        <v>11.671312</v>
      </c>
      <c r="O14" cm="1">
        <f t="array" ref="O14">IFERROR(_xll.FDS(B14,"IMF_IFS_RCPI_Q(0)"),$D$31)</f>
        <v>5.6333609999999998</v>
      </c>
      <c r="P14">
        <f>VLOOKUP(E14,GDP_GROWTH!$B$10:$W$165,22,FALSE)</f>
        <v>2.0053433544621524</v>
      </c>
      <c r="Q14">
        <f t="shared" si="0"/>
        <v>-7.3037355570456404</v>
      </c>
      <c r="R14" s="64">
        <f t="shared" si="1"/>
        <v>-6.7185124744091205</v>
      </c>
      <c r="S14">
        <f t="shared" si="2"/>
        <v>2.9009632976357995</v>
      </c>
      <c r="T14">
        <f t="shared" si="3"/>
        <v>8.9389142976358009</v>
      </c>
      <c r="U14" cm="1">
        <f t="array" ref="U14">_xlfn.PERCENTRANK.EXC(_xlfn._xlws.FILTER(Q$3:Q$23, ISNUMBER(Q$3:Q$23)),Q14)*100</f>
        <v>9</v>
      </c>
      <c r="V14" cm="1">
        <f t="array" ref="V14">_xlfn.PERCENTRANK.EXC(_xlfn._xlws.FILTER(R$3:R$23, ISNUMBER(R$3:R$23)),R14)*100</f>
        <v>9</v>
      </c>
      <c r="W14" cm="1">
        <f t="array" ref="W14">_xlfn.PERCENTRANK.EXC(_xlfn._xlws.FILTER(S$3:S$23, ISNUMBER(S$3:S$23)),S14)*100</f>
        <v>9</v>
      </c>
      <c r="X14" cm="1">
        <f t="array" ref="X14">(1-_xlfn.PERCENTRANK.EXC(_xlfn._xlws.FILTER(G$3:G$23, ISNUMBER(G$3:G$23)),G14))*100</f>
        <v>77.3</v>
      </c>
      <c r="Y14" cm="1">
        <f t="array" ref="Y14">(1-_xlfn.PERCENTRANK.EXC(_xlfn._xlws.FILTER(H$3:H$23, ISNUMBER(H$3:H$23)),H14))*100</f>
        <v>63.7</v>
      </c>
      <c r="Z14" cm="1">
        <f t="array" ref="Z14">_xlfn.PERCENTRANK.EXC(_xlfn._xlws.FILTER(T$3:T$23, ISNUMBER(T$3:T$23)),T14)*100</f>
        <v>45.4</v>
      </c>
      <c r="AA14" cm="1">
        <f t="array" ref="AA14">_xlfn.PERCENTRANK.EXC(_xlfn._xlws.FILTER(P$3:P$23, ISNUMBER(P$3:P$23)),P14)*100</f>
        <v>27.200000000000003</v>
      </c>
      <c r="AB14">
        <f>U14*Assumption!$E$39 + V14*Assumption!$F$39 + X14*Assumption!$G$39 + Y14*Assumption!$H$39 + W14*Assumption!$I$39 +Z14* Assumption!$K$39 + AA14* Assumption!$J$39</f>
        <v>43.39</v>
      </c>
      <c r="AC14" cm="1">
        <f t="array" ref="AC14">_xlfn.PERCENTRANK.EXC(_xlfn._xlws.FILTER(AB$3:AB$23, ISNUMBER(AB$3:AB$23)),AB14)*100</f>
        <v>36.299999999999997</v>
      </c>
    </row>
    <row r="15" spans="1:29" x14ac:dyDescent="0.35">
      <c r="A15" t="s">
        <v>28</v>
      </c>
      <c r="B15" t="s">
        <v>503</v>
      </c>
      <c r="C15" t="s">
        <v>448</v>
      </c>
      <c r="D15" t="s">
        <v>28</v>
      </c>
      <c r="E15" t="s">
        <v>647</v>
      </c>
      <c r="F15" s="2" cm="1">
        <f t="array" ref="F15">_xll.FDS(D15,"JULIAN(FMA_DIV_YLD(NTMA,NOW,NOW,M,""PORTAGG"",""MEANR"").dates)")</f>
        <v>45351</v>
      </c>
      <c r="G15" s="4" cm="1">
        <f t="array" ref="G15">_xll.FDS(D15,"FMA_PE(LTM,0,,,""PORTAGG"",""MEANR"")")</f>
        <v>7.56058934149672</v>
      </c>
      <c r="H15" s="4" cm="1">
        <f t="array" ref="H15">_xll.FDS(D15,"FMA_PE(NTMA,0,,,""PORTAGG"",""MEANR"")")</f>
        <v>6.7463277917442896</v>
      </c>
      <c r="I15" cm="1">
        <f t="array" ref="I15">_xll.FDS(D15,"FMA_DIV_YLD(NTMA,NOW,NOW,M,""PORTAGG"",""MEANR"")")</f>
        <v>4.6171172472657602</v>
      </c>
      <c r="J15" s="64" cm="1">
        <f t="array" ref="J15">IFERROR(_xll.FDS(D15,"FG_FCF_YIELD_NTM(0)"),(1/G15*100))</f>
        <v>2.1908235205517301</v>
      </c>
      <c r="K15" s="3" cm="1">
        <f t="array" ref="K15">_xll.FDS(D15,"FMA_EVAL_EBITDA(NTMA,0,,,""PORTAGG"",""MEANR"")")</f>
        <v>5.2672014416675097</v>
      </c>
      <c r="L15" cm="1">
        <f t="array" ref="L15">_xll.FDS(D15,"FMA_EVAL_EBIT(LTMA,NOW,NOW,M,""PORTAGG"",""MEANR"")")</f>
        <v>7.2177627683044498</v>
      </c>
      <c r="M15">
        <f>HLOOKUP(D15,'Index ROE'!$A$1:$V$25,25,FALSE)</f>
        <v>13.1253657894167</v>
      </c>
      <c r="N15">
        <f>VLOOKUP(A15,'LIQIDITY 2'!$A$3:$E$26,5,FALSE)</f>
        <v>3.4590000000000001</v>
      </c>
      <c r="O15" cm="1">
        <f t="array" ref="O15">IFERROR(_xll.FDS(B15,"IMF_IFS_RCPI_Q(0)"),$D$31)</f>
        <v>3.3094649999999999</v>
      </c>
      <c r="P15">
        <f>VLOOKUP(E15,GDP_GROWTH!$B$10:$W$165,22,FALSE)</f>
        <v>0.85736345187500396</v>
      </c>
      <c r="Q15">
        <f t="shared" si="0"/>
        <v>1.1581172472657602</v>
      </c>
      <c r="R15" s="64">
        <f t="shared" si="1"/>
        <v>-1.2681764794482699</v>
      </c>
      <c r="S15">
        <f t="shared" si="2"/>
        <v>9.6663657894166999</v>
      </c>
      <c r="T15">
        <f t="shared" si="3"/>
        <v>9.8159007894167001</v>
      </c>
      <c r="U15" cm="1">
        <f t="array" ref="U15">_xlfn.PERCENTRANK.EXC(_xlfn._xlws.FILTER(Q$3:Q$23, ISNUMBER(Q$3:Q$23)),Q15)*100</f>
        <v>86.3</v>
      </c>
      <c r="V15" cm="1">
        <f t="array" ref="V15">_xlfn.PERCENTRANK.EXC(_xlfn._xlws.FILTER(R$3:R$23, ISNUMBER(R$3:R$23)),R15)*100</f>
        <v>36.299999999999997</v>
      </c>
      <c r="W15" cm="1">
        <f t="array" ref="W15">_xlfn.PERCENTRANK.EXC(_xlfn._xlws.FILTER(S$3:S$23, ISNUMBER(S$3:S$23)),S15)*100</f>
        <v>81.8</v>
      </c>
      <c r="X15" cm="1">
        <f t="array" ref="X15">(1-_xlfn.PERCENTRANK.EXC(_xlfn._xlws.FILTER(G$3:G$23, ISNUMBER(G$3:G$23)),G15))*100</f>
        <v>91</v>
      </c>
      <c r="Y15" cm="1">
        <f t="array" ref="Y15">(1-_xlfn.PERCENTRANK.EXC(_xlfn._xlws.FILTER(H$3:H$23, ISNUMBER(H$3:H$23)),H15))*100</f>
        <v>91</v>
      </c>
      <c r="Z15" cm="1">
        <f t="array" ref="Z15">_xlfn.PERCENTRANK.EXC(_xlfn._xlws.FILTER(T$3:T$23, ISNUMBER(T$3:T$23)),T15)*100</f>
        <v>63.6</v>
      </c>
      <c r="AA15" cm="1">
        <f t="array" ref="AA15">_xlfn.PERCENTRANK.EXC(_xlfn._xlws.FILTER(P$3:P$23, ISNUMBER(P$3:P$23)),P15)*100</f>
        <v>9</v>
      </c>
      <c r="AB15">
        <f>U15*Assumption!$E$39 + V15*Assumption!$F$39 + X15*Assumption!$G$39 + Y15*Assumption!$H$39 + W15*Assumption!$I$39 +Z15* Assumption!$K$39 + AA15* Assumption!$J$39</f>
        <v>73.429999999999993</v>
      </c>
      <c r="AC15" cm="1">
        <f t="array" ref="AC15">_xlfn.PERCENTRANK.EXC(_xlfn._xlws.FILTER(AB$3:AB$23, ISNUMBER(AB$3:AB$23)),AB15)*100</f>
        <v>81.8</v>
      </c>
    </row>
    <row r="16" spans="1:29" x14ac:dyDescent="0.35">
      <c r="A16" t="s">
        <v>32</v>
      </c>
      <c r="B16" t="s">
        <v>188</v>
      </c>
      <c r="C16" t="s">
        <v>52</v>
      </c>
      <c r="D16" t="s">
        <v>32</v>
      </c>
      <c r="E16" t="s">
        <v>657</v>
      </c>
      <c r="F16" s="2" cm="1">
        <f t="array" ref="F16">_xll.FDS(D16,"JULIAN(FMA_DIV_YLD(NTMA,NOW,NOW,M,""PORTAGG"",""MEANR"").dates)")</f>
        <v>45350</v>
      </c>
      <c r="G16" s="4" cm="1">
        <f t="array" ref="G16">_xll.FDS(D16,"FMA_PE(LTM,0,,,""PORTAGG"",""MEANR"")")</f>
        <v>24.990101361064099</v>
      </c>
      <c r="H16" s="4" cm="1">
        <f t="array" ref="H16">_xll.FDS(D16,"FMA_PE(NTMA,0,,,""PORTAGG"",""MEANR"")")</f>
        <v>26.096391188501102</v>
      </c>
      <c r="I16" cm="1">
        <f t="array" ref="I16">_xll.FDS(D16,"FMA_DIV_YLD(NTMA,NOW,NOW,M,""PORTAGG"",""MEANR"")")</f>
        <v>1.3603511605506899</v>
      </c>
      <c r="J16" s="64" cm="1">
        <f t="array" ref="J16">IFERROR(_xll.FDS(D16,"FG_FCF_YIELD_NTM(0)"),(1/G16*100))</f>
        <v>2.4692676121460901</v>
      </c>
      <c r="K16" s="3" cm="1">
        <f t="array" ref="K16">_xll.FDS(D16,"FMA_EVAL_EBITDA(NTMA,0,,,""PORTAGG"",""MEANR"")")</f>
        <v>16.808473781025899</v>
      </c>
      <c r="L16" cm="1">
        <f t="array" ref="L16">_xll.FDS(D16,"FMA_EVAL_EBIT(LTMA,NOW,NOW,M,""PORTAGG"",""MEANR"")")</f>
        <v>23.035167782517199</v>
      </c>
      <c r="M16">
        <f>HLOOKUP(D16,'Index ROE'!$A$1:$V$25,25,FALSE)</f>
        <v>16.075803560414201</v>
      </c>
      <c r="N16">
        <f>VLOOKUP(A16,'LIQIDITY 2'!$A$3:$E$26,5,FALSE)</f>
        <v>7.0519999999999996</v>
      </c>
      <c r="O16" cm="1">
        <f t="array" ref="O16">IFERROR(_xll.FDS(B16,"IMF_IFS_RCPI_Q(0)"),$D$31)</f>
        <v>3.2433991</v>
      </c>
      <c r="P16">
        <f>VLOOKUP(E16,GDP_GROWTH!$B$10:$W$165,22,FALSE)</f>
        <v>4.5925545086595072</v>
      </c>
      <c r="Q16">
        <f t="shared" si="0"/>
        <v>-5.6916488394493099</v>
      </c>
      <c r="R16" s="64">
        <f t="shared" si="1"/>
        <v>-4.582732387853909</v>
      </c>
      <c r="S16">
        <f t="shared" si="2"/>
        <v>9.0238035604142013</v>
      </c>
      <c r="T16">
        <f t="shared" si="3"/>
        <v>12.832404460414201</v>
      </c>
      <c r="U16" cm="1">
        <f t="array" ref="U16">_xlfn.PERCENTRANK.EXC(_xlfn._xlws.FILTER(Q$3:Q$23, ISNUMBER(Q$3:Q$23)),Q16)*100</f>
        <v>13.600000000000001</v>
      </c>
      <c r="V16" cm="1">
        <f t="array" ref="V16">_xlfn.PERCENTRANK.EXC(_xlfn._xlws.FILTER(R$3:R$23, ISNUMBER(R$3:R$23)),R16)*100</f>
        <v>18.099999999999998</v>
      </c>
      <c r="W16" cm="1">
        <f t="array" ref="W16">_xlfn.PERCENTRANK.EXC(_xlfn._xlws.FILTER(S$3:S$23, ISNUMBER(S$3:S$23)),S16)*100</f>
        <v>72.7</v>
      </c>
      <c r="X16" cm="1">
        <f t="array" ref="X16">(1-_xlfn.PERCENTRANK.EXC(_xlfn._xlws.FILTER(G$3:G$23, ISNUMBER(G$3:G$23)),G16))*100</f>
        <v>4.6000000000000041</v>
      </c>
      <c r="Y16" cm="1">
        <f t="array" ref="Y16">(1-_xlfn.PERCENTRANK.EXC(_xlfn._xlws.FILTER(H$3:H$23, ISNUMBER(H$3:H$23)),H16))*100</f>
        <v>4.6000000000000041</v>
      </c>
      <c r="Z16" cm="1">
        <f t="array" ref="Z16">_xlfn.PERCENTRANK.EXC(_xlfn._xlws.FILTER(T$3:T$23, ISNUMBER(T$3:T$23)),T16)*100</f>
        <v>90.9</v>
      </c>
      <c r="AA16" cm="1">
        <f t="array" ref="AA16">_xlfn.PERCENTRANK.EXC(_xlfn._xlws.FILTER(P$3:P$23, ISNUMBER(P$3:P$23)),P16)*100</f>
        <v>77.2</v>
      </c>
      <c r="AB16">
        <f>U16*Assumption!$E$39 + V16*Assumption!$F$39 + X16*Assumption!$G$39 + Y16*Assumption!$H$39 + W16*Assumption!$I$39 +Z16* Assumption!$K$39 + AA16* Assumption!$J$39</f>
        <v>23.865000000000002</v>
      </c>
      <c r="AC16" cm="1">
        <f t="array" ref="AC16">_xlfn.PERCENTRANK.EXC(_xlfn._xlws.FILTER(AB$3:AB$23, ISNUMBER(AB$3:AB$23)),AB16)*100</f>
        <v>9</v>
      </c>
    </row>
    <row r="17" spans="1:29" x14ac:dyDescent="0.35">
      <c r="A17" t="s">
        <v>26</v>
      </c>
      <c r="B17" t="s">
        <v>181</v>
      </c>
      <c r="C17" t="s">
        <v>41</v>
      </c>
      <c r="D17" t="s">
        <v>26</v>
      </c>
      <c r="E17" t="s">
        <v>622</v>
      </c>
      <c r="F17" s="2" cm="1">
        <f t="array" ref="F17">_xll.FDS(D17,"JULIAN(FMA_DIV_YLD(NTMA,NOW,NOW,M,""PORTAGG"",""MEANR"").dates)")</f>
        <v>45351</v>
      </c>
      <c r="G17" s="4" cm="1">
        <f t="array" ref="G17">_xll.FDS(D17,"FMA_PE(LTM,0,,,""PORTAGG"",""MEANR"")")</f>
        <v>11.572237060714199</v>
      </c>
      <c r="H17" s="4" cm="1">
        <f t="array" ref="H17">_xll.FDS(D17,"FMA_PE(NTMA,0,,,""PORTAGG"",""MEANR"")")</f>
        <v>10.4707216811937</v>
      </c>
      <c r="I17" cm="1">
        <f t="array" ref="I17">_xll.FDS(D17,"FMA_DIV_YLD(NTMA,NOW,NOW,M,""PORTAGG"",""MEANR"")")</f>
        <v>2.8950155721214901</v>
      </c>
      <c r="J17" s="64" cm="1">
        <f t="array" ref="J17">IFERROR(_xll.FDS(D17,"FG_FCF_YIELD_NTM(0)"),(1/G17*100))</f>
        <v>5.8406769742396003</v>
      </c>
      <c r="K17" s="3" cm="1">
        <f t="array" ref="K17">_xll.FDS(D17,"FMA_EVAL_EBITDA(NTMA,0,,,""PORTAGG"",""MEANR"")")</f>
        <v>8.9157077705907692</v>
      </c>
      <c r="L17" cm="1">
        <f t="array" ref="L17">_xll.FDS(D17,"FMA_EVAL_EBIT(LTMA,NOW,NOW,M,""PORTAGG"",""MEANR"")")</f>
        <v>13.1577427684821</v>
      </c>
      <c r="M17">
        <f>HLOOKUP(D17,'Index ROE'!$A$1:$V$25,25,FALSE)</f>
        <v>11.5617545760418</v>
      </c>
      <c r="N17">
        <f>VLOOKUP(A17,'LIQIDITY 2'!$A$3:$E$26,5,FALSE)</f>
        <v>2.3653</v>
      </c>
      <c r="O17" cm="1">
        <f t="array" ref="O17">IFERROR(_xll.FDS(B17,"IMF_IFS_RCPI_Q(0)"),$D$31)</f>
        <v>-0.32258100000000001</v>
      </c>
      <c r="P17">
        <f>VLOOKUP(E17,GDP_GROWTH!$B$10:$W$165,22,FALSE)</f>
        <v>5.6866931054303738</v>
      </c>
      <c r="Q17">
        <f t="shared" si="0"/>
        <v>0.52971557212149012</v>
      </c>
      <c r="R17" s="64">
        <f t="shared" si="1"/>
        <v>3.4753769742396003</v>
      </c>
      <c r="S17">
        <f t="shared" si="2"/>
        <v>9.1964545760418002</v>
      </c>
      <c r="T17">
        <f t="shared" si="3"/>
        <v>11.884335576041799</v>
      </c>
      <c r="U17" cm="1">
        <f t="array" ref="U17">_xlfn.PERCENTRANK.EXC(_xlfn._xlws.FILTER(Q$3:Q$23, ISNUMBER(Q$3:Q$23)),Q17)*100</f>
        <v>72.7</v>
      </c>
      <c r="V17" cm="1">
        <f t="array" ref="V17">_xlfn.PERCENTRANK.EXC(_xlfn._xlws.FILTER(R$3:R$23, ISNUMBER(R$3:R$23)),R17)*100</f>
        <v>72.7</v>
      </c>
      <c r="W17" cm="1">
        <f t="array" ref="W17">_xlfn.PERCENTRANK.EXC(_xlfn._xlws.FILTER(S$3:S$23, ISNUMBER(S$3:S$23)),S17)*100</f>
        <v>77.2</v>
      </c>
      <c r="X17" cm="1">
        <f t="array" ref="X17">(1-_xlfn.PERCENTRANK.EXC(_xlfn._xlws.FILTER(G$3:G$23, ISNUMBER(G$3:G$23)),G17))*100</f>
        <v>59.099999999999994</v>
      </c>
      <c r="Y17" cm="1">
        <f t="array" ref="Y17">(1-_xlfn.PERCENTRANK.EXC(_xlfn._xlws.FILTER(H$3:H$23, ISNUMBER(H$3:H$23)),H17))*100</f>
        <v>68.199999999999989</v>
      </c>
      <c r="Z17" cm="1">
        <f t="array" ref="Z17">_xlfn.PERCENTRANK.EXC(_xlfn._xlws.FILTER(T$3:T$23, ISNUMBER(T$3:T$23)),T17)*100</f>
        <v>81.8</v>
      </c>
      <c r="AA17" cm="1">
        <f t="array" ref="AA17">_xlfn.PERCENTRANK.EXC(_xlfn._xlws.FILTER(P$3:P$23, ISNUMBER(P$3:P$23)),P17)*100</f>
        <v>86.3</v>
      </c>
      <c r="AB17">
        <f>U17*Assumption!$E$39 + V17*Assumption!$F$39 + X17*Assumption!$G$39 + Y17*Assumption!$H$39 + W17*Assumption!$I$39 +Z17* Assumption!$K$39 + AA17* Assumption!$J$39</f>
        <v>69.534999999999997</v>
      </c>
      <c r="AC17" cm="1">
        <f t="array" ref="AC17">_xlfn.PERCENTRANK.EXC(_xlfn._xlws.FILTER(AB$3:AB$23, ISNUMBER(AB$3:AB$23)),AB17)*100</f>
        <v>77.2</v>
      </c>
    </row>
    <row r="18" spans="1:29" x14ac:dyDescent="0.35">
      <c r="A18" t="s">
        <v>1</v>
      </c>
      <c r="B18" t="s">
        <v>364</v>
      </c>
      <c r="C18" t="s">
        <v>449</v>
      </c>
      <c r="D18" t="s">
        <v>31</v>
      </c>
      <c r="E18" t="s">
        <v>709</v>
      </c>
      <c r="F18" s="2" cm="1">
        <f t="array" ref="F18">_xll.FDS(D18,"JULIAN(FMA_DIV_YLD(NTMA,NOW,NOW,M,""PORTAGG"",""MEANR"").dates)")</f>
        <v>45350</v>
      </c>
      <c r="G18" s="4" cm="1">
        <f t="array" ref="G18">_xll.FDS(D18,"FMA_PE(LTM,0,,,""PORTAGG"",""MEANR"")")</f>
        <v>12.1886490298312</v>
      </c>
      <c r="H18" s="4" cm="1">
        <f t="array" ref="H18">_xll.FDS(D18,"FMA_PE(NTMA,0,,,""PORTAGG"",""MEANR"")")</f>
        <v>11.516983931849101</v>
      </c>
      <c r="I18" cm="1">
        <f t="array" ref="I18">_xll.FDS(D18,"FMA_DIV_YLD(NTMA,NOW,NOW,M,""PORTAGG"",""MEANR"")")</f>
        <v>4.7298938025428203</v>
      </c>
      <c r="J18" s="64" cm="1">
        <f t="array" ref="J18">IFERROR(_xll.FDS(D18,"FG_FCF_YIELD_NTM(0)"),(1/G18*100))</f>
        <v>8.2043547037292033</v>
      </c>
      <c r="K18" s="3" cm="1">
        <f t="array" ref="K18">_xll.FDS(D18,"FMA_EVAL_EBITDA(NTMA,0,,,""PORTAGG"",""MEANR"")")</f>
        <v>9.4347327437687394</v>
      </c>
      <c r="L18" cm="1">
        <f t="array" ref="L18">_xll.FDS(D18,"FMA_EVAL_EBIT(LTMA,NOW,NOW,M,""PORTAGG"",""MEANR"")")</f>
        <v>15.831228894215</v>
      </c>
      <c r="M18">
        <f>HLOOKUP(D18,'Index ROE'!$A$1:$V$25,25,FALSE)</f>
        <v>12.1192289718939</v>
      </c>
      <c r="N18">
        <f>VLOOKUP(A18,'LIQIDITY 2'!$A$3:$E$26,5,FALSE)</f>
        <v>4.2160000000000002</v>
      </c>
      <c r="O18" cm="1">
        <f t="array" ref="O18">IFERROR(_xll.FDS(B18,"IMF_IFS_RCPI_Q(0)"),$D$31)</f>
        <v>3.2433991</v>
      </c>
      <c r="P18">
        <f>VLOOKUP(E18,GDP_GROWTH!$B$10:$W$165,22,FALSE)</f>
        <v>1.453731693851934</v>
      </c>
      <c r="Q18">
        <f t="shared" si="0"/>
        <v>0.51389380254282013</v>
      </c>
      <c r="R18" s="64">
        <f t="shared" si="1"/>
        <v>3.9883547037292031</v>
      </c>
      <c r="S18">
        <f t="shared" si="2"/>
        <v>7.9032289718938999</v>
      </c>
      <c r="T18">
        <f t="shared" si="3"/>
        <v>8.8758298718939006</v>
      </c>
      <c r="U18" cm="1">
        <f t="array" ref="U18">_xlfn.PERCENTRANK.EXC(_xlfn._xlws.FILTER(Q$3:Q$23, ISNUMBER(Q$3:Q$23)),Q18)*100</f>
        <v>68.100000000000009</v>
      </c>
      <c r="V18" cm="1">
        <f t="array" ref="V18">_xlfn.PERCENTRANK.EXC(_xlfn._xlws.FILTER(R$3:R$23, ISNUMBER(R$3:R$23)),R18)*100</f>
        <v>81.8</v>
      </c>
      <c r="W18" cm="1">
        <f t="array" ref="W18">_xlfn.PERCENTRANK.EXC(_xlfn._xlws.FILTER(S$3:S$23, ISNUMBER(S$3:S$23)),S18)*100</f>
        <v>59</v>
      </c>
      <c r="X18" cm="1">
        <f t="array" ref="X18">(1-_xlfn.PERCENTRANK.EXC(_xlfn._xlws.FILTER(G$3:G$23, ISNUMBER(G$3:G$23)),G18))*100</f>
        <v>54.6</v>
      </c>
      <c r="Y18" cm="1">
        <f t="array" ref="Y18">(1-_xlfn.PERCENTRANK.EXC(_xlfn._xlws.FILTER(H$3:H$23, ISNUMBER(H$3:H$23)),H18))*100</f>
        <v>54.6</v>
      </c>
      <c r="Z18" cm="1">
        <f t="array" ref="Z18">_xlfn.PERCENTRANK.EXC(_xlfn._xlws.FILTER(T$3:T$23, ISNUMBER(T$3:T$23)),T18)*100</f>
        <v>40.9</v>
      </c>
      <c r="AA18" cm="1">
        <f t="array" ref="AA18">_xlfn.PERCENTRANK.EXC(_xlfn._xlws.FILTER(P$3:P$23, ISNUMBER(P$3:P$23)),P18)*100</f>
        <v>22.7</v>
      </c>
      <c r="AB18">
        <f>U18*Assumption!$E$39 + V18*Assumption!$F$39 + X18*Assumption!$G$39 + Y18*Assumption!$H$39 + W18*Assumption!$I$39 +Z18* Assumption!$K$39 + AA18* Assumption!$J$39</f>
        <v>61.144999999999996</v>
      </c>
      <c r="AC18" cm="1">
        <f t="array" ref="AC18">_xlfn.PERCENTRANK.EXC(_xlfn._xlws.FILTER(AB$3:AB$23, ISNUMBER(AB$3:AB$23)),AB18)*100</f>
        <v>68.100000000000009</v>
      </c>
    </row>
    <row r="19" spans="1:29" x14ac:dyDescent="0.35">
      <c r="A19" t="s">
        <v>764</v>
      </c>
      <c r="B19" t="s">
        <v>225</v>
      </c>
      <c r="C19" t="s">
        <v>765</v>
      </c>
      <c r="D19" t="s">
        <v>764</v>
      </c>
      <c r="E19" t="s">
        <v>730</v>
      </c>
      <c r="F19" s="2" cm="1">
        <f t="array" ref="F19">_xll.FDS(D19,"JULIAN(FMA_DIV_YLD(NTMA,NOW,NOW,M,""PORTAGG"",""MEANR"").dates)")</f>
        <v>45351</v>
      </c>
      <c r="G19" s="4" cm="1">
        <f t="array" ref="G19">_xll.FDS(D19,"FMA_PE(LTM,0,,,""PORTAGG"",""MEANR"")")</f>
        <v>16.755259471141201</v>
      </c>
      <c r="H19" s="4" cm="1">
        <f t="array" ref="H19">_xll.FDS(D19,"FMA_PE(NTMA,0,,,""PORTAGG"",""MEANR"")")</f>
        <v>14.1758308117199</v>
      </c>
      <c r="I19" cm="1">
        <f t="array" ref="I19">_xll.FDS(D19,"FMA_DIV_YLD(NTMA,NOW,NOW,M,""PORTAGG"",""MEANR"")")</f>
        <v>3.4846952466249701</v>
      </c>
      <c r="J19" s="64" cm="1">
        <f t="array" ref="J19">IFERROR(_xll.FDS(D19,"FG_FCF_YIELD_NTM(0)"),(1/G19*100))</f>
        <v>5.1604845896470604</v>
      </c>
      <c r="K19" s="3" cm="1">
        <f t="array" ref="K19">_xll.FDS(D19,"FMA_EVAL_EBITDA(NTMA,0,,,""PORTAGG"",""MEANR"")")</f>
        <v>9.5508510012031493</v>
      </c>
      <c r="L19" cm="1">
        <f t="array" ref="L19">_xll.FDS(D19,"FMA_EVAL_EBIT(LTMA,NOW,NOW,M,""PORTAGG"",""MEANR"")")</f>
        <v>19.1351825033369</v>
      </c>
      <c r="M19">
        <f>HLOOKUP(D19,'Index ROE'!$A$1:$V$25,25,FALSE)</f>
        <v>9.3489236352672496</v>
      </c>
      <c r="N19">
        <f>VLOOKUP(A19,'LIQIDITY 2'!$A$3:$E$26,5,FALSE)</f>
        <v>2.5491839999999999</v>
      </c>
      <c r="O19" cm="1">
        <f t="array" ref="O19">IFERROR(_xll.FDS(B19,"IMF_IFS_RCPI_Q(0)"),$D$31)</f>
        <v>3.2433991</v>
      </c>
      <c r="P19">
        <f>VLOOKUP(E19,GDP_GROWTH!$B$10:$W$165,22,FALSE)</f>
        <v>1.3158022817511328</v>
      </c>
      <c r="Q19">
        <f t="shared" si="0"/>
        <v>0.93551124662497021</v>
      </c>
      <c r="R19" s="64">
        <f t="shared" si="1"/>
        <v>2.6113005896470605</v>
      </c>
      <c r="S19">
        <f t="shared" si="2"/>
        <v>6.7997396352672492</v>
      </c>
      <c r="T19">
        <f t="shared" si="3"/>
        <v>6.10552453526725</v>
      </c>
      <c r="U19" cm="1">
        <f t="array" ref="U19">_xlfn.PERCENTRANK.EXC(_xlfn._xlws.FILTER(Q$3:Q$23, ISNUMBER(Q$3:Q$23)),Q19)*100</f>
        <v>81.8</v>
      </c>
      <c r="V19" cm="1">
        <f t="array" ref="V19">_xlfn.PERCENTRANK.EXC(_xlfn._xlws.FILTER(R$3:R$23, ISNUMBER(R$3:R$23)),R19)*100</f>
        <v>63.6</v>
      </c>
      <c r="W19" cm="1">
        <f t="array" ref="W19">_xlfn.PERCENTRANK.EXC(_xlfn._xlws.FILTER(S$3:S$23, ISNUMBER(S$3:S$23)),S19)*100</f>
        <v>40.9</v>
      </c>
      <c r="X19" cm="1">
        <f t="array" ref="X19">(1-_xlfn.PERCENTRANK.EXC(_xlfn._xlws.FILTER(G$3:G$23, ISNUMBER(G$3:G$23)),G19))*100</f>
        <v>31.899999999999995</v>
      </c>
      <c r="Y19" cm="1">
        <f t="array" ref="Y19">(1-_xlfn.PERCENTRANK.EXC(_xlfn._xlws.FILTER(H$3:H$23, ISNUMBER(H$3:H$23)),H19))*100</f>
        <v>45.499999999999993</v>
      </c>
      <c r="Z19" cm="1">
        <f t="array" ref="Z19">_xlfn.PERCENTRANK.EXC(_xlfn._xlws.FILTER(T$3:T$23, ISNUMBER(T$3:T$23)),T19)*100</f>
        <v>13.600000000000001</v>
      </c>
      <c r="AA19" cm="1">
        <f t="array" ref="AA19">_xlfn.PERCENTRANK.EXC(_xlfn._xlws.FILTER(P$3:P$23, ISNUMBER(P$3:P$23)),P19)*100</f>
        <v>18.099999999999998</v>
      </c>
      <c r="AB19">
        <f>U19*Assumption!$E$39 + V19*Assumption!$F$39 + X19*Assumption!$G$39 + Y19*Assumption!$H$39 + W19*Assumption!$I$39 +Z19* Assumption!$K$39 + AA19* Assumption!$J$39</f>
        <v>44.789999999999992</v>
      </c>
      <c r="AC19" cm="1">
        <f t="array" ref="AC19">_xlfn.PERCENTRANK.EXC(_xlfn._xlws.FILTER(AB$3:AB$23, ISNUMBER(AB$3:AB$23)),AB19)*100</f>
        <v>45.4</v>
      </c>
    </row>
    <row r="20" spans="1:29" x14ac:dyDescent="0.35">
      <c r="A20" t="s">
        <v>25</v>
      </c>
      <c r="B20" t="s">
        <v>283</v>
      </c>
      <c r="C20" t="s">
        <v>451</v>
      </c>
      <c r="D20" t="s">
        <v>25</v>
      </c>
      <c r="E20" t="s">
        <v>734</v>
      </c>
      <c r="F20" s="2" cm="1">
        <f t="array" ref="F20">_xll.FDS(D20,"JULIAN(FMA_DIV_YLD(NTMA,NOW,NOW,M,""PORTAGG"",""MEANR"").dates)")</f>
        <v>45350</v>
      </c>
      <c r="G20" s="4" cm="1">
        <f t="array" ref="G20">_xll.FDS(D20,"FMA_PE(LTM,0,,,""PORTAGG"",""MEANR"")")</f>
        <v>6.8937469372468598</v>
      </c>
      <c r="H20" s="4" cm="1">
        <f t="array" ref="H20">_xll.FDS(D20,"FMA_PE(NTMA,0,,,""PORTAGG"",""MEANR"")")</f>
        <v>6.5233975846422299</v>
      </c>
      <c r="I20" cm="1">
        <f t="array" ref="I20">_xll.FDS(D20,"FMA_DIV_YLD(NTMA,NOW,NOW,M,""PORTAGG"",""MEANR"")")</f>
        <v>4.2269653498145203</v>
      </c>
      <c r="J20" s="64" cm="1">
        <f t="array" ref="J20">IFERROR(_xll.FDS(D20,"FG_FCF_YIELD_NTM(0)"),(1/G20*100))</f>
        <v>10.3910893618126</v>
      </c>
      <c r="K20" s="3" cm="1">
        <f t="array" ref="K20">_xll.FDS(D20,"FMA_EVAL_EBITDA(NTMA,0,,,""PORTAGG"",""MEANR"")")</f>
        <v>5.84401798034789</v>
      </c>
      <c r="L20" cm="1">
        <f t="array" ref="L20">_xll.FDS(D20,"FMA_EVAL_EBIT(LTMA,NOW,NOW,M,""PORTAGG"",""MEANR"")")</f>
        <v>6.8827719161118104</v>
      </c>
      <c r="M20">
        <f>HLOOKUP(D20,'Index ROE'!$A$1:$V$25,25,FALSE)</f>
        <v>26.056797757333701</v>
      </c>
      <c r="N20">
        <f>VLOOKUP(A20,'LIQIDITY 2'!$A$3:$E$26,5,FALSE)</f>
        <v>23.918244999999999</v>
      </c>
      <c r="O20" cm="1">
        <f t="array" ref="O20">IFERROR(_xll.FDS(B20,"IMF_IFS_RCPI_Q(0)"),$D$31)</f>
        <v>62.724220000000003</v>
      </c>
      <c r="P20">
        <f>VLOOKUP(E20,GDP_GROWTH!$B$10:$W$165,22,FALSE)</f>
        <v>4.8494927539907469</v>
      </c>
      <c r="Q20">
        <f t="shared" si="0"/>
        <v>-19.691279650185479</v>
      </c>
      <c r="R20" s="64">
        <f t="shared" si="1"/>
        <v>-13.527155638187399</v>
      </c>
      <c r="S20">
        <f t="shared" si="2"/>
        <v>2.1385527573337022</v>
      </c>
      <c r="T20">
        <f t="shared" si="3"/>
        <v>-36.667422242666305</v>
      </c>
      <c r="U20" cm="1">
        <f t="array" ref="U20">_xlfn.PERCENTRANK.EXC(_xlfn._xlws.FILTER(Q$3:Q$23, ISNUMBER(Q$3:Q$23)),Q20)*100</f>
        <v>4.5</v>
      </c>
      <c r="V20" cm="1">
        <f t="array" ref="V20">_xlfn.PERCENTRANK.EXC(_xlfn._xlws.FILTER(R$3:R$23, ISNUMBER(R$3:R$23)),R20)*100</f>
        <v>4.5</v>
      </c>
      <c r="W20" cm="1">
        <f t="array" ref="W20">_xlfn.PERCENTRANK.EXC(_xlfn._xlws.FILTER(S$3:S$23, ISNUMBER(S$3:S$23)),S20)*100</f>
        <v>4.5</v>
      </c>
      <c r="X20" cm="1">
        <f t="array" ref="X20">(1-_xlfn.PERCENTRANK.EXC(_xlfn._xlws.FILTER(G$3:G$23, ISNUMBER(G$3:G$23)),G20))*100</f>
        <v>95.5</v>
      </c>
      <c r="Y20" cm="1">
        <f t="array" ref="Y20">(1-_xlfn.PERCENTRANK.EXC(_xlfn._xlws.FILTER(H$3:H$23, ISNUMBER(H$3:H$23)),H20))*100</f>
        <v>95.5</v>
      </c>
      <c r="Z20" cm="1">
        <f t="array" ref="Z20">_xlfn.PERCENTRANK.EXC(_xlfn._xlws.FILTER(T$3:T$23, ISNUMBER(T$3:T$23)),T20)*100</f>
        <v>4.5</v>
      </c>
      <c r="AA20" cm="1">
        <f t="array" ref="AA20">_xlfn.PERCENTRANK.EXC(_xlfn._xlws.FILTER(P$3:P$23, ISNUMBER(P$3:P$23)),P20)*100</f>
        <v>81.8</v>
      </c>
      <c r="AB20">
        <f>U20*Assumption!$E$39 + V20*Assumption!$F$39 + X20*Assumption!$G$39 + Y20*Assumption!$H$39 + W20*Assumption!$I$39 +Z20* Assumption!$K$39 + AA20* Assumption!$J$39</f>
        <v>50.000000000000007</v>
      </c>
      <c r="AC20" cm="1">
        <f t="array" ref="AC20">_xlfn.PERCENTRANK.EXC(_xlfn._xlws.FILTER(AB$3:AB$23, ISNUMBER(AB$3:AB$23)),AB20)*100</f>
        <v>54.500000000000007</v>
      </c>
    </row>
    <row r="21" spans="1:29" x14ac:dyDescent="0.35">
      <c r="A21" t="s">
        <v>34</v>
      </c>
      <c r="B21" t="s">
        <v>377</v>
      </c>
      <c r="C21" t="s">
        <v>452</v>
      </c>
      <c r="D21" t="s">
        <v>34</v>
      </c>
      <c r="E21" t="s">
        <v>738</v>
      </c>
      <c r="F21" s="2" cm="1">
        <f t="array" ref="F21">_xll.FDS(D21,"JULIAN(FMA_DIV_YLD(NTMA,NOW,NOW,M,""PORTAGG"",""MEANR"").dates)")</f>
        <v>45350</v>
      </c>
      <c r="G21" s="4" cm="1">
        <f t="array" ref="G21">_xll.FDS(D21,"FMA_PE(LTM,0,,,""PORTAGG"",""MEANR"")")</f>
        <v>10.6153243209853</v>
      </c>
      <c r="H21" s="4" cm="1">
        <f t="array" ref="H21">_xll.FDS(D21,"FMA_PE(NTMA,0,,,""PORTAGG"",""MEANR"")")</f>
        <v>9.5001099501744104</v>
      </c>
      <c r="I21" cm="1">
        <f t="array" ref="I21">_xll.FDS(D21,"FMA_DIV_YLD(NTMA,NOW,NOW,M,""PORTAGG"",""MEANR"")")</f>
        <v>4.9384707789307303</v>
      </c>
      <c r="J21" s="64" cm="1">
        <f t="array" ref="J21">IFERROR(_xll.FDS(D21,"FG_FCF_YIELD_NTM(0)"),(1/G21*100))</f>
        <v>9.0686807532124902</v>
      </c>
      <c r="K21" s="3" cm="1">
        <f t="array" ref="K21">_xll.FDS(D21,"FMA_EVAL_EBITDA(NTMA,0,,,""PORTAGG"",""MEANR"")")</f>
        <v>7.1802307033613797</v>
      </c>
      <c r="L21" cm="1">
        <f t="array" ref="L21">_xll.FDS(D21,"FMA_EVAL_EBIT(LTMA,NOW,NOW,M,""PORTAGG"",""MEANR"")")</f>
        <v>10.207961038625999</v>
      </c>
      <c r="M21">
        <f>HLOOKUP(D21,'Index ROE'!$A$1:$V$25,25,FALSE)</f>
        <v>13.225118228357401</v>
      </c>
      <c r="N21">
        <f>VLOOKUP(A21,'LIQIDITY 2'!$A$3:$E$26,5,FALSE)</f>
        <v>4.2160000000000002</v>
      </c>
      <c r="O21" cm="1">
        <f t="array" ref="O21">IFERROR(_xll.FDS(B21,"IMF_IFS_RCPI_Q(0)"),$D$31)</f>
        <v>3.2433991</v>
      </c>
      <c r="P21">
        <f>VLOOKUP(E21,GDP_GROWTH!$B$10:$W$165,22,FALSE)</f>
        <v>2.4407957064008778</v>
      </c>
      <c r="Q21">
        <f t="shared" si="0"/>
        <v>0.72247077893073008</v>
      </c>
      <c r="R21" s="64">
        <f t="shared" si="1"/>
        <v>4.85268075321249</v>
      </c>
      <c r="S21">
        <f t="shared" si="2"/>
        <v>9.0091182283574014</v>
      </c>
      <c r="T21">
        <f t="shared" si="3"/>
        <v>9.9817191283574012</v>
      </c>
      <c r="U21" cm="1">
        <f t="array" ref="U21">_xlfn.PERCENTRANK.EXC(_xlfn._xlws.FILTER(Q$3:Q$23, ISNUMBER(Q$3:Q$23)),Q21)*100</f>
        <v>77.2</v>
      </c>
      <c r="V21" cm="1">
        <f t="array" ref="V21">_xlfn.PERCENTRANK.EXC(_xlfn._xlws.FILTER(R$3:R$23, ISNUMBER(R$3:R$23)),R21)*100</f>
        <v>90.9</v>
      </c>
      <c r="W21" cm="1">
        <f t="array" ref="W21">_xlfn.PERCENTRANK.EXC(_xlfn._xlws.FILTER(S$3:S$23, ISNUMBER(S$3:S$23)),S21)*100</f>
        <v>68.100000000000009</v>
      </c>
      <c r="X21" cm="1">
        <f t="array" ref="X21">(1-_xlfn.PERCENTRANK.EXC(_xlfn._xlws.FILTER(G$3:G$23, ISNUMBER(G$3:G$23)),G21))*100</f>
        <v>68.199999999999989</v>
      </c>
      <c r="Y21" cm="1">
        <f t="array" ref="Y21">(1-_xlfn.PERCENTRANK.EXC(_xlfn._xlws.FILTER(H$3:H$23, ISNUMBER(H$3:H$23)),H21))*100</f>
        <v>72.8</v>
      </c>
      <c r="Z21" cm="1">
        <f t="array" ref="Z21">_xlfn.PERCENTRANK.EXC(_xlfn._xlws.FILTER(T$3:T$23, ISNUMBER(T$3:T$23)),T21)*100</f>
        <v>68.100000000000009</v>
      </c>
      <c r="AA21" cm="1">
        <f t="array" ref="AA21">_xlfn.PERCENTRANK.EXC(_xlfn._xlws.FILTER(P$3:P$23, ISNUMBER(P$3:P$23)),P21)*100</f>
        <v>45.4</v>
      </c>
      <c r="AB21">
        <f>U21*Assumption!$E$39 + V21*Assumption!$F$39 + X21*Assumption!$G$39 + Y21*Assumption!$H$39 + W21*Assumption!$I$39 +Z21* Assumption!$K$39 + AA21* Assumption!$J$39</f>
        <v>75.454999999999998</v>
      </c>
      <c r="AC21" cm="1">
        <f t="array" ref="AC21">_xlfn.PERCENTRANK.EXC(_xlfn._xlws.FILTER(AB$3:AB$23, ISNUMBER(AB$3:AB$23)),AB21)*100</f>
        <v>90.9</v>
      </c>
    </row>
    <row r="22" spans="1:29" x14ac:dyDescent="0.35">
      <c r="A22" t="s">
        <v>37</v>
      </c>
      <c r="B22" t="s">
        <v>228</v>
      </c>
      <c r="C22" t="s">
        <v>453</v>
      </c>
      <c r="D22" t="s">
        <v>37</v>
      </c>
      <c r="E22" t="s">
        <v>743</v>
      </c>
      <c r="F22" s="2" cm="1">
        <f t="array" ref="F22">_xll.FDS(D22,"JULIAN(FMA_DIV_YLD(NTMA,NOW,NOW,M,""PORTAGG"",""MEANR"").dates)")</f>
        <v>45351</v>
      </c>
      <c r="G22" s="4" cm="1">
        <f t="array" ref="G22">_xll.FDS(D22,"FMA_PE(LTM,0,,,""PORTAGG"",""MEANR"")")</f>
        <v>19.419586154888599</v>
      </c>
      <c r="H22" s="4" cm="1">
        <f t="array" ref="H22">_xll.FDS(D22,"FMA_PE(NTMA,0,,,""PORTAGG"",""MEANR"")")</f>
        <v>18.7078003029592</v>
      </c>
      <c r="I22" cm="1">
        <f t="array" ref="I22">_xll.FDS(D22,"FMA_DIV_YLD(NTMA,NOW,NOW,M,""PORTAGG"",""MEANR"")")</f>
        <v>2.6937472044039001</v>
      </c>
      <c r="J22" s="64" cm="1">
        <f t="array" ref="J22">IFERROR(_xll.FDS(D22,"FG_FCF_YIELD_NTM(0)"),(1/G22*100))</f>
        <v>-3.7525351502833999</v>
      </c>
      <c r="K22" s="3" cm="1">
        <f t="array" ref="K22">_xll.FDS(D22,"FMA_EVAL_EBITDA(NTMA,0,,,""PORTAGG"",""MEANR"")")</f>
        <v>11.914453114272201</v>
      </c>
      <c r="L22" cm="1">
        <f t="array" ref="L22">_xll.FDS(D22,"FMA_EVAL_EBIT(LTMA,NOW,NOW,M,""PORTAGG"",""MEANR"")")</f>
        <v>19.939093363246901</v>
      </c>
      <c r="M22">
        <f>HLOOKUP(D22,'Index ROE'!$A$1:$V$25,25,FALSE)</f>
        <v>10.732551346519401</v>
      </c>
      <c r="N22">
        <f>VLOOKUP(A22,'LIQIDITY 2'!$A$3:$E$26,5,FALSE)</f>
        <v>2.2360842000000001</v>
      </c>
      <c r="O22" cm="1">
        <f t="array" ref="O22">IFERROR(_xll.FDS(B22,"IMF_IFS_RCPI_Q(0)"),$D$31)</f>
        <v>3.5401577999999998</v>
      </c>
      <c r="P22">
        <f>VLOOKUP(E22,GDP_GROWTH!$B$10:$W$165,22,FALSE)</f>
        <v>8.3599457036252378</v>
      </c>
      <c r="Q22">
        <f t="shared" si="0"/>
        <v>0.45766300440390006</v>
      </c>
      <c r="R22" s="64">
        <f t="shared" si="1"/>
        <v>-5.9886193502834004</v>
      </c>
      <c r="S22">
        <f t="shared" si="2"/>
        <v>8.4964671465194002</v>
      </c>
      <c r="T22">
        <f t="shared" si="3"/>
        <v>7.1923935465194013</v>
      </c>
      <c r="U22" cm="1">
        <f t="array" ref="U22">_xlfn.PERCENTRANK.EXC(_xlfn._xlws.FILTER(Q$3:Q$23, ISNUMBER(Q$3:Q$23)),Q22)*100</f>
        <v>63.6</v>
      </c>
      <c r="V22" cm="1">
        <f t="array" ref="V22">_xlfn.PERCENTRANK.EXC(_xlfn._xlws.FILTER(R$3:R$23, ISNUMBER(R$3:R$23)),R22)*100</f>
        <v>13.600000000000001</v>
      </c>
      <c r="W22" cm="1">
        <f t="array" ref="W22">_xlfn.PERCENTRANK.EXC(_xlfn._xlws.FILTER(S$3:S$23, ISNUMBER(S$3:S$23)),S22)*100</f>
        <v>63.6</v>
      </c>
      <c r="X22" cm="1">
        <f t="array" ref="X22">(1-_xlfn.PERCENTRANK.EXC(_xlfn._xlws.FILTER(G$3:G$23, ISNUMBER(G$3:G$23)),G22))*100</f>
        <v>18.200000000000006</v>
      </c>
      <c r="Y22" cm="1">
        <f t="array" ref="Y22">(1-_xlfn.PERCENTRANK.EXC(_xlfn._xlws.FILTER(H$3:H$23, ISNUMBER(H$3:H$23)),H22))*100</f>
        <v>18.200000000000006</v>
      </c>
      <c r="Z22" cm="1">
        <f t="array" ref="Z22">_xlfn.PERCENTRANK.EXC(_xlfn._xlws.FILTER(T$3:T$23, ISNUMBER(T$3:T$23)),T22)*100</f>
        <v>27.200000000000003</v>
      </c>
      <c r="AA22" cm="1">
        <f t="array" ref="AA22">_xlfn.PERCENTRANK.EXC(_xlfn._xlws.FILTER(P$3:P$23, ISNUMBER(P$3:P$23)),P22)*100</f>
        <v>95.399999999999991</v>
      </c>
      <c r="AB22">
        <f>U22*Assumption!$E$39 + V22*Assumption!$F$39 + X22*Assumption!$G$39 + Y22*Assumption!$H$39 + W22*Assumption!$I$39 +Z22* Assumption!$K$39 + AA22* Assumption!$J$39</f>
        <v>24.760000000000005</v>
      </c>
      <c r="AC22" cm="1">
        <f t="array" ref="AC22">_xlfn.PERCENTRANK.EXC(_xlfn._xlws.FILTER(AB$3:AB$23, ISNUMBER(AB$3:AB$23)),AB22)*100</f>
        <v>18.099999999999998</v>
      </c>
    </row>
    <row r="23" spans="1:29" x14ac:dyDescent="0.35">
      <c r="A23" t="s">
        <v>36</v>
      </c>
      <c r="B23" t="s">
        <v>367</v>
      </c>
      <c r="C23" t="s">
        <v>454</v>
      </c>
      <c r="D23" t="s">
        <v>36</v>
      </c>
      <c r="E23" t="s">
        <v>713</v>
      </c>
      <c r="F23" s="2" cm="1">
        <f t="array" ref="F23">_xll.FDS(D23,"JULIAN(FMA_DIV_YLD(NTMA,NOW,NOW,M,""PORTAGG"",""MEANR"").dates)")</f>
        <v>45350</v>
      </c>
      <c r="G23" s="4" cm="1">
        <f t="array" ref="G23">_xll.FDS(D23,"FMA_PE(LTM,0,,,""PORTAGG"",""MEANR"")")</f>
        <v>23.263647496961099</v>
      </c>
      <c r="H23" s="4" cm="1">
        <f t="array" ref="H23">_xll.FDS(D23,"FMA_PE(NTMA,0,,,""PORTAGG"",""MEANR"")")</f>
        <v>21.8695965204228</v>
      </c>
      <c r="I23" cm="1">
        <f t="array" ref="I23">_xll.FDS(D23,"FMA_DIV_YLD(NTMA,NOW,NOW,M,""PORTAGG"",""MEANR"")")</f>
        <v>3.26115068468361</v>
      </c>
      <c r="J23" s="64" cm="1">
        <f t="array" ref="J23">IFERROR(_xll.FDS(D23,"FG_FCF_YIELD_NTM(0)"),(1/G23*100))</f>
        <v>2.5630306591049798</v>
      </c>
      <c r="K23" s="3" cm="1">
        <f t="array" ref="K23">_xll.FDS(D23,"FMA_EVAL_EBITDA(NTMA,0,,,""PORTAGG"",""MEANR"")")</f>
        <v>12.635040348530101</v>
      </c>
      <c r="L23" cm="1">
        <f t="array" ref="L23">_xll.FDS(D23,"FMA_EVAL_EBIT(LTMA,NOW,NOW,M,""PORTAGG"",""MEANR"")")</f>
        <v>21.9707601273543</v>
      </c>
      <c r="M23">
        <f>HLOOKUP(D23,'Index ROE'!$A$1:$V$25,25,FALSE)</f>
        <v>11.7570018859186</v>
      </c>
      <c r="N23">
        <f>VLOOKUP(A23,'LIQIDITY 2'!$A$3:$E$26,5,FALSE)</f>
        <v>5.2282165999999997</v>
      </c>
      <c r="O23" cm="1">
        <f t="array" ref="O23">IFERROR(_xll.FDS(B23,"IMF_IFS_RCPI_Q(0)"),$D$31)</f>
        <v>1.5943921000000001</v>
      </c>
      <c r="P23">
        <f>VLOOKUP(E23,GDP_GROWTH!$B$10:$W$165,22,FALSE)</f>
        <v>2.105673262075014</v>
      </c>
      <c r="Q23">
        <f t="shared" si="0"/>
        <v>-1.9670659153163896</v>
      </c>
      <c r="R23" s="64">
        <f t="shared" si="1"/>
        <v>-2.6651859408950198</v>
      </c>
      <c r="S23">
        <f t="shared" si="2"/>
        <v>6.5287852859186</v>
      </c>
      <c r="T23">
        <f t="shared" si="3"/>
        <v>10.162609785918599</v>
      </c>
      <c r="U23" cm="1">
        <f t="array" ref="U23">_xlfn.PERCENTRANK.EXC(_xlfn._xlws.FILTER(Q$3:Q$23, ISNUMBER(Q$3:Q$23)),Q23)*100</f>
        <v>40.9</v>
      </c>
      <c r="V23" cm="1">
        <f t="array" ref="V23">_xlfn.PERCENTRANK.EXC(_xlfn._xlws.FILTER(R$3:R$23, ISNUMBER(R$3:R$23)),R23)*100</f>
        <v>27.200000000000003</v>
      </c>
      <c r="W23" cm="1">
        <f t="array" ref="W23">_xlfn.PERCENTRANK.EXC(_xlfn._xlws.FILTER(S$3:S$23, ISNUMBER(S$3:S$23)),S23)*100</f>
        <v>36.299999999999997</v>
      </c>
      <c r="X23" cm="1">
        <f t="array" ref="X23">(1-_xlfn.PERCENTRANK.EXC(_xlfn._xlws.FILTER(G$3:G$23, ISNUMBER(G$3:G$23)),G23))*100</f>
        <v>9.0999999999999979</v>
      </c>
      <c r="Y23" cm="1">
        <f t="array" ref="Y23">(1-_xlfn.PERCENTRANK.EXC(_xlfn._xlws.FILTER(H$3:H$23, ISNUMBER(H$3:H$23)),H23))*100</f>
        <v>9.0999999999999979</v>
      </c>
      <c r="Z23" cm="1">
        <f t="array" ref="Z23">_xlfn.PERCENTRANK.EXC(_xlfn._xlws.FILTER(T$3:T$23, ISNUMBER(T$3:T$23)),T23)*100</f>
        <v>72.7</v>
      </c>
      <c r="AA23" cm="1">
        <f t="array" ref="AA23">_xlfn.PERCENTRANK.EXC(_xlfn._xlws.FILTER(P$3:P$23, ISNUMBER(P$3:P$23)),P23)*100</f>
        <v>31.8</v>
      </c>
      <c r="AB23">
        <f>U23*Assumption!$E$39 + V23*Assumption!$F$39 + X23*Assumption!$G$39 + Y23*Assumption!$H$39 + W23*Assumption!$I$39 +Z23* Assumption!$K$39 + AA23* Assumption!$J$39</f>
        <v>24.294999999999998</v>
      </c>
      <c r="AC23" cm="1">
        <f t="array" ref="AC23">_xlfn.PERCENTRANK.EXC(_xlfn._xlws.FILTER(AB$3:AB$23, ISNUMBER(AB$3:AB$23)),AB23)*100</f>
        <v>13.600000000000001</v>
      </c>
    </row>
    <row r="24" spans="1:29" x14ac:dyDescent="0.35">
      <c r="F24" s="2"/>
      <c r="G24" s="4"/>
      <c r="H24" s="4"/>
      <c r="J24" s="64"/>
      <c r="K24" s="3"/>
    </row>
    <row r="25" spans="1:29" x14ac:dyDescent="0.35">
      <c r="F25" s="2"/>
      <c r="G25" s="4"/>
      <c r="H25" s="4"/>
      <c r="J25" s="64"/>
      <c r="K25" s="3"/>
    </row>
    <row r="26" spans="1:29" x14ac:dyDescent="0.35">
      <c r="A26" t="s">
        <v>553</v>
      </c>
      <c r="F26" s="2"/>
      <c r="G26" s="4"/>
      <c r="H26" s="4"/>
      <c r="J26" s="64"/>
      <c r="K26" s="3"/>
    </row>
    <row r="27" spans="1:29" x14ac:dyDescent="0.35">
      <c r="A27" t="s">
        <v>554</v>
      </c>
      <c r="B27" t="s">
        <v>165</v>
      </c>
      <c r="C27" t="s">
        <v>555</v>
      </c>
      <c r="D27" t="str">
        <f>A27</f>
        <v>VGK</v>
      </c>
      <c r="F27" s="2" cm="1">
        <f t="array" ref="F27">_xll.FDS(D27,"JULIAN(FMA_DIV_YLD(NTMA,NOW,NOW,M,""PORTAGG"",""MEANR"").dates)")</f>
        <v>45322</v>
      </c>
      <c r="G27" s="4" cm="1">
        <f t="array" ref="G27">_xll.FDS(D27,"FG_PE(0)")</f>
        <v>12.328865304106399</v>
      </c>
      <c r="H27" s="4" cm="1">
        <f t="array" ref="H27">_xll.FDS(D27,"FG_PE_NTM(0,,,90,0)")</f>
        <v>13.624765946913501</v>
      </c>
      <c r="I27" cm="1">
        <f t="array" ref="I27">_xll.FDS(D27,"FMA_DIV_YLD(NTMA,NOW,NOW,M,""PORTAGG"",""MEANR"")")</f>
        <v>3.6317972639654199</v>
      </c>
      <c r="J27" s="64" cm="1">
        <f t="array" ref="J27">_xll.FDS(D27,"FG_FCF_YIELD_NTM(0)")</f>
        <v>5.04747369188114</v>
      </c>
      <c r="K27" s="3" cm="1">
        <f t="array" ref="K27">_xll.FDS(D27,"FMA_EVAL_EBITDA(NTMA,0,,,""PORTAGG"",""MEANR"")")</f>
        <v>9.0320920697630491</v>
      </c>
      <c r="L27" cm="1">
        <f t="array" ref="L27">_xll.FDS(D27,"FMA_EVAL_EBIT(LTMA,NOW,NOW,M,""PORTAGG"",""MEANR"")")</f>
        <v>13.069898539690101</v>
      </c>
    </row>
    <row r="28" spans="1:29" x14ac:dyDescent="0.35">
      <c r="A28" t="s">
        <v>6</v>
      </c>
      <c r="C28" t="s">
        <v>556</v>
      </c>
      <c r="D28" t="str">
        <f>A28</f>
        <v>VWO</v>
      </c>
      <c r="F28" s="2" cm="1">
        <f t="array" ref="F28">_xll.FDS(D28,"JULIAN(FMA_DIV_YLD(NTMA,NOW,NOW,M,""PORTAGG"",""MEANR"").dates)")</f>
        <v>45322</v>
      </c>
      <c r="G28" s="4" cm="1">
        <f t="array" ref="G28">_xll.FDS(D28,"FG_PE(0)")</f>
        <v>12.8621994203067</v>
      </c>
      <c r="H28" s="4" cm="1">
        <f t="array" ref="H28">_xll.FDS(D28,"FG_PE_NTM(0,,,90,0)")</f>
        <v>13.5805423201849</v>
      </c>
      <c r="I28" cm="1">
        <f t="array" ref="I28">_xll.FDS(D28,"FMA_DIV_YLD(NTMA,NOW,NOW,M,""PORTAGG"",""MEANR"")")</f>
        <v>3.15506497935286</v>
      </c>
      <c r="J28" s="64" cm="1">
        <f t="array" ref="J28">_xll.FDS(D28,"FG_FCF_YIELD_NTM(0)")</f>
        <v>5.0645456119821697</v>
      </c>
      <c r="K28" s="3" cm="1">
        <f t="array" ref="K28">_xll.FDS(D28,"FMA_EVAL_EBITDA(NTMA,0,,,""PORTAGG"",""MEANR"")")</f>
        <v>9.2710247944315807</v>
      </c>
      <c r="L28" cm="1">
        <f t="array" ref="L28">_xll.FDS(D28,"FMA_EVAL_EBIT(LTMA,NOW,NOW,M,""PORTAGG"",""MEANR"")")</f>
        <v>13.873286964619201</v>
      </c>
    </row>
    <row r="29" spans="1:29" x14ac:dyDescent="0.35">
      <c r="F29" s="2"/>
      <c r="G29" s="4"/>
      <c r="H29" s="4"/>
      <c r="J29" s="64"/>
      <c r="K29" s="3"/>
    </row>
    <row r="30" spans="1:29" x14ac:dyDescent="0.35">
      <c r="B30" t="s">
        <v>807</v>
      </c>
      <c r="C30" t="s">
        <v>562</v>
      </c>
      <c r="D30" t="s">
        <v>808</v>
      </c>
      <c r="F30" s="2"/>
      <c r="G30" s="4"/>
      <c r="H30" s="4"/>
      <c r="J30" s="64"/>
      <c r="K30" s="3"/>
    </row>
    <row r="31" spans="1:29" x14ac:dyDescent="0.35">
      <c r="B31" t="s">
        <v>174</v>
      </c>
      <c r="C31" t="s">
        <v>740</v>
      </c>
      <c r="D31" cm="1">
        <f t="array" ref="D31">_xll.FDS(B31,"IMF_IFS_RCPI_Q(0)")</f>
        <v>3.2433991</v>
      </c>
      <c r="E31" s="2"/>
    </row>
    <row r="41" spans="4:5" x14ac:dyDescent="0.35">
      <c r="D41" s="1"/>
      <c r="E41" s="1"/>
    </row>
    <row r="48" spans="4:5" x14ac:dyDescent="0.35">
      <c r="D48" s="1"/>
      <c r="E48" s="1"/>
    </row>
    <row r="53" spans="4:5" x14ac:dyDescent="0.35">
      <c r="D53" s="1"/>
      <c r="E53" s="1"/>
    </row>
    <row r="58" spans="4:5" x14ac:dyDescent="0.35">
      <c r="D58" s="1"/>
      <c r="E58" s="1"/>
    </row>
    <row r="59" spans="4:5" x14ac:dyDescent="0.35">
      <c r="D59" s="1"/>
      <c r="E5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9"/>
  <sheetViews>
    <sheetView workbookViewId="0">
      <selection activeCell="A3" sqref="A3"/>
    </sheetView>
  </sheetViews>
  <sheetFormatPr defaultRowHeight="14.5" x14ac:dyDescent="0.35"/>
  <cols>
    <col min="2" max="2" width="12.08984375" bestFit="1" customWidth="1"/>
    <col min="3" max="3" width="15.90625" customWidth="1"/>
    <col min="4" max="4" width="53" bestFit="1" customWidth="1"/>
    <col min="5" max="5" width="26.453125" customWidth="1"/>
    <col min="6" max="6" width="12.08984375" customWidth="1"/>
    <col min="7" max="7" width="15.08984375" customWidth="1"/>
    <col min="8" max="8" width="18.54296875" customWidth="1"/>
    <col min="9" max="9" width="17.453125" customWidth="1"/>
    <col min="10" max="10" width="17" customWidth="1"/>
    <col min="11" max="11" width="32.6328125" customWidth="1"/>
    <col min="12" max="12" width="35" customWidth="1"/>
    <col min="13" max="13" width="20.90625" customWidth="1"/>
    <col min="14" max="14" width="9.08984375" style="46"/>
    <col min="20" max="21" width="11.453125" customWidth="1"/>
  </cols>
  <sheetData>
    <row r="1" spans="1:24" x14ac:dyDescent="0.35">
      <c r="S1" s="5">
        <f>Assumption!E42</f>
        <v>0.5</v>
      </c>
      <c r="T1" s="5">
        <f>Assumption!E43</f>
        <v>0.25</v>
      </c>
      <c r="U1" s="5">
        <f>Assumption!E44</f>
        <v>0.25</v>
      </c>
    </row>
    <row r="2" spans="1:24" x14ac:dyDescent="0.35">
      <c r="A2" t="s">
        <v>0</v>
      </c>
      <c r="B2" s="34" t="s">
        <v>100</v>
      </c>
      <c r="C2" s="34" t="s">
        <v>101</v>
      </c>
      <c r="D2" s="34" t="s">
        <v>102</v>
      </c>
      <c r="E2" s="34" t="s">
        <v>542</v>
      </c>
      <c r="G2" s="34" t="s">
        <v>921</v>
      </c>
      <c r="H2" s="34" t="s">
        <v>385</v>
      </c>
      <c r="I2" s="34" t="s">
        <v>506</v>
      </c>
      <c r="L2" s="34" t="s">
        <v>543</v>
      </c>
      <c r="S2" s="5" t="s">
        <v>468</v>
      </c>
      <c r="T2" s="5" t="s">
        <v>467</v>
      </c>
      <c r="U2" t="s">
        <v>386</v>
      </c>
      <c r="V2" s="55"/>
      <c r="X2" t="s">
        <v>570</v>
      </c>
    </row>
    <row r="3" spans="1:24" x14ac:dyDescent="0.35">
      <c r="A3" t="s">
        <v>437</v>
      </c>
      <c r="B3" t="s">
        <v>108</v>
      </c>
      <c r="C3" t="s">
        <v>17</v>
      </c>
      <c r="D3" s="35" t="str" cm="1">
        <f t="array" ref="D3">_xll.FDSB(C3,"FG_YIELD_NAME")</f>
        <v>Treasury - China Benchmark Bond 10Y</v>
      </c>
      <c r="E3" s="35" cm="1">
        <f t="array" ref="E3">IFERROR(_xll.FDS(C3,"FG_YIELD(0,,,,""YTM"")"),$E$26)</f>
        <v>2.3653</v>
      </c>
      <c r="G3" s="35" cm="1">
        <f t="array" ref="G3">_xll.FDSB(C3,"PCTCHG(FG_YIELD(0,,,,""YTM""),FG_YIELD(-1AM,,,,""YTM""))")</f>
        <v>-2.9023058000000002</v>
      </c>
      <c r="H3" s="35" cm="1">
        <f t="array" ref="H3">_xll.FDSB(C3,"PCTCHG(FG_YIELD(0,,,,""YTM""),FG_YIELD(-3AM,,,,""YTM""))")</f>
        <v>-12.2565565</v>
      </c>
      <c r="I3" s="35"/>
      <c r="J3" s="35" t="str">
        <f>VLOOKUP(B3,mnemonics!$A$4:$D$73, 4, FALSE)</f>
        <v>REFCNRMB-FDS</v>
      </c>
      <c r="K3" s="35" t="str" cm="1">
        <f t="array" ref="K3">_xll.FDSB(J3,"PROPER_NAME(0,,,""SECURITY"",""NAME"")")</f>
        <v>China Loan Prime Rate (LPR) - 1 Year</v>
      </c>
      <c r="L3" s="35" cm="1">
        <f t="array" ref="L3">_xll.FDSB(J3,"FG_YIELD(NOW,,,0)")</f>
        <v>3.45</v>
      </c>
      <c r="M3" s="45" cm="1">
        <f t="array" ref="M3">_xll.FDSB(J3,"(SUBARRAY(NOT_NA(NO_REPEAT_F(FG_YIELD(now,-10AY,D))),0,1)-SUBARRAY(NOT_NA(NO_REPEAT_F(FG_YIELD(now,-10AY,D))),1,1))*100")</f>
        <v>-9.9999999999999591</v>
      </c>
      <c r="N3" s="47">
        <f t="shared" ref="N3:N23" si="0">M3*-1</f>
        <v>9.9999999999999591</v>
      </c>
      <c r="S3">
        <f t="shared" ref="S3" si="1">IF(M3&gt; 0, 0, 1)</f>
        <v>1</v>
      </c>
      <c r="T3">
        <f>IF(G3&lt;0, 1, 0)</f>
        <v>1</v>
      </c>
      <c r="U3">
        <f>IF(H3&lt;0, 1, 0)</f>
        <v>1</v>
      </c>
      <c r="V3" s="56">
        <f>SUMPRODUCT($S$1:$U$1,S3:U3)</f>
        <v>1</v>
      </c>
      <c r="X3">
        <f t="shared" ref="X3:X23" si="2">_xlfn.PERCENTRANK.EXC($V$3:$V$23,V3)*100</f>
        <v>77.2</v>
      </c>
    </row>
    <row r="4" spans="1:24" x14ac:dyDescent="0.35">
      <c r="A4" t="s">
        <v>27</v>
      </c>
      <c r="B4" t="s">
        <v>111</v>
      </c>
      <c r="C4" t="s">
        <v>112</v>
      </c>
      <c r="D4" s="35" t="str" cm="1">
        <f t="array" ref="D4">_xll.FDSB(C4,"FG_YIELD_NAME")</f>
        <v>Treasury - Chile Inflation-Indexed (TIPS) Bond 10Y</v>
      </c>
      <c r="E4" s="35" cm="1">
        <f t="array" ref="E4">IFERROR(_xll.FDS(C4,"FG_YIELD(0,,,,""YTM"")"),$E$26)</f>
        <v>2.4597888000000001</v>
      </c>
      <c r="G4" s="35" cm="1">
        <f t="array" ref="G4">_xll.FDSB(C4,"PCTCHG(FG_YIELD(0,,,,""YTM""),FG_YIELD(-1AM,,,,""YTM""))")</f>
        <v>-53.505203000000002</v>
      </c>
      <c r="H4" s="35" cm="1">
        <f t="array" ref="H4">_xll.FDSB(C4,"PCTCHG(FG_YIELD(0,,,,""YTM""),FG_YIELD(-3AM,,,,""YTM""))")</f>
        <v>-54.133826999999997</v>
      </c>
      <c r="I4" s="35"/>
      <c r="J4" s="35" t="str">
        <f>VLOOKUP(B4,mnemonics!$A$4:$D$73, 4, FALSE)</f>
        <v>REFCLMPR-FDS</v>
      </c>
      <c r="K4" s="35" t="str" cm="1">
        <f t="array" ref="K4">_xll.FDSB(J4,"PROPER_NAME(0,,,""SECURITY"",""NAME"")")</f>
        <v>Chile Monetary Policy Rate</v>
      </c>
      <c r="L4" s="35" cm="1">
        <f t="array" ref="L4">_xll.FDSB(J4,"FG_YIELD(NOW,,,0)")</f>
        <v>7.25</v>
      </c>
      <c r="M4" s="45" cm="1">
        <f t="array" ref="M4">_xll.FDSB(J4,"(SUBARRAY(NOT_NA(NO_REPEAT_F(FG_YIELD(now,-10AY,D))),0,1)-SUBARRAY(NOT_NA(NO_REPEAT_F(FG_YIELD(now,-10AY,D))),1,1))*100")</f>
        <v>-100</v>
      </c>
      <c r="N4" s="47">
        <f t="shared" si="0"/>
        <v>100</v>
      </c>
      <c r="S4">
        <f t="shared" ref="S4:S23" si="3">IF(M4&gt; 0, 0, 1)</f>
        <v>1</v>
      </c>
      <c r="T4">
        <f t="shared" ref="T4:T23" si="4">IF(G4&lt;0, 1, 0)</f>
        <v>1</v>
      </c>
      <c r="U4">
        <f t="shared" ref="U4:U23" si="5">IF(H4&lt;0, 1, 0)</f>
        <v>1</v>
      </c>
      <c r="V4" s="56">
        <f t="shared" ref="V4:V23" si="6">SUMPRODUCT($S$1:$U$1,S4:U4)</f>
        <v>1</v>
      </c>
      <c r="X4">
        <f t="shared" si="2"/>
        <v>77.2</v>
      </c>
    </row>
    <row r="5" spans="1:24" x14ac:dyDescent="0.35">
      <c r="A5" t="s">
        <v>35</v>
      </c>
      <c r="B5" t="s">
        <v>128</v>
      </c>
      <c r="C5" t="s">
        <v>151</v>
      </c>
      <c r="D5" s="35" t="str" cm="1">
        <f t="array" ref="D5">_xll.FDSB(C5,"FG_YIELD_NAME")</f>
        <v>Treasury - Indonesia Benchmark Bond 10Y</v>
      </c>
      <c r="E5" s="35" cm="1">
        <f t="array" ref="E5">IFERROR(_xll.FDS(C5,"FG_YIELD(0,,,,""YTM"")"),$E$26)</f>
        <v>6.6471749999999998</v>
      </c>
      <c r="G5" s="35" cm="1">
        <f t="array" ref="G5">_xll.FDSB(C5,"PCTCHG(FG_YIELD(0,,,,""YTM""),FG_YIELD(-1AM,,,,""YTM""))")</f>
        <v>2.2948084</v>
      </c>
      <c r="H5" s="35" cm="1">
        <f t="array" ref="H5">_xll.FDSB(C5,"PCTCHG(FG_YIELD(0,,,,""YTM""),FG_YIELD(-3AM,,,,""YTM""))")</f>
        <v>0.36172345</v>
      </c>
      <c r="I5" s="35"/>
      <c r="J5" s="35" t="str">
        <f>VLOOKUP(B5,mnemonics!$A$4:$D$73, 4, FALSE)</f>
        <v>REFIDRREPO-FDS</v>
      </c>
      <c r="K5" s="35" t="str" cm="1">
        <f t="array" ref="K5">_xll.FDSB(J5,"PROPER_NAME(0,,,""SECURITY"",""NAME"")")</f>
        <v>Indonesia BI (Reverse) Repo Rate - 7 Day</v>
      </c>
      <c r="L5" s="35" cm="1">
        <f t="array" ref="L5">_xll.FDSB(J5,"FG_YIELD(NOW,,,0)")</f>
        <v>6</v>
      </c>
      <c r="M5" s="45" cm="1">
        <f t="array" ref="M5">_xll.FDSB(J5,"(SUBARRAY(NOT_NA(NO_REPEAT_F(FG_YIELD(now,-10AY,D))),0,1)-SUBARRAY(NOT_NA(NO_REPEAT_F(FG_YIELD(now,-10AY,D))),1,1))*100")</f>
        <v>25</v>
      </c>
      <c r="N5" s="47">
        <f t="shared" si="0"/>
        <v>-25</v>
      </c>
      <c r="S5">
        <f t="shared" si="3"/>
        <v>0</v>
      </c>
      <c r="T5">
        <f t="shared" si="4"/>
        <v>0</v>
      </c>
      <c r="U5">
        <f t="shared" si="5"/>
        <v>0</v>
      </c>
      <c r="V5" s="56">
        <f t="shared" si="6"/>
        <v>0</v>
      </c>
      <c r="X5">
        <f t="shared" si="2"/>
        <v>4.5</v>
      </c>
    </row>
    <row r="6" spans="1:24" x14ac:dyDescent="0.35">
      <c r="A6" t="s">
        <v>30</v>
      </c>
      <c r="B6" t="s">
        <v>121</v>
      </c>
      <c r="C6" t="s">
        <v>147</v>
      </c>
      <c r="D6" s="35" t="str" cm="1">
        <f t="array" ref="D6">_xll.FDSB(C6,"FG_YIELD_NAME")</f>
        <v>Philippines Benchmark Bond - 10 Year</v>
      </c>
      <c r="E6" s="35" cm="1">
        <f t="array" ref="E6">IFERROR(_xll.FDS(C6,"FG_YIELD(0,,,,""YTM"")"),$E$26)</f>
        <v>6.2683010000000001</v>
      </c>
      <c r="G6" s="35" cm="1">
        <f t="array" ref="G6">_xll.FDSB(C6,"PCTCHG(FG_YIELD(0,,,,""YTM""),FG_YIELD(-1AM,,,,""YTM""))")</f>
        <v>2.7664491999999998</v>
      </c>
      <c r="H6" s="35" cm="1">
        <f t="array" ref="H6">_xll.FDSB(C6,"PCTCHG(FG_YIELD(0,,,,""YTM""),FG_YIELD(-3AM,,,,""YTM""))")</f>
        <v>0.80980945000000004</v>
      </c>
      <c r="I6" s="35"/>
      <c r="J6" s="35" t="str">
        <f>VLOOKUP(B6,mnemonics!$A$4:$D$73, 4, FALSE)</f>
        <v>REFPHRREPO-FDS</v>
      </c>
      <c r="K6" s="35" t="str" cm="1">
        <f t="array" ref="K6">_xll.FDSB(J6,"PROPER_NAME(0,,,""SECURITY"",""NAME"")")</f>
        <v>Philippines Reverse Repo Rate - Overnight</v>
      </c>
      <c r="L6" s="35" cm="1">
        <f t="array" ref="L6">_xll.FDSB(J6,"FG_YIELD(NOW,,,0)")</f>
        <v>6.5</v>
      </c>
      <c r="M6" s="45" cm="1">
        <f t="array" ref="M6">_xll.FDSB(J6,"(SUBARRAY(NOT_NA(NO_REPEAT_F(FG_YIELD(now,-10AY,D))),0,1)-SUBARRAY(NOT_NA(NO_REPEAT_F(FG_YIELD(now,-10AY,D))),1,1))*100")</f>
        <v>25</v>
      </c>
      <c r="N6" s="47">
        <f t="shared" si="0"/>
        <v>-25</v>
      </c>
      <c r="S6">
        <f t="shared" si="3"/>
        <v>0</v>
      </c>
      <c r="T6">
        <f t="shared" si="4"/>
        <v>0</v>
      </c>
      <c r="U6">
        <f t="shared" si="5"/>
        <v>0</v>
      </c>
      <c r="V6" s="56">
        <f t="shared" si="6"/>
        <v>0</v>
      </c>
      <c r="X6">
        <f t="shared" si="2"/>
        <v>4.5</v>
      </c>
    </row>
    <row r="7" spans="1:24" x14ac:dyDescent="0.35">
      <c r="A7" t="s">
        <v>23</v>
      </c>
      <c r="B7" t="s">
        <v>104</v>
      </c>
      <c r="C7" t="s">
        <v>133</v>
      </c>
      <c r="D7" s="35" t="str" cm="1">
        <f t="array" ref="D7">_xll.FDSB(C7,"FG_YIELD_NAME")</f>
        <v>Treasury - Poland Benchmark Bond 10Y</v>
      </c>
      <c r="E7" s="35" cm="1">
        <f t="array" ref="E7">IFERROR(_xll.FDS(C7,"FG_YIELD(0,,,,""YTM"")"),$E$26)</f>
        <v>5.2389999999999999</v>
      </c>
      <c r="G7" s="35" cm="1">
        <f t="array" ref="G7">_xll.FDSB(C7,"PCTCHG(FG_YIELD(0,,,,""YTM""),FG_YIELD(-1AM,,,,""YTM""))")</f>
        <v>-7.0579210000000003E-2</v>
      </c>
      <c r="H7" s="35" cm="1">
        <f t="array" ref="H7">_xll.FDSB(C7,"PCTCHG(FG_YIELD(0,,,,""YTM""),FG_YIELD(-3AM,,,,""YTM""))")</f>
        <v>-4.1582090000000003</v>
      </c>
      <c r="I7" s="35"/>
      <c r="J7" s="35" t="str">
        <f>VLOOKUP(B7,mnemonics!$A$4:$D$73, 4, FALSE)</f>
        <v>REFPL7D-FDS</v>
      </c>
      <c r="K7" s="35" t="str" cm="1">
        <f t="array" ref="K7">_xll.FDSB(J7,"PROPER_NAME(0,,,""SECURITY"",""NAME"")")</f>
        <v>Poland Reference Rate - 7 Day</v>
      </c>
      <c r="L7" s="35" cm="1">
        <f t="array" ref="L7">_xll.FDSB(J7,"FG_YIELD(NOW,,,0)")</f>
        <v>5.75</v>
      </c>
      <c r="M7" s="45" cm="1">
        <f t="array" ref="M7">_xll.FDSB(J7,"(SUBARRAY(NOT_NA(NO_REPEAT_F(FG_YIELD(now,-10AY,D))),0,1)-SUBARRAY(NOT_NA(NO_REPEAT_F(FG_YIELD(now,-10AY,D))),1,1))*100")</f>
        <v>-25</v>
      </c>
      <c r="N7" s="47">
        <f t="shared" si="0"/>
        <v>25</v>
      </c>
      <c r="S7">
        <f t="shared" si="3"/>
        <v>1</v>
      </c>
      <c r="T7">
        <f t="shared" si="4"/>
        <v>1</v>
      </c>
      <c r="U7">
        <f t="shared" si="5"/>
        <v>1</v>
      </c>
      <c r="V7" s="56">
        <f t="shared" si="6"/>
        <v>1</v>
      </c>
      <c r="X7">
        <f t="shared" si="2"/>
        <v>77.2</v>
      </c>
    </row>
    <row r="8" spans="1:24" x14ac:dyDescent="0.35">
      <c r="A8" t="s">
        <v>29</v>
      </c>
      <c r="B8" t="s">
        <v>116</v>
      </c>
      <c r="C8" t="s">
        <v>141</v>
      </c>
      <c r="D8" s="35" t="str" cm="1">
        <f t="array" ref="D8">_xll.FDSB(C8,"FG_YIELD_NAME")</f>
        <v>Treasury - Peru Benchmark Bond 10Y</v>
      </c>
      <c r="E8" s="35" cm="1">
        <f t="array" ref="E8">IFERROR(_xll.FDS(C8,"FG_YIELD(0,,,,""YTM"")"),$E$26)</f>
        <v>6.8605729999999996</v>
      </c>
      <c r="G8" s="35" cm="1">
        <f t="array" ref="G8">_xll.FDSB(C8,"PCTCHG(FG_YIELD(0,,,,""YTM""),FG_YIELD(-1AM,,,,""YTM""))")</f>
        <v>4.5440370000000003</v>
      </c>
      <c r="H8" s="35" cm="1">
        <f t="array" ref="H8">_xll.FDSB(C8,"PCTCHG(FG_YIELD(0,,,,""YTM""),FG_YIELD(-3AM,,,,""YTM""))")</f>
        <v>-1.4562865</v>
      </c>
      <c r="I8" s="35"/>
      <c r="J8" s="35" t="str">
        <f>VLOOKUP(B8,mnemonics!$A$4:$D$73, 4, FALSE)</f>
        <v>REFPEMPR-FDS</v>
      </c>
      <c r="K8" s="35" t="str" cm="1">
        <f t="array" ref="K8">_xll.FDSB(J8,"PROPER_NAME(0,,,""SECURITY"",""NAME"")")</f>
        <v>Peru Policy Rate</v>
      </c>
      <c r="L8" s="35" cm="1">
        <f t="array" ref="L8">_xll.FDSB(J8,"FG_YIELD(NOW,,,0)")</f>
        <v>6.25</v>
      </c>
      <c r="M8" s="45" cm="1">
        <f t="array" ref="M8">_xll.FDSB(J8,"(SUBARRAY(NOT_NA(NO_REPEAT_F(FG_YIELD(now,-10AY,D))),0,1)-SUBARRAY(NOT_NA(NO_REPEAT_F(FG_YIELD(now,-10AY,D))),1,1))*100")</f>
        <v>-25</v>
      </c>
      <c r="N8" s="47">
        <f t="shared" si="0"/>
        <v>25</v>
      </c>
      <c r="S8">
        <f t="shared" si="3"/>
        <v>1</v>
      </c>
      <c r="T8">
        <f t="shared" si="4"/>
        <v>0</v>
      </c>
      <c r="U8">
        <f t="shared" si="5"/>
        <v>1</v>
      </c>
      <c r="V8" s="56">
        <f t="shared" si="6"/>
        <v>0.75</v>
      </c>
      <c r="X8">
        <f t="shared" si="2"/>
        <v>68.100000000000009</v>
      </c>
    </row>
    <row r="9" spans="1:24" x14ac:dyDescent="0.35">
      <c r="A9" t="s">
        <v>33</v>
      </c>
      <c r="B9" t="s">
        <v>126</v>
      </c>
      <c r="C9" t="s">
        <v>149</v>
      </c>
      <c r="D9" s="35" t="str" cm="1">
        <f t="array" ref="D9">_xll.FDSB(C9,"FG_YIELD_NAME")</f>
        <v>Treasury - Malaysia Benchmark Bond 10Y</v>
      </c>
      <c r="E9" s="35" cm="1">
        <f t="array" ref="E9">IFERROR(_xll.FDS(C9,"FG_YIELD(0,,,,""YTM"")"),$E$26)</f>
        <v>3.8128920000000002</v>
      </c>
      <c r="G9" s="35" cm="1">
        <f t="array" ref="G9">_xll.FDSB(C9,"PCTCHG(FG_YIELD(0,,,,""YTM""),FG_YIELD(-1AM,,,,""YTM""))")</f>
        <v>1.0585077000000001</v>
      </c>
      <c r="H9" s="35" cm="1">
        <f t="array" ref="H9">_xll.FDSB(C9,"PCTCHG(FG_YIELD(0,,,,""YTM""),FG_YIELD(-3AM,,,,""YTM""))")</f>
        <v>1.1082156000000001</v>
      </c>
      <c r="I9" s="35"/>
      <c r="J9" s="35" t="str">
        <f>VLOOKUP(B9,mnemonics!$A$4:$D$73, 4, FALSE)</f>
        <v>REFMYON-FDS</v>
      </c>
      <c r="K9" s="35" t="str" cm="1">
        <f t="array" ref="K9">_xll.FDSB(J9,"PROPER_NAME(0,,,""SECURITY"",""NAME"")")</f>
        <v>Malaysia Policy Rate - Overnight</v>
      </c>
      <c r="L9" s="35" cm="1">
        <f t="array" ref="L9">_xll.FDSB(J9,"FG_YIELD(NOW,,,0)")</f>
        <v>3</v>
      </c>
      <c r="M9" s="45" cm="1">
        <f t="array" ref="M9">_xll.FDSB(J9,"(SUBARRAY(NOT_NA(NO_REPEAT_F(FG_YIELD(now,-10AY,D))),0,1)-SUBARRAY(NOT_NA(NO_REPEAT_F(FG_YIELD(now,-10AY,D))),1,1))*100")</f>
        <v>25</v>
      </c>
      <c r="N9" s="47">
        <f t="shared" si="0"/>
        <v>-25</v>
      </c>
      <c r="S9">
        <f t="shared" si="3"/>
        <v>0</v>
      </c>
      <c r="T9">
        <f t="shared" si="4"/>
        <v>0</v>
      </c>
      <c r="U9">
        <f t="shared" si="5"/>
        <v>0</v>
      </c>
      <c r="V9" s="56">
        <f t="shared" si="6"/>
        <v>0</v>
      </c>
      <c r="X9">
        <f t="shared" si="2"/>
        <v>4.5</v>
      </c>
    </row>
    <row r="10" spans="1:24" x14ac:dyDescent="0.35">
      <c r="A10" t="s">
        <v>24</v>
      </c>
      <c r="B10" t="s">
        <v>107</v>
      </c>
      <c r="C10" t="s">
        <v>135</v>
      </c>
      <c r="D10" s="35" t="str" cm="1">
        <f t="array" ref="D10">_xll.FDSB(C10,"FG_YIELD_NAME")</f>
        <v>Taiwan China Benchmark Bond - 10 Year</v>
      </c>
      <c r="E10" s="35" cm="1">
        <f t="array" ref="E10">IFERROR(_xll.FDS(C10,"FG_YIELD(0,,,,""YTM"")"),$E$26)</f>
        <v>1.216</v>
      </c>
      <c r="G10" s="35" cm="1">
        <f t="array" ref="G10">_xll.FDSB(C10,"PCTCHG(FG_YIELD(0,,,,""YTM""),FG_YIELD(-1AM,,,,""YTM""))")</f>
        <v>2.0476665000000001</v>
      </c>
      <c r="H10" s="35" cm="1">
        <f t="array" ref="H10">_xll.FDSB(C10,"PCTCHG(FG_YIELD(0,,,,""YTM""),FG_YIELD(-3AM,,,,""YTM""))")</f>
        <v>-3.1075723000000002</v>
      </c>
      <c r="I10" s="35"/>
      <c r="J10" s="35" t="str">
        <f>VLOOKUP(B10,mnemonics!$A$4:$D$73, 4, FALSE)</f>
        <v>REFTWDISC-FDS</v>
      </c>
      <c r="K10" s="35" t="str" cm="1">
        <f t="array" ref="K10">_xll.FDSB(J10,"PROPER_NAME(0,,,""SECURITY"",""NAME"")")</f>
        <v>Taiwan China Discount Rate</v>
      </c>
      <c r="L10" s="35" cm="1">
        <f t="array" ref="L10">_xll.FDSB(J10,"FG_YIELD(NOW,,,0)")</f>
        <v>1.875</v>
      </c>
      <c r="M10" s="45" cm="1">
        <f t="array" ref="M10">_xll.FDSB(J10,"(SUBARRAY(NOT_NA(NO_REPEAT_F(FG_YIELD(now,-10AY,D))),0,1)-SUBARRAY(NOT_NA(NO_REPEAT_F(FG_YIELD(now,-10AY,D))),1,1))*100")</f>
        <v>12.5</v>
      </c>
      <c r="N10" s="47">
        <f t="shared" si="0"/>
        <v>-12.5</v>
      </c>
      <c r="S10">
        <f t="shared" si="3"/>
        <v>0</v>
      </c>
      <c r="T10">
        <f t="shared" si="4"/>
        <v>0</v>
      </c>
      <c r="U10">
        <f t="shared" si="5"/>
        <v>1</v>
      </c>
      <c r="V10" s="56">
        <f t="shared" si="6"/>
        <v>0.25</v>
      </c>
      <c r="X10">
        <f t="shared" si="2"/>
        <v>40.9</v>
      </c>
    </row>
    <row r="11" spans="1:24" x14ac:dyDescent="0.35">
      <c r="A11" t="s">
        <v>7</v>
      </c>
      <c r="B11" t="s">
        <v>125</v>
      </c>
      <c r="C11" t="s">
        <v>15</v>
      </c>
      <c r="D11" s="35" t="str" cm="1">
        <f t="array" ref="D11">_xll.FDSB(C11,"FG_YIELD_NAME")</f>
        <v>Treasury - Mexico Benchmark Bond 10Y</v>
      </c>
      <c r="E11" s="35" cm="1">
        <f t="array" ref="E11">IFERROR(_xll.FDS(C11,"FG_YIELD(0,,,,""YTM"")"),$E$26)</f>
        <v>9.2126999999999999</v>
      </c>
      <c r="G11" s="35" cm="1">
        <f t="array" ref="G11">_xll.FDSB(C11,"PCTCHG(FG_YIELD(0,,,,""YTM""),FG_YIELD(-1AM,,,,""YTM""))")</f>
        <v>-0.69846684000000003</v>
      </c>
      <c r="H11" s="35" cm="1">
        <f t="array" ref="H11">_xll.FDSB(C11,"PCTCHG(FG_YIELD(0,,,,""YTM""),FG_YIELD(-3AM,,,,""YTM""))")</f>
        <v>-1.438939</v>
      </c>
      <c r="I11" s="35"/>
      <c r="J11" s="35" t="str">
        <f>VLOOKUP(B11,mnemonics!$A$4:$D$73, 4, FALSE)</f>
        <v>REFMXTON-FDS</v>
      </c>
      <c r="K11" s="35" t="str" cm="1">
        <f t="array" ref="K11">_xll.FDSB(J11,"PROPER_NAME(0,,,""SECURITY"",""NAME"")")</f>
        <v>Mexico Target Rate - Overnight</v>
      </c>
      <c r="L11" s="35" cm="1">
        <f t="array" ref="L11">_xll.FDSB(J11,"FG_YIELD(NOW,,,0)")</f>
        <v>11.25</v>
      </c>
      <c r="M11" s="45" cm="1">
        <f t="array" ref="M11">_xll.FDSB(J11,"(SUBARRAY(NOT_NA(NO_REPEAT_F(FG_YIELD(now,-10AY,D))),0,1)-SUBARRAY(NOT_NA(NO_REPEAT_F(FG_YIELD(now,-10AY,D))),1,1))*100")</f>
        <v>25</v>
      </c>
      <c r="N11" s="47">
        <f t="shared" si="0"/>
        <v>-25</v>
      </c>
      <c r="S11">
        <f t="shared" si="3"/>
        <v>0</v>
      </c>
      <c r="T11">
        <f t="shared" si="4"/>
        <v>1</v>
      </c>
      <c r="U11">
        <f t="shared" si="5"/>
        <v>1</v>
      </c>
      <c r="V11" s="56">
        <f t="shared" si="6"/>
        <v>0.5</v>
      </c>
      <c r="X11">
        <f t="shared" si="2"/>
        <v>54.500000000000007</v>
      </c>
    </row>
    <row r="12" spans="1:24" x14ac:dyDescent="0.35">
      <c r="A12" t="s">
        <v>21</v>
      </c>
      <c r="B12" t="s">
        <v>105</v>
      </c>
      <c r="C12" t="s">
        <v>134</v>
      </c>
      <c r="D12" s="35" t="str" cm="1">
        <f t="array" ref="D12">_xll.FDSB(C12,"FG_YIELD_NAME")</f>
        <v>South Korea Benchmark Bond - 10 Year</v>
      </c>
      <c r="E12" s="35" cm="1">
        <f t="array" ref="E12">IFERROR(_xll.FDS(C12,"FG_YIELD(0,,,,""YTM"")"),$E$26)</f>
        <v>3.4352</v>
      </c>
      <c r="G12" s="35" cm="1">
        <f t="array" ref="G12">_xll.FDSB(C12,"PCTCHG(FG_YIELD(0,,,,""YTM""),FG_YIELD(-1AM,,,,""YTM""))")</f>
        <v>4.3943323999999997</v>
      </c>
      <c r="H12" s="35" cm="1">
        <f t="array" ref="H12">_xll.FDSB(C12,"PCTCHG(FG_YIELD(0,,,,""YTM""),FG_YIELD(-3AM,,,,""YTM""))")</f>
        <v>-5.2332516</v>
      </c>
      <c r="I12" s="35"/>
      <c r="J12" s="35" t="str">
        <f>VLOOKUP(B12,mnemonics!$A$4:$D$73, 4, FALSE)</f>
        <v>REFKRBASE-FDS</v>
      </c>
      <c r="K12" s="35" t="str" cm="1">
        <f t="array" ref="K12">_xll.FDSB(J12,"PROPER_NAME(0,,,""SECURITY"",""NAME"")")</f>
        <v>South Korea Base Rate</v>
      </c>
      <c r="L12" s="35" cm="1">
        <f t="array" ref="L12">_xll.FDSB(J12,"FG_YIELD(NOW,,,0)")</f>
        <v>3.5</v>
      </c>
      <c r="M12" s="45" cm="1">
        <f t="array" ref="M12">_xll.FDSB(J12,"(SUBARRAY(NOT_NA(NO_REPEAT_F(FG_YIELD(now,-10AY,D))),0,1)-SUBARRAY(NOT_NA(NO_REPEAT_F(FG_YIELD(now,-10AY,D))),1,1))*100")</f>
        <v>25</v>
      </c>
      <c r="N12" s="47">
        <f t="shared" si="0"/>
        <v>-25</v>
      </c>
      <c r="S12">
        <f t="shared" si="3"/>
        <v>0</v>
      </c>
      <c r="T12">
        <f t="shared" si="4"/>
        <v>0</v>
      </c>
      <c r="U12">
        <f t="shared" si="5"/>
        <v>1</v>
      </c>
      <c r="V12" s="56">
        <f t="shared" si="6"/>
        <v>0.25</v>
      </c>
      <c r="X12">
        <f t="shared" si="2"/>
        <v>40.9</v>
      </c>
    </row>
    <row r="13" spans="1:24" x14ac:dyDescent="0.35">
      <c r="A13" t="s">
        <v>12</v>
      </c>
      <c r="B13" t="s">
        <v>131</v>
      </c>
      <c r="C13" t="s">
        <v>20</v>
      </c>
      <c r="D13" s="35" t="str" cm="1">
        <f t="array" ref="D13">_xll.FDSB(C13,"FG_YIELD_NAME")</f>
        <v>Treasury - Brazil Benchmark Bond 10Y</v>
      </c>
      <c r="E13" s="35" cm="1">
        <f t="array" ref="E13">IFERROR(_xll.FDS(C13,"FG_YIELD(0,,,,""YTM"")"),$E$26)</f>
        <v>10.887092000000001</v>
      </c>
      <c r="G13" s="35" cm="1">
        <f t="array" ref="G13">_xll.FDSB(C13,"PCTCHG(FG_YIELD(0,,,,""YTM""),FG_YIELD(-1AM,,,,""YTM""))")</f>
        <v>0.71407129999999996</v>
      </c>
      <c r="H13" s="35" cm="1">
        <f t="array" ref="H13">_xll.FDSB(C13,"PCTCHG(FG_YIELD(0,,,,""YTM""),FG_YIELD(-3AM,,,,""YTM""))")</f>
        <v>-2.0568423</v>
      </c>
      <c r="I13" s="35"/>
      <c r="J13" s="35" t="str">
        <f>VLOOKUP(B13,mnemonics!$A$4:$D$73, 4, FALSE)</f>
        <v>REFBRSELIC-FDS</v>
      </c>
      <c r="K13" s="35" t="str" cm="1">
        <f t="array" ref="K13">_xll.FDSB(J13,"PROPER_NAME(0,,,""SECURITY"",""NAME"")")</f>
        <v>Brazil Target Selic Rate</v>
      </c>
      <c r="L13" s="35" cm="1">
        <f t="array" ref="L13">_xll.FDSB(J13,"FG_YIELD(NOW,,,0)")</f>
        <v>11.25</v>
      </c>
      <c r="M13" s="45" cm="1">
        <f t="array" ref="M13">_xll.FDSB(J13,"(SUBARRAY(NOT_NA(NO_REPEAT_F(FG_YIELD(now,-10AY,D))),0,1)-SUBARRAY(NOT_NA(NO_REPEAT_F(FG_YIELD(now,-10AY,D))),1,1))*100")</f>
        <v>-50</v>
      </c>
      <c r="N13" s="47">
        <f t="shared" si="0"/>
        <v>50</v>
      </c>
      <c r="S13">
        <f t="shared" si="3"/>
        <v>1</v>
      </c>
      <c r="T13">
        <f t="shared" si="4"/>
        <v>0</v>
      </c>
      <c r="U13">
        <f t="shared" si="5"/>
        <v>1</v>
      </c>
      <c r="V13" s="56">
        <f t="shared" si="6"/>
        <v>0.75</v>
      </c>
      <c r="X13">
        <f t="shared" si="2"/>
        <v>68.100000000000009</v>
      </c>
    </row>
    <row r="14" spans="1:24" x14ac:dyDescent="0.35">
      <c r="A14" t="s">
        <v>22</v>
      </c>
      <c r="B14" t="s">
        <v>103</v>
      </c>
      <c r="C14" t="s">
        <v>132</v>
      </c>
      <c r="D14" s="35" t="str" cm="1">
        <f t="array" ref="D14">_xll.FDSB(C14,"FG_YIELD_NAME")</f>
        <v>South Africa Benchmark Bond - 10 Year</v>
      </c>
      <c r="E14" s="35" cm="1">
        <f t="array" ref="E14">IFERROR(_xll.FDS(C14,"FG_YIELD(0,,,,""YTM"")"),$E$26)</f>
        <v>11.671312</v>
      </c>
      <c r="G14" s="35" cm="1">
        <f t="array" ref="G14">_xll.FDSB(C14,"PCTCHG(FG_YIELD(0,,,,""YTM""),FG_YIELD(-1AM,,,,""YTM""))")</f>
        <v>2.3152879999999998</v>
      </c>
      <c r="H14" s="35" cm="1">
        <f t="array" ref="H14">_xll.FDSB(C14,"PCTCHG(FG_YIELD(0,,,,""YTM""),FG_YIELD(-3AM,,,,""YTM""))")</f>
        <v>1.1832016999999999</v>
      </c>
      <c r="I14" s="35"/>
      <c r="J14" s="35" t="str">
        <f>VLOOKUP(B14,mnemonics!$A$4:$D$73, 4, FALSE)</f>
        <v>REFZAREPO-FDS</v>
      </c>
      <c r="K14" s="35" t="str" cm="1">
        <f t="array" ref="K14">_xll.FDSB(J14,"PROPER_NAME(0,,,""SECURITY"",""NAME"")")</f>
        <v>South Africa Repo Rate</v>
      </c>
      <c r="L14" s="35" cm="1">
        <f t="array" ref="L14">_xll.FDSB(J14,"FG_YIELD(NOW,,,0)")</f>
        <v>8.25</v>
      </c>
      <c r="M14" s="45" cm="1">
        <f t="array" ref="M14">_xll.FDSB(J14,"(SUBARRAY(NOT_NA(NO_REPEAT_F(FG_YIELD(now,-10AY,D))),0,1)-SUBARRAY(NOT_NA(NO_REPEAT_F(FG_YIELD(now,-10AY,D))),1,1))*100")</f>
        <v>50</v>
      </c>
      <c r="N14" s="47">
        <f t="shared" si="0"/>
        <v>-50</v>
      </c>
      <c r="S14">
        <f t="shared" si="3"/>
        <v>0</v>
      </c>
      <c r="T14">
        <f t="shared" si="4"/>
        <v>0</v>
      </c>
      <c r="U14">
        <f t="shared" si="5"/>
        <v>0</v>
      </c>
      <c r="V14" s="56">
        <f t="shared" si="6"/>
        <v>0</v>
      </c>
      <c r="X14">
        <f t="shared" si="2"/>
        <v>4.5</v>
      </c>
    </row>
    <row r="15" spans="1:24" x14ac:dyDescent="0.35">
      <c r="A15" t="s">
        <v>28</v>
      </c>
      <c r="B15" t="s">
        <v>115</v>
      </c>
      <c r="C15" t="s">
        <v>140</v>
      </c>
      <c r="D15" s="35" t="str" cm="1">
        <f t="array" ref="D15">_xll.FDSB(C15,"FG_YIELD_NAME")</f>
        <v>Greece Benchmark Bond - 10 Year</v>
      </c>
      <c r="E15" s="35" cm="1">
        <f t="array" ref="E15">IFERROR(_xll.FDS(C15,"FG_YIELD(0,,,,""YTM"")"),$E$26)</f>
        <v>3.4590000000000001</v>
      </c>
      <c r="G15" s="35" cm="1">
        <f t="array" ref="G15">_xll.FDSB(C15,"PCTCHG(FG_YIELD(0,,,,""YTM""),FG_YIELD(-1AM,,,,""YTM""))")</f>
        <v>5.5860833999999997</v>
      </c>
      <c r="H15" s="35" cm="1">
        <f t="array" ref="H15">_xll.FDSB(C15,"PCTCHG(FG_YIELD(0,,,,""YTM""),FG_YIELD(-3AM,,,,""YTM""))")</f>
        <v>-1.0583507000000001</v>
      </c>
      <c r="I15" s="35"/>
      <c r="J15" s="35" t="str">
        <f>VLOOKUP(B15,mnemonics!$A$4:$D$73, 4, FALSE)</f>
        <v>REFEUREFI-FDS</v>
      </c>
      <c r="K15" s="35" t="str" cm="1">
        <f t="array" ref="K15">_xll.FDSB(J15,"PROPER_NAME(0,,,""SECURITY"",""NAME"")")</f>
        <v>Eurozone Main Refinancing Operations Minimum Bid Rate</v>
      </c>
      <c r="L15" s="35" cm="1">
        <f t="array" ref="L15">_xll.FDSB(J15,"FG_YIELD(NOW,,,0)")</f>
        <v>4.5</v>
      </c>
      <c r="M15" s="45" cm="1">
        <f t="array" ref="M15">_xll.FDSB(J15,"(SUBARRAY(NOT_NA(NO_REPEAT_F(FG_YIELD(now,-10AY,D))),0,1)-SUBARRAY(NOT_NA(NO_REPEAT_F(FG_YIELD(now,-10AY,D))),1,1))*100")</f>
        <v>25</v>
      </c>
      <c r="N15" s="47">
        <f t="shared" si="0"/>
        <v>-25</v>
      </c>
      <c r="T15">
        <f t="shared" si="4"/>
        <v>0</v>
      </c>
      <c r="U15">
        <f t="shared" si="5"/>
        <v>1</v>
      </c>
      <c r="V15" s="56">
        <f t="shared" si="6"/>
        <v>0.25</v>
      </c>
      <c r="X15">
        <f t="shared" si="2"/>
        <v>40.9</v>
      </c>
    </row>
    <row r="16" spans="1:24" x14ac:dyDescent="0.35">
      <c r="A16" t="s">
        <v>32</v>
      </c>
      <c r="B16" t="s">
        <v>122</v>
      </c>
      <c r="C16" t="s">
        <v>18</v>
      </c>
      <c r="D16" s="35" t="str" cm="1">
        <f t="array" ref="D16">_xll.FDSB(C16,"FG_YIELD_NAME")</f>
        <v>India Benchmark Bond - 10 Year</v>
      </c>
      <c r="E16" s="35" cm="1">
        <f t="array" ref="E16">IFERROR(_xll.FDS(C16,"FG_YIELD(0,,,,""YTM"")"),$E$26)</f>
        <v>7.0519999999999996</v>
      </c>
      <c r="G16" s="35" cm="1">
        <f t="array" ref="G16">_xll.FDSB(C16,"PCTCHG(FG_YIELD(0,,,,""YTM""),FG_YIELD(-1AM,,,,""YTM""))")</f>
        <v>-0.11331299</v>
      </c>
      <c r="H16" s="35" cm="1">
        <f t="array" ref="H16">_xll.FDSB(C16,"PCTCHG(FG_YIELD(0,,,,""YTM""),FG_YIELD(-3AM,,,,""YTM""))")</f>
        <v>-2.9986236000000002</v>
      </c>
      <c r="I16" s="35"/>
      <c r="J16" s="35" t="str">
        <f>VLOOKUP(B16,mnemonics!$A$4:$D$73, 4, FALSE)</f>
        <v>REFINREPO-FDS</v>
      </c>
      <c r="K16" s="35" t="str" cm="1">
        <f t="array" ref="K16">_xll.FDSB(J16,"PROPER_NAME(0,,,""SECURITY"",""NAME"")")</f>
        <v>India Repo Rate</v>
      </c>
      <c r="L16" s="35" cm="1">
        <f t="array" ref="L16">_xll.FDSB(J16,"FG_YIELD(NOW,,,0)")</f>
        <v>6.5</v>
      </c>
      <c r="M16" s="45" cm="1">
        <f t="array" ref="M16">_xll.FDSB(J16,"(SUBARRAY(NOT_NA(NO_REPEAT_F(FG_YIELD(now,-10AY,D))),0,1)-SUBARRAY(NOT_NA(NO_REPEAT_F(FG_YIELD(now,-10AY,D))),1,1))*100")</f>
        <v>25</v>
      </c>
      <c r="N16" s="47">
        <f t="shared" si="0"/>
        <v>-25</v>
      </c>
      <c r="S16">
        <f t="shared" si="3"/>
        <v>0</v>
      </c>
      <c r="T16">
        <f t="shared" si="4"/>
        <v>1</v>
      </c>
      <c r="U16">
        <f t="shared" si="5"/>
        <v>1</v>
      </c>
      <c r="V16" s="56">
        <f t="shared" si="6"/>
        <v>0.5</v>
      </c>
      <c r="X16">
        <f t="shared" si="2"/>
        <v>54.500000000000007</v>
      </c>
    </row>
    <row r="17" spans="1:24" x14ac:dyDescent="0.35">
      <c r="A17" t="s">
        <v>26</v>
      </c>
      <c r="B17" t="s">
        <v>108</v>
      </c>
      <c r="C17" t="s">
        <v>17</v>
      </c>
      <c r="D17" s="35" t="str" cm="1">
        <f t="array" ref="D17">_xll.FDSB(C17,"FG_YIELD_NAME")</f>
        <v>Treasury - China Benchmark Bond 10Y</v>
      </c>
      <c r="E17" s="35" cm="1">
        <f t="array" ref="E17">IFERROR(_xll.FDS(C17,"FG_YIELD(0,,,,""YTM"")"),$E$26)</f>
        <v>2.3653</v>
      </c>
      <c r="G17" s="35" cm="1">
        <f t="array" ref="G17">_xll.FDSB(C17,"PCTCHG(FG_YIELD(0,,,,""YTM""),FG_YIELD(-1AM,,,,""YTM""))")</f>
        <v>-2.9023058000000002</v>
      </c>
      <c r="H17" s="35" cm="1">
        <f t="array" ref="H17">_xll.FDSB(C17,"PCTCHG(FG_YIELD(0,,,,""YTM""),FG_YIELD(-3AM,,,,""YTM""))")</f>
        <v>-12.2565565</v>
      </c>
      <c r="I17" s="35"/>
      <c r="J17" s="35" t="str">
        <f>VLOOKUP(B17,mnemonics!$A$4:$D$73, 4, FALSE)</f>
        <v>REFCNRMB-FDS</v>
      </c>
      <c r="K17" s="35" t="str" cm="1">
        <f t="array" ref="K17">_xll.FDSB(J17,"PROPER_NAME(0,,,""SECURITY"",""NAME"")")</f>
        <v>China Loan Prime Rate (LPR) - 1 Year</v>
      </c>
      <c r="L17" s="35" cm="1">
        <f t="array" ref="L17">_xll.FDSB(J17,"FG_YIELD(NOW,,,0)")</f>
        <v>3.45</v>
      </c>
      <c r="M17" s="45" cm="1">
        <f t="array" ref="M17">_xll.FDSB(J17,"(SUBARRAY(NOT_NA(NO_REPEAT_F(FG_YIELD(now,-10AY,D))),0,1)-SUBARRAY(NOT_NA(NO_REPEAT_F(FG_YIELD(now,-10AY,D))),1,1))*100")</f>
        <v>-9.9999999999999591</v>
      </c>
      <c r="N17" s="47">
        <f t="shared" si="0"/>
        <v>9.9999999999999591</v>
      </c>
      <c r="S17">
        <f t="shared" si="3"/>
        <v>1</v>
      </c>
      <c r="T17">
        <f t="shared" si="4"/>
        <v>1</v>
      </c>
      <c r="U17">
        <f t="shared" si="5"/>
        <v>1</v>
      </c>
      <c r="V17" s="56">
        <f t="shared" si="6"/>
        <v>1</v>
      </c>
      <c r="X17">
        <f t="shared" si="2"/>
        <v>77.2</v>
      </c>
    </row>
    <row r="18" spans="1:24" x14ac:dyDescent="0.35">
      <c r="A18" t="s">
        <v>31</v>
      </c>
      <c r="B18" t="s">
        <v>124</v>
      </c>
      <c r="C18" t="s">
        <v>148</v>
      </c>
      <c r="D18" s="35" t="str" cm="1">
        <f t="array" ref="D18">_xll.FDSB(C18,"FG_YIELD_NAME")</f>
        <v>Treasury - Qatar Benchmark Bond 10Y</v>
      </c>
      <c r="E18" s="35" cm="1">
        <f t="array" ref="E18">IFERROR(_xll.FDS(C18,"FG_YIELD(0,,,,""YTM"")"),$E$26)</f>
        <v>4.2160000000000002</v>
      </c>
      <c r="G18" s="35" t="str" cm="1">
        <f t="array" ref="G18">_xll.FDSB(C18,"PCTCHG(FG_YIELD(0,,,,""YTM""),FG_YIELD(-1AM,,,,""YTM""))")</f>
        <v/>
      </c>
      <c r="H18" s="35" t="str" cm="1">
        <f t="array" ref="H18">_xll.FDSB(C18,"PCTCHG(FG_YIELD(0,,,,""YTM""),FG_YIELD(-3AM,,,,""YTM""))")</f>
        <v/>
      </c>
      <c r="I18" s="35"/>
      <c r="J18" s="35" t="str">
        <f>VLOOKUP(B18,mnemonics!$A$4:$D$73, 4, FALSE)</f>
        <v>REFQALEND-FDS</v>
      </c>
      <c r="K18" s="35" t="str" cm="1">
        <f t="array" ref="K18">_xll.FDSB(J18,"PROPER_NAME(0,,,""SECURITY"",""NAME"")")</f>
        <v>Qatar Lending Rate - Overnight</v>
      </c>
      <c r="L18" s="35" cm="1">
        <f t="array" ref="L18">_xll.FDSB(J18,"FG_YIELD(NOW,,,0)")</f>
        <v>6.25</v>
      </c>
      <c r="M18" s="45" cm="1">
        <f t="array" ref="M18">_xll.FDSB(J18,"(SUBARRAY(NOT_NA(NO_REPEAT_F(FG_YIELD(now,-10AY,D))),0,1)-SUBARRAY(NOT_NA(NO_REPEAT_F(FG_YIELD(now,-10AY,D))),1,1))*100")</f>
        <v>25</v>
      </c>
      <c r="N18" s="47">
        <f t="shared" si="0"/>
        <v>-25</v>
      </c>
      <c r="S18">
        <f t="shared" si="3"/>
        <v>0</v>
      </c>
      <c r="T18">
        <f t="shared" si="4"/>
        <v>0</v>
      </c>
      <c r="U18">
        <f t="shared" si="5"/>
        <v>0</v>
      </c>
      <c r="V18" s="56">
        <f t="shared" si="6"/>
        <v>0</v>
      </c>
      <c r="X18">
        <f t="shared" si="2"/>
        <v>4.5</v>
      </c>
    </row>
    <row r="19" spans="1:24" x14ac:dyDescent="0.35">
      <c r="A19" t="s">
        <v>764</v>
      </c>
      <c r="B19" t="s">
        <v>224</v>
      </c>
      <c r="C19" t="s">
        <v>458</v>
      </c>
      <c r="D19" s="35" t="str" cm="1">
        <f t="array" ref="D19">_xll.FDSB(C19,"FG_YIELD_NAME")</f>
        <v>Thailand Benchmark Bond - 10 Year</v>
      </c>
      <c r="E19" s="35" cm="1">
        <f t="array" ref="E19">IFERROR(_xll.FDS(C19,"FG_YIELD(0,,,,""YTM"")"),$E$26)</f>
        <v>2.5491839999999999</v>
      </c>
      <c r="G19" s="35" cm="1">
        <f t="array" ref="G19">_xll.FDSB(C19,"PCTCHG(FG_YIELD(0,,,,""YTM""),FG_YIELD(-1AM,,,,""YTM""))")</f>
        <v>-3.8010025000000001</v>
      </c>
      <c r="H19" s="35" cm="1">
        <f t="array" ref="H19">_xll.FDSB(C19,"PCTCHG(FG_YIELD(0,,,,""YTM""),FG_YIELD(-3AM,,,,""YTM""))")</f>
        <v>-13.410130499999999</v>
      </c>
      <c r="I19" s="35"/>
      <c r="J19" s="35" t="str">
        <f>VLOOKUP(B19,mnemonics!$A$4:$D$73, 4, FALSE)</f>
        <v>REFTHREPO-FDS</v>
      </c>
      <c r="K19" s="35" t="str" cm="1">
        <f t="array" ref="K19">_xll.FDSB(J19,"PROPER_NAME(0,,,""SECURITY"",""NAME"")")</f>
        <v>Thailand Repo Rate - 1 Day</v>
      </c>
      <c r="L19" s="35" cm="1">
        <f t="array" ref="L19">_xll.FDSB(J19,"FG_YIELD(NOW,,,0)")</f>
        <v>2.5</v>
      </c>
      <c r="M19" s="45" cm="1">
        <f t="array" ref="M19">_xll.FDSB(J19,"(SUBARRAY(NOT_NA(NO_REPEAT_F(FG_YIELD(now,-10AY,D))),0,1)-SUBARRAY(NOT_NA(NO_REPEAT_F(FG_YIELD(now,-10AY,D))),1,1))*100")</f>
        <v>25</v>
      </c>
      <c r="N19" s="47">
        <f t="shared" si="0"/>
        <v>-25</v>
      </c>
      <c r="S19">
        <f t="shared" si="3"/>
        <v>0</v>
      </c>
      <c r="T19">
        <f t="shared" si="4"/>
        <v>1</v>
      </c>
      <c r="U19">
        <f t="shared" si="5"/>
        <v>1</v>
      </c>
      <c r="V19" s="56">
        <f t="shared" si="6"/>
        <v>0.5</v>
      </c>
      <c r="X19">
        <f t="shared" si="2"/>
        <v>54.500000000000007</v>
      </c>
    </row>
    <row r="20" spans="1:24" x14ac:dyDescent="0.35">
      <c r="A20" t="s">
        <v>25</v>
      </c>
      <c r="B20" t="s">
        <v>109</v>
      </c>
      <c r="C20" t="s">
        <v>136</v>
      </c>
      <c r="D20" s="35" t="str" cm="1">
        <f t="array" ref="D20">_xll.FDSB(C20,"FG_YIELD_NAME")</f>
        <v>Treasury - Turkey Benchmark Bond 7Y</v>
      </c>
      <c r="E20" s="35" cm="1">
        <f t="array" ref="E20">IFERROR(_xll.FDS(C20,"FG_YIELD(0,,,,""YTM"")"),$E$26)</f>
        <v>23.918244999999999</v>
      </c>
      <c r="G20" s="35" cm="1">
        <f t="array" ref="G20">_xll.FDSB(C20,"PCTCHG(FG_YIELD(0,,,,""YTM""),FG_YIELD(-1AM,,,,""YTM""))")</f>
        <v>5.1373743999999997</v>
      </c>
      <c r="H20" s="35" cm="1">
        <f t="array" ref="H20">_xll.FDSB(C20,"PCTCHG(FG_YIELD(0,,,,""YTM""),FG_YIELD(-3AM,,,,""YTM""))")</f>
        <v>7.23698</v>
      </c>
      <c r="I20" s="35"/>
      <c r="J20" s="35" t="str">
        <f>VLOOKUP(B20,mnemonics!$A$4:$D$73, 4, FALSE)</f>
        <v>REFTR1WREPO-FDS</v>
      </c>
      <c r="K20" s="35" t="str" cm="1">
        <f t="array" ref="K20">_xll.FDSB(J20,"PROPER_NAME(0,,,""SECURITY"",""NAME"")")</f>
        <v>Turkey Repo Rate - 1 Week</v>
      </c>
      <c r="L20" s="35" cm="1">
        <f t="array" ref="L20">_xll.FDSB(J20,"FG_YIELD(NOW,,,0)")</f>
        <v>45</v>
      </c>
      <c r="M20" s="45" cm="1">
        <f t="array" ref="M20">_xll.FDSB(J20,"(SUBARRAY(NOT_NA(NO_REPEAT_F(FG_YIELD(now,-10AY,D))),0,1)-SUBARRAY(NOT_NA(NO_REPEAT_F(FG_YIELD(now,-10AY,D))),1,1))*100")</f>
        <v>250</v>
      </c>
      <c r="N20" s="47">
        <f t="shared" si="0"/>
        <v>-250</v>
      </c>
      <c r="S20">
        <f t="shared" si="3"/>
        <v>0</v>
      </c>
      <c r="T20">
        <f t="shared" si="4"/>
        <v>0</v>
      </c>
      <c r="U20">
        <f t="shared" si="5"/>
        <v>0</v>
      </c>
      <c r="V20" s="56">
        <f t="shared" si="6"/>
        <v>0</v>
      </c>
      <c r="X20">
        <f t="shared" si="2"/>
        <v>4.5</v>
      </c>
    </row>
    <row r="21" spans="1:24" x14ac:dyDescent="0.35">
      <c r="A21" t="s">
        <v>34</v>
      </c>
      <c r="B21" t="s">
        <v>127</v>
      </c>
      <c r="C21" t="s">
        <v>150</v>
      </c>
      <c r="D21" s="35" t="str" cm="1">
        <f t="array" ref="D21">_xll.FDSB(C21,"FG_YIELD_NAME")</f>
        <v>Treasury - United Arab Emirates USD Benchmark Bond 10Y</v>
      </c>
      <c r="E21" s="35" cm="1">
        <f t="array" ref="E21">IFERROR(_xll.FDS(C21,"FG_YIELD(0,,,,""YTM"")"),$E$26)</f>
        <v>4.2160000000000002</v>
      </c>
      <c r="G21" s="35" t="str" cm="1">
        <f t="array" ref="G21">_xll.FDSB(C21,"PCTCHG(FG_YIELD(0,,,,""YTM""),FG_YIELD(-1AM,,,,""YTM""))")</f>
        <v/>
      </c>
      <c r="H21" s="35" t="str" cm="1">
        <f t="array" ref="H21">_xll.FDSB(C21,"PCTCHG(FG_YIELD(0,,,,""YTM""),FG_YIELD(-3AM,,,,""YTM""))")</f>
        <v/>
      </c>
      <c r="I21" s="35"/>
      <c r="J21" s="35" t="str">
        <f>VLOOKUP(B21,mnemonics!$A$4:$D$73, 4, FALSE)</f>
        <v>REFAEREPO-FDS</v>
      </c>
      <c r="K21" s="35" t="str" cm="1">
        <f t="array" ref="K21">_xll.FDSB(J21,"PROPER_NAME(0,,,""SECURITY"",""NAME"")")</f>
        <v>United Arab Emirates Repo Rate</v>
      </c>
      <c r="L21" s="35" cm="1">
        <f t="array" ref="L21">_xll.FDSB(J21,"FG_YIELD(NOW,,,0)")</f>
        <v>5.4</v>
      </c>
      <c r="M21" s="45" cm="1">
        <f t="array" ref="M21">_xll.FDSB(J21,"(SUBARRAY(NOT_NA(NO_REPEAT_F(FG_YIELD(now,-10AY,D))),0,1)-SUBARRAY(NOT_NA(NO_REPEAT_F(FG_YIELD(now,-10AY,D))),1,1))*100")</f>
        <v>25</v>
      </c>
      <c r="N21" s="47">
        <f t="shared" si="0"/>
        <v>-25</v>
      </c>
      <c r="S21">
        <f t="shared" si="3"/>
        <v>0</v>
      </c>
      <c r="T21">
        <f t="shared" si="4"/>
        <v>0</v>
      </c>
      <c r="U21">
        <f t="shared" si="5"/>
        <v>0</v>
      </c>
      <c r="V21" s="56">
        <f t="shared" si="6"/>
        <v>0</v>
      </c>
      <c r="X21">
        <f t="shared" si="2"/>
        <v>4.5</v>
      </c>
    </row>
    <row r="22" spans="1:24" x14ac:dyDescent="0.35">
      <c r="A22" t="s">
        <v>37</v>
      </c>
      <c r="B22" t="s">
        <v>130</v>
      </c>
      <c r="C22" t="s">
        <v>153</v>
      </c>
      <c r="D22" s="35" t="str" cm="1">
        <f t="array" ref="D22">_xll.FDSB(C22,"FG_YIELD_NAME")</f>
        <v>Treasury - Vietnam Benchmark Bond 10Y</v>
      </c>
      <c r="E22" s="35" cm="1">
        <f t="array" ref="E22">IFERROR(_xll.FDS(C22,"FG_YIELD(0,,,,""YTM"")"),$E$26)</f>
        <v>2.2360842000000001</v>
      </c>
      <c r="G22" s="35" cm="1">
        <f t="array" ref="G22">_xll.FDSB(C22,"PCTCHG(FG_YIELD(0,,,,""YTM""),FG_YIELD(-1AM,,,,""YTM""))")</f>
        <v>-1.3607517</v>
      </c>
      <c r="H22" s="35" cm="1">
        <f t="array" ref="H22">_xll.FDSB(C22,"PCTCHG(FG_YIELD(0,,,,""YTM""),FG_YIELD(-3AM,,,,""YTM""))")</f>
        <v>-3.0539481999999998</v>
      </c>
      <c r="I22" s="35"/>
      <c r="J22" s="35" t="str">
        <f>VLOOKUP(B22,mnemonics!$A$4:$D$73, 4, FALSE)</f>
        <v>REFVNDISC-FDS</v>
      </c>
      <c r="K22" s="35" t="str" cm="1">
        <f t="array" ref="K22">_xll.FDSB(J22,"PROPER_NAME(0,,,""SECURITY"",""NAME"")")</f>
        <v>Vietnam Discount Rate</v>
      </c>
      <c r="L22" s="35" cm="1">
        <f t="array" ref="L22">_xll.FDSB(J22,"FG_YIELD(NOW,,,0)")</f>
        <v>3</v>
      </c>
      <c r="M22" s="45" cm="1">
        <f t="array" ref="M22">_xll.FDSB(J22,"(SUBARRAY(NOT_NA(NO_REPEAT_F(FG_YIELD(now,-10AY,D))),0,1)-SUBARRAY(NOT_NA(NO_REPEAT_F(FG_YIELD(now,-10AY,D))),1,1))*100")</f>
        <v>-50</v>
      </c>
      <c r="N22" s="47">
        <f t="shared" si="0"/>
        <v>50</v>
      </c>
      <c r="S22">
        <f t="shared" si="3"/>
        <v>1</v>
      </c>
      <c r="T22">
        <f t="shared" si="4"/>
        <v>1</v>
      </c>
      <c r="U22">
        <f t="shared" si="5"/>
        <v>1</v>
      </c>
      <c r="V22" s="56">
        <f t="shared" si="6"/>
        <v>1</v>
      </c>
      <c r="X22">
        <f t="shared" si="2"/>
        <v>77.2</v>
      </c>
    </row>
    <row r="23" spans="1:24" x14ac:dyDescent="0.35">
      <c r="A23" t="s">
        <v>36</v>
      </c>
      <c r="B23" t="s">
        <v>129</v>
      </c>
      <c r="C23" t="s">
        <v>152</v>
      </c>
      <c r="D23" s="35" t="str" cm="1">
        <f t="array" ref="D23">_xll.FDSB(C23,"FG_YIELD_NAME")</f>
        <v>Treasury - SAUDI ARABIA Benchmark Bond 10Y</v>
      </c>
      <c r="E23" s="35" cm="1">
        <f t="array" ref="E23">IFERROR(_xll.FDS(C23,"FG_YIELD(0,,,,""YTM"")"),$E$26)</f>
        <v>5.2282165999999997</v>
      </c>
      <c r="G23" s="35" cm="1">
        <f t="array" ref="G23">_xll.FDSB(C23,"PCTCHG(FG_YIELD(0,,,,""YTM""),FG_YIELD(-1AM,,,,""YTM""))")</f>
        <v>3.5073219999999998</v>
      </c>
      <c r="H23" s="35" cm="1">
        <f t="array" ref="H23">_xll.FDSB(C23,"PCTCHG(FG_YIELD(0,,,,""YTM""),FG_YIELD(-3AM,,,,""YTM""))")</f>
        <v>2.5781299999999998</v>
      </c>
      <c r="I23" s="35"/>
      <c r="J23" s="35" t="str">
        <f>VLOOKUP(B23,mnemonics!$A$4:$D$73, 4, FALSE)</f>
        <v>REFSAREPO-FDS</v>
      </c>
      <c r="K23" s="35" t="str" cm="1">
        <f t="array" ref="K23">_xll.FDSB(J23,"PROPER_NAME(0,,,""SECURITY"",""NAME"")")</f>
        <v>Saudi Arabia Repo Rate</v>
      </c>
      <c r="L23" s="35" cm="1">
        <f t="array" ref="L23">_xll.FDSB(J23,"FG_YIELD(NOW,,,0)")</f>
        <v>6</v>
      </c>
      <c r="M23" s="45" cm="1">
        <f t="array" ref="M23">_xll.FDSB(J23,"(SUBARRAY(NOT_NA(NO_REPEAT_F(FG_YIELD(now,-10AY,D))),0,1)-SUBARRAY(NOT_NA(NO_REPEAT_F(FG_YIELD(now,-10AY,D))),1,1))*100")</f>
        <v>25</v>
      </c>
      <c r="N23" s="47">
        <f t="shared" si="0"/>
        <v>-25</v>
      </c>
      <c r="S23">
        <f t="shared" si="3"/>
        <v>0</v>
      </c>
      <c r="T23">
        <f t="shared" si="4"/>
        <v>0</v>
      </c>
      <c r="U23">
        <f t="shared" si="5"/>
        <v>0</v>
      </c>
      <c r="V23" s="56">
        <f t="shared" si="6"/>
        <v>0</v>
      </c>
      <c r="X23">
        <f t="shared" si="2"/>
        <v>4.5</v>
      </c>
    </row>
    <row r="24" spans="1:24" x14ac:dyDescent="0.35">
      <c r="D24" s="35"/>
      <c r="E24" s="35"/>
      <c r="G24" s="35"/>
      <c r="H24" s="35"/>
      <c r="J24" s="35"/>
      <c r="K24" s="35"/>
      <c r="L24" s="35"/>
      <c r="M24" s="45"/>
      <c r="N24" s="47"/>
      <c r="V24" s="61"/>
    </row>
    <row r="25" spans="1:24" x14ac:dyDescent="0.35">
      <c r="D25" s="35"/>
      <c r="E25" s="35"/>
      <c r="G25" s="35"/>
      <c r="H25" s="35"/>
      <c r="J25" s="35"/>
      <c r="K25" s="35"/>
      <c r="L25" s="35"/>
      <c r="M25" s="45"/>
      <c r="N25" s="47"/>
      <c r="V25" s="61"/>
    </row>
    <row r="26" spans="1:24" x14ac:dyDescent="0.35">
      <c r="A26" t="s">
        <v>1</v>
      </c>
      <c r="B26" t="s">
        <v>123</v>
      </c>
      <c r="C26" t="s">
        <v>14</v>
      </c>
      <c r="D26" s="35" t="str" cm="1">
        <f t="array" ref="D26">_xll.FDSB(C26,"FG_YIELD_NAME")</f>
        <v>US Benchmark Bond - 10 Year</v>
      </c>
      <c r="E26" s="35" cm="1">
        <f t="array" ref="E26">IFERROR(_xll.FDS(C26,"FG_YIELD(0,,,,""YTM"")"),E55)</f>
        <v>4.2160000000000002</v>
      </c>
      <c r="G26" s="35"/>
      <c r="H26" s="35"/>
      <c r="J26" s="35"/>
      <c r="K26" s="35"/>
      <c r="L26" s="35"/>
      <c r="M26" s="45"/>
      <c r="N26" s="47"/>
      <c r="V26" s="61"/>
    </row>
    <row r="27" spans="1:24" x14ac:dyDescent="0.35">
      <c r="D27" s="35"/>
      <c r="E27" s="35"/>
      <c r="G27" s="35"/>
      <c r="H27" s="35"/>
      <c r="J27" s="35"/>
      <c r="K27" s="35"/>
      <c r="L27" s="35"/>
      <c r="M27" s="45"/>
      <c r="N27" s="47"/>
      <c r="V27" s="61"/>
    </row>
    <row r="28" spans="1:24" x14ac:dyDescent="0.35">
      <c r="D28" s="35"/>
      <c r="E28" s="35"/>
      <c r="G28" s="35"/>
      <c r="H28" s="35"/>
      <c r="J28" s="35"/>
      <c r="K28" s="35"/>
      <c r="L28" s="35"/>
      <c r="M28" s="45"/>
      <c r="N28" s="47"/>
      <c r="V28" s="61"/>
    </row>
    <row r="29" spans="1:24" x14ac:dyDescent="0.35">
      <c r="D29" s="35"/>
      <c r="E29" s="35"/>
      <c r="G29" s="35"/>
      <c r="H29" s="35"/>
      <c r="J29" s="35"/>
      <c r="K29" s="35"/>
      <c r="L29" s="35"/>
      <c r="M29" s="45"/>
      <c r="N29" s="47"/>
      <c r="V29" s="61"/>
    </row>
    <row r="30" spans="1:24" x14ac:dyDescent="0.35">
      <c r="D30" s="35"/>
      <c r="E30" s="35"/>
      <c r="G30" s="35"/>
      <c r="H30" s="35"/>
      <c r="J30" s="35"/>
      <c r="K30" s="35"/>
      <c r="L30" s="35"/>
      <c r="M30" s="45"/>
      <c r="N30" s="47"/>
      <c r="V30" s="61"/>
    </row>
    <row r="35" spans="1:8" ht="18.5" x14ac:dyDescent="0.45">
      <c r="A35" s="43"/>
      <c r="B35" s="44"/>
      <c r="C35" s="44"/>
      <c r="D35" s="44"/>
      <c r="E35" s="44"/>
      <c r="F35" s="44"/>
      <c r="G35" s="44"/>
      <c r="H35" s="44"/>
    </row>
    <row r="42" spans="1:8" x14ac:dyDescent="0.35">
      <c r="C42" s="1"/>
      <c r="D42" s="1"/>
      <c r="E42" s="1"/>
      <c r="F42" s="1"/>
    </row>
    <row r="43" spans="1:8" x14ac:dyDescent="0.35">
      <c r="C43" s="1"/>
      <c r="D43" s="1"/>
      <c r="E43" s="1"/>
      <c r="F43" s="1"/>
    </row>
    <row r="44" spans="1:8" x14ac:dyDescent="0.35">
      <c r="C44" s="1"/>
      <c r="D44" s="1"/>
      <c r="E44" s="1"/>
      <c r="F44" s="1"/>
    </row>
    <row r="63" spans="3:6" x14ac:dyDescent="0.35">
      <c r="C63" s="1"/>
      <c r="D63" s="1"/>
      <c r="E63" s="1"/>
      <c r="F63" s="1"/>
    </row>
    <row r="79" spans="4:6" x14ac:dyDescent="0.35">
      <c r="D79" s="1"/>
      <c r="E79" s="1"/>
      <c r="F79" s="1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N3:N30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22"/>
  <sheetViews>
    <sheetView workbookViewId="0">
      <selection activeCell="D30" sqref="D30"/>
    </sheetView>
  </sheetViews>
  <sheetFormatPr defaultRowHeight="14.5" x14ac:dyDescent="0.35"/>
  <cols>
    <col min="1" max="1" width="19.90625" customWidth="1"/>
    <col min="2" max="2" width="5.6328125" bestFit="1" customWidth="1"/>
    <col min="3" max="3" width="12.08984375" bestFit="1" customWidth="1"/>
    <col min="4" max="4" width="14.36328125" customWidth="1"/>
    <col min="5" max="5" width="27.453125" bestFit="1" customWidth="1"/>
    <col min="6" max="6" width="17.36328125" customWidth="1"/>
    <col min="7" max="7" width="12" bestFit="1" customWidth="1"/>
    <col min="8" max="8" width="17.54296875" customWidth="1"/>
    <col min="9" max="9" width="26.90625" bestFit="1" customWidth="1"/>
    <col min="10" max="10" width="20.6328125" customWidth="1"/>
    <col min="11" max="11" width="17.90625" style="87" customWidth="1"/>
    <col min="12" max="13" width="15.08984375" customWidth="1"/>
    <col min="14" max="14" width="11.36328125" customWidth="1"/>
    <col min="15" max="15" width="20" customWidth="1"/>
    <col min="16" max="16" width="15.36328125" customWidth="1"/>
    <col min="17" max="17" width="17.453125" customWidth="1"/>
    <col min="18" max="18" width="14.08984375" customWidth="1"/>
    <col min="19" max="19" width="11.08984375" customWidth="1"/>
  </cols>
  <sheetData>
    <row r="1" spans="1:19" ht="29" x14ac:dyDescent="0.35">
      <c r="A1" s="84" t="s">
        <v>549</v>
      </c>
      <c r="B1" s="84" t="s">
        <v>534</v>
      </c>
      <c r="C1" s="84" t="s">
        <v>535</v>
      </c>
      <c r="D1" s="84" t="s">
        <v>100</v>
      </c>
      <c r="E1" s="84" t="s">
        <v>101</v>
      </c>
      <c r="F1" s="84" t="s">
        <v>102</v>
      </c>
      <c r="G1" s="88" t="s">
        <v>384</v>
      </c>
      <c r="H1" s="88" t="s">
        <v>415</v>
      </c>
      <c r="I1" s="88" t="s">
        <v>546</v>
      </c>
      <c r="J1" s="88" t="s">
        <v>550</v>
      </c>
      <c r="K1" s="89" t="s">
        <v>755</v>
      </c>
      <c r="L1" s="88" t="s">
        <v>545</v>
      </c>
      <c r="M1" s="88" t="s">
        <v>558</v>
      </c>
      <c r="N1" s="84" t="s">
        <v>753</v>
      </c>
      <c r="O1" s="84" t="s">
        <v>754</v>
      </c>
      <c r="P1" s="84" t="s">
        <v>756</v>
      </c>
      <c r="Q1" s="84" t="s">
        <v>551</v>
      </c>
      <c r="R1" s="84" t="s">
        <v>552</v>
      </c>
      <c r="S1" s="84" t="s">
        <v>560</v>
      </c>
    </row>
    <row r="2" spans="1:19" x14ac:dyDescent="0.35">
      <c r="A2" t="s">
        <v>437</v>
      </c>
      <c r="B2" t="s">
        <v>437</v>
      </c>
      <c r="C2" t="s">
        <v>440</v>
      </c>
      <c r="D2" t="s">
        <v>108</v>
      </c>
      <c r="E2" t="s">
        <v>17</v>
      </c>
      <c r="F2" t="str" cm="1">
        <f t="array" ref="F2">_xll.FDS(E2,"FG_YIELD_NAME")</f>
        <v>Treasury - China Benchmark Bond 10Y</v>
      </c>
      <c r="G2">
        <f>VLOOKUP(A2,'LIQIDITY 2'!$A$3:$E$26,5,FALSE)</f>
        <v>2.3653</v>
      </c>
      <c r="H2" cm="1">
        <f t="array" ref="H2">_xll.FDS(B2,"FG_ROE(0)")</f>
        <v>10.126990250772799</v>
      </c>
      <c r="I2">
        <f>HLOOKUP(B2,'Index ROE'!$B$1:$V$25,24,FALSE)</f>
        <v>13.110180178021199</v>
      </c>
      <c r="J2" cm="1">
        <f t="array" ref="J2">_xll.FDS(B2, "FMA_RBICS_REV_CURRENT(30, LOC, ""PORTAGG"")")</f>
        <v>21.584260126714899</v>
      </c>
      <c r="K2" s="87">
        <f>HLOOKUP(B2,'Index earnings'!$A$1:$V$26,26,FALSE)</f>
        <v>7.2282564237734714E-2</v>
      </c>
      <c r="L2">
        <f>HLOOKUP(B2,'Yearly returns'!$B$1:$V$128,126,FALSE)</f>
        <v>-30.199515999999999</v>
      </c>
      <c r="M2">
        <f>I2-G2</f>
        <v>10.7448801780212</v>
      </c>
      <c r="N2" cm="1">
        <f t="array" ref="N2">_xlfn.PERCENTRANK.EXC(_xlfn._xlws.FILTER(M$2:M$22, ISNUMBER(M$2:M$22)),M2)*100</f>
        <v>86.3</v>
      </c>
      <c r="O2" cm="1">
        <f t="array" ref="O2">(1-_xlfn.PERCENTRANK.EXC(_xlfn._xlws.FILTER(J$2:J$22, ISNUMBER(J$2:J$22)),J2))*100</f>
        <v>81.899999999999991</v>
      </c>
      <c r="P2" cm="1">
        <f t="array" ref="P2">_xlfn.PERCENTRANK.EXC(_xlfn._xlws.FILTER(K$2:K$22, ISNUMBER(K$2:K$22)),K2)*100</f>
        <v>85.7</v>
      </c>
      <c r="Q2" cm="1">
        <f t="array" ref="Q2">_xlfn.PERCENTRANK.EXC(_xlfn._xlws.FILTER(L$2:L$22, ISNUMBER(L$2:L$22)),L2)*100</f>
        <v>90.9</v>
      </c>
      <c r="R2">
        <f>N2*Assumption!$F$63 + O2*Assumption!$F$60 + P2*Assumption!$F$61 + Q2*Assumption!$F$62</f>
        <v>86.199999999999989</v>
      </c>
      <c r="S2" cm="1">
        <f t="array" ref="S2">_xlfn.PERCENTRANK.EXC(_xlfn._xlws.FILTER(R$2:R$22, ISNUMBER(R$2:R$22)),R2)*100</f>
        <v>95.199999999999989</v>
      </c>
    </row>
    <row r="3" spans="1:19" x14ac:dyDescent="0.35">
      <c r="A3" t="s">
        <v>27</v>
      </c>
      <c r="B3" t="s">
        <v>27</v>
      </c>
      <c r="C3" t="s">
        <v>441</v>
      </c>
      <c r="D3" t="s">
        <v>111</v>
      </c>
      <c r="E3" t="s">
        <v>112</v>
      </c>
      <c r="F3" t="str" cm="1">
        <f t="array" ref="F3">_xll.FDS(E3,"FG_YIELD_NAME")</f>
        <v>Treasury - Chile Inflation-Indexed (TIPS) Bond 10Y</v>
      </c>
      <c r="G3">
        <f>VLOOKUP(A3,'LIQIDITY 2'!$A$3:$E$26,5,FALSE)</f>
        <v>2.4597888000000001</v>
      </c>
      <c r="H3" cm="1">
        <f t="array" ref="H3">_xll.FDS(B3,"FG_ROE(0)")</f>
        <v>11.885434083827199</v>
      </c>
      <c r="I3">
        <f>HLOOKUP(B3,'Index ROE'!$B$1:$V$25,24,FALSE)</f>
        <v>11.2778516938703</v>
      </c>
      <c r="J3" cm="1">
        <f t="array" ref="J3">_xll.FDS(B3, "FMA_RBICS_REV_CURRENT(30, LOC, ""PORTAGG"")")</f>
        <v>31.803252924792499</v>
      </c>
      <c r="K3" s="87">
        <f>HLOOKUP(B3,'Index earnings'!$A$1:$V$26,26,FALSE)</f>
        <v>3.8701923493088319E-2</v>
      </c>
      <c r="L3">
        <f>HLOOKUP(B3,'Yearly returns'!$B$1:$V$128,126,FALSE)</f>
        <v>-48.291077000000001</v>
      </c>
      <c r="M3">
        <f t="shared" ref="M3:M22" si="0">I3-G3</f>
        <v>8.8180628938702998</v>
      </c>
      <c r="N3" cm="1">
        <f t="array" ref="N3">_xlfn.PERCENTRANK.EXC(_xlfn._xlws.FILTER(M$2:M$22, ISNUMBER(M$2:M$22)),M3)*100</f>
        <v>68.100000000000009</v>
      </c>
      <c r="O3" cm="1">
        <f t="array" ref="O3">(1-_xlfn.PERCENTRANK.EXC(_xlfn._xlws.FILTER(J$2:J$22, ISNUMBER(J$2:J$22)),J3))*100</f>
        <v>50</v>
      </c>
      <c r="P3" cm="1">
        <f t="array" ref="P3">_xlfn.PERCENTRANK.EXC(_xlfn._xlws.FILTER(K$2:K$22, ISNUMBER(K$2:K$22)),K3)*100</f>
        <v>61.9</v>
      </c>
      <c r="Q3" cm="1">
        <f t="array" ref="Q3">_xlfn.PERCENTRANK.EXC(_xlfn._xlws.FILTER(L$2:L$22, ISNUMBER(L$2:L$22)),L3)*100</f>
        <v>18.099999999999998</v>
      </c>
      <c r="R3">
        <f>N3*Assumption!$F$63 + O3*Assumption!$F$60 + P3*Assumption!$F$61 + Q3*Assumption!$F$62</f>
        <v>49.524999999999999</v>
      </c>
      <c r="S3" cm="1">
        <f t="array" ref="S3">_xlfn.PERCENTRANK.EXC(_xlfn._xlws.FILTER(R$2:R$22, ISNUMBER(R$2:R$22)),R3)*100</f>
        <v>57.099999999999994</v>
      </c>
    </row>
    <row r="4" spans="1:19" x14ac:dyDescent="0.35">
      <c r="A4" t="s">
        <v>35</v>
      </c>
      <c r="B4" t="s">
        <v>35</v>
      </c>
      <c r="C4" t="s">
        <v>442</v>
      </c>
      <c r="D4" t="s">
        <v>128</v>
      </c>
      <c r="E4" t="s">
        <v>151</v>
      </c>
      <c r="F4" t="str" cm="1">
        <f t="array" ref="F4">_xll.FDS(E4,"FG_YIELD_NAME")</f>
        <v>Treasury - Indonesia Benchmark Bond 10Y</v>
      </c>
      <c r="G4">
        <f>VLOOKUP(A4,'LIQIDITY 2'!$A$3:$E$26,5,FALSE)</f>
        <v>6.6471749999999998</v>
      </c>
      <c r="H4" cm="1">
        <f t="array" ref="H4">_xll.FDS(B4,"FG_ROE(0)")</f>
        <v>13.2313129732196</v>
      </c>
      <c r="I4">
        <f>HLOOKUP(B4,'Index ROE'!$B$1:$V$25,24,FALSE)</f>
        <v>15.657517519582651</v>
      </c>
      <c r="J4" cm="1">
        <f t="array" ref="J4">_xll.FDS(B4, "FMA_RBICS_REV_CURRENT(30, LOC, ""PORTAGG"")")</f>
        <v>56.813398976617599</v>
      </c>
      <c r="K4" s="87">
        <f>HLOOKUP(B4,'Index earnings'!$A$1:$V$26,26,FALSE)</f>
        <v>4.2952506144938951E-2</v>
      </c>
      <c r="L4">
        <f>HLOOKUP(B4,'Yearly returns'!$B$1:$V$128,126,FALSE)</f>
        <v>-45.564906999999998</v>
      </c>
      <c r="M4">
        <f t="shared" si="0"/>
        <v>9.0103425195826503</v>
      </c>
      <c r="N4" cm="1">
        <f t="array" ref="N4">_xlfn.PERCENTRANK.EXC(_xlfn._xlws.FILTER(M$2:M$22, ISNUMBER(M$2:M$22)),M4)*100</f>
        <v>72.7</v>
      </c>
      <c r="O4" cm="1">
        <f t="array" ref="O4">(1-_xlfn.PERCENTRANK.EXC(_xlfn._xlws.FILTER(J$2:J$22, ISNUMBER(J$2:J$22)),J4))*100</f>
        <v>13.700000000000001</v>
      </c>
      <c r="P4" cm="1">
        <f t="array" ref="P4">_xlfn.PERCENTRANK.EXC(_xlfn._xlws.FILTER(K$2:K$22, ISNUMBER(K$2:K$22)),K4)*100</f>
        <v>66.600000000000009</v>
      </c>
      <c r="Q4" cm="1">
        <f t="array" ref="Q4">_xlfn.PERCENTRANK.EXC(_xlfn._xlws.FILTER(L$2:L$22, ISNUMBER(L$2:L$22)),L4)*100</f>
        <v>31.8</v>
      </c>
      <c r="R4">
        <f>N4*Assumption!$F$63 + O4*Assumption!$F$60 + P4*Assumption!$F$61 + Q4*Assumption!$F$62</f>
        <v>46.2</v>
      </c>
      <c r="S4" cm="1">
        <f t="array" ref="S4">_xlfn.PERCENTRANK.EXC(_xlfn._xlws.FILTER(R$2:R$22, ISNUMBER(R$2:R$22)),R4)*100</f>
        <v>42.8</v>
      </c>
    </row>
    <row r="5" spans="1:19" x14ac:dyDescent="0.35">
      <c r="A5" t="s">
        <v>30</v>
      </c>
      <c r="B5" t="s">
        <v>30</v>
      </c>
      <c r="C5" t="s">
        <v>443</v>
      </c>
      <c r="D5" t="s">
        <v>121</v>
      </c>
      <c r="E5" t="s">
        <v>147</v>
      </c>
      <c r="F5" t="str" cm="1">
        <f t="array" ref="F5">_xll.FDS(E5,"FG_YIELD_NAME")</f>
        <v>Philippines Benchmark Bond - 10 Year</v>
      </c>
      <c r="G5">
        <f>VLOOKUP(A5,'LIQIDITY 2'!$A$3:$E$26,5,FALSE)</f>
        <v>6.2683010000000001</v>
      </c>
      <c r="H5" cm="1">
        <f t="array" ref="H5">_xll.FDS(B5,"FG_ROE(0)")</f>
        <v>11.438955274784499</v>
      </c>
      <c r="I5">
        <f>HLOOKUP(B5,'Index ROE'!$B$1:$V$25,24,FALSE)</f>
        <v>12.530824852807651</v>
      </c>
      <c r="J5" cm="1">
        <f t="array" ref="J5">_xll.FDS(B5, "FMA_RBICS_REV_CURRENT(30, LOC, ""PORTAGG"")")</f>
        <v>47.2004098653033</v>
      </c>
      <c r="K5" s="87">
        <f>HLOOKUP(B5,'Index earnings'!$A$1:$V$26,26,FALSE)</f>
        <v>6.5968962399152176E-2</v>
      </c>
      <c r="L5">
        <f>HLOOKUP(B5,'Yearly returns'!$B$1:$V$128,126,FALSE)</f>
        <v>-34.271464999999999</v>
      </c>
      <c r="M5">
        <f t="shared" si="0"/>
        <v>6.262523852807651</v>
      </c>
      <c r="N5" cm="1">
        <f t="array" ref="N5">_xlfn.PERCENTRANK.EXC(_xlfn._xlws.FILTER(M$2:M$22, ISNUMBER(M$2:M$22)),M5)*100</f>
        <v>36.299999999999997</v>
      </c>
      <c r="O5" cm="1">
        <f t="array" ref="O5">(1-_xlfn.PERCENTRANK.EXC(_xlfn._xlws.FILTER(J$2:J$22, ISNUMBER(J$2:J$22)),J5))*100</f>
        <v>27.3</v>
      </c>
      <c r="P5" cm="1">
        <f t="array" ref="P5">_xlfn.PERCENTRANK.EXC(_xlfn._xlws.FILTER(K$2:K$22, ISNUMBER(K$2:K$22)),K5)*100</f>
        <v>80.900000000000006</v>
      </c>
      <c r="Q5" cm="1">
        <f t="array" ref="Q5">_xlfn.PERCENTRANK.EXC(_xlfn._xlws.FILTER(L$2:L$22, ISNUMBER(L$2:L$22)),L5)*100</f>
        <v>72.7</v>
      </c>
      <c r="R5">
        <f>N5*Assumption!$F$63 + O5*Assumption!$F$60 + P5*Assumption!$F$61 + Q5*Assumption!$F$62</f>
        <v>54.3</v>
      </c>
      <c r="S5" cm="1">
        <f t="array" ref="S5">_xlfn.PERCENTRANK.EXC(_xlfn._xlws.FILTER(R$2:R$22, ISNUMBER(R$2:R$22)),R5)*100</f>
        <v>66.600000000000009</v>
      </c>
    </row>
    <row r="6" spans="1:19" x14ac:dyDescent="0.35">
      <c r="A6" t="s">
        <v>23</v>
      </c>
      <c r="B6" t="s">
        <v>23</v>
      </c>
      <c r="C6" t="s">
        <v>444</v>
      </c>
      <c r="D6" t="s">
        <v>104</v>
      </c>
      <c r="E6" t="s">
        <v>133</v>
      </c>
      <c r="F6" t="str" cm="1">
        <f t="array" ref="F6">_xll.FDS(E6,"FG_YIELD_NAME")</f>
        <v>Treasury - Poland Benchmark Bond 10Y</v>
      </c>
      <c r="G6">
        <f>VLOOKUP(A6,'LIQIDITY 2'!$A$3:$E$26,5,FALSE)</f>
        <v>5.2389999999999999</v>
      </c>
      <c r="H6" cm="1">
        <f t="array" ref="H6">_xll.FDS(B6,"FG_ROE(0)")</f>
        <v>14.240762635007901</v>
      </c>
      <c r="I6">
        <f>HLOOKUP(B6,'Index ROE'!$B$1:$V$25,24,FALSE)</f>
        <v>10.013481596831115</v>
      </c>
      <c r="J6" cm="1">
        <f t="array" ref="J6">_xll.FDS(B6, "FMA_RBICS_REV_CURRENT(30, LOC, ""PORTAGG"")")</f>
        <v>48.900793152445203</v>
      </c>
      <c r="K6" s="87">
        <f>HLOOKUP(B6,'Index earnings'!$A$1:$V$26,26,FALSE)</f>
        <v>3.6620331475524681E-2</v>
      </c>
      <c r="L6">
        <f>HLOOKUP(B6,'Yearly returns'!$B$1:$V$128,126,FALSE)</f>
        <v>-47.148099999999999</v>
      </c>
      <c r="M6">
        <f t="shared" si="0"/>
        <v>4.7744815968311149</v>
      </c>
      <c r="N6" cm="1">
        <f t="array" ref="N6">_xlfn.PERCENTRANK.EXC(_xlfn._xlws.FILTER(M$2:M$22, ISNUMBER(M$2:M$22)),M6)*100</f>
        <v>22.7</v>
      </c>
      <c r="O6" cm="1">
        <f t="array" ref="O6">(1-_xlfn.PERCENTRANK.EXC(_xlfn._xlws.FILTER(J$2:J$22, ISNUMBER(J$2:J$22)),J6))*100</f>
        <v>22.799999999999997</v>
      </c>
      <c r="P6" cm="1">
        <f t="array" ref="P6">_xlfn.PERCENTRANK.EXC(_xlfn._xlws.FILTER(K$2:K$22, ISNUMBER(K$2:K$22)),K6)*100</f>
        <v>52.300000000000004</v>
      </c>
      <c r="Q6" cm="1">
        <f t="array" ref="Q6">_xlfn.PERCENTRANK.EXC(_xlfn._xlws.FILTER(L$2:L$22, ISNUMBER(L$2:L$22)),L6)*100</f>
        <v>22.7</v>
      </c>
      <c r="R6">
        <f>N6*Assumption!$F$63 + O6*Assumption!$F$60 + P6*Assumption!$F$61 + Q6*Assumption!$F$62</f>
        <v>30.125000000000004</v>
      </c>
      <c r="S6" cm="1">
        <f t="array" ref="S6">_xlfn.PERCENTRANK.EXC(_xlfn._xlws.FILTER(R$2:R$22, ISNUMBER(R$2:R$22)),R6)*100</f>
        <v>9.5</v>
      </c>
    </row>
    <row r="7" spans="1:19" x14ac:dyDescent="0.35">
      <c r="A7" t="s">
        <v>29</v>
      </c>
      <c r="B7" t="s">
        <v>29</v>
      </c>
      <c r="C7" t="s">
        <v>445</v>
      </c>
      <c r="D7" t="s">
        <v>116</v>
      </c>
      <c r="E7" t="s">
        <v>141</v>
      </c>
      <c r="F7" t="str" cm="1">
        <f t="array" ref="F7">_xll.FDS(E7,"FG_YIELD_NAME")</f>
        <v>Treasury - Peru Benchmark Bond 10Y</v>
      </c>
      <c r="G7">
        <f>VLOOKUP(A7,'LIQIDITY 2'!$A$3:$E$26,5,FALSE)</f>
        <v>6.8605729999999996</v>
      </c>
      <c r="H7" cm="1">
        <f t="array" ref="H7">_xll.FDS(B7,"FG_ROE(0)")</f>
        <v>10.3842354978066</v>
      </c>
      <c r="I7">
        <f>HLOOKUP(B7,'Index ROE'!$B$1:$V$25,24,FALSE)</f>
        <v>12.932447367368299</v>
      </c>
      <c r="J7" cm="1">
        <f t="array" ref="J7">_xll.FDS(B7, "FMA_RBICS_REV_CURRENT(30, LOC, ""PORTAGG"")")</f>
        <v>29.804032462976</v>
      </c>
      <c r="K7" s="87" t="e">
        <f>HLOOKUP(B7,'Index earnings'!$A$1:$V$26,26,FALSE)</f>
        <v>#VALUE!</v>
      </c>
      <c r="L7">
        <f>HLOOKUP(B7,'Yearly returns'!$B$1:$V$128,126,FALSE)</f>
        <v>-43.186073</v>
      </c>
      <c r="M7">
        <f t="shared" si="0"/>
        <v>6.0718743673682996</v>
      </c>
      <c r="N7" cm="1">
        <f t="array" ref="N7">_xlfn.PERCENTRANK.EXC(_xlfn._xlws.FILTER(M$2:M$22, ISNUMBER(M$2:M$22)),M7)*100</f>
        <v>31.8</v>
      </c>
      <c r="O7" cm="1">
        <f t="array" ref="O7">(1-_xlfn.PERCENTRANK.EXC(_xlfn._xlws.FILTER(J$2:J$22, ISNUMBER(J$2:J$22)),J7))*100</f>
        <v>59.099999999999994</v>
      </c>
      <c r="P7" t="e" cm="1">
        <f t="array" ref="P7">_xlfn.PERCENTRANK.EXC(_xlfn._xlws.FILTER(K$2:K$22, ISNUMBER(K$2:K$22)),K7)*100</f>
        <v>#VALUE!</v>
      </c>
      <c r="Q7" cm="1">
        <f t="array" ref="Q7">_xlfn.PERCENTRANK.EXC(_xlfn._xlws.FILTER(L$2:L$22, ISNUMBER(L$2:L$22)),L7)*100</f>
        <v>40.9</v>
      </c>
      <c r="R7" t="e">
        <f>N7*Assumption!$F$63 + O7*Assumption!$F$60 + P7*Assumption!$F$61 + Q7*Assumption!$F$62</f>
        <v>#VALUE!</v>
      </c>
      <c r="S7" t="e" cm="1">
        <f t="array" ref="S7">_xlfn.PERCENTRANK.EXC(_xlfn._xlws.FILTER(R$2:R$22, ISNUMBER(R$2:R$22)),R7)*100</f>
        <v>#VALUE!</v>
      </c>
    </row>
    <row r="8" spans="1:19" x14ac:dyDescent="0.35">
      <c r="A8" t="s">
        <v>33</v>
      </c>
      <c r="B8" t="s">
        <v>33</v>
      </c>
      <c r="C8" t="s">
        <v>446</v>
      </c>
      <c r="D8" t="s">
        <v>126</v>
      </c>
      <c r="E8" t="s">
        <v>149</v>
      </c>
      <c r="F8" t="str" cm="1">
        <f t="array" ref="F8">_xll.FDS(E8,"FG_YIELD_NAME")</f>
        <v>Treasury - Malaysia Benchmark Bond 10Y</v>
      </c>
      <c r="G8">
        <f>VLOOKUP(A8,'LIQIDITY 2'!$A$3:$E$26,5,FALSE)</f>
        <v>3.8128920000000002</v>
      </c>
      <c r="H8" cm="1">
        <f t="array" ref="H8">_xll.FDS(B8,"FG_ROE(0)")</f>
        <v>7.5346295718399796</v>
      </c>
      <c r="I8">
        <f>HLOOKUP(B8,'Index ROE'!$B$1:$V$25,24,FALSE)</f>
        <v>11.93920849991995</v>
      </c>
      <c r="J8" cm="1">
        <f t="array" ref="J8">_xll.FDS(B8, "FMA_RBICS_REV_CURRENT(30, LOC, ""PORTAGG"")")</f>
        <v>41.739834751552998</v>
      </c>
      <c r="K8" s="87">
        <f>HLOOKUP(B8,'Index earnings'!$A$1:$V$26,26,FALSE)</f>
        <v>2.5436062821663219E-2</v>
      </c>
      <c r="L8">
        <f>HLOOKUP(B8,'Yearly returns'!$B$1:$V$128,126,FALSE)</f>
        <v>-37.672127000000003</v>
      </c>
      <c r="M8">
        <f t="shared" si="0"/>
        <v>8.12631649991995</v>
      </c>
      <c r="N8" cm="1">
        <f t="array" ref="N8">_xlfn.PERCENTRANK.EXC(_xlfn._xlws.FILTER(M$2:M$22, ISNUMBER(M$2:M$22)),M8)*100</f>
        <v>59</v>
      </c>
      <c r="O8" cm="1">
        <f t="array" ref="O8">(1-_xlfn.PERCENTRANK.EXC(_xlfn._xlws.FILTER(J$2:J$22, ISNUMBER(J$2:J$22)),J8))*100</f>
        <v>45.499999999999993</v>
      </c>
      <c r="P8" cm="1">
        <f t="array" ref="P8">_xlfn.PERCENTRANK.EXC(_xlfn._xlws.FILTER(K$2:K$22, ISNUMBER(K$2:K$22)),K8)*100</f>
        <v>47.599999999999994</v>
      </c>
      <c r="Q8" cm="1">
        <f t="array" ref="Q8">_xlfn.PERCENTRANK.EXC(_xlfn._xlws.FILTER(L$2:L$22, ISNUMBER(L$2:L$22)),L8)*100</f>
        <v>59</v>
      </c>
      <c r="R8">
        <f>N8*Assumption!$F$63 + O8*Assumption!$F$60 + P8*Assumption!$F$61 + Q8*Assumption!$F$62</f>
        <v>52.774999999999999</v>
      </c>
      <c r="S8" cm="1">
        <f t="array" ref="S8">_xlfn.PERCENTRANK.EXC(_xlfn._xlws.FILTER(R$2:R$22, ISNUMBER(R$2:R$22)),R8)*100</f>
        <v>61.9</v>
      </c>
    </row>
    <row r="9" spans="1:19" x14ac:dyDescent="0.35">
      <c r="A9" t="s">
        <v>24</v>
      </c>
      <c r="B9" t="s">
        <v>24</v>
      </c>
      <c r="C9" t="s">
        <v>40</v>
      </c>
      <c r="D9" t="s">
        <v>107</v>
      </c>
      <c r="E9" t="s">
        <v>135</v>
      </c>
      <c r="F9" t="str" cm="1">
        <f t="array" ref="F9">_xll.FDS(E9,"FG_YIELD_NAME")</f>
        <v>Taiwan China Benchmark Bond - 10 Year</v>
      </c>
      <c r="G9">
        <f>VLOOKUP(A9,'LIQIDITY 2'!$A$3:$E$26,5,FALSE)</f>
        <v>1.216</v>
      </c>
      <c r="H9" cm="1">
        <f t="array" ref="H9">_xll.FDS(B9,"FG_ROE(0)")</f>
        <v>9.4762309919873893</v>
      </c>
      <c r="I9">
        <f>HLOOKUP(B9,'Index ROE'!$B$1:$V$25,24,FALSE)</f>
        <v>12.1490203436593</v>
      </c>
      <c r="J9" cm="1">
        <f t="array" ref="J9">_xll.FDS(B9, "FMA_RBICS_REV_CURRENT(30, LOC, ""PORTAGG"")")</f>
        <v>18.256348839705598</v>
      </c>
      <c r="K9" s="87">
        <f>HLOOKUP(B9,'Index earnings'!$A$1:$V$26,26,FALSE)</f>
        <v>3.7640042948128061E-2</v>
      </c>
      <c r="L9">
        <f>HLOOKUP(B9,'Yearly returns'!$B$1:$V$128,126,FALSE)</f>
        <v>-30.424976000000001</v>
      </c>
      <c r="M9">
        <f t="shared" si="0"/>
        <v>10.933020343659301</v>
      </c>
      <c r="N9" cm="1">
        <f t="array" ref="N9">_xlfn.PERCENTRANK.EXC(_xlfn._xlws.FILTER(M$2:M$22, ISNUMBER(M$2:M$22)),M9)*100</f>
        <v>90.9</v>
      </c>
      <c r="O9" cm="1">
        <f t="array" ref="O9">(1-_xlfn.PERCENTRANK.EXC(_xlfn._xlws.FILTER(J$2:J$22, ISNUMBER(J$2:J$22)),J9))*100</f>
        <v>91</v>
      </c>
      <c r="P9" cm="1">
        <f t="array" ref="P9">_xlfn.PERCENTRANK.EXC(_xlfn._xlws.FILTER(K$2:K$22, ISNUMBER(K$2:K$22)),K9)*100</f>
        <v>57.099999999999994</v>
      </c>
      <c r="Q9" cm="1">
        <f t="array" ref="Q9">_xlfn.PERCENTRANK.EXC(_xlfn._xlws.FILTER(L$2:L$22, ISNUMBER(L$2:L$22)),L9)*100</f>
        <v>81.8</v>
      </c>
      <c r="R9">
        <f>N9*Assumption!$F$63 + O9*Assumption!$F$60 + P9*Assumption!$F$61 + Q9*Assumption!$F$62</f>
        <v>80.2</v>
      </c>
      <c r="S9" cm="1">
        <f t="array" ref="S9">_xlfn.PERCENTRANK.EXC(_xlfn._xlws.FILTER(R$2:R$22, ISNUMBER(R$2:R$22)),R9)*100</f>
        <v>90.4</v>
      </c>
    </row>
    <row r="10" spans="1:19" x14ac:dyDescent="0.35">
      <c r="A10" t="s">
        <v>7</v>
      </c>
      <c r="B10" t="s">
        <v>7</v>
      </c>
      <c r="C10" t="s">
        <v>53</v>
      </c>
      <c r="D10" t="s">
        <v>125</v>
      </c>
      <c r="E10" t="s">
        <v>15</v>
      </c>
      <c r="F10" t="str" cm="1">
        <f t="array" ref="F10">_xll.FDS(E10,"FG_YIELD_NAME")</f>
        <v>Treasury - Mexico Benchmark Bond 10Y</v>
      </c>
      <c r="G10">
        <f>VLOOKUP(A10,'LIQIDITY 2'!$A$3:$E$26,5,FALSE)</f>
        <v>9.2126999999999999</v>
      </c>
      <c r="H10" cm="1">
        <f t="array" ref="H10">_xll.FDS(B10,"FG_ROE(0)")</f>
        <v>12.779743354314601</v>
      </c>
      <c r="I10">
        <f>HLOOKUP(B10,'Index ROE'!$B$1:$V$25,24,FALSE)</f>
        <v>12.78064669069385</v>
      </c>
      <c r="J10" cm="1">
        <f t="array" ref="J10">_xll.FDS(B10, "FMA_RBICS_REV_CURRENT(30, LOC, ""PORTAGG"")")</f>
        <v>28.2790580360146</v>
      </c>
      <c r="K10" s="87">
        <f>HLOOKUP(B10,'Index earnings'!$A$1:$V$26,26,FALSE)</f>
        <v>5.793652131411231E-2</v>
      </c>
      <c r="L10">
        <f>HLOOKUP(B10,'Yearly returns'!$B$1:$V$128,126,FALSE)</f>
        <v>-40.37997</v>
      </c>
      <c r="M10">
        <f t="shared" si="0"/>
        <v>3.5679466906938497</v>
      </c>
      <c r="N10" cm="1">
        <f t="array" ref="N10">_xlfn.PERCENTRANK.EXC(_xlfn._xlws.FILTER(M$2:M$22, ISNUMBER(M$2:M$22)),M10)*100</f>
        <v>13.600000000000001</v>
      </c>
      <c r="O10" cm="1">
        <f t="array" ref="O10">(1-_xlfn.PERCENTRANK.EXC(_xlfn._xlws.FILTER(J$2:J$22, ISNUMBER(J$2:J$22)),J10))*100</f>
        <v>63.7</v>
      </c>
      <c r="P10" cm="1">
        <f t="array" ref="P10">_xlfn.PERCENTRANK.EXC(_xlfn._xlws.FILTER(K$2:K$22, ISNUMBER(K$2:K$22)),K10)*100</f>
        <v>71.399999999999991</v>
      </c>
      <c r="Q10" cm="1">
        <f t="array" ref="Q10">_xlfn.PERCENTRANK.EXC(_xlfn._xlws.FILTER(L$2:L$22, ISNUMBER(L$2:L$22)),L10)*100</f>
        <v>45.4</v>
      </c>
      <c r="R10">
        <f>N10*Assumption!$F$63 + O10*Assumption!$F$60 + P10*Assumption!$F$61 + Q10*Assumption!$F$62</f>
        <v>48.524999999999999</v>
      </c>
      <c r="S10" cm="1">
        <f t="array" ref="S10">_xlfn.PERCENTRANK.EXC(_xlfn._xlws.FILTER(R$2:R$22, ISNUMBER(R$2:R$22)),R10)*100</f>
        <v>52.300000000000004</v>
      </c>
    </row>
    <row r="11" spans="1:19" x14ac:dyDescent="0.35">
      <c r="A11" t="s">
        <v>21</v>
      </c>
      <c r="B11" t="s">
        <v>21</v>
      </c>
      <c r="C11" t="s">
        <v>38</v>
      </c>
      <c r="D11" t="s">
        <v>105</v>
      </c>
      <c r="E11" t="s">
        <v>134</v>
      </c>
      <c r="F11" t="str" cm="1">
        <f t="array" ref="F11">_xll.FDS(E11,"FG_YIELD_NAME")</f>
        <v>South Korea Benchmark Bond - 10 Year</v>
      </c>
      <c r="G11">
        <f>VLOOKUP(A11,'LIQIDITY 2'!$A$3:$E$26,5,FALSE)</f>
        <v>3.4352</v>
      </c>
      <c r="H11" cm="1">
        <f t="array" ref="H11">_xll.FDS(B11,"FG_ROE(0)")</f>
        <v>5.2338747749351002</v>
      </c>
      <c r="I11">
        <f>HLOOKUP(B11,'Index ROE'!$B$1:$V$25,24,FALSE)</f>
        <v>10.671427303099851</v>
      </c>
      <c r="J11" cm="1">
        <f t="array" ref="J11">_xll.FDS(B11, "FMA_RBICS_REV_CURRENT(30, LOC, ""PORTAGG"")")</f>
        <v>14.337167053177</v>
      </c>
      <c r="K11" s="87">
        <f>HLOOKUP(B11,'Index earnings'!$A$1:$V$26,26,FALSE)</f>
        <v>2.4552141332303545E-2</v>
      </c>
      <c r="L11">
        <f>HLOOKUP(B11,'Yearly returns'!$B$1:$V$128,126,FALSE)</f>
        <v>-36.679535000000001</v>
      </c>
      <c r="M11">
        <f t="shared" si="0"/>
        <v>7.2362273030998505</v>
      </c>
      <c r="N11" cm="1">
        <f t="array" ref="N11">_xlfn.PERCENTRANK.EXC(_xlfn._xlws.FILTER(M$2:M$22, ISNUMBER(M$2:M$22)),M11)*100</f>
        <v>50</v>
      </c>
      <c r="O11" cm="1">
        <f t="array" ref="O11">(1-_xlfn.PERCENTRANK.EXC(_xlfn._xlws.FILTER(J$2:J$22, ISNUMBER(J$2:J$22)),J11))*100</f>
        <v>95.5</v>
      </c>
      <c r="P11" cm="1">
        <f t="array" ref="P11">_xlfn.PERCENTRANK.EXC(_xlfn._xlws.FILTER(K$2:K$22, ISNUMBER(K$2:K$22)),K11)*100</f>
        <v>42.8</v>
      </c>
      <c r="Q11" cm="1">
        <f t="array" ref="Q11">_xlfn.PERCENTRANK.EXC(_xlfn._xlws.FILTER(L$2:L$22, ISNUMBER(L$2:L$22)),L11)*100</f>
        <v>63.6</v>
      </c>
      <c r="R11">
        <f>N11*Assumption!$F$63 + O11*Assumption!$F$60 + P11*Assumption!$F$61 + Q11*Assumption!$F$62</f>
        <v>62.975000000000001</v>
      </c>
      <c r="S11" cm="1">
        <f t="array" ref="S11">_xlfn.PERCENTRANK.EXC(_xlfn._xlws.FILTER(R$2:R$22, ISNUMBER(R$2:R$22)),R11)*100</f>
        <v>76.099999999999994</v>
      </c>
    </row>
    <row r="12" spans="1:19" x14ac:dyDescent="0.35">
      <c r="A12" t="s">
        <v>12</v>
      </c>
      <c r="B12" t="s">
        <v>12</v>
      </c>
      <c r="C12" t="s">
        <v>54</v>
      </c>
      <c r="D12" t="s">
        <v>131</v>
      </c>
      <c r="E12" t="s">
        <v>20</v>
      </c>
      <c r="F12" t="str" cm="1">
        <f t="array" ref="F12">_xll.FDS(E12,"FG_YIELD_NAME")</f>
        <v>Treasury - Brazil Benchmark Bond 10Y</v>
      </c>
      <c r="G12">
        <f>VLOOKUP(A12,'LIQIDITY 2'!$A$3:$E$26,5,FALSE)</f>
        <v>10.887092000000001</v>
      </c>
      <c r="H12" cm="1">
        <f t="array" ref="H12">_xll.FDS(B12,"FG_ROE(0)")</f>
        <v>19.758409936509</v>
      </c>
      <c r="I12">
        <f>HLOOKUP(B12,'Index ROE'!$B$1:$V$25,24,FALSE)</f>
        <v>14.78911439612005</v>
      </c>
      <c r="J12" cm="1">
        <f t="array" ref="J12">_xll.FDS(B12, "FMA_RBICS_REV_CURRENT(30, LOC, ""PORTAGG"")")</f>
        <v>27.105017275125999</v>
      </c>
      <c r="K12" s="87">
        <f>HLOOKUP(B12,'Index earnings'!$A$1:$V$26,26,FALSE)</f>
        <v>2.0722984293528368E-2</v>
      </c>
      <c r="L12">
        <f>HLOOKUP(B12,'Yearly returns'!$B$1:$V$128,126,FALSE)</f>
        <v>-55.152299999999997</v>
      </c>
      <c r="M12">
        <f t="shared" si="0"/>
        <v>3.9020223961200493</v>
      </c>
      <c r="N12" cm="1">
        <f t="array" ref="N12">_xlfn.PERCENTRANK.EXC(_xlfn._xlws.FILTER(M$2:M$22, ISNUMBER(M$2:M$22)),M12)*100</f>
        <v>18.099999999999998</v>
      </c>
      <c r="O12" cm="1">
        <f t="array" ref="O12">(1-_xlfn.PERCENTRANK.EXC(_xlfn._xlws.FILTER(J$2:J$22, ISNUMBER(J$2:J$22)),J12))*100</f>
        <v>68.199999999999989</v>
      </c>
      <c r="P12" cm="1">
        <f t="array" ref="P12">_xlfn.PERCENTRANK.EXC(_xlfn._xlws.FILTER(K$2:K$22, ISNUMBER(K$2:K$22)),K12)*100</f>
        <v>33.300000000000004</v>
      </c>
      <c r="Q12" cm="1">
        <f t="array" ref="Q12">_xlfn.PERCENTRANK.EXC(_xlfn._xlws.FILTER(L$2:L$22, ISNUMBER(L$2:L$22)),L12)*100</f>
        <v>13.600000000000001</v>
      </c>
      <c r="R12">
        <f>N12*Assumption!$F$63 + O12*Assumption!$F$60 + P12*Assumption!$F$61 + Q12*Assumption!$F$62</f>
        <v>33.299999999999997</v>
      </c>
      <c r="S12" cm="1">
        <f t="array" ref="S12">_xlfn.PERCENTRANK.EXC(_xlfn._xlws.FILTER(R$2:R$22, ISNUMBER(R$2:R$22)),R12)*100</f>
        <v>14.2</v>
      </c>
    </row>
    <row r="13" spans="1:19" x14ac:dyDescent="0.35">
      <c r="A13" t="s">
        <v>22</v>
      </c>
      <c r="B13" t="s">
        <v>22</v>
      </c>
      <c r="C13" t="s">
        <v>447</v>
      </c>
      <c r="D13" t="s">
        <v>103</v>
      </c>
      <c r="E13" t="s">
        <v>132</v>
      </c>
      <c r="F13" t="str" cm="1">
        <f t="array" ref="F13">_xll.FDS(E13,"FG_YIELD_NAME")</f>
        <v>South Africa Benchmark Bond - 10 Year</v>
      </c>
      <c r="G13">
        <f>VLOOKUP(A13,'LIQIDITY 2'!$A$3:$E$26,5,FALSE)</f>
        <v>11.671312</v>
      </c>
      <c r="H13" cm="1">
        <f t="array" ref="H13">_xll.FDS(B13,"FG_ROE(0)")</f>
        <v>16.1615742028116</v>
      </c>
      <c r="I13">
        <f>HLOOKUP(B13,'Index ROE'!$B$1:$V$25,24,FALSE)</f>
        <v>16.7616860731518</v>
      </c>
      <c r="J13" cm="1">
        <f t="array" ref="J13">_xll.FDS(B13, "FMA_RBICS_REV_CURRENT(30, LOC, ""PORTAGG"")")</f>
        <v>42.946283032138098</v>
      </c>
      <c r="K13" s="87">
        <f>HLOOKUP(B13,'Index earnings'!$A$1:$V$26,26,FALSE)</f>
        <v>2.3789114726455285E-2</v>
      </c>
      <c r="L13">
        <f>HLOOKUP(B13,'Yearly returns'!$B$1:$V$128,126,FALSE)</f>
        <v>-45.795760000000001</v>
      </c>
      <c r="M13">
        <f t="shared" si="0"/>
        <v>5.0903740731517999</v>
      </c>
      <c r="N13" cm="1">
        <f t="array" ref="N13">_xlfn.PERCENTRANK.EXC(_xlfn._xlws.FILTER(M$2:M$22, ISNUMBER(M$2:M$22)),M13)*100</f>
        <v>27.200000000000003</v>
      </c>
      <c r="O13" cm="1">
        <f t="array" ref="O13">(1-_xlfn.PERCENTRANK.EXC(_xlfn._xlws.FILTER(J$2:J$22, ISNUMBER(J$2:J$22)),J13))*100</f>
        <v>41</v>
      </c>
      <c r="P13" cm="1">
        <f t="array" ref="P13">_xlfn.PERCENTRANK.EXC(_xlfn._xlws.FILTER(K$2:K$22, ISNUMBER(K$2:K$22)),K13)*100</f>
        <v>38</v>
      </c>
      <c r="Q13" cm="1">
        <f t="array" ref="Q13">_xlfn.PERCENTRANK.EXC(_xlfn._xlws.FILTER(L$2:L$22, ISNUMBER(L$2:L$22)),L13)*100</f>
        <v>27.200000000000003</v>
      </c>
      <c r="R13">
        <f>N13*Assumption!$F$63 + O13*Assumption!$F$60 + P13*Assumption!$F$61 + Q13*Assumption!$F$62</f>
        <v>33.35</v>
      </c>
      <c r="S13" cm="1">
        <f t="array" ref="S13">_xlfn.PERCENTRANK.EXC(_xlfn._xlws.FILTER(R$2:R$22, ISNUMBER(R$2:R$22)),R13)*100</f>
        <v>19</v>
      </c>
    </row>
    <row r="14" spans="1:19" x14ac:dyDescent="0.35">
      <c r="A14" t="s">
        <v>28</v>
      </c>
      <c r="B14" t="s">
        <v>28</v>
      </c>
      <c r="C14" t="s">
        <v>448</v>
      </c>
      <c r="D14" t="s">
        <v>115</v>
      </c>
      <c r="E14" t="s">
        <v>140</v>
      </c>
      <c r="F14" t="str" cm="1">
        <f t="array" ref="F14">_xll.FDS(E14,"FG_YIELD_NAME")</f>
        <v>Greece Benchmark Bond - 10 Year</v>
      </c>
      <c r="G14">
        <f>VLOOKUP(A14,'LIQIDITY 2'!$A$3:$E$26,5,FALSE)</f>
        <v>3.4590000000000001</v>
      </c>
      <c r="H14" cm="1">
        <f t="array" ref="H14">_xll.FDS(B14,"FG_ROE(0)")</f>
        <v>14.200977303018099</v>
      </c>
      <c r="I14">
        <f>HLOOKUP(B14,'Index ROE'!$B$1:$V$25,24,FALSE)</f>
        <v>5.4192242708958744</v>
      </c>
      <c r="J14" cm="1">
        <f t="array" ref="J14">_xll.FDS(B14, "FMA_RBICS_REV_CURRENT(30, LOC, ""PORTAGG"")")</f>
        <v>44.6988114809499</v>
      </c>
      <c r="K14" s="87">
        <f>HLOOKUP(B14,'Index earnings'!$A$1:$V$26,26,FALSE)</f>
        <v>-9.9977006807554725E-2</v>
      </c>
      <c r="L14">
        <f>HLOOKUP(B14,'Yearly returns'!$B$1:$V$128,126,FALSE)</f>
        <v>-55.316932999999999</v>
      </c>
      <c r="M14">
        <f t="shared" si="0"/>
        <v>1.9602242708958744</v>
      </c>
      <c r="N14" cm="1">
        <f t="array" ref="N14">_xlfn.PERCENTRANK.EXC(_xlfn._xlws.FILTER(M$2:M$22, ISNUMBER(M$2:M$22)),M14)*100</f>
        <v>9</v>
      </c>
      <c r="O14" cm="1">
        <f t="array" ref="O14">(1-_xlfn.PERCENTRANK.EXC(_xlfn._xlws.FILTER(J$2:J$22, ISNUMBER(J$2:J$22)),J14))*100</f>
        <v>31.899999999999995</v>
      </c>
      <c r="P14" cm="1">
        <f t="array" ref="P14">_xlfn.PERCENTRANK.EXC(_xlfn._xlws.FILTER(K$2:K$22, ISNUMBER(K$2:K$22)),K14)*100</f>
        <v>4.7</v>
      </c>
      <c r="Q14" cm="1">
        <f t="array" ref="Q14">_xlfn.PERCENTRANK.EXC(_xlfn._xlws.FILTER(L$2:L$22, ISNUMBER(L$2:L$22)),L14)*100</f>
        <v>9</v>
      </c>
      <c r="R14">
        <f>N14*Assumption!$F$63 + O14*Assumption!$F$60 + P14*Assumption!$F$61 + Q14*Assumption!$F$62</f>
        <v>13.649999999999999</v>
      </c>
      <c r="S14" cm="1">
        <f t="array" ref="S14">_xlfn.PERCENTRANK.EXC(_xlfn._xlws.FILTER(R$2:R$22, ISNUMBER(R$2:R$22)),R14)*100</f>
        <v>4.7</v>
      </c>
    </row>
    <row r="15" spans="1:19" x14ac:dyDescent="0.35">
      <c r="A15" t="s">
        <v>32</v>
      </c>
      <c r="B15" t="s">
        <v>32</v>
      </c>
      <c r="C15" t="s">
        <v>52</v>
      </c>
      <c r="D15" t="s">
        <v>122</v>
      </c>
      <c r="E15" t="s">
        <v>18</v>
      </c>
      <c r="F15" t="str" cm="1">
        <f t="array" ref="F15">_xll.FDS(E15,"FG_YIELD_NAME")</f>
        <v>India Benchmark Bond - 10 Year</v>
      </c>
      <c r="G15">
        <f>VLOOKUP(A15,'LIQIDITY 2'!$A$3:$E$26,5,FALSE)</f>
        <v>7.0519999999999996</v>
      </c>
      <c r="H15" cm="1">
        <f t="array" ref="H15">_xll.FDS(B15,"FG_ROE(0)")</f>
        <v>16.130351007490901</v>
      </c>
      <c r="I15">
        <f>HLOOKUP(B15,'Index ROE'!$B$1:$V$25,24,FALSE)</f>
        <v>15.463136340534799</v>
      </c>
      <c r="J15" cm="1">
        <f t="array" ref="J15">_xll.FDS(B15, "FMA_RBICS_REV_CURRENT(30, LOC, ""PORTAGG"")")</f>
        <v>29.974520816489399</v>
      </c>
      <c r="K15" s="87">
        <f>HLOOKUP(B15,'Index earnings'!$A$1:$V$26,26,FALSE)</f>
        <v>6.0142563832452867E-2</v>
      </c>
      <c r="L15">
        <f>HLOOKUP(B15,'Yearly returns'!$B$1:$V$128,126,FALSE)</f>
        <v>-38.107289999999999</v>
      </c>
      <c r="M15">
        <f t="shared" si="0"/>
        <v>8.4111363405347994</v>
      </c>
      <c r="N15" cm="1">
        <f t="array" ref="N15">_xlfn.PERCENTRANK.EXC(_xlfn._xlws.FILTER(M$2:M$22, ISNUMBER(M$2:M$22)),M15)*100</f>
        <v>63.6</v>
      </c>
      <c r="O15" cm="1">
        <f t="array" ref="O15">(1-_xlfn.PERCENTRANK.EXC(_xlfn._xlws.FILTER(J$2:J$22, ISNUMBER(J$2:J$22)),J15))*100</f>
        <v>54.6</v>
      </c>
      <c r="P15" cm="1">
        <f t="array" ref="P15">_xlfn.PERCENTRANK.EXC(_xlfn._xlws.FILTER(K$2:K$22, ISNUMBER(K$2:K$22)),K15)*100</f>
        <v>76.099999999999994</v>
      </c>
      <c r="Q15" cm="1">
        <f t="array" ref="Q15">_xlfn.PERCENTRANK.EXC(_xlfn._xlws.FILTER(L$2:L$22, ISNUMBER(L$2:L$22)),L15)*100</f>
        <v>54.500000000000007</v>
      </c>
      <c r="R15">
        <f>N15*Assumption!$F$63 + O15*Assumption!$F$60 + P15*Assumption!$F$61 + Q15*Assumption!$F$62</f>
        <v>62.2</v>
      </c>
      <c r="S15" cm="1">
        <f t="array" ref="S15">_xlfn.PERCENTRANK.EXC(_xlfn._xlws.FILTER(R$2:R$22, ISNUMBER(R$2:R$22)),R15)*100</f>
        <v>71.399999999999991</v>
      </c>
    </row>
    <row r="16" spans="1:19" x14ac:dyDescent="0.35">
      <c r="A16" t="s">
        <v>26</v>
      </c>
      <c r="B16" t="s">
        <v>26</v>
      </c>
      <c r="C16" t="s">
        <v>41</v>
      </c>
      <c r="D16" t="s">
        <v>108</v>
      </c>
      <c r="E16" t="s">
        <v>17</v>
      </c>
      <c r="F16" t="str" cm="1">
        <f t="array" ref="F16">_xll.FDS(E16,"FG_YIELD_NAME")</f>
        <v>Treasury - China Benchmark Bond 10Y</v>
      </c>
      <c r="G16">
        <f>VLOOKUP(A16,'LIQIDITY 2'!$A$3:$E$26,5,FALSE)</f>
        <v>2.3653</v>
      </c>
      <c r="H16" cm="1">
        <f t="array" ref="H16">_xll.FDS(B16,"FG_ROE(0)")</f>
        <v>10.6948722051233</v>
      </c>
      <c r="I16">
        <f>HLOOKUP(B16,'Index ROE'!$B$1:$V$25,24,FALSE)</f>
        <v>12.8854801395228</v>
      </c>
      <c r="J16" cm="1">
        <f t="array" ref="J16">_xll.FDS(B16, "FMA_RBICS_REV_CURRENT(30, LOC, ""PORTAGG"")")</f>
        <v>23.346558114115499</v>
      </c>
      <c r="K16" s="87">
        <f>HLOOKUP(B16,'Index earnings'!$A$1:$V$26,26,FALSE)</f>
        <v>7.2282564237734714E-2</v>
      </c>
      <c r="L16">
        <f>HLOOKUP(B16,'Yearly returns'!$B$1:$V$128,126,FALSE)</f>
        <v>-40.043945000000001</v>
      </c>
      <c r="M16">
        <f t="shared" si="0"/>
        <v>10.5201801395228</v>
      </c>
      <c r="N16" cm="1">
        <f t="array" ref="N16">_xlfn.PERCENTRANK.EXC(_xlfn._xlws.FILTER(M$2:M$22, ISNUMBER(M$2:M$22)),M16)*100</f>
        <v>81.8</v>
      </c>
      <c r="O16" cm="1">
        <f t="array" ref="O16">(1-_xlfn.PERCENTRANK.EXC(_xlfn._xlws.FILTER(J$2:J$22, ISNUMBER(J$2:J$22)),J16))*100</f>
        <v>77.3</v>
      </c>
      <c r="P16" cm="1">
        <f t="array" ref="P16">_xlfn.PERCENTRANK.EXC(_xlfn._xlws.FILTER(K$2:K$22, ISNUMBER(K$2:K$22)),K16)*100</f>
        <v>85.7</v>
      </c>
      <c r="Q16" cm="1">
        <f t="array" ref="Q16">_xlfn.PERCENTRANK.EXC(_xlfn._xlws.FILTER(L$2:L$22, ISNUMBER(L$2:L$22)),L16)*100</f>
        <v>50</v>
      </c>
      <c r="R16">
        <f>N16*Assumption!$F$63 + O16*Assumption!$F$60 + P16*Assumption!$F$61 + Q16*Assumption!$F$62</f>
        <v>73.7</v>
      </c>
      <c r="S16" cm="1">
        <f t="array" ref="S16">_xlfn.PERCENTRANK.EXC(_xlfn._xlws.FILTER(R$2:R$22, ISNUMBER(R$2:R$22)),R16)*100</f>
        <v>85.7</v>
      </c>
    </row>
    <row r="17" spans="1:19" x14ac:dyDescent="0.35">
      <c r="A17" t="s">
        <v>1</v>
      </c>
      <c r="B17" t="s">
        <v>31</v>
      </c>
      <c r="C17" t="s">
        <v>449</v>
      </c>
      <c r="D17" t="s">
        <v>124</v>
      </c>
      <c r="E17" t="s">
        <v>148</v>
      </c>
      <c r="F17" t="str" cm="1">
        <f t="array" ref="F17">_xll.FDS(E17,"FG_YIELD_NAME")</f>
        <v>Treasury - Qatar Benchmark Bond 10Y</v>
      </c>
      <c r="G17">
        <f>VLOOKUP(A17,'LIQIDITY 2'!$A$3:$E$26,5,FALSE)</f>
        <v>4.2160000000000002</v>
      </c>
      <c r="H17" cm="1">
        <f t="array" ref="H17">_xll.FDS(B17,"FG_ROE(0)")</f>
        <v>10.105230434459701</v>
      </c>
      <c r="I17">
        <f>HLOOKUP(B17,'Index ROE'!$B$1:$V$25,24,FALSE)</f>
        <v>12.269166041116101</v>
      </c>
      <c r="J17" cm="1">
        <f t="array" ref="J17">_xll.FDS(B17, "FMA_RBICS_REV_CURRENT(30, LOC, ""PORTAGG"")")</f>
        <v>59.732673330961802</v>
      </c>
      <c r="K17" s="87">
        <f>HLOOKUP(B17,'Index earnings'!$A$1:$V$26,26,FALSE)</f>
        <v>8.8740466700483189E-3</v>
      </c>
      <c r="L17">
        <f>HLOOKUP(B17,'Yearly returns'!$B$1:$V$128,126,FALSE)</f>
        <v>-22.073381000000001</v>
      </c>
      <c r="M17">
        <f t="shared" si="0"/>
        <v>8.0531660411160999</v>
      </c>
      <c r="N17" cm="1">
        <f t="array" ref="N17">_xlfn.PERCENTRANK.EXC(_xlfn._xlws.FILTER(M$2:M$22, ISNUMBER(M$2:M$22)),M17)*100</f>
        <v>54.500000000000007</v>
      </c>
      <c r="O17" cm="1">
        <f t="array" ref="O17">(1-_xlfn.PERCENTRANK.EXC(_xlfn._xlws.FILTER(J$2:J$22, ISNUMBER(J$2:J$22)),J17))*100</f>
        <v>4.6000000000000041</v>
      </c>
      <c r="P17" cm="1">
        <f t="array" ref="P17">_xlfn.PERCENTRANK.EXC(_xlfn._xlws.FILTER(K$2:K$22, ISNUMBER(K$2:K$22)),K17)*100</f>
        <v>23.799999999999997</v>
      </c>
      <c r="Q17" cm="1">
        <f t="array" ref="Q17">_xlfn.PERCENTRANK.EXC(_xlfn._xlws.FILTER(L$2:L$22, ISNUMBER(L$2:L$22)),L17)*100</f>
        <v>95.399999999999991</v>
      </c>
      <c r="R17">
        <f>N17*Assumption!$F$63 + O17*Assumption!$F$60 + P17*Assumption!$F$61 + Q17*Assumption!$F$62</f>
        <v>44.575000000000003</v>
      </c>
      <c r="S17" cm="1">
        <f t="array" ref="S17">_xlfn.PERCENTRANK.EXC(_xlfn._xlws.FILTER(R$2:R$22, ISNUMBER(R$2:R$22)),R17)*100</f>
        <v>38</v>
      </c>
    </row>
    <row r="18" spans="1:19" x14ac:dyDescent="0.35">
      <c r="A18" t="s">
        <v>764</v>
      </c>
      <c r="B18" t="s">
        <v>764</v>
      </c>
      <c r="C18" t="s">
        <v>765</v>
      </c>
      <c r="D18" t="s">
        <v>224</v>
      </c>
      <c r="E18" t="s">
        <v>458</v>
      </c>
      <c r="F18" t="str" cm="1">
        <f t="array" ref="F18">_xll.FDS(E18,"FG_YIELD_NAME")</f>
        <v>Thailand Benchmark Bond - 10 Year</v>
      </c>
      <c r="G18">
        <f>VLOOKUP(A18,'LIQIDITY 2'!$A$3:$E$26,5,FALSE)</f>
        <v>2.5491839999999999</v>
      </c>
      <c r="H18" cm="1">
        <f t="array" ref="H18">_xll.FDS(B18,"FG_ROE(0)")</f>
        <v>7.94237877059886</v>
      </c>
      <c r="I18">
        <f>HLOOKUP(B18,'Index ROE'!$B$1:$V$25,24,FALSE)</f>
        <v>13.0025654489041</v>
      </c>
      <c r="J18" cm="1">
        <f t="array" ref="J18">_xll.FDS(B18, "FMA_RBICS_REV_CURRENT(30, LOC, ""PORTAGG"")")</f>
        <v>24.0678590465577</v>
      </c>
      <c r="K18" s="87">
        <f>HLOOKUP(B18,'Index earnings'!$A$1:$V$26,26,FALSE)</f>
        <v>1.2617007682877768E-2</v>
      </c>
      <c r="L18">
        <f>HLOOKUP(B18,'Yearly returns'!$B$1:$V$128,126,FALSE)</f>
        <v>-30.940055999999998</v>
      </c>
      <c r="M18">
        <f t="shared" si="0"/>
        <v>10.4533814489041</v>
      </c>
      <c r="N18" cm="1">
        <f t="array" ref="N18">_xlfn.PERCENTRANK.EXC(_xlfn._xlws.FILTER(M$2:M$22, ISNUMBER(M$2:M$22)),M18)*100</f>
        <v>77.2</v>
      </c>
      <c r="O18" cm="1">
        <f t="array" ref="O18">(1-_xlfn.PERCENTRANK.EXC(_xlfn._xlws.FILTER(J$2:J$22, ISNUMBER(J$2:J$22)),J18))*100</f>
        <v>72.8</v>
      </c>
      <c r="P18" cm="1">
        <f t="array" ref="P18">_xlfn.PERCENTRANK.EXC(_xlfn._xlws.FILTER(K$2:K$22, ISNUMBER(K$2:K$22)),K18)*100</f>
        <v>28.499999999999996</v>
      </c>
      <c r="Q18" cm="1">
        <f t="array" ref="Q18">_xlfn.PERCENTRANK.EXC(_xlfn._xlws.FILTER(L$2:L$22, ISNUMBER(L$2:L$22)),L18)*100</f>
        <v>77.2</v>
      </c>
      <c r="R18">
        <f>N18*Assumption!$F$63 + O18*Assumption!$F$60 + P18*Assumption!$F$61 + Q18*Assumption!$F$62</f>
        <v>63.924999999999997</v>
      </c>
      <c r="S18" cm="1">
        <f t="array" ref="S18">_xlfn.PERCENTRANK.EXC(_xlfn._xlws.FILTER(R$2:R$22, ISNUMBER(R$2:R$22)),R18)*100</f>
        <v>80.900000000000006</v>
      </c>
    </row>
    <row r="19" spans="1:19" x14ac:dyDescent="0.35">
      <c r="A19" t="s">
        <v>25</v>
      </c>
      <c r="B19" t="s">
        <v>25</v>
      </c>
      <c r="C19" t="s">
        <v>451</v>
      </c>
      <c r="D19" t="s">
        <v>109</v>
      </c>
      <c r="E19" t="s">
        <v>136</v>
      </c>
      <c r="F19" t="str" cm="1">
        <f t="array" ref="F19">_xll.FDS(E19,"FG_YIELD_NAME")</f>
        <v>Treasury - Turkey Benchmark Bond 7Y</v>
      </c>
      <c r="G19">
        <f>VLOOKUP(A19,'LIQIDITY 2'!$A$3:$E$26,5,FALSE)</f>
        <v>23.918244999999999</v>
      </c>
      <c r="H19" cm="1">
        <f t="array" ref="H19">_xll.FDS(B19,"FG_ROE(0)")</f>
        <v>30.394854237551399</v>
      </c>
      <c r="I19">
        <f>HLOOKUP(B19,'Index ROE'!$B$1:$V$25,24,FALSE)</f>
        <v>14.8344890006952</v>
      </c>
      <c r="J19" cm="1">
        <f t="array" ref="J19">_xll.FDS(B19, "FMA_RBICS_REV_CURRENT(30, LOC, ""PORTAGG"")")</f>
        <v>20.7687153748575</v>
      </c>
      <c r="K19" s="87">
        <f>HLOOKUP(B19,'Index earnings'!$A$1:$V$26,26,FALSE)</f>
        <v>8.2005714106922367E-2</v>
      </c>
      <c r="L19">
        <f>HLOOKUP(B19,'Yearly returns'!$B$1:$V$128,126,FALSE)</f>
        <v>-56.335064000000003</v>
      </c>
      <c r="M19">
        <f t="shared" si="0"/>
        <v>-9.0837559993047989</v>
      </c>
      <c r="N19" cm="1">
        <f t="array" ref="N19">_xlfn.PERCENTRANK.EXC(_xlfn._xlws.FILTER(M$2:M$22, ISNUMBER(M$2:M$22)),M19)*100</f>
        <v>4.5</v>
      </c>
      <c r="O19" cm="1">
        <f t="array" ref="O19">(1-_xlfn.PERCENTRANK.EXC(_xlfn._xlws.FILTER(J$2:J$22, ISNUMBER(J$2:J$22)),J19))*100</f>
        <v>86.4</v>
      </c>
      <c r="P19" cm="1">
        <f t="array" ref="P19">_xlfn.PERCENTRANK.EXC(_xlfn._xlws.FILTER(K$2:K$22, ISNUMBER(K$2:K$22)),K19)*100</f>
        <v>95.199999999999989</v>
      </c>
      <c r="Q19" cm="1">
        <f t="array" ref="Q19">_xlfn.PERCENTRANK.EXC(_xlfn._xlws.FILTER(L$2:L$22, ISNUMBER(L$2:L$22)),L19)*100</f>
        <v>4.5</v>
      </c>
      <c r="R19">
        <f>N19*Assumption!$F$63 + O19*Assumption!$F$60 + P19*Assumption!$F$61 + Q19*Assumption!$F$62</f>
        <v>47.65</v>
      </c>
      <c r="S19" cm="1">
        <f t="array" ref="S19">_xlfn.PERCENTRANK.EXC(_xlfn._xlws.FILTER(R$2:R$22, ISNUMBER(R$2:R$22)),R19)*100</f>
        <v>47.599999999999994</v>
      </c>
    </row>
    <row r="20" spans="1:19" x14ac:dyDescent="0.35">
      <c r="A20" t="s">
        <v>34</v>
      </c>
      <c r="B20" t="s">
        <v>34</v>
      </c>
      <c r="C20" t="s">
        <v>452</v>
      </c>
      <c r="D20" t="s">
        <v>127</v>
      </c>
      <c r="E20" t="s">
        <v>150</v>
      </c>
      <c r="F20" t="str" cm="1">
        <f t="array" ref="F20">_xll.FDS(E20,"FG_YIELD_NAME")</f>
        <v>Treasury - United Arab Emirates USD Benchmark Bond 10Y</v>
      </c>
      <c r="G20">
        <f>VLOOKUP(A20,'LIQIDITY 2'!$A$3:$E$26,5,FALSE)</f>
        <v>4.2160000000000002</v>
      </c>
      <c r="H20" cm="1">
        <f t="array" ref="H20">_xll.FDS(B20,"FG_ROE(0)")</f>
        <v>12.9419933694601</v>
      </c>
      <c r="I20">
        <f>HLOOKUP(B20,'Index ROE'!$B$1:$V$25,24,FALSE)</f>
        <v>11.15637049467375</v>
      </c>
      <c r="J20" cm="1">
        <f t="array" ref="J20">_xll.FDS(B20, "FMA_RBICS_REV_CURRENT(30, LOC, ""PORTAGG"")")</f>
        <v>59.256088974393599</v>
      </c>
      <c r="K20" s="87">
        <f>HLOOKUP(B20,'Index earnings'!$A$1:$V$26,26,FALSE)</f>
        <v>8.3481705840200426E-3</v>
      </c>
      <c r="L20">
        <f>HLOOKUP(B20,'Yearly returns'!$B$1:$V$128,126,FALSE)</f>
        <v>-35.989983000000002</v>
      </c>
      <c r="M20">
        <f t="shared" si="0"/>
        <v>6.9403704946737497</v>
      </c>
      <c r="N20" cm="1">
        <f t="array" ref="N20">_xlfn.PERCENTRANK.EXC(_xlfn._xlws.FILTER(M$2:M$22, ISNUMBER(M$2:M$22)),M20)*100</f>
        <v>45.4</v>
      </c>
      <c r="O20" cm="1">
        <f t="array" ref="O20">(1-_xlfn.PERCENTRANK.EXC(_xlfn._xlws.FILTER(J$2:J$22, ISNUMBER(J$2:J$22)),J20))*100</f>
        <v>9.0999999999999979</v>
      </c>
      <c r="P20" cm="1">
        <f t="array" ref="P20">_xlfn.PERCENTRANK.EXC(_xlfn._xlws.FILTER(K$2:K$22, ISNUMBER(K$2:K$22)),K20)*100</f>
        <v>19</v>
      </c>
      <c r="Q20" cm="1">
        <f t="array" ref="Q20">_xlfn.PERCENTRANK.EXC(_xlfn._xlws.FILTER(L$2:L$22, ISNUMBER(L$2:L$22)),L20)*100</f>
        <v>68.100000000000009</v>
      </c>
      <c r="R20">
        <f>N20*Assumption!$F$63 + O20*Assumption!$F$60 + P20*Assumption!$F$61 + Q20*Assumption!$F$62</f>
        <v>35.400000000000006</v>
      </c>
      <c r="S20" cm="1">
        <f t="array" ref="S20">_xlfn.PERCENTRANK.EXC(_xlfn._xlws.FILTER(R$2:R$22, ISNUMBER(R$2:R$22)),R20)*100</f>
        <v>23.799999999999997</v>
      </c>
    </row>
    <row r="21" spans="1:19" x14ac:dyDescent="0.35">
      <c r="A21" t="s">
        <v>37</v>
      </c>
      <c r="B21" t="s">
        <v>37</v>
      </c>
      <c r="C21" t="s">
        <v>453</v>
      </c>
      <c r="D21" t="s">
        <v>130</v>
      </c>
      <c r="E21" t="s">
        <v>153</v>
      </c>
      <c r="F21" t="str" cm="1">
        <f t="array" ref="F21">_xll.FDS(E21,"FG_YIELD_NAME")</f>
        <v>Treasury - Vietnam Benchmark Bond 10Y</v>
      </c>
      <c r="G21">
        <f>VLOOKUP(A21,'LIQIDITY 2'!$A$3:$E$26,5,FALSE)</f>
        <v>2.2360842000000001</v>
      </c>
      <c r="H21" cm="1">
        <f t="array" ref="H21">_xll.FDS(B21,"FG_ROE(0)")</f>
        <v>8.8721910151400696</v>
      </c>
      <c r="I21">
        <f>HLOOKUP(B21,'Index ROE'!$B$1:$V$25,24,FALSE)</f>
        <v>15.109726785561501</v>
      </c>
      <c r="J21" cm="1">
        <f t="array" ref="J21">_xll.FDS(B21, "FMA_RBICS_REV_CURRENT(30, LOC, ""PORTAGG"")")</f>
        <v>55.231368279198001</v>
      </c>
      <c r="K21" s="87">
        <f>HLOOKUP(B21,'Index earnings'!$A$1:$V$26,26,FALSE)</f>
        <v>-4.4922819308067519E-2</v>
      </c>
      <c r="L21">
        <f>HLOOKUP(B21,'Yearly returns'!$B$1:$V$128,126,FALSE)</f>
        <v>-43.580418000000002</v>
      </c>
      <c r="M21">
        <f t="shared" si="0"/>
        <v>12.8736425855615</v>
      </c>
      <c r="N21" cm="1">
        <f t="array" ref="N21">_xlfn.PERCENTRANK.EXC(_xlfn._xlws.FILTER(M$2:M$22, ISNUMBER(M$2:M$22)),M21)*100</f>
        <v>95.399999999999991</v>
      </c>
      <c r="O21" cm="1">
        <f t="array" ref="O21">(1-_xlfn.PERCENTRANK.EXC(_xlfn._xlws.FILTER(J$2:J$22, ISNUMBER(J$2:J$22)),J21))*100</f>
        <v>18.200000000000006</v>
      </c>
      <c r="P21" cm="1">
        <f t="array" ref="P21">_xlfn.PERCENTRANK.EXC(_xlfn._xlws.FILTER(K$2:K$22, ISNUMBER(K$2:K$22)),K21)*100</f>
        <v>9.5</v>
      </c>
      <c r="Q21" cm="1">
        <f t="array" ref="Q21">_xlfn.PERCENTRANK.EXC(_xlfn._xlws.FILTER(L$2:L$22, ISNUMBER(L$2:L$22)),L21)*100</f>
        <v>36.299999999999997</v>
      </c>
      <c r="R21">
        <f>N21*Assumption!$F$63 + O21*Assumption!$F$60 + P21*Assumption!$F$61 + Q21*Assumption!$F$62</f>
        <v>39.849999999999994</v>
      </c>
      <c r="S21" cm="1">
        <f t="array" ref="S21">_xlfn.PERCENTRANK.EXC(_xlfn._xlws.FILTER(R$2:R$22, ISNUMBER(R$2:R$22)),R21)*100</f>
        <v>28.499999999999996</v>
      </c>
    </row>
    <row r="22" spans="1:19" x14ac:dyDescent="0.35">
      <c r="A22" t="s">
        <v>36</v>
      </c>
      <c r="B22" t="s">
        <v>36</v>
      </c>
      <c r="C22" t="s">
        <v>454</v>
      </c>
      <c r="D22" t="s">
        <v>129</v>
      </c>
      <c r="E22" t="s">
        <v>152</v>
      </c>
      <c r="F22" t="str" cm="1">
        <f t="array" ref="F22">_xll.FDS(E22,"FG_YIELD_NAME")</f>
        <v>Treasury - SAUDI ARABIA Benchmark Bond 10Y</v>
      </c>
      <c r="G22">
        <f>VLOOKUP(A22,'LIQIDITY 2'!$A$3:$E$26,5,FALSE)</f>
        <v>5.2282165999999997</v>
      </c>
      <c r="H22" cm="1">
        <f t="array" ref="H22">_xll.FDS(B22,"FG_ROE(0)")</f>
        <v>9.8278936957001797</v>
      </c>
      <c r="I22">
        <f>HLOOKUP(B22,'Index ROE'!$B$1:$V$25,24,FALSE)</f>
        <v>11.9967853551854</v>
      </c>
      <c r="J22" cm="1">
        <f t="array" ref="J22">_xll.FDS(B22, "FMA_RBICS_REV_CURRENT(30, LOC, ""PORTAGG"")")</f>
        <v>44.2768099557168</v>
      </c>
      <c r="K22" s="87">
        <f>HLOOKUP(B22,'Index earnings'!$A$1:$V$26,26,FALSE)</f>
        <v>-1.6026075350590196E-2</v>
      </c>
      <c r="L22">
        <f>HLOOKUP(B22,'Yearly returns'!$B$1:$V$128,126,FALSE)</f>
        <v>-30.41919</v>
      </c>
      <c r="M22">
        <f t="shared" si="0"/>
        <v>6.7685687551854006</v>
      </c>
      <c r="N22" cm="1">
        <f t="array" ref="N22">_xlfn.PERCENTRANK.EXC(_xlfn._xlws.FILTER(M$2:M$22, ISNUMBER(M$2:M$22)),M22)*100</f>
        <v>40.9</v>
      </c>
      <c r="O22" cm="1">
        <f t="array" ref="O22">(1-_xlfn.PERCENTRANK.EXC(_xlfn._xlws.FILTER(J$2:J$22, ISNUMBER(J$2:J$22)),J22))*100</f>
        <v>36.4</v>
      </c>
      <c r="P22" cm="1">
        <f t="array" ref="P22">_xlfn.PERCENTRANK.EXC(_xlfn._xlws.FILTER(K$2:K$22, ISNUMBER(K$2:K$22)),K22)*100</f>
        <v>14.2</v>
      </c>
      <c r="Q22" cm="1">
        <f t="array" ref="Q22">_xlfn.PERCENTRANK.EXC(_xlfn._xlws.FILTER(L$2:L$22, ISNUMBER(L$2:L$22)),L22)*100</f>
        <v>86.3</v>
      </c>
      <c r="R22">
        <f>N22*Assumption!$F$63 + O22*Assumption!$F$60 + P22*Assumption!$F$61 + Q22*Assumption!$F$62</f>
        <v>44.45</v>
      </c>
      <c r="S22" cm="1">
        <f t="array" ref="S22">_xlfn.PERCENTRANK.EXC(_xlfn._xlws.FILTER(R$2:R$22, ISNUMBER(R$2:R$22)),R22)*100</f>
        <v>33.300000000000004</v>
      </c>
    </row>
  </sheetData>
  <pageMargins left="0.7" right="0.7" top="0.75" bottom="0.75" header="0.3" footer="0.3"/>
  <ignoredErrors>
    <ignoredError sqref="O2:O22" formula="1"/>
    <ignoredError sqref="R17:S17" evalErro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69"/>
  <sheetViews>
    <sheetView zoomScaleNormal="100" workbookViewId="0">
      <pane xSplit="1" topLeftCell="T1" activePane="topRight" state="frozen"/>
      <selection pane="topRight" activeCell="AM3" sqref="AM3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90625" customWidth="1"/>
    <col min="6" max="6" width="11.36328125" customWidth="1"/>
    <col min="7" max="7" width="10" customWidth="1"/>
    <col min="8" max="8" width="9.36328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08984375" customWidth="1"/>
    <col min="14" max="14" width="0.36328125" customWidth="1"/>
    <col min="15" max="15" width="15.6328125" bestFit="1" customWidth="1"/>
    <col min="16" max="16" width="15.36328125" customWidth="1"/>
    <col min="17" max="17" width="18.453125" customWidth="1"/>
    <col min="18" max="18" width="17.08984375" customWidth="1"/>
    <col min="19" max="19" width="6.54296875" customWidth="1"/>
    <col min="20" max="21" width="17.54296875" customWidth="1"/>
    <col min="22" max="22" width="18.90625" customWidth="1"/>
    <col min="23" max="23" width="13.36328125" customWidth="1"/>
    <col min="24" max="24" width="13" customWidth="1"/>
    <col min="25" max="25" width="13.453125" customWidth="1"/>
    <col min="26" max="26" width="13" customWidth="1"/>
    <col min="27" max="27" width="12.08984375" customWidth="1"/>
    <col min="28" max="28" width="11.453125" customWidth="1"/>
    <col min="29" max="31" width="13.6328125" customWidth="1"/>
    <col min="32" max="32" width="10.36328125" customWidth="1"/>
    <col min="33" max="33" width="7" customWidth="1"/>
    <col min="34" max="34" width="9.6328125" customWidth="1"/>
  </cols>
  <sheetData>
    <row r="1" spans="1:37" ht="62.25" customHeight="1" thickBot="1" x14ac:dyDescent="0.4">
      <c r="C1" t="s">
        <v>0</v>
      </c>
      <c r="D1" s="60" t="s">
        <v>913</v>
      </c>
      <c r="E1" s="84" t="s">
        <v>914</v>
      </c>
      <c r="F1" s="84" t="s">
        <v>16</v>
      </c>
      <c r="G1" s="84" t="s">
        <v>68</v>
      </c>
      <c r="H1" s="84" t="s">
        <v>63</v>
      </c>
      <c r="I1" s="84" t="s">
        <v>71</v>
      </c>
      <c r="J1" s="84" t="s">
        <v>79</v>
      </c>
      <c r="K1" t="s">
        <v>70</v>
      </c>
      <c r="L1" t="s">
        <v>396</v>
      </c>
      <c r="M1" t="s">
        <v>397</v>
      </c>
      <c r="O1" t="s">
        <v>4</v>
      </c>
      <c r="P1" t="s">
        <v>5</v>
      </c>
      <c r="Q1" t="s">
        <v>9</v>
      </c>
      <c r="R1" t="s">
        <v>517</v>
      </c>
      <c r="T1" t="s">
        <v>522</v>
      </c>
      <c r="U1" t="s">
        <v>523</v>
      </c>
      <c r="V1" t="s">
        <v>518</v>
      </c>
      <c r="W1" t="s">
        <v>4</v>
      </c>
      <c r="X1" t="s">
        <v>73</v>
      </c>
      <c r="Y1" t="s">
        <v>74</v>
      </c>
      <c r="Z1" t="s">
        <v>77</v>
      </c>
      <c r="AA1" t="s">
        <v>78</v>
      </c>
      <c r="AB1" t="s">
        <v>79</v>
      </c>
      <c r="AC1" t="s">
        <v>398</v>
      </c>
      <c r="AD1" t="s">
        <v>399</v>
      </c>
      <c r="AE1" s="84" t="s">
        <v>915</v>
      </c>
      <c r="AH1" s="1" t="s">
        <v>87</v>
      </c>
      <c r="AI1" t="s">
        <v>88</v>
      </c>
    </row>
    <row r="2" spans="1:37" s="30" customFormat="1" ht="15" thickBot="1" x14ac:dyDescent="0.4">
      <c r="A2" s="29"/>
      <c r="U2" s="31">
        <f>Assumption!E24</f>
        <v>0</v>
      </c>
      <c r="V2" s="31">
        <f>Assumption!E12</f>
        <v>0.4</v>
      </c>
      <c r="W2" s="31">
        <f>Assumption!F12</f>
        <v>0.3</v>
      </c>
      <c r="X2" s="31">
        <f>Assumption!G12</f>
        <v>0.3</v>
      </c>
      <c r="Z2" s="30">
        <f>Assumption!E20</f>
        <v>0</v>
      </c>
      <c r="AA2" s="31">
        <f>Assumption!G16</f>
        <v>0</v>
      </c>
      <c r="AB2" s="31">
        <f>Assumption!H16</f>
        <v>0</v>
      </c>
      <c r="AC2" s="31">
        <f>Assumption!E16</f>
        <v>0</v>
      </c>
      <c r="AD2" s="31">
        <f>Assumption!F16</f>
        <v>0</v>
      </c>
      <c r="AE2" s="31">
        <f>Assumption!E29</f>
        <v>0.2</v>
      </c>
      <c r="AF2" s="31">
        <f>SUM(V2:AD2)</f>
        <v>1</v>
      </c>
    </row>
    <row r="3" spans="1:37" x14ac:dyDescent="0.35">
      <c r="A3" t="s">
        <v>437</v>
      </c>
      <c r="B3" t="s">
        <v>440</v>
      </c>
      <c r="C3" t="s">
        <v>437</v>
      </c>
      <c r="D3" s="163">
        <f>VLOOKUP(C3,'Market Capitalisation'!$C$2:$G$31,5,FALSE)</f>
        <v>7607175</v>
      </c>
      <c r="E3" cm="1">
        <f t="array" ref="E3">_xll.FDS(C3,"FMA_COS_UP(""EPS"",""1M"",+1,NOW,,,""PORTAGG"",""MEANR"")")</f>
        <v>79</v>
      </c>
      <c r="F3" cm="1">
        <f t="array" ref="F3">_xll.FDS(C3,"FMA_COS_DOWN(""EPS"",""1M"",+1,NOW,,,""PORTAGG"",""MEANR"")")</f>
        <v>190</v>
      </c>
      <c r="G3" cm="1">
        <f t="array" ref="G3">_xll.FDS(A3,"SIZE(FG_CONSTITUENTS)")</f>
        <v>520</v>
      </c>
      <c r="H3" s="9">
        <f t="shared" ref="H3:H23" si="0">E3/$G3</f>
        <v>0.15192307692307691</v>
      </c>
      <c r="I3" s="9">
        <f t="shared" ref="I3:I23" si="1">F3/$G3</f>
        <v>0.36538461538461536</v>
      </c>
      <c r="J3" s="9">
        <f t="shared" ref="J3:J23" si="2">H3-I3</f>
        <v>-0.21346153846153845</v>
      </c>
      <c r="K3" s="5" cm="1">
        <f t="array" ref="K3">_xll.FDS(A3,"FMA_PCT_ABOVE_MAVG(200,0,,,,""PORTAGG"")")/100</f>
        <v>0.27886323268205998</v>
      </c>
      <c r="L3" s="50" cm="1">
        <f t="array" ref="L3">_xll.FDSB(A3,"PERCENT_CHANGE(FMA_EPS(+1,0,,,,""PORTAGG"",""MEAN""),FMA_EPS(+1,-1AM,,,,""PORTAGG"",""MEAN""))")</f>
        <v>-15.370037595215299</v>
      </c>
      <c r="M3" s="50" cm="1">
        <f t="array" ref="M3">_xll.FDSB(A3,"PERCENT_CHANGE(FMA_EPS(+1,0,,,,""PORTAGG"",""MEAN""),FMA_EPS(+1,-3AM,,,,""PORTAGG"",""MEAN""))")</f>
        <v>-22.304102331475999</v>
      </c>
      <c r="O3" s="3" cm="1">
        <f t="array" ref="O3">_xll.FDS(C3,"FG_TOTAL_RETURNC(0,-3AM)")</f>
        <v>0.62448979999999998</v>
      </c>
      <c r="P3" s="3" cm="1">
        <f t="array" ref="P3">_xll.FDS(C3,"FG_TOTAL_RETURNC(0,-6AM)")</f>
        <v>-6.0119987000000004</v>
      </c>
      <c r="Q3" s="9" cm="1">
        <f t="array" ref="Q3">_xll.FDS(C3,"P_PRICE(0)/P_PRICE_HIGH_PR(0,,,USD,,,""PRICE"",""INTRA"",""52W"")")</f>
        <v>0.77883756000000004</v>
      </c>
      <c r="R3" s="9" cm="1">
        <f t="array" ref="R3">_xll.FDS(C3,"P_PRICE(0)/P_PRICE_low_PR(0,,,USD,,,""PRICE"",""INTRA"",""52W"")-1")</f>
        <v>0.13460696</v>
      </c>
      <c r="T3" s="4" cm="1">
        <f t="array" ref="T3">_xlfn.PERCENTRANK.EXC(_xlfn._xlws.FILTER($R$3:$R$23, ISNUMBER($R$3:$R$23)),R3)*100</f>
        <v>36.299999999999997</v>
      </c>
      <c r="U3" s="4">
        <f t="shared" ref="U3:U23" si="3">100-T3</f>
        <v>63.7</v>
      </c>
      <c r="V3" s="4" cm="1">
        <f t="array" ref="V3">_xlfn.PERCENTRANK.EXC(_xlfn._xlws.FILTER($Q$3:$Q$23, ISNUMBER($Q$3:$Q$23)),Q3)*100</f>
        <v>9</v>
      </c>
      <c r="W3" s="4" cm="1">
        <f t="array" ref="W3">_xlfn.PERCENTRANK.EXC(_xlfn._xlws.FILTER($O$3:$O$23, ISNUMBER($O$3:$O$23)),O3)*100</f>
        <v>27.200000000000003</v>
      </c>
      <c r="X3" s="4" cm="1">
        <f t="array" ref="X3">_xlfn.PERCENTRANK.EXC(_xlfn._xlws.FILTER($P$3:$P$23, ISNUMBER($P$3:$P$23)),P3)*100</f>
        <v>18.099999999999998</v>
      </c>
      <c r="Z3" s="4" cm="1">
        <f t="array" ref="Z3">_xlfn.PERCENTRANK.EXC(_xlfn._xlws.FILTER($K$3:$K$23, ISNUMBER($K$3:$K$23)),K3)*100</f>
        <v>9</v>
      </c>
      <c r="AA3" s="4" cm="1">
        <f t="array" ref="AA3">_xlfn.PERCENTRANK.EXC(_xlfn._xlws.FILTER($H$3:$H$23, ISNUMBER($H$3:$H$23)),H3)*100</f>
        <v>9</v>
      </c>
      <c r="AB3" s="4" cm="1">
        <f t="array" ref="AB3">_xlfn.PERCENTRANK.EXC(_xlfn._xlws.FILTER($J$3:$J$23, ISNUMBER($J$3:$J$23)),J3)*100</f>
        <v>18.099999999999998</v>
      </c>
      <c r="AC3" s="4">
        <f t="shared" ref="AC3:AC23" si="4">_xlfn.PERCENTRANK.EXC($L$3:$L$23,L3)*100</f>
        <v>31.8</v>
      </c>
      <c r="AD3" s="4">
        <f t="shared" ref="AD3:AD23" si="5">_xlfn.PERCENTRANK.EXC($M$3:$M$23,M3)*100</f>
        <v>31.8</v>
      </c>
      <c r="AE3" s="4">
        <f t="shared" ref="AE3:AE23" si="6">_xlfn.PERCENTRANK.EXC($D$3:$D$23,D3)*100</f>
        <v>90.9</v>
      </c>
      <c r="AF3" s="4">
        <f>SUMPRODUCT($U$2:$AE$2,U3:AE3)</f>
        <v>35.370000000000005</v>
      </c>
      <c r="AH3" s="3" cm="1">
        <f t="array" ref="AH3">_xlfn.PERCENTRANK.EXC(_xlfn._xlws.FILTER($AF$3:$AF$23, ISNUMBER($AF$3:$AF$23)),AF3)*100</f>
        <v>22.7</v>
      </c>
      <c r="AI3">
        <f t="shared" ref="AI3:AI23" si="7">COUNTIF(V3:AB3,"&gt;70")</f>
        <v>0</v>
      </c>
      <c r="AK3" s="4"/>
    </row>
    <row r="4" spans="1:37" x14ac:dyDescent="0.35">
      <c r="A4" t="s">
        <v>27</v>
      </c>
      <c r="B4" t="s">
        <v>441</v>
      </c>
      <c r="C4" t="s">
        <v>27</v>
      </c>
      <c r="D4" s="163">
        <f>VLOOKUP(C4,'Market Capitalisation'!$C$2:$G$31,5,FALSE)</f>
        <v>138242.16</v>
      </c>
      <c r="E4" cm="1">
        <f t="array" ref="E4">_xll.FDS(C4,"FMA_COS_UP(""EPS"",""1M"",+1,NOW,,,""PORTAGG"",""MEANR"")")</f>
        <v>13</v>
      </c>
      <c r="F4" cm="1">
        <f t="array" ref="F4">_xll.FDS(C4,"FMA_COS_DOWN(""EPS"",""1M"",+1,NOW,,,""PORTAGG"",""MEANR"")")</f>
        <v>8</v>
      </c>
      <c r="G4" cm="1">
        <f t="array" ref="G4">_xll.FDS(A4,"SIZE(FG_CONSTITUENTS)")</f>
        <v>29</v>
      </c>
      <c r="H4" s="9">
        <f t="shared" si="0"/>
        <v>0.44827586206896552</v>
      </c>
      <c r="I4" s="9">
        <f t="shared" si="1"/>
        <v>0.27586206896551724</v>
      </c>
      <c r="J4" s="9">
        <f t="shared" si="2"/>
        <v>0.17241379310344829</v>
      </c>
      <c r="K4" s="5" cm="1">
        <f t="array" ref="K4">_xll.FDS(A4,"FMA_PCT_ABOVE_MAVG(200,0,,,,""PORTAGG"")")/100</f>
        <v>0.75862068965517193</v>
      </c>
      <c r="L4" s="50" cm="1">
        <f t="array" ref="L4">_xll.FDSB(A4,"PERCENT_CHANGE(FMA_EPS(+1,0,,,,""PORTAGG"",""MEAN""),FMA_EPS(+1,-1AM,,,,""PORTAGG"",""MEAN""))")</f>
        <v>21.808967906598099</v>
      </c>
      <c r="M4" s="50" cm="1">
        <f t="array" ref="M4">_xll.FDSB(A4,"PERCENT_CHANGE(FMA_EPS(+1,0,,,,""PORTAGG"",""MEAN""),FMA_EPS(+1,-3AM,,,,""PORTAGG"",""MEAN""))")</f>
        <v>4.6881163152901504</v>
      </c>
      <c r="O4" s="3" cm="1">
        <f t="array" ref="O4">_xll.FDS(C4,"FG_TOTAL_RETURNC(0,-3AM)")</f>
        <v>-4.0421009999999997</v>
      </c>
      <c r="P4" s="3" cm="1">
        <f t="array" ref="P4">_xll.FDS(C4,"FG_TOTAL_RETURNC(0,-6AM)")</f>
        <v>-9.4704990000000002</v>
      </c>
      <c r="Q4" s="9" cm="1">
        <f t="array" ref="Q4">_xll.FDS(C4,"P_PRICE(0)/P_PRICE_HIGH_PR(0,,,USD,,,""PRICE"",""INTRA"",""52W"")")</f>
        <v>0.79850279999999996</v>
      </c>
      <c r="R4" s="9" cm="1">
        <f t="array" ref="R4">_xll.FDS(C4,"P_PRICE(0)/P_PRICE_low_PR(0,,,USD,,,""PRICE"",""INTRA"",""52W"")-1")</f>
        <v>8.153784E-2</v>
      </c>
      <c r="T4" s="4" cm="1">
        <f t="array" ref="T4">_xlfn.PERCENTRANK.EXC(_xlfn._xlws.FILTER($R$3:$R$23, ISNUMBER($R$3:$R$23)),R4)*100</f>
        <v>9</v>
      </c>
      <c r="U4" s="4">
        <f t="shared" si="3"/>
        <v>91</v>
      </c>
      <c r="V4" s="4" cm="1">
        <f t="array" ref="V4">_xlfn.PERCENTRANK.EXC(_xlfn._xlws.FILTER($Q$3:$Q$23, ISNUMBER($Q$3:$Q$23)),Q4)*100</f>
        <v>13.600000000000001</v>
      </c>
      <c r="W4" s="4" cm="1">
        <f t="array" ref="W4">_xlfn.PERCENTRANK.EXC(_xlfn._xlws.FILTER($O$3:$O$23, ISNUMBER($O$3:$O$23)),O4)*100</f>
        <v>13.600000000000001</v>
      </c>
      <c r="X4" s="4" cm="1">
        <f t="array" ref="X4">_xlfn.PERCENTRANK.EXC(_xlfn._xlws.FILTER($P$3:$P$23, ISNUMBER($P$3:$P$23)),P4)*100</f>
        <v>13.600000000000001</v>
      </c>
      <c r="Z4" s="4" cm="1">
        <f t="array" ref="Z4">_xlfn.PERCENTRANK.EXC(_xlfn._xlws.FILTER($K$3:$K$23, ISNUMBER($K$3:$K$23)),K4)*100</f>
        <v>77.2</v>
      </c>
      <c r="AA4" s="4" cm="1">
        <f t="array" ref="AA4">_xlfn.PERCENTRANK.EXC(_xlfn._xlws.FILTER($H$3:$H$23, ISNUMBER($H$3:$H$23)),H4)*100</f>
        <v>81.8</v>
      </c>
      <c r="AB4" s="4" cm="1">
        <f t="array" ref="AB4">_xlfn.PERCENTRANK.EXC(_xlfn._xlws.FILTER($J$3:$J$23, ISNUMBER($J$3:$J$23)),J4)*100</f>
        <v>90.9</v>
      </c>
      <c r="AC4" s="4">
        <f t="shared" si="4"/>
        <v>95.399999999999991</v>
      </c>
      <c r="AD4" s="4">
        <f t="shared" si="5"/>
        <v>86.3</v>
      </c>
      <c r="AE4" s="4">
        <f t="shared" si="6"/>
        <v>18.099999999999998</v>
      </c>
      <c r="AF4" s="4">
        <f t="shared" ref="AF4:AF23" si="8">SUMPRODUCT($U$2:$AE$2,U4:AE4)</f>
        <v>17.220000000000002</v>
      </c>
      <c r="AH4" s="3" cm="1">
        <f t="array" ref="AH4">_xlfn.PERCENTRANK.EXC(_xlfn._xlws.FILTER($AF$3:$AF$23, ISNUMBER($AF$3:$AF$23)),AF4)*100</f>
        <v>4.5</v>
      </c>
      <c r="AI4">
        <f t="shared" si="7"/>
        <v>3</v>
      </c>
      <c r="AK4" s="4"/>
    </row>
    <row r="5" spans="1:37" x14ac:dyDescent="0.35">
      <c r="A5" t="s">
        <v>35</v>
      </c>
      <c r="B5" t="s">
        <v>442</v>
      </c>
      <c r="C5" t="s">
        <v>35</v>
      </c>
      <c r="D5" s="163">
        <f>VLOOKUP(C5,'Market Capitalisation'!$C$2:$G$31,5,FALSE)</f>
        <v>645292.80000000005</v>
      </c>
      <c r="E5" cm="1">
        <f t="array" ref="E5">_xll.FDS(C5,"FMA_COS_UP(""EPS"",""1M"",+1,NOW,,,""PORTAGG"",""MEANR"")")</f>
        <v>19</v>
      </c>
      <c r="F5" cm="1">
        <f t="array" ref="F5">_xll.FDS(C5,"FMA_COS_DOWN(""EPS"",""1M"",+1,NOW,,,""PORTAGG"",""MEANR"")")</f>
        <v>20</v>
      </c>
      <c r="G5" cm="1">
        <f t="array" ref="G5">_xll.FDS(A5,"SIZE(FG_CONSTITUENTS)")</f>
        <v>77</v>
      </c>
      <c r="H5" s="9">
        <f t="shared" si="0"/>
        <v>0.24675324675324675</v>
      </c>
      <c r="I5" s="9">
        <f t="shared" si="1"/>
        <v>0.25974025974025972</v>
      </c>
      <c r="J5" s="9">
        <f t="shared" si="2"/>
        <v>-1.2987012987012964E-2</v>
      </c>
      <c r="K5" s="5" cm="1">
        <f t="array" ref="K5">_xll.FDS(A5,"FMA_PCT_ABOVE_MAVG(200,0,,,,""PORTAGG"")")/100</f>
        <v>0.32432432432432401</v>
      </c>
      <c r="L5" s="50" cm="1">
        <f t="array" ref="L5">_xll.FDSB(A5,"PERCENT_CHANGE(FMA_EPS(+1,0,,,,""PORTAGG"",""MEAN""),FMA_EPS(+1,-1AM,,,,""PORTAGG"",""MEAN""))")</f>
        <v>-7.7139020098735198</v>
      </c>
      <c r="M5" s="50" cm="1">
        <f t="array" ref="M5">_xll.FDSB(A5,"PERCENT_CHANGE(FMA_EPS(+1,0,,,,""PORTAGG"",""MEAN""),FMA_EPS(+1,-3AM,,,,""PORTAGG"",""MEAN""))")</f>
        <v>-11.2069851423001</v>
      </c>
      <c r="O5" s="3" cm="1">
        <f t="array" ref="O5">_xll.FDS(C5,"FG_TOTAL_RETURNC(0,-3AM)")</f>
        <v>2.2841214999999999</v>
      </c>
      <c r="P5" s="3" cm="1">
        <f t="array" ref="P5">_xll.FDS(C5,"FG_TOTAL_RETURNC(0,-6AM)")</f>
        <v>-3.7066758000000002</v>
      </c>
      <c r="Q5" s="9" cm="1">
        <f t="array" ref="Q5">_xll.FDS(C5,"P_PRICE(0)/P_PRICE_HIGH_PR(0,,,USD,,,""PRICE"",""INTRA"",""52W"")")</f>
        <v>0.89507663000000004</v>
      </c>
      <c r="R5" s="9" cm="1">
        <f t="array" ref="R5">_xll.FDS(C5,"P_PRICE(0)/P_PRICE_low_PR(0,,,USD,,,""PRICE"",""INTRA"",""52W"")-1")</f>
        <v>0.11205816</v>
      </c>
      <c r="T5" s="4" cm="1">
        <f t="array" ref="T5">_xlfn.PERCENTRANK.EXC(_xlfn._xlws.FILTER($R$3:$R$23, ISNUMBER($R$3:$R$23)),R5)*100</f>
        <v>27.200000000000003</v>
      </c>
      <c r="U5" s="4">
        <f t="shared" si="3"/>
        <v>72.8</v>
      </c>
      <c r="V5" s="4" cm="1">
        <f t="array" ref="V5">_xlfn.PERCENTRANK.EXC(_xlfn._xlws.FILTER($Q$3:$Q$23, ISNUMBER($Q$3:$Q$23)),Q5)*100</f>
        <v>27.200000000000003</v>
      </c>
      <c r="W5" s="4" cm="1">
        <f t="array" ref="W5">_xlfn.PERCENTRANK.EXC(_xlfn._xlws.FILTER($O$3:$O$23, ISNUMBER($O$3:$O$23)),O5)*100</f>
        <v>40.9</v>
      </c>
      <c r="X5" s="4" cm="1">
        <f t="array" ref="X5">_xlfn.PERCENTRANK.EXC(_xlfn._xlws.FILTER($P$3:$P$23, ISNUMBER($P$3:$P$23)),P5)*100</f>
        <v>31.8</v>
      </c>
      <c r="Z5" s="4" cm="1">
        <f t="array" ref="Z5">_xlfn.PERCENTRANK.EXC(_xlfn._xlws.FILTER($K$3:$K$23, ISNUMBER($K$3:$K$23)),K5)*100</f>
        <v>13.600000000000001</v>
      </c>
      <c r="AA5" s="4" cm="1">
        <f t="array" ref="AA5">_xlfn.PERCENTRANK.EXC(_xlfn._xlws.FILTER($H$3:$H$23, ISNUMBER($H$3:$H$23)),H5)*100</f>
        <v>27.200000000000003</v>
      </c>
      <c r="AB5" s="4" cm="1">
        <f t="array" ref="AB5">_xlfn.PERCENTRANK.EXC(_xlfn._xlws.FILTER($J$3:$J$23, ISNUMBER($J$3:$J$23)),J5)*100</f>
        <v>50</v>
      </c>
      <c r="AC5" s="4">
        <f t="shared" si="4"/>
        <v>63.6</v>
      </c>
      <c r="AD5" s="4">
        <f t="shared" si="5"/>
        <v>63.6</v>
      </c>
      <c r="AE5" s="4">
        <f t="shared" si="6"/>
        <v>59</v>
      </c>
      <c r="AF5" s="4">
        <f t="shared" si="8"/>
        <v>44.489999999999995</v>
      </c>
      <c r="AH5" s="3" cm="1">
        <f t="array" ref="AH5">_xlfn.PERCENTRANK.EXC(_xlfn._xlws.FILTER($AF$3:$AF$23, ISNUMBER($AF$3:$AF$23)),AF5)*100</f>
        <v>31.8</v>
      </c>
      <c r="AI5">
        <f t="shared" si="7"/>
        <v>0</v>
      </c>
      <c r="AK5" s="4"/>
    </row>
    <row r="6" spans="1:37" x14ac:dyDescent="0.35">
      <c r="A6" t="s">
        <v>30</v>
      </c>
      <c r="B6" t="s">
        <v>443</v>
      </c>
      <c r="C6" t="s">
        <v>30</v>
      </c>
      <c r="D6" s="163">
        <f>VLOOKUP(C6,'Market Capitalisation'!$C$2:$G$31,5,FALSE)</f>
        <v>219848.69</v>
      </c>
      <c r="E6" cm="1">
        <f t="array" ref="E6">_xll.FDS(C6,"FMA_COS_UP(""EPS"",""1M"",+1,NOW,,,""PORTAGG"",""MEANR"")")</f>
        <v>9</v>
      </c>
      <c r="F6" cm="1">
        <f t="array" ref="F6">_xll.FDS(C6,"FMA_COS_DOWN(""EPS"",""1M"",+1,NOW,,,""PORTAGG"",""MEANR"")")</f>
        <v>11</v>
      </c>
      <c r="G6" cm="1">
        <f t="array" ref="G6">_xll.FDS(A6,"SIZE(FG_CONSTITUENTS)")</f>
        <v>35</v>
      </c>
      <c r="H6" s="9">
        <f t="shared" si="0"/>
        <v>0.25714285714285712</v>
      </c>
      <c r="I6" s="9">
        <f t="shared" si="1"/>
        <v>0.31428571428571428</v>
      </c>
      <c r="J6" s="9">
        <f t="shared" si="2"/>
        <v>-5.7142857142857162E-2</v>
      </c>
      <c r="K6" s="5" cm="1">
        <f t="array" ref="K6">_xll.FDS(A6,"FMA_PCT_ABOVE_MAVG(200,0,,,,""PORTAGG"")")/100</f>
        <v>0.65714285714285692</v>
      </c>
      <c r="L6" s="50" cm="1">
        <f t="array" ref="L6">_xll.FDSB(A6,"PERCENT_CHANGE(FMA_EPS(+1,0,,,,""PORTAGG"",""MEAN""),FMA_EPS(+1,-1AM,,,,""PORTAGG"",""MEAN""))")</f>
        <v>-7.2385433008757101</v>
      </c>
      <c r="M6" s="50" cm="1">
        <f t="array" ref="M6">_xll.FDSB(A6,"PERCENT_CHANGE(FMA_EPS(+1,0,,,,""PORTAGG"",""MEAN""),FMA_EPS(+1,-3AM,,,,""PORTAGG"",""MEAN""))")</f>
        <v>-4.9788488423028996</v>
      </c>
      <c r="O6" s="3" cm="1">
        <f t="array" ref="O6">_xll.FDS(C6,"FG_TOTAL_RETURNC(0,-3AM)")</f>
        <v>10.211002000000001</v>
      </c>
      <c r="P6" s="3" cm="1">
        <f t="array" ref="P6">_xll.FDS(C6,"FG_TOTAL_RETURNC(0,-6AM)")</f>
        <v>13.989663</v>
      </c>
      <c r="Q6" s="9" cm="1">
        <f t="array" ref="Q6">_xll.FDS(C6,"P_PRICE(0)/P_PRICE_HIGH_PR(0,,,USD,,,""PRICE"",""INTRA"",""52W"")")</f>
        <v>0.994614</v>
      </c>
      <c r="R6" s="9" cm="1">
        <f t="array" ref="R6">_xll.FDS(C6,"P_PRICE(0)/P_PRICE_low_PR(0,,,USD,,,""PRICE"",""INTRA"",""52W"")-1")</f>
        <v>0.19654429000000001</v>
      </c>
      <c r="T6" s="4" cm="1">
        <f t="array" ref="T6">_xlfn.PERCENTRANK.EXC(_xlfn._xlws.FILTER($R$3:$R$23, ISNUMBER($R$3:$R$23)),R6)*100</f>
        <v>50</v>
      </c>
      <c r="U6" s="4">
        <f t="shared" si="3"/>
        <v>50</v>
      </c>
      <c r="V6" s="4" cm="1">
        <f t="array" ref="V6">_xlfn.PERCENTRANK.EXC(_xlfn._xlws.FILTER($Q$3:$Q$23, ISNUMBER($Q$3:$Q$23)),Q6)*100</f>
        <v>86.3</v>
      </c>
      <c r="W6" s="4" cm="1">
        <f t="array" ref="W6">_xlfn.PERCENTRANK.EXC(_xlfn._xlws.FILTER($O$3:$O$23, ISNUMBER($O$3:$O$23)),O6)*100</f>
        <v>72.7</v>
      </c>
      <c r="X6" s="4" cm="1">
        <f t="array" ref="X6">_xlfn.PERCENTRANK.EXC(_xlfn._xlws.FILTER($P$3:$P$23, ISNUMBER($P$3:$P$23)),P6)*100</f>
        <v>81.8</v>
      </c>
      <c r="Z6" s="4" cm="1">
        <f t="array" ref="Z6">_xlfn.PERCENTRANK.EXC(_xlfn._xlws.FILTER($K$3:$K$23, ISNUMBER($K$3:$K$23)),K6)*100</f>
        <v>59</v>
      </c>
      <c r="AA6" s="4" cm="1">
        <f t="array" ref="AA6">_xlfn.PERCENTRANK.EXC(_xlfn._xlws.FILTER($H$3:$H$23, ISNUMBER($H$3:$H$23)),H6)*100</f>
        <v>36.299999999999997</v>
      </c>
      <c r="AB6" s="4" cm="1">
        <f t="array" ref="AB6">_xlfn.PERCENTRANK.EXC(_xlfn._xlws.FILTER($J$3:$J$23, ISNUMBER($J$3:$J$23)),J6)*100</f>
        <v>36.299999999999997</v>
      </c>
      <c r="AC6" s="4">
        <f t="shared" si="4"/>
        <v>68.100000000000009</v>
      </c>
      <c r="AD6" s="4">
        <f t="shared" si="5"/>
        <v>72.7</v>
      </c>
      <c r="AE6" s="4">
        <f t="shared" si="6"/>
        <v>31.8</v>
      </c>
      <c r="AF6" s="4">
        <f t="shared" si="8"/>
        <v>87.23</v>
      </c>
      <c r="AH6" s="3" cm="1">
        <f t="array" ref="AH6">_xlfn.PERCENTRANK.EXC(_xlfn._xlws.FILTER($AF$3:$AF$23, ISNUMBER($AF$3:$AF$23)),AF6)*100</f>
        <v>86.3</v>
      </c>
      <c r="AI6">
        <f t="shared" si="7"/>
        <v>3</v>
      </c>
      <c r="AK6" s="4"/>
    </row>
    <row r="7" spans="1:37" x14ac:dyDescent="0.35">
      <c r="A7" t="s">
        <v>23</v>
      </c>
      <c r="B7" t="s">
        <v>444</v>
      </c>
      <c r="C7" t="s">
        <v>23</v>
      </c>
      <c r="D7" s="163">
        <f>VLOOKUP(C7,'Market Capitalisation'!$C$2:$G$31,5,FALSE)</f>
        <v>202093.47</v>
      </c>
      <c r="E7" cm="1">
        <f t="array" ref="E7">_xll.FDS(C7,"FMA_COS_UP(""EPS"",""1M"",+1,NOW,,,""PORTAGG"",""MEANR"")")</f>
        <v>15</v>
      </c>
      <c r="F7" cm="1">
        <f t="array" ref="F7">_xll.FDS(C7,"FMA_COS_DOWN(""EPS"",""1M"",+1,NOW,,,""PORTAGG"",""MEANR"")")</f>
        <v>5</v>
      </c>
      <c r="G7" cm="1">
        <f t="array" ref="G7">_xll.FDS(A7,"SIZE(FG_CONSTITUENTS)")</f>
        <v>34</v>
      </c>
      <c r="H7" s="9">
        <f t="shared" si="0"/>
        <v>0.44117647058823528</v>
      </c>
      <c r="I7" s="9">
        <f t="shared" si="1"/>
        <v>0.14705882352941177</v>
      </c>
      <c r="J7" s="9">
        <f t="shared" si="2"/>
        <v>0.29411764705882348</v>
      </c>
      <c r="K7" s="5" cm="1">
        <f t="array" ref="K7">_xll.FDS(A7,"FMA_PCT_ABOVE_MAVG(200,0,,,,""PORTAGG"")")/100</f>
        <v>0.625</v>
      </c>
      <c r="L7" s="50" cm="1">
        <f t="array" ref="L7">_xll.FDSB(A7,"PERCENT_CHANGE(FMA_EPS(+1,0,,,,""PORTAGG"",""MEAN""),FMA_EPS(+1,-1AM,,,,""PORTAGG"",""MEAN""))")</f>
        <v>1.52648860234072</v>
      </c>
      <c r="M7" s="50" cm="1">
        <f t="array" ref="M7">_xll.FDSB(A7,"PERCENT_CHANGE(FMA_EPS(+1,0,,,,""PORTAGG"",""MEAN""),FMA_EPS(+1,-3AM,,,,""PORTAGG"",""MEAN""))")</f>
        <v>1.74123363061888</v>
      </c>
      <c r="O7" s="3" cm="1">
        <f t="array" ref="O7">_xll.FDS(C7,"FG_TOTAL_RETURNC(0,-3AM)")</f>
        <v>6.1323524000000003</v>
      </c>
      <c r="P7" s="3" cm="1">
        <f t="array" ref="P7">_xll.FDS(C7,"FG_TOTAL_RETURNC(0,-6AM)")</f>
        <v>23.646677</v>
      </c>
      <c r="Q7" s="9" cm="1">
        <f t="array" ref="Q7">_xll.FDS(C7,"P_PRICE(0)/P_PRICE_HIGH_PR(0,,,USD,,,""PRICE"",""INTRA"",""52W"")")</f>
        <v>0.96558909999999998</v>
      </c>
      <c r="R7" s="9" cm="1">
        <f t="array" ref="R7">_xll.FDS(C7,"P_PRICE(0)/P_PRICE_low_PR(0,,,USD,,,""PRICE"",""INTRA"",""52W"")-1")</f>
        <v>0.62798869999999996</v>
      </c>
      <c r="T7" s="4" cm="1">
        <f t="array" ref="T7">_xlfn.PERCENTRANK.EXC(_xlfn._xlws.FILTER($R$3:$R$23, ISNUMBER($R$3:$R$23)),R7)*100</f>
        <v>90.9</v>
      </c>
      <c r="U7" s="4">
        <f t="shared" si="3"/>
        <v>9.0999999999999943</v>
      </c>
      <c r="V7" s="4" cm="1">
        <f t="array" ref="V7">_xlfn.PERCENTRANK.EXC(_xlfn._xlws.FILTER($Q$3:$Q$23, ISNUMBER($Q$3:$Q$23)),Q7)*100</f>
        <v>68.100000000000009</v>
      </c>
      <c r="W7" s="4" cm="1">
        <f t="array" ref="W7">_xlfn.PERCENTRANK.EXC(_xlfn._xlws.FILTER($O$3:$O$23, ISNUMBER($O$3:$O$23)),O7)*100</f>
        <v>63.6</v>
      </c>
      <c r="X7" s="4" cm="1">
        <f t="array" ref="X7">_xlfn.PERCENTRANK.EXC(_xlfn._xlws.FILTER($P$3:$P$23, ISNUMBER($P$3:$P$23)),P7)*100</f>
        <v>95.399999999999991</v>
      </c>
      <c r="Z7" s="4" cm="1">
        <f t="array" ref="Z7">_xlfn.PERCENTRANK.EXC(_xlfn._xlws.FILTER($K$3:$K$23, ISNUMBER($K$3:$K$23)),K7)*100</f>
        <v>50</v>
      </c>
      <c r="AA7" s="4" cm="1">
        <f t="array" ref="AA7">_xlfn.PERCENTRANK.EXC(_xlfn._xlws.FILTER($H$3:$H$23, ISNUMBER($H$3:$H$23)),H7)*100</f>
        <v>77.2</v>
      </c>
      <c r="AB7" s="4" cm="1">
        <f t="array" ref="AB7">_xlfn.PERCENTRANK.EXC(_xlfn._xlws.FILTER($J$3:$J$23, ISNUMBER($J$3:$J$23)),J7)*100</f>
        <v>95.399999999999991</v>
      </c>
      <c r="AC7" s="4">
        <f t="shared" si="4"/>
        <v>81.8</v>
      </c>
      <c r="AD7" s="4">
        <f t="shared" si="5"/>
        <v>81.8</v>
      </c>
      <c r="AE7" s="4">
        <f t="shared" si="6"/>
        <v>27.200000000000003</v>
      </c>
      <c r="AF7" s="4">
        <f t="shared" si="8"/>
        <v>80.38</v>
      </c>
      <c r="AH7" s="3" cm="1">
        <f t="array" ref="AH7">_xlfn.PERCENTRANK.EXC(_xlfn._xlws.FILTER($AF$3:$AF$23, ISNUMBER($AF$3:$AF$23)),AF7)*100</f>
        <v>68.100000000000009</v>
      </c>
      <c r="AI7">
        <f t="shared" si="7"/>
        <v>3</v>
      </c>
      <c r="AK7" s="4"/>
    </row>
    <row r="8" spans="1:37" x14ac:dyDescent="0.35">
      <c r="A8" t="s">
        <v>29</v>
      </c>
      <c r="B8" t="s">
        <v>445</v>
      </c>
      <c r="C8" t="s">
        <v>29</v>
      </c>
      <c r="D8" s="163">
        <f>VLOOKUP(C8,'Market Capitalisation'!$C$2:$G$31,5,FALSE)</f>
        <v>39537.266000000003</v>
      </c>
      <c r="E8" cm="1">
        <f t="array" ref="E8">_xll.FDS(C8,"FMA_COS_UP(""EPS"",""1M"",+1,NOW,,,""PORTAGG"",""MEANR"")")</f>
        <v>9</v>
      </c>
      <c r="F8" cm="1">
        <f t="array" ref="F8">_xll.FDS(C8,"FMA_COS_DOWN(""EPS"",""1M"",+1,NOW,,,""PORTAGG"",""MEANR"")")</f>
        <v>9</v>
      </c>
      <c r="G8" cm="1">
        <f t="array" ref="G8">_xll.FDS(A8,"SIZE(FG_CONSTITUENTS)")</f>
        <v>27</v>
      </c>
      <c r="H8" s="9">
        <f t="shared" si="0"/>
        <v>0.33333333333333331</v>
      </c>
      <c r="I8" s="9">
        <f t="shared" si="1"/>
        <v>0.33333333333333331</v>
      </c>
      <c r="J8" s="9">
        <f t="shared" si="2"/>
        <v>0</v>
      </c>
      <c r="K8" s="5" cm="1">
        <f t="array" ref="K8">_xll.FDS(A8,"FMA_PCT_ABOVE_MAVG(200,0,,,,""PORTAGG"")")/100</f>
        <v>0.74074074074074103</v>
      </c>
      <c r="L8" s="50" cm="1">
        <f t="array" ref="L8">_xll.FDSB(A8,"PERCENT_CHANGE(FMA_EPS(+1,0,,,,""PORTAGG"",""MEAN""),FMA_EPS(+1,-1AM,,,,""PORTAGG"",""MEAN""))")</f>
        <v>-23.567083043580801</v>
      </c>
      <c r="M8" s="50" cm="1">
        <f t="array" ref="M8">_xll.FDSB(A8,"PERCENT_CHANGE(FMA_EPS(+1,0,,,,""PORTAGG"",""MEAN""),FMA_EPS(+1,-3AM,,,,""PORTAGG"",""MEAN""))")</f>
        <v>-26.600469907792601</v>
      </c>
      <c r="O8" s="3" cm="1">
        <f t="array" ref="O8">_xll.FDS(C8,"FG_TOTAL_RETURNC(0,-3AM)")</f>
        <v>17.965757</v>
      </c>
      <c r="P8" s="3" cm="1">
        <f t="array" ref="P8">_xll.FDS(C8,"FG_TOTAL_RETURNC(0,-6AM)")</f>
        <v>12.914789000000001</v>
      </c>
      <c r="Q8" s="9" cm="1">
        <f t="array" ref="Q8">_xll.FDS(C8,"P_PRICE(0)/P_PRICE_HIGH_PR(0,,,USD,,,""PRICE"",""INTRA"",""52W"")")</f>
        <v>0.99373579999999995</v>
      </c>
      <c r="R8" s="9" cm="1">
        <f t="array" ref="R8">_xll.FDS(C8,"P_PRICE(0)/P_PRICE_low_PR(0,,,USD,,,""PRICE"",""INTRA"",""52W"")-1")</f>
        <v>0.25825749999999997</v>
      </c>
      <c r="T8" s="4" cm="1">
        <f t="array" ref="T8">_xlfn.PERCENTRANK.EXC(_xlfn._xlws.FILTER($R$3:$R$23, ISNUMBER($R$3:$R$23)),R8)*100</f>
        <v>68.100000000000009</v>
      </c>
      <c r="U8" s="4">
        <f t="shared" si="3"/>
        <v>31.899999999999991</v>
      </c>
      <c r="V8" s="4" cm="1">
        <f t="array" ref="V8">_xlfn.PERCENTRANK.EXC(_xlfn._xlws.FILTER($Q$3:$Q$23, ISNUMBER($Q$3:$Q$23)),Q8)*100</f>
        <v>77.2</v>
      </c>
      <c r="W8" s="4" cm="1">
        <f t="array" ref="W8">_xlfn.PERCENTRANK.EXC(_xlfn._xlws.FILTER($O$3:$O$23, ISNUMBER($O$3:$O$23)),O8)*100</f>
        <v>95.399999999999991</v>
      </c>
      <c r="X8" s="4" cm="1">
        <f t="array" ref="X8">_xlfn.PERCENTRANK.EXC(_xlfn._xlws.FILTER($P$3:$P$23, ISNUMBER($P$3:$P$23)),P8)*100</f>
        <v>77.2</v>
      </c>
      <c r="Z8" s="4" cm="1">
        <f t="array" ref="Z8">_xlfn.PERCENTRANK.EXC(_xlfn._xlws.FILTER($K$3:$K$23, ISNUMBER($K$3:$K$23)),K8)*100</f>
        <v>72.7</v>
      </c>
      <c r="AA8" s="4" cm="1">
        <f t="array" ref="AA8">_xlfn.PERCENTRANK.EXC(_xlfn._xlws.FILTER($H$3:$H$23, ISNUMBER($H$3:$H$23)),H8)*100</f>
        <v>59</v>
      </c>
      <c r="AB8" s="4" cm="1">
        <f t="array" ref="AB8">_xlfn.PERCENTRANK.EXC(_xlfn._xlws.FILTER($J$3:$J$23, ISNUMBER($J$3:$J$23)),J8)*100</f>
        <v>54.500000000000007</v>
      </c>
      <c r="AC8" s="4">
        <f t="shared" si="4"/>
        <v>13.600000000000001</v>
      </c>
      <c r="AD8" s="4">
        <f t="shared" si="5"/>
        <v>13.600000000000001</v>
      </c>
      <c r="AE8" s="4">
        <f t="shared" si="6"/>
        <v>9</v>
      </c>
      <c r="AF8" s="4">
        <f t="shared" si="8"/>
        <v>84.46</v>
      </c>
      <c r="AH8" s="3" cm="1">
        <f t="array" ref="AH8">_xlfn.PERCENTRANK.EXC(_xlfn._xlws.FILTER($AF$3:$AF$23, ISNUMBER($AF$3:$AF$23)),AF8)*100</f>
        <v>72.7</v>
      </c>
      <c r="AI8">
        <f t="shared" si="7"/>
        <v>4</v>
      </c>
      <c r="AK8" s="4"/>
    </row>
    <row r="9" spans="1:37" x14ac:dyDescent="0.35">
      <c r="A9" t="s">
        <v>33</v>
      </c>
      <c r="B9" t="s">
        <v>446</v>
      </c>
      <c r="C9" t="s">
        <v>33</v>
      </c>
      <c r="D9" s="163">
        <f>VLOOKUP(C9,'Market Capitalisation'!$C$2:$G$31,5,FALSE)</f>
        <v>365703.44</v>
      </c>
      <c r="E9" cm="1">
        <f t="array" ref="E9">_xll.FDS(C9,"FMA_COS_UP(""EPS"",""1M"",+1,NOW,,,""PORTAGG"",""MEANR"")")</f>
        <v>16</v>
      </c>
      <c r="F9" cm="1">
        <f t="array" ref="F9">_xll.FDS(C9,"FMA_COS_DOWN(""EPS"",""1M"",+1,NOW,,,""PORTAGG"",""MEANR"")")</f>
        <v>15</v>
      </c>
      <c r="G9" cm="1">
        <f t="array" ref="G9">_xll.FDS(A9,"SIZE(FG_CONSTITUENTS)")</f>
        <v>33</v>
      </c>
      <c r="H9" s="9">
        <f t="shared" si="0"/>
        <v>0.48484848484848486</v>
      </c>
      <c r="I9" s="9">
        <f t="shared" si="1"/>
        <v>0.45454545454545453</v>
      </c>
      <c r="J9" s="9">
        <f t="shared" si="2"/>
        <v>3.0303030303030332E-2</v>
      </c>
      <c r="K9" s="5" cm="1">
        <f t="array" ref="K9">_xll.FDS(A9,"FMA_PCT_ABOVE_MAVG(200,0,,,,""PORTAGG"")")/100</f>
        <v>0.84375</v>
      </c>
      <c r="L9" s="50" cm="1">
        <f t="array" ref="L9">_xll.FDSB(A9,"PERCENT_CHANGE(FMA_EPS(+1,0,,,,""PORTAGG"",""MEAN""),FMA_EPS(+1,-1AM,,,,""PORTAGG"",""MEAN""))")</f>
        <v>-11.305701449967801</v>
      </c>
      <c r="M9" s="50" cm="1">
        <f t="array" ref="M9">_xll.FDSB(A9,"PERCENT_CHANGE(FMA_EPS(+1,0,,,,""PORTAGG"",""MEAN""),FMA_EPS(+1,-3AM,,,,""PORTAGG"",""MEAN""))")</f>
        <v>-14.1063333460165</v>
      </c>
      <c r="O9" s="3" cm="1">
        <f t="array" ref="O9">_xll.FDS(C9,"FG_TOTAL_RETURNC(0,-3AM)")</f>
        <v>3.6876440000000001</v>
      </c>
      <c r="P9" s="3" cm="1">
        <f t="array" ref="P9">_xll.FDS(C9,"FG_TOTAL_RETURNC(0,-6AM)")</f>
        <v>3.5411239000000001</v>
      </c>
      <c r="Q9" s="9" cm="1">
        <f t="array" ref="Q9">_xll.FDS(C9,"P_PRICE(0)/P_PRICE_HIGH_PR(0,,,USD,,,""PRICE"",""INTRA"",""52W"")")</f>
        <v>0.95787144000000002</v>
      </c>
      <c r="R9" s="9" cm="1">
        <f t="array" ref="R9">_xll.FDS(C9,"P_PRICE(0)/P_PRICE_low_PR(0,,,USD,,,""PRICE"",""INTRA"",""52W"")-1")</f>
        <v>8.8709709999999997E-2</v>
      </c>
      <c r="T9" s="4" cm="1">
        <f t="array" ref="T9">_xlfn.PERCENTRANK.EXC(_xlfn._xlws.FILTER($R$3:$R$23, ISNUMBER($R$3:$R$23)),R9)*100</f>
        <v>13.600000000000001</v>
      </c>
      <c r="U9" s="4">
        <f t="shared" si="3"/>
        <v>86.4</v>
      </c>
      <c r="V9" s="4" cm="1">
        <f t="array" ref="V9">_xlfn.PERCENTRANK.EXC(_xlfn._xlws.FILTER($Q$3:$Q$23, ISNUMBER($Q$3:$Q$23)),Q9)*100</f>
        <v>59</v>
      </c>
      <c r="W9" s="4" cm="1">
        <f t="array" ref="W9">_xlfn.PERCENTRANK.EXC(_xlfn._xlws.FILTER($O$3:$O$23, ISNUMBER($O$3:$O$23)),O9)*100</f>
        <v>45.4</v>
      </c>
      <c r="X9" s="4" cm="1">
        <f t="array" ref="X9">_xlfn.PERCENTRANK.EXC(_xlfn._xlws.FILTER($P$3:$P$23, ISNUMBER($P$3:$P$23)),P9)*100</f>
        <v>50</v>
      </c>
      <c r="Z9" s="4" cm="1">
        <f t="array" ref="Z9">_xlfn.PERCENTRANK.EXC(_xlfn._xlws.FILTER($K$3:$K$23, ISNUMBER($K$3:$K$23)),K9)*100</f>
        <v>90.9</v>
      </c>
      <c r="AA9" s="4" cm="1">
        <f t="array" ref="AA9">_xlfn.PERCENTRANK.EXC(_xlfn._xlws.FILTER($H$3:$H$23, ISNUMBER($H$3:$H$23)),H9)*100</f>
        <v>90.9</v>
      </c>
      <c r="AB9" s="4" cm="1">
        <f t="array" ref="AB9">_xlfn.PERCENTRANK.EXC(_xlfn._xlws.FILTER($J$3:$J$23, ISNUMBER($J$3:$J$23)),J9)*100</f>
        <v>63.6</v>
      </c>
      <c r="AC9" s="4">
        <f t="shared" si="4"/>
        <v>54.500000000000007</v>
      </c>
      <c r="AD9" s="4">
        <f t="shared" si="5"/>
        <v>54.500000000000007</v>
      </c>
      <c r="AE9" s="4">
        <f t="shared" si="6"/>
        <v>40.9</v>
      </c>
      <c r="AF9" s="4">
        <f t="shared" si="8"/>
        <v>60.4</v>
      </c>
      <c r="AH9" s="3" cm="1">
        <f t="array" ref="AH9">_xlfn.PERCENTRANK.EXC(_xlfn._xlws.FILTER($AF$3:$AF$23, ISNUMBER($AF$3:$AF$23)),AF9)*100</f>
        <v>54.500000000000007</v>
      </c>
      <c r="AI9">
        <f t="shared" si="7"/>
        <v>2</v>
      </c>
      <c r="AK9" s="4"/>
    </row>
    <row r="10" spans="1:37" x14ac:dyDescent="0.35">
      <c r="A10" t="s">
        <v>24</v>
      </c>
      <c r="B10" t="s">
        <v>40</v>
      </c>
      <c r="C10" t="s">
        <v>24</v>
      </c>
      <c r="D10" s="163">
        <f>VLOOKUP(C10,'Market Capitalisation'!$C$2:$G$31,5,FALSE)</f>
        <v>2130373.5</v>
      </c>
      <c r="E10" cm="1">
        <f t="array" ref="E10">_xll.FDS(C10,"FMA_COS_UP(""EPS"",""1M"",+1,NOW,,,""PORTAGG"",""MEANR"")")</f>
        <v>27</v>
      </c>
      <c r="F10" cm="1">
        <f t="array" ref="F10">_xll.FDS(C10,"FMA_COS_DOWN(""EPS"",""1M"",+1,NOW,,,""PORTAGG"",""MEANR"")")</f>
        <v>34</v>
      </c>
      <c r="G10" cm="1">
        <f t="array" ref="G10">_xll.FDS(A10,"SIZE(FG_CONSTITUENTS)")</f>
        <v>93</v>
      </c>
      <c r="H10" s="9">
        <f t="shared" si="0"/>
        <v>0.29032258064516131</v>
      </c>
      <c r="I10" s="9">
        <f t="shared" si="1"/>
        <v>0.36559139784946237</v>
      </c>
      <c r="J10" s="9">
        <f t="shared" si="2"/>
        <v>-7.5268817204301064E-2</v>
      </c>
      <c r="K10" s="5" cm="1">
        <f t="array" ref="K10">_xll.FDS(A10,"FMA_PCT_ABOVE_MAVG(200,0,,,,""PORTAGG"")")/100</f>
        <v>0.57142857142857106</v>
      </c>
      <c r="L10" s="50" cm="1">
        <f t="array" ref="L10">_xll.FDSB(A10,"PERCENT_CHANGE(FMA_EPS(+1,0,,,,""PORTAGG"",""MEAN""),FMA_EPS(+1,-1AM,,,,""PORTAGG"",""MEAN""))")</f>
        <v>-17.7512423732576</v>
      </c>
      <c r="M10" s="50" cm="1">
        <f t="array" ref="M10">_xll.FDSB(A10,"PERCENT_CHANGE(FMA_EPS(+1,0,,,,""PORTAGG"",""MEAN""),FMA_EPS(+1,-3AM,,,,""PORTAGG"",""MEAN""))")</f>
        <v>-26.778916654880501</v>
      </c>
      <c r="O10" s="3" cm="1">
        <f t="array" ref="O10">_xll.FDS(C10,"FG_TOTAL_RETURNC(0,-3AM)")</f>
        <v>10.437059</v>
      </c>
      <c r="P10" s="3" cm="1">
        <f t="array" ref="P10">_xll.FDS(C10,"FG_TOTAL_RETURNC(0,-6AM)")</f>
        <v>16.470549999999999</v>
      </c>
      <c r="Q10" s="9" cm="1">
        <f t="array" ref="Q10">_xll.FDS(C10,"P_PRICE(0)/P_PRICE_HIGH_PR(0,,,USD,,,""PRICE"",""INTRA"",""52W"")")</f>
        <v>0.94202030000000003</v>
      </c>
      <c r="R10" s="9" cm="1">
        <f t="array" ref="R10">_xll.FDS(C10,"P_PRICE(0)/P_PRICE_low_PR(0,,,USD,,,""PRICE"",""INTRA"",""52W"")-1")</f>
        <v>0.12237381999999999</v>
      </c>
      <c r="T10" s="4" cm="1">
        <f t="array" ref="T10">_xlfn.PERCENTRANK.EXC(_xlfn._xlws.FILTER($R$3:$R$23, ISNUMBER($R$3:$R$23)),R10)*100</f>
        <v>31.8</v>
      </c>
      <c r="U10" s="4">
        <f t="shared" si="3"/>
        <v>68.2</v>
      </c>
      <c r="V10" s="4" cm="1">
        <f t="array" ref="V10">_xlfn.PERCENTRANK.EXC(_xlfn._xlws.FILTER($Q$3:$Q$23, ISNUMBER($Q$3:$Q$23)),Q10)*100</f>
        <v>54.500000000000007</v>
      </c>
      <c r="W10" s="4" cm="1">
        <f t="array" ref="W10">_xlfn.PERCENTRANK.EXC(_xlfn._xlws.FILTER($O$3:$O$23, ISNUMBER($O$3:$O$23)),O10)*100</f>
        <v>77.2</v>
      </c>
      <c r="X10" s="4" cm="1">
        <f t="array" ref="X10">_xlfn.PERCENTRANK.EXC(_xlfn._xlws.FILTER($P$3:$P$23, ISNUMBER($P$3:$P$23)),P10)*100</f>
        <v>86.3</v>
      </c>
      <c r="Z10" s="4" cm="1">
        <f t="array" ref="Z10">_xlfn.PERCENTRANK.EXC(_xlfn._xlws.FILTER($K$3:$K$23, ISNUMBER($K$3:$K$23)),K10)*100</f>
        <v>36.299999999999997</v>
      </c>
      <c r="AA10" s="4" cm="1">
        <f t="array" ref="AA10">_xlfn.PERCENTRANK.EXC(_xlfn._xlws.FILTER($H$3:$H$23, ISNUMBER($H$3:$H$23)),H10)*100</f>
        <v>54.500000000000007</v>
      </c>
      <c r="AB10" s="4" cm="1">
        <f t="array" ref="AB10">_xlfn.PERCENTRANK.EXC(_xlfn._xlws.FILTER($J$3:$J$23, ISNUMBER($J$3:$J$23)),J10)*100</f>
        <v>31.8</v>
      </c>
      <c r="AC10" s="4">
        <f t="shared" si="4"/>
        <v>22.7</v>
      </c>
      <c r="AD10" s="4">
        <f t="shared" si="5"/>
        <v>9</v>
      </c>
      <c r="AE10" s="4">
        <f t="shared" si="6"/>
        <v>77.2</v>
      </c>
      <c r="AF10" s="4">
        <f t="shared" si="8"/>
        <v>86.29</v>
      </c>
      <c r="AH10" s="3" cm="1">
        <f t="array" ref="AH10">_xlfn.PERCENTRANK.EXC(_xlfn._xlws.FILTER($AF$3:$AF$23, ISNUMBER($AF$3:$AF$23)),AF10)*100</f>
        <v>81.8</v>
      </c>
      <c r="AI10">
        <f t="shared" si="7"/>
        <v>2</v>
      </c>
      <c r="AK10" s="4"/>
    </row>
    <row r="11" spans="1:37" x14ac:dyDescent="0.35">
      <c r="A11" t="s">
        <v>7</v>
      </c>
      <c r="B11" t="s">
        <v>53</v>
      </c>
      <c r="C11" t="s">
        <v>7</v>
      </c>
      <c r="D11" s="163">
        <f>VLOOKUP(C11,'Market Capitalisation'!$C$2:$G$31,5,FALSE)</f>
        <v>524663.43999999994</v>
      </c>
      <c r="E11" cm="1">
        <f t="array" ref="E11">_xll.FDS(C11,"FMA_COS_UP(""EPS"",""1M"",+1,NOW,,,""PORTAGG"",""MEANR"")")</f>
        <v>12</v>
      </c>
      <c r="F11" cm="1">
        <f t="array" ref="F11">_xll.FDS(C11,"FMA_COS_DOWN(""EPS"",""1M"",+1,NOW,,,""PORTAGG"",""MEANR"")")</f>
        <v>28</v>
      </c>
      <c r="G11" cm="1">
        <f t="array" ref="G11">_xll.FDS(A11,"SIZE(FG_CONSTITUENTS)")</f>
        <v>44</v>
      </c>
      <c r="H11" s="9">
        <f t="shared" si="0"/>
        <v>0.27272727272727271</v>
      </c>
      <c r="I11" s="9">
        <f t="shared" si="1"/>
        <v>0.63636363636363635</v>
      </c>
      <c r="J11" s="9">
        <f t="shared" si="2"/>
        <v>-0.36363636363636365</v>
      </c>
      <c r="K11" s="5" cm="1">
        <f t="array" ref="K11">_xll.FDS(A11,"FMA_PCT_ABOVE_MAVG(200,0,,,,""PORTAGG"")")/100</f>
        <v>0.57777777777777795</v>
      </c>
      <c r="L11" s="50" cm="1">
        <f t="array" ref="L11">_xll.FDSB(A11,"PERCENT_CHANGE(FMA_EPS(+1,0,,,,""PORTAGG"",""MEAN""),FMA_EPS(+1,-1AM,,,,""PORTAGG"",""MEAN""))")</f>
        <v>-24.317874997062798</v>
      </c>
      <c r="M11" s="50" cm="1">
        <f t="array" ref="M11">_xll.FDSB(A11,"PERCENT_CHANGE(FMA_EPS(+1,0,,,,""PORTAGG"",""MEAN""),FMA_EPS(+1,-3AM,,,,""PORTAGG"",""MEAN""))")</f>
        <v>-25.193504192146801</v>
      </c>
      <c r="O11" s="3" cm="1">
        <f t="array" ref="O11">_xll.FDS(C11,"FG_TOTAL_RETURNC(0,-3AM)")</f>
        <v>5.9168696000000001</v>
      </c>
      <c r="P11" s="3" cm="1">
        <f t="array" ref="P11">_xll.FDS(C11,"FG_TOTAL_RETURNC(0,-6AM)")</f>
        <v>8.4329605000000001</v>
      </c>
      <c r="Q11" s="9" cm="1">
        <f t="array" ref="Q11">_xll.FDS(C11,"P_PRICE(0)/P_PRICE_HIGH_PR(0,,,USD,,,""PRICE"",""INTRA"",""52W"")")</f>
        <v>0.94133670000000003</v>
      </c>
      <c r="R11" s="9" cm="1">
        <f t="array" ref="R11">_xll.FDS(C11,"P_PRICE(0)/P_PRICE_low_PR(0,,,USD,,,""PRICE"",""INTRA"",""52W"")-1")</f>
        <v>0.25175702999999999</v>
      </c>
      <c r="T11" s="4" cm="1">
        <f t="array" ref="T11">_xlfn.PERCENTRANK.EXC(_xlfn._xlws.FILTER($R$3:$R$23, ISNUMBER($R$3:$R$23)),R11)*100</f>
        <v>63.6</v>
      </c>
      <c r="U11" s="4">
        <f t="shared" si="3"/>
        <v>36.4</v>
      </c>
      <c r="V11" s="4" cm="1">
        <f t="array" ref="V11">_xlfn.PERCENTRANK.EXC(_xlfn._xlws.FILTER($Q$3:$Q$23, ISNUMBER($Q$3:$Q$23)),Q11)*100</f>
        <v>50</v>
      </c>
      <c r="W11" s="4" cm="1">
        <f t="array" ref="W11">_xlfn.PERCENTRANK.EXC(_xlfn._xlws.FILTER($O$3:$O$23, ISNUMBER($O$3:$O$23)),O11)*100</f>
        <v>59</v>
      </c>
      <c r="X11" s="4" cm="1">
        <f t="array" ref="X11">_xlfn.PERCENTRANK.EXC(_xlfn._xlws.FILTER($P$3:$P$23, ISNUMBER($P$3:$P$23)),P11)*100</f>
        <v>59</v>
      </c>
      <c r="Z11" s="4" cm="1">
        <f t="array" ref="Z11">_xlfn.PERCENTRANK.EXC(_xlfn._xlws.FILTER($K$3:$K$23, ISNUMBER($K$3:$K$23)),K11)*100</f>
        <v>45.4</v>
      </c>
      <c r="AA11" s="4" cm="1">
        <f t="array" ref="AA11">_xlfn.PERCENTRANK.EXC(_xlfn._xlws.FILTER($H$3:$H$23, ISNUMBER($H$3:$H$23)),H11)*100</f>
        <v>45.4</v>
      </c>
      <c r="AB11" s="4" cm="1">
        <f t="array" ref="AB11">_xlfn.PERCENTRANK.EXC(_xlfn._xlws.FILTER($J$3:$J$23, ISNUMBER($J$3:$J$23)),J11)*100</f>
        <v>9</v>
      </c>
      <c r="AC11" s="4">
        <f t="shared" si="4"/>
        <v>9</v>
      </c>
      <c r="AD11" s="4">
        <f t="shared" si="5"/>
        <v>18.099999999999998</v>
      </c>
      <c r="AE11" s="4">
        <f t="shared" si="6"/>
        <v>54.500000000000007</v>
      </c>
      <c r="AF11" s="4">
        <f t="shared" si="8"/>
        <v>66.300000000000011</v>
      </c>
      <c r="AH11" s="3" cm="1">
        <f t="array" ref="AH11">_xlfn.PERCENTRANK.EXC(_xlfn._xlws.FILTER($AF$3:$AF$23, ISNUMBER($AF$3:$AF$23)),AF11)*100</f>
        <v>59</v>
      </c>
      <c r="AI11">
        <f t="shared" si="7"/>
        <v>0</v>
      </c>
      <c r="AK11" s="4"/>
    </row>
    <row r="12" spans="1:37" x14ac:dyDescent="0.35">
      <c r="A12" t="s">
        <v>21</v>
      </c>
      <c r="B12" t="s">
        <v>38</v>
      </c>
      <c r="C12" t="s">
        <v>21</v>
      </c>
      <c r="D12" s="163">
        <f>VLOOKUP(C12,'Market Capitalisation'!$C$2:$G$31,5,FALSE)</f>
        <v>1910312.3</v>
      </c>
      <c r="E12" cm="1">
        <f t="array" ref="E12">_xll.FDS(C12,"FMA_COS_UP(""EPS"",""1M"",+1,NOW,,,""PORTAGG"",""MEANR"")")</f>
        <v>30</v>
      </c>
      <c r="F12" cm="1">
        <f t="array" ref="F12">_xll.FDS(C12,"FMA_COS_DOWN(""EPS"",""1M"",+1,NOW,,,""PORTAGG"",""MEANR"")")</f>
        <v>59</v>
      </c>
      <c r="G12" cm="1">
        <f t="array" ref="G12">_xll.FDS(A12,"SIZE(FG_CONSTITUENTS)")</f>
        <v>108</v>
      </c>
      <c r="H12" s="9">
        <f t="shared" si="0"/>
        <v>0.27777777777777779</v>
      </c>
      <c r="I12" s="9">
        <f t="shared" si="1"/>
        <v>0.54629629629629628</v>
      </c>
      <c r="J12" s="9">
        <f t="shared" si="2"/>
        <v>-0.26851851851851849</v>
      </c>
      <c r="K12" s="5" cm="1">
        <f t="array" ref="K12">_xll.FDS(A12,"FMA_PCT_ABOVE_MAVG(200,0,,,,""PORTAGG"")")/100</f>
        <v>0.57692307692307698</v>
      </c>
      <c r="L12" s="50" cm="1">
        <f t="array" ref="L12">_xll.FDSB(A12,"PERCENT_CHANGE(FMA_EPS(+1,0,,,,""PORTAGG"",""MEAN""),FMA_EPS(+1,-1AM,,,,""PORTAGG"",""MEAN""))")</f>
        <v>-37.5095113863797</v>
      </c>
      <c r="M12" s="50" cm="1">
        <f t="array" ref="M12">_xll.FDSB(A12,"PERCENT_CHANGE(FMA_EPS(+1,0,,,,""PORTAGG"",""MEAN""),FMA_EPS(+1,-3AM,,,,""PORTAGG"",""MEAN""))")</f>
        <v>-41.630308368854401</v>
      </c>
      <c r="O12" s="3" cm="1">
        <f t="array" ref="O12">_xll.FDS(C12,"FG_TOTAL_RETURNC(0,-3AM)")</f>
        <v>8.4865089999999999</v>
      </c>
      <c r="P12" s="3" cm="1">
        <f t="array" ref="P12">_xll.FDS(C12,"FG_TOTAL_RETURNC(0,-6AM)")</f>
        <v>6.4956307000000004</v>
      </c>
      <c r="Q12" s="9" cm="1">
        <f t="array" ref="Q12">_xll.FDS(C12,"P_PRICE(0)/P_PRICE_HIGH_PR(0,,,USD,,,""PRICE"",""INTRA"",""52W"")")</f>
        <v>0.96541580000000005</v>
      </c>
      <c r="R12" s="9" cm="1">
        <f t="array" ref="R12">_xll.FDS(C12,"P_PRICE(0)/P_PRICE_low_PR(0,,,USD,,,""PRICE"",""INTRA"",""52W"")-1")</f>
        <v>0.20389056</v>
      </c>
      <c r="T12" s="4" cm="1">
        <f t="array" ref="T12">_xlfn.PERCENTRANK.EXC(_xlfn._xlws.FILTER($R$3:$R$23, ISNUMBER($R$3:$R$23)),R12)*100</f>
        <v>54.500000000000007</v>
      </c>
      <c r="U12" s="4">
        <f t="shared" si="3"/>
        <v>45.499999999999993</v>
      </c>
      <c r="V12" s="4" cm="1">
        <f t="array" ref="V12">_xlfn.PERCENTRANK.EXC(_xlfn._xlws.FILTER($Q$3:$Q$23, ISNUMBER($Q$3:$Q$23)),Q12)*100</f>
        <v>63.6</v>
      </c>
      <c r="W12" s="4" cm="1">
        <f t="array" ref="W12">_xlfn.PERCENTRANK.EXC(_xlfn._xlws.FILTER($O$3:$O$23, ISNUMBER($O$3:$O$23)),O12)*100</f>
        <v>68.100000000000009</v>
      </c>
      <c r="X12" s="4" cm="1">
        <f t="array" ref="X12">_xlfn.PERCENTRANK.EXC(_xlfn._xlws.FILTER($P$3:$P$23, ISNUMBER($P$3:$P$23)),P12)*100</f>
        <v>54.500000000000007</v>
      </c>
      <c r="Z12" s="4" cm="1">
        <f t="array" ref="Z12">_xlfn.PERCENTRANK.EXC(_xlfn._xlws.FILTER($K$3:$K$23, ISNUMBER($K$3:$K$23)),K12)*100</f>
        <v>40.9</v>
      </c>
      <c r="AA12" s="4" cm="1">
        <f t="array" ref="AA12">_xlfn.PERCENTRANK.EXC(_xlfn._xlws.FILTER($H$3:$H$23, ISNUMBER($H$3:$H$23)),H12)*100</f>
        <v>50</v>
      </c>
      <c r="AB12" s="4" cm="1">
        <f t="array" ref="AB12">_xlfn.PERCENTRANK.EXC(_xlfn._xlws.FILTER($J$3:$J$23, ISNUMBER($J$3:$J$23)),J12)*100</f>
        <v>13.600000000000001</v>
      </c>
      <c r="AC12" s="4">
        <f t="shared" si="4"/>
        <v>4.5</v>
      </c>
      <c r="AD12" s="4">
        <f t="shared" si="5"/>
        <v>4.5</v>
      </c>
      <c r="AE12" s="4">
        <f t="shared" si="6"/>
        <v>72.7</v>
      </c>
      <c r="AF12" s="4">
        <f t="shared" si="8"/>
        <v>76.760000000000005</v>
      </c>
      <c r="AH12" s="3" cm="1">
        <f t="array" ref="AH12">_xlfn.PERCENTRANK.EXC(_xlfn._xlws.FILTER($AF$3:$AF$23, ISNUMBER($AF$3:$AF$23)),AF12)*100</f>
        <v>63.6</v>
      </c>
      <c r="AI12">
        <f t="shared" si="7"/>
        <v>0</v>
      </c>
      <c r="AK12" s="4"/>
    </row>
    <row r="13" spans="1:37" x14ac:dyDescent="0.35">
      <c r="A13" t="s">
        <v>12</v>
      </c>
      <c r="B13" t="s">
        <v>54</v>
      </c>
      <c r="C13" t="s">
        <v>12</v>
      </c>
      <c r="D13" s="163">
        <f>VLOOKUP(C13,'Market Capitalisation'!$C$2:$G$31,5,FALSE)</f>
        <v>785275.4</v>
      </c>
      <c r="E13" cm="1">
        <f t="array" ref="E13">_xll.FDS(C13,"FMA_COS_UP(""EPS"",""1M"",+1,NOW,,,""PORTAGG"",""MEANR"")")</f>
        <v>19</v>
      </c>
      <c r="F13" cm="1">
        <f t="array" ref="F13">_xll.FDS(C13,"FMA_COS_DOWN(""EPS"",""1M"",+1,NOW,,,""PORTAGG"",""MEANR"")")</f>
        <v>23</v>
      </c>
      <c r="G13" cm="1">
        <f t="array" ref="G13">_xll.FDS(A13,"SIZE(FG_CONSTITUENTS)")</f>
        <v>51</v>
      </c>
      <c r="H13" s="9">
        <f t="shared" si="0"/>
        <v>0.37254901960784315</v>
      </c>
      <c r="I13" s="9">
        <f t="shared" si="1"/>
        <v>0.45098039215686275</v>
      </c>
      <c r="J13" s="9">
        <f t="shared" si="2"/>
        <v>-7.8431372549019607E-2</v>
      </c>
      <c r="K13" s="5" cm="1">
        <f t="array" ref="K13">_xll.FDS(A13,"FMA_PCT_ABOVE_MAVG(200,0,,,,""PORTAGG"")")/100</f>
        <v>0.65306122448979598</v>
      </c>
      <c r="L13" s="50" cm="1">
        <f t="array" ref="L13">_xll.FDSB(A13,"PERCENT_CHANGE(FMA_EPS(+1,0,,,,""PORTAGG"",""MEAN""),FMA_EPS(+1,-1AM,,,,""PORTAGG"",""MEAN""))")</f>
        <v>-9.3894755848436091</v>
      </c>
      <c r="M13" s="50" cm="1">
        <f t="array" ref="M13">_xll.FDSB(A13,"PERCENT_CHANGE(FMA_EPS(+1,0,,,,""PORTAGG"",""MEAN""),FMA_EPS(+1,-3AM,,,,""PORTAGG"",""MEAN""))")</f>
        <v>-13.4935516427945</v>
      </c>
      <c r="O13" s="3" cm="1">
        <f t="array" ref="O13">_xll.FDS(C13,"FG_TOTAL_RETURNC(0,-3AM)")</f>
        <v>1.5822172000000001</v>
      </c>
      <c r="P13" s="3" cm="1">
        <f t="array" ref="P13">_xll.FDS(C13,"FG_TOTAL_RETURNC(0,-6AM)")</f>
        <v>8.7226979999999994</v>
      </c>
      <c r="Q13" s="9" cm="1">
        <f t="array" ref="Q13">_xll.FDS(C13,"P_PRICE(0)/P_PRICE_HIGH_PR(0,,,USD,,,""PRICE"",""INTRA"",""52W"")")</f>
        <v>0.92305539999999997</v>
      </c>
      <c r="R13" s="9" cm="1">
        <f t="array" ref="R13">_xll.FDS(C13,"P_PRICE(0)/P_PRICE_low_PR(0,,,USD,,,""PRICE"",""INTRA"",""52W"")-1")</f>
        <v>0.3196001</v>
      </c>
      <c r="T13" s="4" cm="1">
        <f t="array" ref="T13">_xlfn.PERCENTRANK.EXC(_xlfn._xlws.FILTER($R$3:$R$23, ISNUMBER($R$3:$R$23)),R13)*100</f>
        <v>77.2</v>
      </c>
      <c r="U13" s="4">
        <f t="shared" si="3"/>
        <v>22.799999999999997</v>
      </c>
      <c r="V13" s="4" cm="1">
        <f t="array" ref="V13">_xlfn.PERCENTRANK.EXC(_xlfn._xlws.FILTER($Q$3:$Q$23, ISNUMBER($Q$3:$Q$23)),Q13)*100</f>
        <v>36.299999999999997</v>
      </c>
      <c r="W13" s="4" cm="1">
        <f t="array" ref="W13">_xlfn.PERCENTRANK.EXC(_xlfn._xlws.FILTER($O$3:$O$23, ISNUMBER($O$3:$O$23)),O13)*100</f>
        <v>31.8</v>
      </c>
      <c r="X13" s="4" cm="1">
        <f t="array" ref="X13">_xlfn.PERCENTRANK.EXC(_xlfn._xlws.FILTER($P$3:$P$23, ISNUMBER($P$3:$P$23)),P13)*100</f>
        <v>68.100000000000009</v>
      </c>
      <c r="Z13" s="4" cm="1">
        <f t="array" ref="Z13">_xlfn.PERCENTRANK.EXC(_xlfn._xlws.FILTER($K$3:$K$23, ISNUMBER($K$3:$K$23)),K13)*100</f>
        <v>54.500000000000007</v>
      </c>
      <c r="AA13" s="4" cm="1">
        <f t="array" ref="AA13">_xlfn.PERCENTRANK.EXC(_xlfn._xlws.FILTER($H$3:$H$23, ISNUMBER($H$3:$H$23)),H13)*100</f>
        <v>68.100000000000009</v>
      </c>
      <c r="AB13" s="4" cm="1">
        <f t="array" ref="AB13">_xlfn.PERCENTRANK.EXC(_xlfn._xlws.FILTER($J$3:$J$23, ISNUMBER($J$3:$J$23)),J13)*100</f>
        <v>27.200000000000003</v>
      </c>
      <c r="AC13" s="4">
        <f t="shared" si="4"/>
        <v>59</v>
      </c>
      <c r="AD13" s="4">
        <f t="shared" si="5"/>
        <v>59</v>
      </c>
      <c r="AE13" s="4">
        <f t="shared" si="6"/>
        <v>63.6</v>
      </c>
      <c r="AF13" s="4">
        <f t="shared" si="8"/>
        <v>57.21</v>
      </c>
      <c r="AH13" s="3" cm="1">
        <f t="array" ref="AH13">_xlfn.PERCENTRANK.EXC(_xlfn._xlws.FILTER($AF$3:$AF$23, ISNUMBER($AF$3:$AF$23)),AF13)*100</f>
        <v>50</v>
      </c>
      <c r="AI13">
        <f t="shared" si="7"/>
        <v>0</v>
      </c>
      <c r="AK13" s="4"/>
    </row>
    <row r="14" spans="1:37" x14ac:dyDescent="0.35">
      <c r="A14" t="s">
        <v>22</v>
      </c>
      <c r="B14" t="s">
        <v>447</v>
      </c>
      <c r="C14" t="s">
        <v>22</v>
      </c>
      <c r="D14" s="163">
        <f>VLOOKUP(C14,'Market Capitalisation'!$C$2:$G$31,5,FALSE)</f>
        <v>292423.8</v>
      </c>
      <c r="E14" cm="1">
        <f t="array" ref="E14">_xll.FDS(C14,"FMA_COS_UP(""EPS"",""1M"",+1,NOW,,,""PORTAGG"",""MEANR"")")</f>
        <v>13</v>
      </c>
      <c r="F14" cm="1">
        <f t="array" ref="F14">_xll.FDS(C14,"FMA_COS_DOWN(""EPS"",""1M"",+1,NOW,,,""PORTAGG"",""MEANR"")")</f>
        <v>14</v>
      </c>
      <c r="G14" cm="1">
        <f t="array" ref="G14">_xll.FDS(A14,"SIZE(FG_CONSTITUENTS)")</f>
        <v>33</v>
      </c>
      <c r="H14" s="9">
        <f t="shared" si="0"/>
        <v>0.39393939393939392</v>
      </c>
      <c r="I14" s="9">
        <f t="shared" si="1"/>
        <v>0.42424242424242425</v>
      </c>
      <c r="J14" s="9">
        <f t="shared" si="2"/>
        <v>-3.0303030303030332E-2</v>
      </c>
      <c r="K14" s="5" cm="1">
        <f t="array" ref="K14">_xll.FDS(A14,"FMA_PCT_ABOVE_MAVG(200,0,,,,""PORTAGG"")")/100</f>
        <v>0.45454545454545503</v>
      </c>
      <c r="L14" s="50" cm="1">
        <f t="array" ref="L14">_xll.FDSB(A14,"PERCENT_CHANGE(FMA_EPS(+1,0,,,,""PORTAGG"",""MEAN""),FMA_EPS(+1,-1AM,,,,""PORTAGG"",""MEAN""))")</f>
        <v>-15.2613911228267</v>
      </c>
      <c r="M14" s="50" cm="1">
        <f t="array" ref="M14">_xll.FDSB(A14,"PERCENT_CHANGE(FMA_EPS(+1,0,,,,""PORTAGG"",""MEAN""),FMA_EPS(+1,-3AM,,,,""PORTAGG"",""MEAN""))")</f>
        <v>-18.300893686038599</v>
      </c>
      <c r="O14" s="3" cm="1">
        <f t="array" ref="O14">_xll.FDS(C14,"FG_TOTAL_RETURNC(0,-3AM)")</f>
        <v>-4.4620332999999999</v>
      </c>
      <c r="P14" s="3" cm="1">
        <f t="array" ref="P14">_xll.FDS(C14,"FG_TOTAL_RETURNC(0,-6AM)")</f>
        <v>-2.4009407</v>
      </c>
      <c r="Q14" s="9" cm="1">
        <f t="array" ref="Q14">_xll.FDS(C14,"P_PRICE(0)/P_PRICE_HIGH_PR(0,,,USD,,,""PRICE"",""INTRA"",""52W"")")</f>
        <v>0.84353129999999998</v>
      </c>
      <c r="R14" s="9" cm="1">
        <f t="array" ref="R14">_xll.FDS(C14,"P_PRICE(0)/P_PRICE_low_PR(0,,,USD,,,""PRICE"",""INTRA"",""52W"")-1")</f>
        <v>6.2080620000000003E-2</v>
      </c>
      <c r="T14" s="4" cm="1">
        <f t="array" ref="T14">_xlfn.PERCENTRANK.EXC(_xlfn._xlws.FILTER($R$3:$R$23, ISNUMBER($R$3:$R$23)),R14)*100</f>
        <v>4.5</v>
      </c>
      <c r="U14" s="4">
        <f t="shared" si="3"/>
        <v>95.5</v>
      </c>
      <c r="V14" s="4" cm="1">
        <f t="array" ref="V14">_xlfn.PERCENTRANK.EXC(_xlfn._xlws.FILTER($Q$3:$Q$23, ISNUMBER($Q$3:$Q$23)),Q14)*100</f>
        <v>18.099999999999998</v>
      </c>
      <c r="W14" s="4" cm="1">
        <f t="array" ref="W14">_xlfn.PERCENTRANK.EXC(_xlfn._xlws.FILTER($O$3:$O$23, ISNUMBER($O$3:$O$23)),O14)*100</f>
        <v>4.5</v>
      </c>
      <c r="X14" s="4" cm="1">
        <f t="array" ref="X14">_xlfn.PERCENTRANK.EXC(_xlfn._xlws.FILTER($P$3:$P$23, ISNUMBER($P$3:$P$23)),P14)*100</f>
        <v>40.9</v>
      </c>
      <c r="Z14" s="4" cm="1">
        <f t="array" ref="Z14">_xlfn.PERCENTRANK.EXC(_xlfn._xlws.FILTER($K$3:$K$23, ISNUMBER($K$3:$K$23)),K14)*100</f>
        <v>31.8</v>
      </c>
      <c r="AA14" s="4" cm="1">
        <f t="array" ref="AA14">_xlfn.PERCENTRANK.EXC(_xlfn._xlws.FILTER($H$3:$H$23, ISNUMBER($H$3:$H$23)),H14)*100</f>
        <v>72.7</v>
      </c>
      <c r="AB14" s="4" cm="1">
        <f t="array" ref="AB14">_xlfn.PERCENTRANK.EXC(_xlfn._xlws.FILTER($J$3:$J$23, ISNUMBER($J$3:$J$23)),J14)*100</f>
        <v>45.4</v>
      </c>
      <c r="AC14" s="4">
        <f t="shared" si="4"/>
        <v>36.299999999999997</v>
      </c>
      <c r="AD14" s="4">
        <f t="shared" si="5"/>
        <v>45.4</v>
      </c>
      <c r="AE14" s="4">
        <f t="shared" si="6"/>
        <v>36.299999999999997</v>
      </c>
      <c r="AF14" s="4">
        <f t="shared" si="8"/>
        <v>28.119999999999997</v>
      </c>
      <c r="AH14" s="3" cm="1">
        <f t="array" ref="AH14">_xlfn.PERCENTRANK.EXC(_xlfn._xlws.FILTER($AF$3:$AF$23, ISNUMBER($AF$3:$AF$23)),AF14)*100</f>
        <v>13.600000000000001</v>
      </c>
      <c r="AI14">
        <f t="shared" si="7"/>
        <v>1</v>
      </c>
      <c r="AK14" s="4"/>
    </row>
    <row r="15" spans="1:37" x14ac:dyDescent="0.35">
      <c r="A15" t="s">
        <v>28</v>
      </c>
      <c r="B15" t="s">
        <v>448</v>
      </c>
      <c r="C15" t="s">
        <v>28</v>
      </c>
      <c r="D15" s="163">
        <f>VLOOKUP(C15,'Market Capitalisation'!$C$2:$G$31,5,FALSE)</f>
        <v>83983.57</v>
      </c>
      <c r="E15" cm="1">
        <f t="array" ref="E15">_xll.FDS(C15,"FMA_COS_UP(""EPS"",""1M"",+1,NOW,,,""PORTAGG"",""MEANR"")")</f>
        <v>10</v>
      </c>
      <c r="F15" cm="1">
        <f t="array" ref="F15">_xll.FDS(C15,"FMA_COS_DOWN(""EPS"",""1M"",+1,NOW,,,""PORTAGG"",""MEANR"")")</f>
        <v>5</v>
      </c>
      <c r="G15" cm="1">
        <f t="array" ref="G15">_xll.FDS(A15,"SIZE(FG_CONSTITUENTS)")</f>
        <v>30</v>
      </c>
      <c r="H15" s="9">
        <f t="shared" si="0"/>
        <v>0.33333333333333331</v>
      </c>
      <c r="I15" s="9">
        <f t="shared" si="1"/>
        <v>0.16666666666666666</v>
      </c>
      <c r="J15" s="9">
        <f t="shared" si="2"/>
        <v>0.16666666666666666</v>
      </c>
      <c r="K15" s="5" cm="1">
        <f t="array" ref="K15">_xll.FDS(A15,"FMA_PCT_ABOVE_MAVG(200,0,,,,""PORTAGG"")")/100</f>
        <v>0.88461538461538491</v>
      </c>
      <c r="L15" s="50" cm="1">
        <f t="array" ref="L15">_xll.FDSB(A15,"PERCENT_CHANGE(FMA_EPS(+1,0,,,,""PORTAGG"",""MEAN""),FMA_EPS(+1,-1AM,,,,""PORTAGG"",""MEAN""))")</f>
        <v>6.0183471323049504</v>
      </c>
      <c r="M15" s="50" cm="1">
        <f t="array" ref="M15">_xll.FDSB(A15,"PERCENT_CHANGE(FMA_EPS(+1,0,,,,""PORTAGG"",""MEAN""),FMA_EPS(+1,-3AM,,,,""PORTAGG"",""MEAN""))")</f>
        <v>8.7902049421687707</v>
      </c>
      <c r="O15" s="3" cm="1">
        <f t="array" ref="O15">_xll.FDS(C15,"FG_TOTAL_RETURNC(0,-3AM)")</f>
        <v>12.651121</v>
      </c>
      <c r="P15" s="3" cm="1">
        <f t="array" ref="P15">_xll.FDS(C15,"FG_TOTAL_RETURNC(0,-6AM)")</f>
        <v>12.377548000000001</v>
      </c>
      <c r="Q15" s="9" cm="1">
        <f t="array" ref="Q15">_xll.FDS(C15,"P_PRICE(0)/P_PRICE_HIGH_PR(0,,,USD,,,""PRICE"",""INTRA"",""52W"")")</f>
        <v>0.99415489999999995</v>
      </c>
      <c r="R15" s="9" cm="1">
        <f t="array" ref="R15">_xll.FDS(C15,"P_PRICE(0)/P_PRICE_low_PR(0,,,USD,,,""PRICE"",""INTRA"",""52W"")-1")</f>
        <v>0.41982603000000002</v>
      </c>
      <c r="T15" s="4" cm="1">
        <f t="array" ref="T15">_xlfn.PERCENTRANK.EXC(_xlfn._xlws.FILTER($R$3:$R$23, ISNUMBER($R$3:$R$23)),R15)*100</f>
        <v>86.3</v>
      </c>
      <c r="U15" s="4">
        <f t="shared" si="3"/>
        <v>13.700000000000003</v>
      </c>
      <c r="V15" s="4" cm="1">
        <f t="array" ref="V15">_xlfn.PERCENTRANK.EXC(_xlfn._xlws.FILTER($Q$3:$Q$23, ISNUMBER($Q$3:$Q$23)),Q15)*100</f>
        <v>81.8</v>
      </c>
      <c r="W15" s="4" cm="1">
        <f t="array" ref="W15">_xlfn.PERCENTRANK.EXC(_xlfn._xlws.FILTER($O$3:$O$23, ISNUMBER($O$3:$O$23)),O15)*100</f>
        <v>90.9</v>
      </c>
      <c r="X15" s="4" cm="1">
        <f t="array" ref="X15">_xlfn.PERCENTRANK.EXC(_xlfn._xlws.FILTER($P$3:$P$23, ISNUMBER($P$3:$P$23)),P15)*100</f>
        <v>72.7</v>
      </c>
      <c r="Z15" s="4" cm="1">
        <f t="array" ref="Z15">_xlfn.PERCENTRANK.EXC(_xlfn._xlws.FILTER($K$3:$K$23, ISNUMBER($K$3:$K$23)),K15)*100</f>
        <v>95.399999999999991</v>
      </c>
      <c r="AA15" s="4" cm="1">
        <f t="array" ref="AA15">_xlfn.PERCENTRANK.EXC(_xlfn._xlws.FILTER($H$3:$H$23, ISNUMBER($H$3:$H$23)),H15)*100</f>
        <v>59</v>
      </c>
      <c r="AB15" s="4" cm="1">
        <f t="array" ref="AB15">_xlfn.PERCENTRANK.EXC(_xlfn._xlws.FILTER($J$3:$J$23, ISNUMBER($J$3:$J$23)),J15)*100</f>
        <v>86.3</v>
      </c>
      <c r="AC15" s="4">
        <f t="shared" si="4"/>
        <v>86.3</v>
      </c>
      <c r="AD15" s="4">
        <f t="shared" si="5"/>
        <v>90.9</v>
      </c>
      <c r="AE15" s="4">
        <f t="shared" si="6"/>
        <v>13.600000000000001</v>
      </c>
      <c r="AF15" s="4">
        <f t="shared" si="8"/>
        <v>84.52</v>
      </c>
      <c r="AH15" s="3" cm="1">
        <f t="array" ref="AH15">_xlfn.PERCENTRANK.EXC(_xlfn._xlws.FILTER($AF$3:$AF$23, ISNUMBER($AF$3:$AF$23)),AF15)*100</f>
        <v>77.2</v>
      </c>
      <c r="AI15">
        <f t="shared" si="7"/>
        <v>5</v>
      </c>
      <c r="AK15" s="4"/>
    </row>
    <row r="16" spans="1:37" x14ac:dyDescent="0.35">
      <c r="A16" t="s">
        <v>32</v>
      </c>
      <c r="B16" t="s">
        <v>52</v>
      </c>
      <c r="C16" t="s">
        <v>32</v>
      </c>
      <c r="D16" s="163">
        <f>VLOOKUP(C16,'Market Capitalisation'!$C$2:$G$31,5,FALSE)</f>
        <v>4675079</v>
      </c>
      <c r="E16" cm="1">
        <f t="array" ref="E16">_xll.FDS(C16,"FMA_COS_UP(""EPS"",""1M"",+1,NOW,,,""PORTAGG"",""MEANR"")")</f>
        <v>63</v>
      </c>
      <c r="F16" cm="1">
        <f t="array" ref="F16">_xll.FDS(C16,"FMA_COS_DOWN(""EPS"",""1M"",+1,NOW,,,""PORTAGG"",""MEANR"")")</f>
        <v>49</v>
      </c>
      <c r="G16" cm="1">
        <f t="array" ref="G16">_xll.FDS(A16,"SIZE(FG_CONSTITUENTS)")</f>
        <v>138</v>
      </c>
      <c r="H16" s="9">
        <f t="shared" si="0"/>
        <v>0.45652173913043476</v>
      </c>
      <c r="I16" s="9">
        <f t="shared" si="1"/>
        <v>0.35507246376811596</v>
      </c>
      <c r="J16" s="9">
        <f t="shared" si="2"/>
        <v>0.10144927536231879</v>
      </c>
      <c r="K16" s="5" cm="1">
        <f t="array" ref="K16">_xll.FDS(A16,"FMA_PCT_ABOVE_MAVG(200,0,,,,""PORTAGG"")")/100</f>
        <v>0.77099236641221391</v>
      </c>
      <c r="L16" s="50" cm="1">
        <f t="array" ref="L16">_xll.FDSB(A16,"PERCENT_CHANGE(FMA_EPS(+1,0,,,,""PORTAGG"",""MEAN""),FMA_EPS(+1,-1AM,,,,""PORTAGG"",""MEAN""))")</f>
        <v>-14.152907733076701</v>
      </c>
      <c r="M16" s="50" cm="1">
        <f t="array" ref="M16">_xll.FDSB(A16,"PERCENT_CHANGE(FMA_EPS(+1,0,,,,""PORTAGG"",""MEAN""),FMA_EPS(+1,-3AM,,,,""PORTAGG"",""MEAN""))")</f>
        <v>-14.7870489287111</v>
      </c>
      <c r="O16" s="3" cm="1">
        <f t="array" ref="O16">_xll.FDS(C16,"FG_TOTAL_RETURNC(0,-3AM)")</f>
        <v>10.824083999999999</v>
      </c>
      <c r="P16" s="3" cm="1">
        <f t="array" ref="P16">_xll.FDS(C16,"FG_TOTAL_RETURNC(0,-6AM)")</f>
        <v>17.337250000000001</v>
      </c>
      <c r="Q16" s="9" cm="1">
        <f t="array" ref="Q16">_xll.FDS(C16,"P_PRICE(0)/P_PRICE_HIGH_PR(0,,,USD,,,""PRICE"",""INTRA"",""52W"")")</f>
        <v>0.99865335</v>
      </c>
      <c r="R16" s="9" cm="1">
        <f t="array" ref="R16">_xll.FDS(C16,"P_PRICE(0)/P_PRICE_low_PR(0,,,USD,,,""PRICE"",""INTRA"",""52W"")-1")</f>
        <v>0.37455319999999998</v>
      </c>
      <c r="T16" s="4" cm="1">
        <f t="array" ref="T16">_xlfn.PERCENTRANK.EXC(_xlfn._xlws.FILTER($R$3:$R$23, ISNUMBER($R$3:$R$23)),R16)*100</f>
        <v>81.8</v>
      </c>
      <c r="U16" s="4">
        <f t="shared" si="3"/>
        <v>18.200000000000003</v>
      </c>
      <c r="V16" s="4" cm="1">
        <f t="array" ref="V16">_xlfn.PERCENTRANK.EXC(_xlfn._xlws.FILTER($Q$3:$Q$23, ISNUMBER($Q$3:$Q$23)),Q16)*100</f>
        <v>90.9</v>
      </c>
      <c r="W16" s="4" cm="1">
        <f t="array" ref="W16">_xlfn.PERCENTRANK.EXC(_xlfn._xlws.FILTER($O$3:$O$23, ISNUMBER($O$3:$O$23)),O16)*100</f>
        <v>81.8</v>
      </c>
      <c r="X16" s="4" cm="1">
        <f t="array" ref="X16">_xlfn.PERCENTRANK.EXC(_xlfn._xlws.FILTER($P$3:$P$23, ISNUMBER($P$3:$P$23)),P16)*100</f>
        <v>90.9</v>
      </c>
      <c r="Z16" s="4" cm="1">
        <f t="array" ref="Z16">_xlfn.PERCENTRANK.EXC(_xlfn._xlws.FILTER($K$3:$K$23, ISNUMBER($K$3:$K$23)),K16)*100</f>
        <v>81.8</v>
      </c>
      <c r="AA16" s="4" cm="1">
        <f t="array" ref="AA16">_xlfn.PERCENTRANK.EXC(_xlfn._xlws.FILTER($H$3:$H$23, ISNUMBER($H$3:$H$23)),H16)*100</f>
        <v>86.3</v>
      </c>
      <c r="AB16" s="4" cm="1">
        <f t="array" ref="AB16">_xlfn.PERCENTRANK.EXC(_xlfn._xlws.FILTER($J$3:$J$23, ISNUMBER($J$3:$J$23)),J16)*100</f>
        <v>72.7</v>
      </c>
      <c r="AC16" s="4">
        <f t="shared" si="4"/>
        <v>40.9</v>
      </c>
      <c r="AD16" s="4">
        <f t="shared" si="5"/>
        <v>50</v>
      </c>
      <c r="AE16" s="4">
        <f t="shared" si="6"/>
        <v>86.3</v>
      </c>
      <c r="AF16" s="4">
        <f t="shared" si="8"/>
        <v>105.43</v>
      </c>
      <c r="AH16" s="3" cm="1">
        <f t="array" ref="AH16">_xlfn.PERCENTRANK.EXC(_xlfn._xlws.FILTER($AF$3:$AF$23, ISNUMBER($AF$3:$AF$23)),AF16)*100</f>
        <v>95.399999999999991</v>
      </c>
      <c r="AI16">
        <f t="shared" si="7"/>
        <v>6</v>
      </c>
      <c r="AK16" s="4"/>
    </row>
    <row r="17" spans="1:37" x14ac:dyDescent="0.35">
      <c r="A17" t="s">
        <v>26</v>
      </c>
      <c r="B17" t="s">
        <v>41</v>
      </c>
      <c r="C17" t="s">
        <v>26</v>
      </c>
      <c r="D17" s="163">
        <f>VLOOKUP(C17,'Market Capitalisation'!$C$2:$G$31,5,FALSE)</f>
        <v>7607175</v>
      </c>
      <c r="E17" cm="1">
        <f t="array" ref="E17">_xll.FDS(C17,"FMA_COS_UP(""EPS"",""1M"",+1,NOW,,,""PORTAGG"",""MEANR"")")</f>
        <v>120</v>
      </c>
      <c r="F17" cm="1">
        <f t="array" ref="F17">_xll.FDS(C17,"FMA_COS_DOWN(""EPS"",""1M"",+1,NOW,,,""PORTAGG"",""MEANR"")")</f>
        <v>214</v>
      </c>
      <c r="G17" cm="1">
        <f t="array" ref="G17">_xll.FDS(A17,"SIZE(FG_CONSTITUENTS)")</f>
        <v>662</v>
      </c>
      <c r="H17" s="9">
        <f t="shared" si="0"/>
        <v>0.18126888217522658</v>
      </c>
      <c r="I17" s="9">
        <f t="shared" si="1"/>
        <v>0.32326283987915405</v>
      </c>
      <c r="J17" s="9">
        <f t="shared" si="2"/>
        <v>-0.14199395770392748</v>
      </c>
      <c r="K17" s="5" cm="1">
        <f t="array" ref="K17">_xll.FDS(A17,"FMA_PCT_ABOVE_MAVG(200,0,,,,""PORTAGG"")")/100</f>
        <v>0.34658187599364099</v>
      </c>
      <c r="L17" s="50" cm="1">
        <f t="array" ref="L17">_xll.FDSB(A17,"PERCENT_CHANGE(FMA_EPS(+1,0,,,,""PORTAGG"",""MEAN""),FMA_EPS(+1,-1AM,,,,""PORTAGG"",""MEAN""))")</f>
        <v>-13.572476537381499</v>
      </c>
      <c r="M17" s="50" cm="1">
        <f t="array" ref="M17">_xll.FDSB(A17,"PERCENT_CHANGE(FMA_EPS(+1,0,,,,""PORTAGG"",""MEAN""),FMA_EPS(+1,-3AM,,,,""PORTAGG"",""MEAN""))")</f>
        <v>-19.263450714934699</v>
      </c>
      <c r="O17" s="3" cm="1">
        <f t="array" ref="O17">_xll.FDS(C17,"FG_TOTAL_RETURNC(0,-3AM)")</f>
        <v>-4.1221676</v>
      </c>
      <c r="P17" s="3" cm="1">
        <f t="array" ref="P17">_xll.FDS(C17,"FG_TOTAL_RETURNC(0,-6AM)")</f>
        <v>-13.064355000000001</v>
      </c>
      <c r="Q17" s="9" cm="1">
        <f t="array" ref="Q17">_xll.FDS(C17,"P_PRICE(0)/P_PRICE_HIGH_PR(0,,,USD,,,""PRICE"",""INTRA"",""52W"")")</f>
        <v>0.76958066000000003</v>
      </c>
      <c r="R17" s="9" cm="1">
        <f t="array" ref="R17">_xll.FDS(C17,"P_PRICE(0)/P_PRICE_low_PR(0,,,USD,,,""PRICE"",""INTRA"",""52W"")-1")</f>
        <v>9.3591809999999998E-2</v>
      </c>
      <c r="T17" s="4" cm="1">
        <f t="array" ref="T17">_xlfn.PERCENTRANK.EXC(_xlfn._xlws.FILTER($R$3:$R$23, ISNUMBER($R$3:$R$23)),R17)*100</f>
        <v>18.099999999999998</v>
      </c>
      <c r="U17" s="4">
        <f t="shared" si="3"/>
        <v>81.900000000000006</v>
      </c>
      <c r="V17" s="4" cm="1">
        <f t="array" ref="V17">_xlfn.PERCENTRANK.EXC(_xlfn._xlws.FILTER($Q$3:$Q$23, ISNUMBER($Q$3:$Q$23)),Q17)*100</f>
        <v>4.5</v>
      </c>
      <c r="W17" s="4" cm="1">
        <f t="array" ref="W17">_xlfn.PERCENTRANK.EXC(_xlfn._xlws.FILTER($O$3:$O$23, ISNUMBER($O$3:$O$23)),O17)*100</f>
        <v>9</v>
      </c>
      <c r="X17" s="4" cm="1">
        <f t="array" ref="X17">_xlfn.PERCENTRANK.EXC(_xlfn._xlws.FILTER($P$3:$P$23, ISNUMBER($P$3:$P$23)),P17)*100</f>
        <v>4.5</v>
      </c>
      <c r="Z17" s="4" cm="1">
        <f t="array" ref="Z17">_xlfn.PERCENTRANK.EXC(_xlfn._xlws.FILTER($K$3:$K$23, ISNUMBER($K$3:$K$23)),K17)*100</f>
        <v>18.099999999999998</v>
      </c>
      <c r="AA17" s="4" cm="1">
        <f t="array" ref="AA17">_xlfn.PERCENTRANK.EXC(_xlfn._xlws.FILTER($H$3:$H$23, ISNUMBER($H$3:$H$23)),H17)*100</f>
        <v>13.600000000000001</v>
      </c>
      <c r="AB17" s="4" cm="1">
        <f t="array" ref="AB17">_xlfn.PERCENTRANK.EXC(_xlfn._xlws.FILTER($J$3:$J$23, ISNUMBER($J$3:$J$23)),J17)*100</f>
        <v>22.7</v>
      </c>
      <c r="AC17" s="4">
        <f t="shared" si="4"/>
        <v>45.4</v>
      </c>
      <c r="AD17" s="4">
        <f t="shared" si="5"/>
        <v>36.299999999999997</v>
      </c>
      <c r="AE17" s="4">
        <f t="shared" si="6"/>
        <v>90.9</v>
      </c>
      <c r="AF17" s="4">
        <f t="shared" si="8"/>
        <v>24.03</v>
      </c>
      <c r="AH17" s="3" cm="1">
        <f t="array" ref="AH17">_xlfn.PERCENTRANK.EXC(_xlfn._xlws.FILTER($AF$3:$AF$23, ISNUMBER($AF$3:$AF$23)),AF17)*100</f>
        <v>9</v>
      </c>
      <c r="AI17">
        <f t="shared" si="7"/>
        <v>0</v>
      </c>
      <c r="AK17" s="4"/>
    </row>
    <row r="18" spans="1:37" x14ac:dyDescent="0.35">
      <c r="A18" t="s">
        <v>31</v>
      </c>
      <c r="B18" t="s">
        <v>449</v>
      </c>
      <c r="C18" t="s">
        <v>31</v>
      </c>
      <c r="D18" s="163">
        <f>VLOOKUP(C18,'Market Capitalisation'!$C$2:$G$31,5,FALSE)</f>
        <v>165065.75</v>
      </c>
      <c r="E18" cm="1">
        <f t="array" ref="E18">_xll.FDS(C18,"FMA_COS_UP(""EPS"",""1M"",+1,NOW,,,""PORTAGG"",""MEANR"")")</f>
        <v>5</v>
      </c>
      <c r="F18" cm="1">
        <f t="array" ref="F18">_xll.FDS(C18,"FMA_COS_DOWN(""EPS"",""1M"",+1,NOW,,,""PORTAGG"",""MEANR"")")</f>
        <v>7</v>
      </c>
      <c r="G18" cm="1">
        <f t="array" ref="G18">_xll.FDS(A18,"SIZE(FG_CONSTITUENTS)")</f>
        <v>35</v>
      </c>
      <c r="H18" s="9">
        <f t="shared" si="0"/>
        <v>0.14285714285714285</v>
      </c>
      <c r="I18" s="9">
        <f t="shared" si="1"/>
        <v>0.2</v>
      </c>
      <c r="J18" s="9">
        <f t="shared" si="2"/>
        <v>-5.7142857142857162E-2</v>
      </c>
      <c r="K18" s="5" cm="1">
        <f t="array" ref="K18">_xll.FDS(A18,"FMA_PCT_ABOVE_MAVG(200,0,,,,""PORTAGG"")")/100</f>
        <v>0.41176470588235298</v>
      </c>
      <c r="L18" s="50" cm="1">
        <f t="array" ref="L18">_xll.FDSB(A18,"PERCENT_CHANGE(FMA_EPS(+1,0,,,,""PORTAGG"",""MEAN""),FMA_EPS(+1,-1AM,,,,""PORTAGG"",""MEAN""))")</f>
        <v>-4.9824202093036796</v>
      </c>
      <c r="M18" s="50" cm="1">
        <f t="array" ref="M18">_xll.FDSB(A18,"PERCENT_CHANGE(FMA_EPS(+1,0,,,,""PORTAGG"",""MEAN""),FMA_EPS(+1,-3AM,,,,""PORTAGG"",""MEAN""))")</f>
        <v>-5.6776222647678001</v>
      </c>
      <c r="O18" s="3" cm="1">
        <f t="array" ref="O18">_xll.FDS(C18,"FG_TOTAL_RETURNC(0,-3AM)")</f>
        <v>5.5426000000000002</v>
      </c>
      <c r="P18" s="3" cm="1">
        <f t="array" ref="P18">_xll.FDS(C18,"FG_TOTAL_RETURNC(0,-6AM)")</f>
        <v>0.77993869999999998</v>
      </c>
      <c r="Q18" s="9" cm="1">
        <f t="array" ref="Q18">_xll.FDS(C18,"P_PRICE(0)/P_PRICE_HIGH_PR(0,,,USD,,,""PRICE"",""INTRA"",""52W"")")</f>
        <v>0.92484664999999999</v>
      </c>
      <c r="R18" s="9" cm="1">
        <f t="array" ref="R18">_xll.FDS(C18,"P_PRICE(0)/P_PRICE_low_PR(0,,,USD,,,""PRICE"",""INTRA"",""52W"")-1")</f>
        <v>0.15517247000000001</v>
      </c>
      <c r="T18" s="4" cm="1">
        <f t="array" ref="T18">_xlfn.PERCENTRANK.EXC(_xlfn._xlws.FILTER($R$3:$R$23, ISNUMBER($R$3:$R$23)),R18)*100</f>
        <v>40.9</v>
      </c>
      <c r="U18" s="4">
        <f t="shared" si="3"/>
        <v>59.1</v>
      </c>
      <c r="V18" s="4" cm="1">
        <f t="array" ref="V18">_xlfn.PERCENTRANK.EXC(_xlfn._xlws.FILTER($Q$3:$Q$23, ISNUMBER($Q$3:$Q$23)),Q18)*100</f>
        <v>40.9</v>
      </c>
      <c r="W18" s="4" cm="1">
        <f t="array" ref="W18">_xlfn.PERCENTRANK.EXC(_xlfn._xlws.FILTER($O$3:$O$23, ISNUMBER($O$3:$O$23)),O18)*100</f>
        <v>54.500000000000007</v>
      </c>
      <c r="X18" s="4" cm="1">
        <f t="array" ref="X18">_xlfn.PERCENTRANK.EXC(_xlfn._xlws.FILTER($P$3:$P$23, ISNUMBER($P$3:$P$23)),P18)*100</f>
        <v>45.4</v>
      </c>
      <c r="Z18" s="4" cm="1">
        <f t="array" ref="Z18">_xlfn.PERCENTRANK.EXC(_xlfn._xlws.FILTER($K$3:$K$23, ISNUMBER($K$3:$K$23)),K18)*100</f>
        <v>22.7</v>
      </c>
      <c r="AA18" s="4" cm="1">
        <f t="array" ref="AA18">_xlfn.PERCENTRANK.EXC(_xlfn._xlws.FILTER($H$3:$H$23, ISNUMBER($H$3:$H$23)),H18)*100</f>
        <v>4.5</v>
      </c>
      <c r="AB18" s="4" cm="1">
        <f t="array" ref="AB18">_xlfn.PERCENTRANK.EXC(_xlfn._xlws.FILTER($J$3:$J$23, ISNUMBER($J$3:$J$23)),J18)*100</f>
        <v>36.299999999999997</v>
      </c>
      <c r="AC18" s="4">
        <f t="shared" si="4"/>
        <v>72.7</v>
      </c>
      <c r="AD18" s="4">
        <f t="shared" si="5"/>
        <v>68.100000000000009</v>
      </c>
      <c r="AE18" s="4">
        <f t="shared" si="6"/>
        <v>22.7</v>
      </c>
      <c r="AF18" s="4">
        <f t="shared" si="8"/>
        <v>50.87</v>
      </c>
      <c r="AH18" s="3" cm="1">
        <f t="array" ref="AH18">_xlfn.PERCENTRANK.EXC(_xlfn._xlws.FILTER($AF$3:$AF$23, ISNUMBER($AF$3:$AF$23)),AF18)*100</f>
        <v>40.9</v>
      </c>
      <c r="AI18">
        <f t="shared" si="7"/>
        <v>0</v>
      </c>
      <c r="AK18" s="4"/>
    </row>
    <row r="19" spans="1:37" s="1" customFormat="1" x14ac:dyDescent="0.35">
      <c r="A19" s="1" t="s">
        <v>764</v>
      </c>
      <c r="B19" s="1" t="s">
        <v>765</v>
      </c>
      <c r="C19" s="1" t="s">
        <v>764</v>
      </c>
      <c r="D19" s="163">
        <f>VLOOKUP(C19,'Market Capitalisation'!$C$2:$G$31,5,FALSE)</f>
        <v>469323.70181374502</v>
      </c>
      <c r="E19" cm="1">
        <f t="array" ref="E19">_xll.FDS(C19,"FMA_COS_UP(""EPS"",""1M"",+1,NOW,,,""PORTAGG"",""MEANR"")")</f>
        <v>69</v>
      </c>
      <c r="F19" cm="1">
        <f t="array" ref="F19">_xll.FDS(C19,"FMA_COS_DOWN(""EPS"",""1M"",+1,NOW,,,""PORTAGG"",""MEANR"")")</f>
        <v>110</v>
      </c>
      <c r="G19" s="1" cm="1">
        <f t="array" ref="G19">_xll.FDS(A19,"SIZE(FG_CONSTITUENTS)")</f>
        <v>1</v>
      </c>
      <c r="H19" s="57">
        <f t="shared" si="0"/>
        <v>69</v>
      </c>
      <c r="I19" s="57">
        <f t="shared" si="1"/>
        <v>110</v>
      </c>
      <c r="J19" s="9">
        <f t="shared" si="2"/>
        <v>-41</v>
      </c>
      <c r="K19" s="6" cm="1">
        <f t="array" ref="K19">_xll.FDS(A19,"FMA_PCT_ABOVE_MAVG(200,0,,,,""PORTAGG"")")/100</f>
        <v>0.26435045317220501</v>
      </c>
      <c r="L19" s="50" cm="1">
        <f t="array" ref="L19">_xll.FDSB(A19,"PERCENT_CHANGE(FMA_EPS(+1,0,,,,""PORTAGG"",""MEAN""),FMA_EPS(+1,-1AM,,,,""PORTAGG"",""MEAN""))")</f>
        <v>-1.0739783727442</v>
      </c>
      <c r="M19" s="50" cm="1">
        <f t="array" ref="M19">_xll.FDSB(A19,"PERCENT_CHANGE(FMA_EPS(+1,0,,,,""PORTAGG"",""MEAN""),FMA_EPS(+1,-3AM,,,,""PORTAGG"",""MEAN""))")</f>
        <v>-2.9752441770199902</v>
      </c>
      <c r="O19" s="63" cm="1">
        <f t="array" ref="O19">_xll.FDS(C19,"FG_TOTAL_RETURNC(0,-3AM)")</f>
        <v>-1.5142381</v>
      </c>
      <c r="P19" s="63" cm="1">
        <f t="array" ref="P19">_xll.FDS(C19,"FG_TOTAL_RETURNC(0,-6AM)")</f>
        <v>-12.016047</v>
      </c>
      <c r="Q19" s="57" cm="1">
        <f t="array" ref="Q19">_xll.FDS(C19,"P_PRICE(0)/P_PRICE_HIGH_PR(0,,,USD,,,""PRICE"",""INTRA"",""52W"")")</f>
        <v>28.792726999999999</v>
      </c>
      <c r="R19" s="9" cm="1">
        <f t="array" ref="R19">_xll.FDS(C19,"P_PRICE(0)/P_PRICE_low_PR(0,,,USD,,,""PRICE"",""INTRA"",""52W"")-1")</f>
        <v>35.124560000000002</v>
      </c>
      <c r="T19" s="4" cm="1">
        <f t="array" ref="T19">_xlfn.PERCENTRANK.EXC(_xlfn._xlws.FILTER($R$3:$R$23, ISNUMBER($R$3:$R$23)),R19)*100</f>
        <v>95.399999999999991</v>
      </c>
      <c r="U19" s="4">
        <f t="shared" si="3"/>
        <v>4.6000000000000085</v>
      </c>
      <c r="V19" s="4" cm="1">
        <f t="array" ref="V19">_xlfn.PERCENTRANK.EXC(_xlfn._xlws.FILTER($Q$3:$Q$23, ISNUMBER($Q$3:$Q$23)),Q19)*100</f>
        <v>95.399999999999991</v>
      </c>
      <c r="W19" s="4" cm="1">
        <f t="array" ref="W19">_xlfn.PERCENTRANK.EXC(_xlfn._xlws.FILTER($O$3:$O$23, ISNUMBER($O$3:$O$23)),O19)*100</f>
        <v>18.099999999999998</v>
      </c>
      <c r="X19" s="4" cm="1">
        <f t="array" ref="X19">_xlfn.PERCENTRANK.EXC(_xlfn._xlws.FILTER($P$3:$P$23, ISNUMBER($P$3:$P$23)),P19)*100</f>
        <v>9</v>
      </c>
      <c r="Z19" s="4" cm="1">
        <f t="array" ref="Z19">_xlfn.PERCENTRANK.EXC(_xlfn._xlws.FILTER($K$3:$K$23, ISNUMBER($K$3:$K$23)),K19)*100</f>
        <v>4.5</v>
      </c>
      <c r="AA19" s="4" cm="1">
        <f t="array" ref="AA19">_xlfn.PERCENTRANK.EXC(_xlfn._xlws.FILTER($H$3:$H$23, ISNUMBER($H$3:$H$23)),H19)*100</f>
        <v>95.399999999999991</v>
      </c>
      <c r="AB19" s="4" cm="1">
        <f t="array" ref="AB19">_xlfn.PERCENTRANK.EXC(_xlfn._xlws.FILTER($J$3:$J$23, ISNUMBER($J$3:$J$23)),J19)*100</f>
        <v>4.5</v>
      </c>
      <c r="AC19" s="4">
        <f t="shared" si="4"/>
        <v>77.2</v>
      </c>
      <c r="AD19" s="4">
        <f t="shared" si="5"/>
        <v>77.2</v>
      </c>
      <c r="AE19" s="4">
        <f t="shared" si="6"/>
        <v>50</v>
      </c>
      <c r="AF19" s="4">
        <f t="shared" si="8"/>
        <v>56.29</v>
      </c>
      <c r="AH19" s="3" cm="1">
        <f t="array" ref="AH19">_xlfn.PERCENTRANK.EXC(_xlfn._xlws.FILTER($AF$3:$AF$23, ISNUMBER($AF$3:$AF$23)),AF19)*100</f>
        <v>45.4</v>
      </c>
      <c r="AI19" s="1">
        <f t="shared" si="7"/>
        <v>2</v>
      </c>
      <c r="AK19" s="4"/>
    </row>
    <row r="20" spans="1:37" x14ac:dyDescent="0.35">
      <c r="A20" t="s">
        <v>25</v>
      </c>
      <c r="B20" t="s">
        <v>451</v>
      </c>
      <c r="C20" t="s">
        <v>25</v>
      </c>
      <c r="D20" s="163">
        <f>VLOOKUP(C20,'Market Capitalisation'!$C$2:$G$31,5,FALSE)</f>
        <v>373369.53</v>
      </c>
      <c r="E20" cm="1">
        <f t="array" ref="E20">_xll.FDS(C20,"FMA_COS_UP(""EPS"",""1M"",+1,NOW,,,""PORTAGG"",""MEANR"")")</f>
        <v>24</v>
      </c>
      <c r="F20" cm="1">
        <f t="array" ref="F20">_xll.FDS(C20,"FMA_COS_DOWN(""EPS"",""1M"",+1,NOW,,,""PORTAGG"",""MEANR"")")</f>
        <v>11</v>
      </c>
      <c r="G20" cm="1">
        <f t="array" ref="G20">_xll.FDS(A20,"SIZE(FG_CONSTITUENTS)")</f>
        <v>97</v>
      </c>
      <c r="H20" s="9">
        <f t="shared" si="0"/>
        <v>0.24742268041237114</v>
      </c>
      <c r="I20" s="9">
        <f t="shared" si="1"/>
        <v>0.1134020618556701</v>
      </c>
      <c r="J20" s="9">
        <f t="shared" si="2"/>
        <v>0.13402061855670105</v>
      </c>
      <c r="K20" s="5" cm="1">
        <f t="array" ref="K20">_xll.FDS(A20,"FMA_PCT_ABOVE_MAVG(200,0,,,,""PORTAGG"")")/100</f>
        <v>0.84090909090909094</v>
      </c>
      <c r="L20" s="50" cm="1">
        <f t="array" ref="L20">_xll.FDSB(A20,"PERCENT_CHANGE(FMA_EPS(+1,0,,,,""PORTAGG"",""MEAN""),FMA_EPS(+1,-1AM,,,,""PORTAGG"",""MEAN""))")</f>
        <v>-17.320455007329699</v>
      </c>
      <c r="M20" s="50" cm="1">
        <f t="array" ref="M20">_xll.FDSB(A20,"PERCENT_CHANGE(FMA_EPS(+1,0,,,,""PORTAGG"",""MEAN""),FMA_EPS(+1,-3AM,,,,""PORTAGG"",""MEAN""))")</f>
        <v>-23.985852355713899</v>
      </c>
      <c r="O20" s="3" cm="1">
        <f t="array" ref="O20">_xll.FDS(C20,"FG_TOTAL_RETURNC(0,-3AM)")</f>
        <v>2.2176862000000002</v>
      </c>
      <c r="P20" s="3" cm="1">
        <f t="array" ref="P20">_xll.FDS(C20,"FG_TOTAL_RETURNC(0,-6AM)")</f>
        <v>-4.0553093000000002</v>
      </c>
      <c r="Q20" s="9" cm="1">
        <f t="array" ref="Q20">_xll.FDS(C20,"P_PRICE(0)/P_PRICE_HIGH_PR(0,,,USD,,,""PRICE"",""INTRA"",""52W"")")</f>
        <v>0.91046285999999998</v>
      </c>
      <c r="R20" s="9" cm="1">
        <f t="array" ref="R20">_xll.FDS(C20,"P_PRICE(0)/P_PRICE_low_PR(0,,,USD,,,""PRICE"",""INTRA"",""52W"")-1")</f>
        <v>0.31111919999999998</v>
      </c>
      <c r="T20" s="4" cm="1">
        <f t="array" ref="T20">_xlfn.PERCENTRANK.EXC(_xlfn._xlws.FILTER($R$3:$R$23, ISNUMBER($R$3:$R$23)),R20)*100</f>
        <v>72.7</v>
      </c>
      <c r="U20" s="4">
        <f t="shared" si="3"/>
        <v>27.299999999999997</v>
      </c>
      <c r="V20" s="4" cm="1">
        <f t="array" ref="V20">_xlfn.PERCENTRANK.EXC(_xlfn._xlws.FILTER($Q$3:$Q$23, ISNUMBER($Q$3:$Q$23)),Q20)*100</f>
        <v>31.8</v>
      </c>
      <c r="W20" s="4" cm="1">
        <f t="array" ref="W20">_xlfn.PERCENTRANK.EXC(_xlfn._xlws.FILTER($O$3:$O$23, ISNUMBER($O$3:$O$23)),O20)*100</f>
        <v>36.299999999999997</v>
      </c>
      <c r="X20" s="4" cm="1">
        <f t="array" ref="X20">_xlfn.PERCENTRANK.EXC(_xlfn._xlws.FILTER($P$3:$P$23, ISNUMBER($P$3:$P$23)),P20)*100</f>
        <v>27.200000000000003</v>
      </c>
      <c r="Z20" s="4" cm="1">
        <f t="array" ref="Z20">_xlfn.PERCENTRANK.EXC(_xlfn._xlws.FILTER($K$3:$K$23, ISNUMBER($K$3:$K$23)),K20)*100</f>
        <v>86.3</v>
      </c>
      <c r="AA20" s="4" cm="1">
        <f t="array" ref="AA20">_xlfn.PERCENTRANK.EXC(_xlfn._xlws.FILTER($H$3:$H$23, ISNUMBER($H$3:$H$23)),H20)*100</f>
        <v>31.8</v>
      </c>
      <c r="AB20" s="4" cm="1">
        <f t="array" ref="AB20">_xlfn.PERCENTRANK.EXC(_xlfn._xlws.FILTER($J$3:$J$23, ISNUMBER($J$3:$J$23)),J20)*100</f>
        <v>81.8</v>
      </c>
      <c r="AC20" s="4">
        <f t="shared" si="4"/>
        <v>27.200000000000003</v>
      </c>
      <c r="AD20" s="4">
        <f t="shared" si="5"/>
        <v>27.200000000000003</v>
      </c>
      <c r="AE20" s="4">
        <f t="shared" si="6"/>
        <v>45.4</v>
      </c>
      <c r="AF20" s="4">
        <f t="shared" si="8"/>
        <v>40.85</v>
      </c>
      <c r="AH20" s="3" cm="1">
        <f t="array" ref="AH20">_xlfn.PERCENTRANK.EXC(_xlfn._xlws.FILTER($AF$3:$AF$23, ISNUMBER($AF$3:$AF$23)),AF20)*100</f>
        <v>27.200000000000003</v>
      </c>
      <c r="AI20">
        <f t="shared" si="7"/>
        <v>2</v>
      </c>
      <c r="AK20" s="4"/>
    </row>
    <row r="21" spans="1:37" x14ac:dyDescent="0.35">
      <c r="A21" t="s">
        <v>34</v>
      </c>
      <c r="B21" t="s">
        <v>452</v>
      </c>
      <c r="C21" t="s">
        <v>34</v>
      </c>
      <c r="D21" s="163">
        <f>VLOOKUP(C21,'Market Capitalisation'!$C$2:$G$31,5,FALSE)</f>
        <v>876853.6</v>
      </c>
      <c r="E21" cm="1">
        <f t="array" ref="E21">_xll.FDS(C21,"FMA_COS_UP(""EPS"",""1M"",+1,NOW,,,""PORTAGG"",""MEANR"")")</f>
        <v>11</v>
      </c>
      <c r="F21" cm="1">
        <f t="array" ref="F21">_xll.FDS(C21,"FMA_COS_DOWN(""EPS"",""1M"",+1,NOW,,,""PORTAGG"",""MEANR"")")</f>
        <v>6</v>
      </c>
      <c r="G21" cm="1">
        <f t="array" ref="G21">_xll.FDS(A21,"SIZE(FG_CONSTITUENTS)")</f>
        <v>42</v>
      </c>
      <c r="H21" s="9">
        <f t="shared" si="0"/>
        <v>0.26190476190476192</v>
      </c>
      <c r="I21" s="9">
        <f t="shared" si="1"/>
        <v>0.14285714285714285</v>
      </c>
      <c r="J21" s="9">
        <f t="shared" si="2"/>
        <v>0.11904761904761907</v>
      </c>
      <c r="K21" s="5" cm="1">
        <f t="array" ref="K21">_xll.FDS(A21,"FMA_PCT_ABOVE_MAVG(200,0,,,,""PORTAGG"")")/100</f>
        <v>0.43243243243243201</v>
      </c>
      <c r="L21" s="50" cm="1">
        <f t="array" ref="L21">_xll.FDSB(A21,"PERCENT_CHANGE(FMA_EPS(+1,0,,,,""PORTAGG"",""MEAN""),FMA_EPS(+1,-1AM,,,,""PORTAGG"",""MEAN""))")</f>
        <v>10.0083693931916</v>
      </c>
      <c r="M21" s="50" cm="1">
        <f t="array" ref="M21">_xll.FDSB(A21,"PERCENT_CHANGE(FMA_EPS(+1,0,,,,""PORTAGG"",""MEAN""),FMA_EPS(+1,-3AM,,,,""PORTAGG"",""MEAN""))")</f>
        <v>10.4826259992566</v>
      </c>
      <c r="O21" s="3" cm="1">
        <f t="array" ref="O21">_xll.FDS(C21,"FG_TOTAL_RETURNC(0,-3AM)")</f>
        <v>0.48143863999999997</v>
      </c>
      <c r="P21" s="3" cm="1">
        <f t="array" ref="P21">_xll.FDS(C21,"FG_TOTAL_RETURNC(0,-6AM)")</f>
        <v>-2.5755346000000001</v>
      </c>
      <c r="Q21" s="9" cm="1">
        <f t="array" ref="Q21">_xll.FDS(C21,"P_PRICE(0)/P_PRICE_HIGH_PR(0,,,USD,,,""PRICE"",""INTRA"",""52W"")")</f>
        <v>0.93304520000000002</v>
      </c>
      <c r="R21" s="9" cm="1">
        <f t="array" ref="R21">_xll.FDS(C21,"P_PRICE(0)/P_PRICE_low_PR(0,,,USD,,,""PRICE"",""INTRA"",""52W"")-1")</f>
        <v>9.9549174000000004E-2</v>
      </c>
      <c r="T21" s="4" cm="1">
        <f t="array" ref="T21">_xlfn.PERCENTRANK.EXC(_xlfn._xlws.FILTER($R$3:$R$23, ISNUMBER($R$3:$R$23)),R21)*100</f>
        <v>22.7</v>
      </c>
      <c r="U21" s="4">
        <f t="shared" si="3"/>
        <v>77.3</v>
      </c>
      <c r="V21" s="4" cm="1">
        <f t="array" ref="V21">_xlfn.PERCENTRANK.EXC(_xlfn._xlws.FILTER($Q$3:$Q$23, ISNUMBER($Q$3:$Q$23)),Q21)*100</f>
        <v>45.4</v>
      </c>
      <c r="W21" s="4" cm="1">
        <f t="array" ref="W21">_xlfn.PERCENTRANK.EXC(_xlfn._xlws.FILTER($O$3:$O$23, ISNUMBER($O$3:$O$23)),O21)*100</f>
        <v>22.7</v>
      </c>
      <c r="X21" s="4" cm="1">
        <f t="array" ref="X21">_xlfn.PERCENTRANK.EXC(_xlfn._xlws.FILTER($P$3:$P$23, ISNUMBER($P$3:$P$23)),P21)*100</f>
        <v>36.299999999999997</v>
      </c>
      <c r="Z21" s="4" cm="1">
        <f t="array" ref="Z21">_xlfn.PERCENTRANK.EXC(_xlfn._xlws.FILTER($K$3:$K$23, ISNUMBER($K$3:$K$23)),K21)*100</f>
        <v>27.200000000000003</v>
      </c>
      <c r="AA21" s="4" cm="1">
        <f t="array" ref="AA21">_xlfn.PERCENTRANK.EXC(_xlfn._xlws.FILTER($H$3:$H$23, ISNUMBER($H$3:$H$23)),H21)*100</f>
        <v>40.9</v>
      </c>
      <c r="AB21" s="4" cm="1">
        <f t="array" ref="AB21">_xlfn.PERCENTRANK.EXC(_xlfn._xlws.FILTER($J$3:$J$23, ISNUMBER($J$3:$J$23)),J21)*100</f>
        <v>77.2</v>
      </c>
      <c r="AC21" s="4">
        <f t="shared" si="4"/>
        <v>90.9</v>
      </c>
      <c r="AD21" s="4">
        <f t="shared" si="5"/>
        <v>95.399999999999991</v>
      </c>
      <c r="AE21" s="4">
        <f t="shared" si="6"/>
        <v>68.100000000000009</v>
      </c>
      <c r="AF21" s="4">
        <f t="shared" si="8"/>
        <v>49.480000000000004</v>
      </c>
      <c r="AH21" s="3" cm="1">
        <f t="array" ref="AH21">_xlfn.PERCENTRANK.EXC(_xlfn._xlws.FILTER($AF$3:$AF$23, ISNUMBER($AF$3:$AF$23)),AF21)*100</f>
        <v>36.299999999999997</v>
      </c>
      <c r="AI21">
        <f t="shared" si="7"/>
        <v>1</v>
      </c>
      <c r="AK21" s="4"/>
    </row>
    <row r="22" spans="1:37" x14ac:dyDescent="0.35">
      <c r="A22" t="s">
        <v>37</v>
      </c>
      <c r="B22" t="s">
        <v>453</v>
      </c>
      <c r="C22" t="s">
        <v>37</v>
      </c>
      <c r="D22" s="163">
        <f>VLOOKUP(C22,'Market Capitalisation'!$C$2:$G$31,5,FALSE)</f>
        <v>25172.493287000001</v>
      </c>
      <c r="E22" cm="1">
        <f t="array" ref="E22">_xll.FDS(C22,"FMA_COS_UP(""EPS"",""1M"",+1,NOW,,,""PORTAGG"",""MEANR"")")</f>
        <v>9</v>
      </c>
      <c r="F22" cm="1">
        <f t="array" ref="F22">_xll.FDS(C22,"FMA_COS_DOWN(""EPS"",""1M"",+1,NOW,,,""PORTAGG"",""MEANR"")")</f>
        <v>8</v>
      </c>
      <c r="G22" cm="1">
        <f t="array" ref="G22">_xll.FDS(A22,"SIZE(FG_CONSTITUENTS)")</f>
        <v>45</v>
      </c>
      <c r="H22" s="9">
        <f t="shared" si="0"/>
        <v>0.2</v>
      </c>
      <c r="I22" s="9">
        <f t="shared" si="1"/>
        <v>0.17777777777777778</v>
      </c>
      <c r="J22" s="9">
        <f t="shared" si="2"/>
        <v>2.2222222222222227E-2</v>
      </c>
      <c r="K22" s="5" cm="1">
        <f t="array" ref="K22">_xll.FDS(A22,"FMA_PCT_ABOVE_MAVG(200,0,,,,""PORTAGG"")")/100</f>
        <v>0.71111111111111103</v>
      </c>
      <c r="L22" s="50" cm="1">
        <f t="array" ref="L22">_xll.FDSB(A22,"PERCENT_CHANGE(FMA_EPS(+1,0,,,,""PORTAGG"",""MEAN""),FMA_EPS(+1,-1AM,,,,""PORTAGG"",""MEAN""))")</f>
        <v>-19.6011352339812</v>
      </c>
      <c r="M22" s="50" cm="1">
        <f t="array" ref="M22">_xll.FDSB(A22,"PERCENT_CHANGE(FMA_EPS(+1,0,,,,""PORTAGG"",""MEAN""),FMA_EPS(+1,-3AM,,,,""PORTAGG"",""MEAN""))")</f>
        <v>-24.205059550261801</v>
      </c>
      <c r="O22" s="3" cm="1">
        <f t="array" ref="O22">_xll.FDS(C22,"FG_TOTAL_RETURNC(0,-3AM)")</f>
        <v>5.3624869999999998</v>
      </c>
      <c r="P22" s="3" cm="1">
        <f t="array" ref="P22">_xll.FDS(C22,"FG_TOTAL_RETURNC(0,-6AM)")</f>
        <v>-5.3617834999999996</v>
      </c>
      <c r="Q22" s="9" cm="1">
        <f t="array" ref="Q22">_xll.FDS(C22,"P_PRICE(0)/P_PRICE_HIGH_PR(0,,,USD,,,""PRICE"",""INTRA"",""52W"")")</f>
        <v>0.86800889999999997</v>
      </c>
      <c r="R22" s="9" cm="1">
        <f t="array" ref="R22">_xll.FDS(C22,"P_PRICE(0)/P_PRICE_low_PR(0,,,USD,,,""PRICE"",""INTRA"",""52W"")-1")</f>
        <v>0.18914186999999999</v>
      </c>
      <c r="T22" s="4" cm="1">
        <f t="array" ref="T22">_xlfn.PERCENTRANK.EXC(_xlfn._xlws.FILTER($R$3:$R$23, ISNUMBER($R$3:$R$23)),R22)*100</f>
        <v>45.4</v>
      </c>
      <c r="U22" s="4">
        <f t="shared" si="3"/>
        <v>54.6</v>
      </c>
      <c r="V22" s="4" cm="1">
        <f t="array" ref="V22">_xlfn.PERCENTRANK.EXC(_xlfn._xlws.FILTER($Q$3:$Q$23, ISNUMBER($Q$3:$Q$23)),Q22)*100</f>
        <v>22.7</v>
      </c>
      <c r="W22" s="4" cm="1">
        <f t="array" ref="W22">_xlfn.PERCENTRANK.EXC(_xlfn._xlws.FILTER($O$3:$O$23, ISNUMBER($O$3:$O$23)),O22)*100</f>
        <v>50</v>
      </c>
      <c r="X22" s="4" cm="1">
        <f t="array" ref="X22">_xlfn.PERCENTRANK.EXC(_xlfn._xlws.FILTER($P$3:$P$23, ISNUMBER($P$3:$P$23)),P22)*100</f>
        <v>22.7</v>
      </c>
      <c r="Z22" s="4" cm="1">
        <f t="array" ref="Z22">_xlfn.PERCENTRANK.EXC(_xlfn._xlws.FILTER($K$3:$K$23, ISNUMBER($K$3:$K$23)),K22)*100</f>
        <v>63.6</v>
      </c>
      <c r="AA22" s="4" cm="1">
        <f t="array" ref="AA22">_xlfn.PERCENTRANK.EXC(_xlfn._xlws.FILTER($H$3:$H$23, ISNUMBER($H$3:$H$23)),H22)*100</f>
        <v>18.099999999999998</v>
      </c>
      <c r="AB22" s="4" cm="1">
        <f t="array" ref="AB22">_xlfn.PERCENTRANK.EXC(_xlfn._xlws.FILTER($J$3:$J$23, ISNUMBER($J$3:$J$23)),J22)*100</f>
        <v>59</v>
      </c>
      <c r="AC22" s="4">
        <f t="shared" si="4"/>
        <v>18.099999999999998</v>
      </c>
      <c r="AD22" s="4">
        <f t="shared" si="5"/>
        <v>22.7</v>
      </c>
      <c r="AE22" s="4">
        <f t="shared" si="6"/>
        <v>4.5</v>
      </c>
      <c r="AF22" s="4">
        <f t="shared" si="8"/>
        <v>31.789999999999996</v>
      </c>
      <c r="AH22" s="3" cm="1">
        <f t="array" ref="AH22">_xlfn.PERCENTRANK.EXC(_xlfn._xlws.FILTER($AF$3:$AF$23, ISNUMBER($AF$3:$AF$23)),AF22)*100</f>
        <v>18.099999999999998</v>
      </c>
      <c r="AI22">
        <f t="shared" si="7"/>
        <v>0</v>
      </c>
      <c r="AK22" s="4"/>
    </row>
    <row r="23" spans="1:37" x14ac:dyDescent="0.35">
      <c r="A23" t="s">
        <v>36</v>
      </c>
      <c r="B23" t="s">
        <v>454</v>
      </c>
      <c r="C23" t="s">
        <v>36</v>
      </c>
      <c r="D23" s="163">
        <f>VLOOKUP(C23,'Market Capitalisation'!$C$2:$G$31,5,FALSE)</f>
        <v>2947699.8</v>
      </c>
      <c r="E23" cm="1">
        <f t="array" ref="E23">_xll.FDS(C23,"FMA_COS_UP(""EPS"",""1M"",+1,NOW,,,""PORTAGG"",""MEANR"")")</f>
        <v>29</v>
      </c>
      <c r="F23" cm="1">
        <f t="array" ref="F23">_xll.FDS(C23,"FMA_COS_DOWN(""EPS"",""1M"",+1,NOW,,,""PORTAGG"",""MEANR"")")</f>
        <v>25</v>
      </c>
      <c r="G23" cm="1">
        <f t="array" ref="G23">_xll.FDS(A23,"SIZE(FG_CONSTITUENTS)")</f>
        <v>123</v>
      </c>
      <c r="H23" s="9">
        <f t="shared" si="0"/>
        <v>0.23577235772357724</v>
      </c>
      <c r="I23" s="9">
        <f t="shared" si="1"/>
        <v>0.2032520325203252</v>
      </c>
      <c r="J23" s="9">
        <f t="shared" si="2"/>
        <v>3.2520325203252043E-2</v>
      </c>
      <c r="K23" s="5" cm="1">
        <f t="array" ref="K23">_xll.FDS(A23,"FMA_PCT_ABOVE_MAVG(200,0,,,,""PORTAGG"")")/100</f>
        <v>0.71428571428571397</v>
      </c>
      <c r="L23" s="50" cm="1">
        <f t="array" ref="L23">_xll.FDSB(A23,"PERCENT_CHANGE(FMA_EPS(+1,0,,,,""PORTAGG"",""MEAN""),FMA_EPS(+1,-1AM,,,,""PORTAGG"",""MEAN""))")</f>
        <v>-12.788374045949</v>
      </c>
      <c r="M23" s="50" cm="1">
        <f t="array" ref="M23">_xll.FDSB(A23,"PERCENT_CHANGE(FMA_EPS(+1,0,,,,""PORTAGG"",""MEAN""),FMA_EPS(+1,-3AM,,,,""PORTAGG"",""MEAN""))")</f>
        <v>-18.785897934562499</v>
      </c>
      <c r="O23" s="3" cm="1">
        <f t="array" ref="O23">_xll.FDS(C23,"FG_TOTAL_RETURNC(0,-3AM)")</f>
        <v>11.699116</v>
      </c>
      <c r="P23" s="3" cm="1">
        <f t="array" ref="P23">_xll.FDS(C23,"FG_TOTAL_RETURNC(0,-6AM)")</f>
        <v>8.6993930000000006</v>
      </c>
      <c r="Q23" s="9" cm="1">
        <f t="array" ref="Q23">_xll.FDS(C23,"P_PRICE(0)/P_PRICE_HIGH_PR(0,,,USD,,,""PRICE"",""INTRA"",""52W"")")</f>
        <v>0.97796570000000005</v>
      </c>
      <c r="R23" s="9" cm="1">
        <f t="array" ref="R23">_xll.FDS(C23,"P_PRICE(0)/P_PRICE_low_PR(0,,,USD,,,""PRICE"",""INTRA"",""52W"")-1")</f>
        <v>0.22806035999999999</v>
      </c>
      <c r="T23" s="4" cm="1">
        <f t="array" ref="T23">_xlfn.PERCENTRANK.EXC(_xlfn._xlws.FILTER($R$3:$R$23, ISNUMBER($R$3:$R$23)),R23)*100</f>
        <v>59</v>
      </c>
      <c r="U23" s="4">
        <f t="shared" si="3"/>
        <v>41</v>
      </c>
      <c r="V23" s="4" cm="1">
        <f t="array" ref="V23">_xlfn.PERCENTRANK.EXC(_xlfn._xlws.FILTER($Q$3:$Q$23, ISNUMBER($Q$3:$Q$23)),Q23)*100</f>
        <v>72.7</v>
      </c>
      <c r="W23" s="4" cm="1">
        <f t="array" ref="W23">_xlfn.PERCENTRANK.EXC(_xlfn._xlws.FILTER($O$3:$O$23, ISNUMBER($O$3:$O$23)),O23)*100</f>
        <v>86.3</v>
      </c>
      <c r="X23" s="4" cm="1">
        <f t="array" ref="X23">_xlfn.PERCENTRANK.EXC(_xlfn._xlws.FILTER($P$3:$P$23, ISNUMBER($P$3:$P$23)),P23)*100</f>
        <v>63.6</v>
      </c>
      <c r="Z23" s="4" cm="1">
        <f t="array" ref="Z23">_xlfn.PERCENTRANK.EXC(_xlfn._xlws.FILTER($K$3:$K$23, ISNUMBER($K$3:$K$23)),K23)*100</f>
        <v>68.100000000000009</v>
      </c>
      <c r="AA23" s="4" cm="1">
        <f t="array" ref="AA23">_xlfn.PERCENTRANK.EXC(_xlfn._xlws.FILTER($H$3:$H$23, ISNUMBER($H$3:$H$23)),H23)*100</f>
        <v>22.7</v>
      </c>
      <c r="AB23" s="4" cm="1">
        <f t="array" ref="AB23">_xlfn.PERCENTRANK.EXC(_xlfn._xlws.FILTER($J$3:$J$23, ISNUMBER($J$3:$J$23)),J23)*100</f>
        <v>68.100000000000009</v>
      </c>
      <c r="AC23" s="4">
        <f t="shared" si="4"/>
        <v>50</v>
      </c>
      <c r="AD23" s="4">
        <f t="shared" si="5"/>
        <v>40.9</v>
      </c>
      <c r="AE23" s="4">
        <f t="shared" si="6"/>
        <v>81.8</v>
      </c>
      <c r="AF23" s="4">
        <f t="shared" si="8"/>
        <v>90.41</v>
      </c>
      <c r="AH23" s="3" cm="1">
        <f t="array" ref="AH23">_xlfn.PERCENTRANK.EXC(_xlfn._xlws.FILTER($AF$3:$AF$23, ISNUMBER($AF$3:$AF$23)),AF23)*100</f>
        <v>90.9</v>
      </c>
      <c r="AI23">
        <f t="shared" si="7"/>
        <v>2</v>
      </c>
      <c r="AK23" s="4"/>
    </row>
    <row r="24" spans="1:37" x14ac:dyDescent="0.35">
      <c r="H24" s="9"/>
      <c r="I24" s="9"/>
      <c r="J24" s="9"/>
      <c r="K24" s="5"/>
      <c r="L24" s="50"/>
      <c r="M24" s="50"/>
      <c r="O24" s="3"/>
      <c r="P24" s="3"/>
      <c r="Q24" s="9"/>
      <c r="V24" s="4"/>
      <c r="W24" s="4"/>
      <c r="X24" s="4"/>
      <c r="Z24" s="4"/>
      <c r="AA24" s="4"/>
      <c r="AB24" s="4"/>
      <c r="AC24" s="4"/>
      <c r="AD24" s="4"/>
      <c r="AE24" s="4"/>
      <c r="AF24" s="4"/>
      <c r="AH24" s="4"/>
    </row>
    <row r="25" spans="1:37" x14ac:dyDescent="0.35">
      <c r="H25" s="9"/>
      <c r="I25" s="9"/>
      <c r="J25" s="9"/>
      <c r="K25" s="5"/>
      <c r="L25" s="50"/>
      <c r="M25" s="50"/>
      <c r="O25" s="3"/>
      <c r="P25" s="3"/>
      <c r="Q25" s="9"/>
      <c r="V25" s="4"/>
      <c r="W25" s="4"/>
      <c r="X25" s="4"/>
      <c r="Z25" s="4"/>
      <c r="AA25" s="4"/>
      <c r="AB25" s="4"/>
      <c r="AC25" s="4"/>
      <c r="AD25" s="4"/>
      <c r="AE25" s="4"/>
      <c r="AF25" s="4"/>
      <c r="AH25" s="4"/>
    </row>
    <row r="26" spans="1:37" x14ac:dyDescent="0.35">
      <c r="H26" s="9"/>
      <c r="I26" s="9"/>
      <c r="J26" s="9"/>
      <c r="K26" s="5"/>
      <c r="L26" s="50"/>
      <c r="M26" s="50"/>
      <c r="O26" s="3"/>
      <c r="P26" s="3"/>
      <c r="Q26" s="9"/>
      <c r="V26" s="4"/>
      <c r="W26" s="4"/>
      <c r="X26" s="4"/>
      <c r="Z26" s="4"/>
      <c r="AA26" s="4"/>
      <c r="AB26" s="4"/>
      <c r="AC26" s="4"/>
      <c r="AD26" s="4"/>
      <c r="AE26" s="4"/>
      <c r="AF26" s="4"/>
      <c r="AH26" s="4"/>
    </row>
    <row r="27" spans="1:37" x14ac:dyDescent="0.35">
      <c r="H27" s="9"/>
      <c r="I27" s="9"/>
      <c r="J27" s="9"/>
      <c r="K27" s="5"/>
      <c r="L27" s="50"/>
      <c r="M27" s="50"/>
      <c r="O27" s="3"/>
      <c r="Q27" s="9"/>
      <c r="R27" s="9"/>
      <c r="V27" s="4"/>
      <c r="W27" s="4"/>
      <c r="X27" s="4"/>
      <c r="Z27" s="4"/>
      <c r="AA27" s="4"/>
      <c r="AB27" s="4"/>
      <c r="AC27" s="4"/>
      <c r="AD27" s="4"/>
      <c r="AE27" s="4"/>
      <c r="AF27" s="4"/>
      <c r="AH27" s="4"/>
    </row>
    <row r="28" spans="1:37" x14ac:dyDescent="0.35">
      <c r="H28" s="9"/>
      <c r="I28" s="9"/>
      <c r="J28" s="9"/>
      <c r="K28" s="5"/>
      <c r="L28" s="50"/>
      <c r="M28" s="50"/>
      <c r="O28" s="3"/>
      <c r="Q28" s="9"/>
      <c r="R28" s="9"/>
      <c r="V28" s="4"/>
      <c r="W28" s="4"/>
      <c r="X28" s="4"/>
      <c r="Z28" s="4"/>
      <c r="AA28" s="4"/>
      <c r="AB28" s="4"/>
      <c r="AC28" s="4"/>
      <c r="AD28" s="4"/>
      <c r="AE28" s="4"/>
      <c r="AF28" s="4"/>
      <c r="AH28" s="4"/>
    </row>
    <row r="29" spans="1:37" x14ac:dyDescent="0.35">
      <c r="A29" s="1" t="s">
        <v>810</v>
      </c>
      <c r="H29" s="9"/>
      <c r="I29" s="9"/>
      <c r="J29" s="9"/>
      <c r="K29" s="5"/>
      <c r="L29" s="50"/>
      <c r="M29" s="50"/>
      <c r="O29" s="3"/>
      <c r="Q29" s="9"/>
      <c r="R29" s="9"/>
      <c r="V29" s="4"/>
      <c r="W29" s="4"/>
      <c r="X29" s="4"/>
      <c r="Z29" s="4"/>
      <c r="AA29" s="4"/>
      <c r="AB29" s="4"/>
      <c r="AC29" s="4"/>
      <c r="AD29" s="4"/>
      <c r="AE29" s="4"/>
      <c r="AF29" s="4"/>
      <c r="AH29" s="4"/>
    </row>
    <row r="30" spans="1:37" x14ac:dyDescent="0.35">
      <c r="A30" t="s">
        <v>554</v>
      </c>
      <c r="B30" t="s">
        <v>231</v>
      </c>
      <c r="C30" t="str">
        <f>A30</f>
        <v>VGK</v>
      </c>
      <c r="E30" cm="1">
        <f t="array" ref="E30">_xll.FDS(C30,"FMA_COS_UP(""EPS"",""1M"",+1,NOW,,,""PORTAGG"",""MEANR"")")</f>
        <v>432</v>
      </c>
      <c r="F30" cm="1">
        <f t="array" ref="F30">_xll.FDS(C30,"FMA_COS_DOWN(""EPS"",""1M"",+1,NOW,,,""PORTAGG"",""MEANR"")")</f>
        <v>545</v>
      </c>
      <c r="G30" cm="1">
        <f t="array" ref="G30">_xll.FDS(A30,"SIZE(FG_CONSTITUENTS)")</f>
        <v>1291</v>
      </c>
      <c r="H30" s="9">
        <f>E30/$G30</f>
        <v>0.33462432223082883</v>
      </c>
      <c r="I30" s="9">
        <f>F30/$G30</f>
        <v>0.42215336948102244</v>
      </c>
      <c r="J30" s="9">
        <f t="shared" ref="J30" si="9">H30-I30</f>
        <v>-8.7529047250193615E-2</v>
      </c>
      <c r="K30" s="5" cm="1">
        <f t="array" ref="K30">_xll.FDS(A30,"FMA_PCT_ABOVE_MAVG(200,0,,,,""PORTAGG"")")/100</f>
        <v>0.61242138364779897</v>
      </c>
      <c r="L30" s="50" cm="1">
        <f t="array" ref="L30">_xll.FDSB(A30,"PERCENT_CHANGE(FMA_EPS(+1,0,,,,""PORTAGG"",""MEAN""),FMA_EPS(+1,-1AM,,,,""PORTAGG"",""MEAN""))")</f>
        <v>-4.7349509326329402</v>
      </c>
      <c r="M30" s="50" cm="1">
        <f t="array" ref="M30">_xll.FDSB(A30,"PERCENT_CHANGE(FMA_EPS(+1,0,,,,""PORTAGG"",""MEAN""),FMA_EPS(+1,-3AM,,,,""PORTAGG"",""MEAN""))")</f>
        <v>-8.2774847009123196</v>
      </c>
      <c r="O30" s="3" cm="1">
        <f t="array" ref="O30">_xll.FDS(C30,"FG_TOTAL_RETURNC(0,-3AM)")</f>
        <v>6.9257499999999999</v>
      </c>
      <c r="P30" s="3" cm="1">
        <f t="array" ref="P30">_xll.FDS(C30,"FG_TOTAL_RETURNC(0,-6AM)")</f>
        <v>9.4459900000000001</v>
      </c>
      <c r="Q30" s="9" cm="1">
        <f t="array" ref="Q30">_xll.FDS(C30,"P_PRICE(0)/P_PRICE_HIGH_PR(0,,,USD,,,""PRICE"",""INTRA"",""52W"")")</f>
        <v>0.99820816999999995</v>
      </c>
      <c r="R30" s="9" cm="1">
        <f t="array" ref="R30">_xll.FDS(C30,"P_PRICE(0)/P_PRICE_low_PR(0,,,USD,,,""PRICE"",""INTRA"",""52W"")-1")</f>
        <v>0.19288051000000001</v>
      </c>
      <c r="W30" s="4"/>
      <c r="X30" s="4"/>
      <c r="Y30" s="4"/>
      <c r="AA30" s="4"/>
      <c r="AB30" s="4"/>
      <c r="AC30" s="4"/>
      <c r="AD30" s="4"/>
      <c r="AE30" s="4"/>
      <c r="AF30" s="4"/>
      <c r="AG30" s="4"/>
      <c r="AI30" s="4"/>
    </row>
    <row r="31" spans="1:37" x14ac:dyDescent="0.35">
      <c r="A31" t="s">
        <v>6</v>
      </c>
      <c r="B31" t="s">
        <v>769</v>
      </c>
      <c r="C31" t="str">
        <f>A31</f>
        <v>VWO</v>
      </c>
      <c r="E31" cm="1">
        <f t="array" ref="E31">_xll.FDS(C31,"FMA_COS_UP(""EPS"",""1M"",+1,NOW,,,""PORTAGG"",""MEANR"")")</f>
        <v>773</v>
      </c>
      <c r="F31" cm="1">
        <f t="array" ref="F31">_xll.FDS(C31,"FMA_COS_DOWN(""EPS"",""1M"",+1,NOW,,,""PORTAGG"",""MEANR"")")</f>
        <v>1198</v>
      </c>
      <c r="G31" cm="1">
        <f t="array" ref="G31">_xll.FDS(A31,"SIZE(FG_CONSTITUENTS)")</f>
        <v>4677</v>
      </c>
      <c r="H31" s="9">
        <f>E31/$G31</f>
        <v>0.16527688689330769</v>
      </c>
      <c r="I31" s="9">
        <f>F31/$G31</f>
        <v>0.25614710284370323</v>
      </c>
      <c r="J31" s="9">
        <f t="shared" ref="J31" si="10">H31-I31</f>
        <v>-9.0870215950395544E-2</v>
      </c>
      <c r="K31" s="5" cm="1">
        <f t="array" ref="K31">_xll.FDS(A31,"FMA_PCT_ABOVE_MAVG(200,0,,,,""PORTAGG"")")/100</f>
        <v>0.32702464788732399</v>
      </c>
      <c r="L31" s="50" cm="1">
        <f t="array" ref="L31">_xll.FDSB(A31,"PERCENT_CHANGE(FMA_EPS(+1,0,,,,""PORTAGG"",""MEAN""),FMA_EPS(+1,-1AM,,,,""PORTAGG"",""MEAN""))")</f>
        <v>-12.854481938183801</v>
      </c>
      <c r="M31" s="50" cm="1">
        <f t="array" ref="M31">_xll.FDSB(A31,"PERCENT_CHANGE(FMA_EPS(+1,0,,,,""PORTAGG"",""MEAN""),FMA_EPS(+1,-3AM,,,,""PORTAGG"",""MEAN""))")</f>
        <v>-16.641857092308499</v>
      </c>
      <c r="O31" s="3" cm="1">
        <f t="array" ref="O31">_xll.FDS(C31,"FG_TOTAL_RETURNC(0,-3AM)")</f>
        <v>4.5764564999999999</v>
      </c>
      <c r="P31" s="3" cm="1">
        <f t="array" ref="P31">_xll.FDS(C31,"FG_TOTAL_RETURNC(0,-6AM)")</f>
        <v>4.0655970000000003</v>
      </c>
      <c r="Q31" s="9" cm="1">
        <f t="array" ref="Q31">_xll.FDS(C31,"P_PRICE(0)/P_PRICE_HIGH_PR(0,,,USD,,,""PRICE"",""INTRA"",""52W"")")</f>
        <v>0.96055690000000005</v>
      </c>
      <c r="R31" s="9" cm="1">
        <f t="array" ref="R31">_xll.FDS(C31,"P_PRICE(0)/P_PRICE_low_PR(0,,,USD,,,""PRICE"",""INTRA"",""52W"")-1")</f>
        <v>0.10532641399999999</v>
      </c>
    </row>
    <row r="32" spans="1:37" x14ac:dyDescent="0.35">
      <c r="A32" t="s">
        <v>811</v>
      </c>
      <c r="B32" t="s">
        <v>812</v>
      </c>
      <c r="C32" t="str">
        <f t="shared" ref="C32" si="11">A32</f>
        <v>URTH</v>
      </c>
      <c r="E32" cm="1">
        <f t="array" ref="E32">_xll.FDS(C32,"FMA_COS_UP(""EPS"",""1M"",+1,NOW,,,""PORTAGG"",""MEANR"")")</f>
        <v>714</v>
      </c>
      <c r="F32" cm="1">
        <f t="array" ref="F32">_xll.FDS(C32,"FMA_COS_DOWN(""EPS"",""1M"",+1,NOW,,,""PORTAGG"",""MEANR"")")</f>
        <v>495</v>
      </c>
      <c r="G32" cm="1">
        <f t="array" ref="G32">_xll.FDS(A32,"SIZE(FG_CONSTITUENTS)")</f>
        <v>1469</v>
      </c>
      <c r="H32" s="9">
        <f t="shared" ref="H32" si="12">E32/$G32</f>
        <v>0.48604492852280462</v>
      </c>
      <c r="I32" s="9">
        <f t="shared" ref="I32" si="13">F32/$G32</f>
        <v>0.33696392103471751</v>
      </c>
      <c r="J32" s="9">
        <f t="shared" ref="J32" si="14">H32-I32</f>
        <v>0.14908100748808711</v>
      </c>
      <c r="K32" s="5" cm="1">
        <f t="array" ref="K32">_xll.FDS(A32,"FMA_PCT_ABOVE_MAVG(200,0,,,,""PORTAGG"")")/100</f>
        <v>0.67253044654939098</v>
      </c>
      <c r="L32" s="50" cm="1">
        <f t="array" ref="L32">_xll.FDSB(A32,"PERCENT_CHANGE(FMA_EPS(+1,0,,,,""PORTAGG"",""MEAN""),FMA_EPS(+1,-1AM,,,,""PORTAGG"",""MEAN""))")</f>
        <v>-7.9352373885257599</v>
      </c>
      <c r="M32" s="50" cm="1">
        <f t="array" ref="M32">_xll.FDSB(A32,"PERCENT_CHANGE(FMA_EPS(+1,0,,,,""PORTAGG"",""MEAN""),FMA_EPS(+1,-3AM,,,,""PORTAGG"",""MEAN""))")</f>
        <v>-9.7513115450031105</v>
      </c>
      <c r="O32" s="3" cm="1">
        <f t="array" ref="O32">_xll.FDS(C32,"FG_TOTAL_RETURNC(0,-3AM)")</f>
        <v>11.331557999999999</v>
      </c>
      <c r="P32" s="3" cm="1">
        <f t="array" ref="P32">_xll.FDS(C32,"FG_TOTAL_RETURNC(0,-6AM)")</f>
        <v>13.214933</v>
      </c>
      <c r="Q32" s="9" cm="1">
        <f t="array" ref="Q32">_xll.FDS(C32,"P_PRICE(0)/P_PRICE_HIGH_PR(0,,,USD,,,""PRICE"",""INTRA"",""52W"")")</f>
        <v>0.99672145000000001</v>
      </c>
      <c r="R32" s="9" cm="1">
        <f t="array" ref="R32">_xll.FDS(C32,"P_PRICE(0)/P_PRICE_low_PR(0,,,USD,,,""PRICE"",""INTRA"",""52W"")-1")</f>
        <v>0.29128599999999999</v>
      </c>
    </row>
    <row r="33" spans="1:18" x14ac:dyDescent="0.35">
      <c r="A33" t="s">
        <v>46</v>
      </c>
      <c r="B33" t="s">
        <v>850</v>
      </c>
      <c r="C33" t="str">
        <f t="shared" ref="C33:C34" si="15">A33</f>
        <v>EWJ</v>
      </c>
      <c r="E33" cm="1">
        <f t="array" ref="E33">_xll.FDS(C33,"FMA_COS_UP(""EPS"",""1M"",+1,NOW,,,""PORTAGG"",""MEANR"")")</f>
        <v>108</v>
      </c>
      <c r="F33" cm="1">
        <f t="array" ref="F33">_xll.FDS(C33,"FMA_COS_DOWN(""EPS"",""1M"",+1,NOW,,,""PORTAGG"",""MEANR"")")</f>
        <v>101</v>
      </c>
      <c r="G33" cm="1">
        <f t="array" ref="G33">_xll.FDS(A33,"SIZE(FG_CONSTITUENTS)")</f>
        <v>219</v>
      </c>
      <c r="H33" s="9">
        <f t="shared" ref="H33:H34" si="16">E33/$G33</f>
        <v>0.49315068493150682</v>
      </c>
      <c r="I33" s="9">
        <f t="shared" ref="I33:I34" si="17">F33/$G33</f>
        <v>0.46118721461187212</v>
      </c>
      <c r="J33" s="9">
        <f t="shared" ref="J33:J34" si="18">H33-I33</f>
        <v>3.1963470319634701E-2</v>
      </c>
      <c r="K33" s="5" cm="1">
        <f t="array" ref="K33">_xll.FDS(A33,"FMA_PCT_ABOVE_MAVG(200,0,,,,""PORTAGG"")")/100</f>
        <v>0.69911504424778803</v>
      </c>
      <c r="L33" s="50" cm="1">
        <f t="array" ref="L33">_xll.FDSB(A33,"PERCENT_CHANGE(FMA_EPS(+1,0,,,,""PORTAGG"",""MEAN""),FMA_EPS(+1,-1AM,,,,""PORTAGG"",""MEAN""))")</f>
        <v>-10.0414784091281</v>
      </c>
      <c r="M33" s="50" cm="1">
        <f t="array" ref="M33">_xll.FDSB(A33,"PERCENT_CHANGE(FMA_EPS(+1,0,,,,""PORTAGG"",""MEAN""),FMA_EPS(+1,-3AM,,,,""PORTAGG"",""MEAN""))")</f>
        <v>-10.1999095336708</v>
      </c>
      <c r="O33" s="3" cm="1">
        <f t="array" ref="O33">_xll.FDS(C33,"FG_TOTAL_RETURNC(0,-3AM)")</f>
        <v>13.904451999999999</v>
      </c>
      <c r="P33" s="3" cm="1">
        <f t="array" ref="P33">_xll.FDS(C33,"FG_TOTAL_RETURNC(0,-6AM)")</f>
        <v>14.290010000000001</v>
      </c>
      <c r="Q33" s="9" cm="1">
        <f t="array" ref="Q33">_xll.FDS(C33,"P_PRICE(0)/P_PRICE_HIGH_PR(0,,,USD,,,""PRICE"",""INTRA"",""52W"")")</f>
        <v>0.99325240000000004</v>
      </c>
      <c r="R33" s="9" cm="1">
        <f t="array" ref="R33">_xll.FDS(C33,"P_PRICE(0)/P_PRICE_low_PR(0,,,USD,,,""PRICE"",""INTRA"",""52W"")-1")</f>
        <v>0.28164232</v>
      </c>
    </row>
    <row r="34" spans="1:18" x14ac:dyDescent="0.35">
      <c r="A34" t="s">
        <v>1</v>
      </c>
      <c r="B34" t="s">
        <v>123</v>
      </c>
      <c r="C34" t="str">
        <f t="shared" si="15"/>
        <v>SPY</v>
      </c>
      <c r="E34" cm="1">
        <f t="array" ref="E34">_xll.FDS(C34,"FMA_COS_UP(""EPS"",""1M"",+1,NOW,,,""PORTAGG"",""MEANR"")")</f>
        <v>239</v>
      </c>
      <c r="F34" cm="1">
        <f t="array" ref="F34">_xll.FDS(C34,"FMA_COS_DOWN(""EPS"",""1M"",+1,NOW,,,""PORTAGG"",""MEANR"")")</f>
        <v>94</v>
      </c>
      <c r="G34" cm="1">
        <f t="array" ref="G34">_xll.FDS(A34,"SIZE(FG_CONSTITUENTS)")</f>
        <v>504</v>
      </c>
      <c r="H34" s="9">
        <f t="shared" si="16"/>
        <v>0.47420634920634919</v>
      </c>
      <c r="I34" s="9">
        <f t="shared" si="17"/>
        <v>0.18650793650793651</v>
      </c>
      <c r="J34" s="9">
        <f t="shared" si="18"/>
        <v>0.28769841269841268</v>
      </c>
      <c r="K34" s="5" cm="1">
        <f t="array" ref="K34">_xll.FDS(A34,"FMA_PCT_ABOVE_MAVG(200,0,,,,""PORTAGG"")")/100</f>
        <v>0.72962226640159</v>
      </c>
      <c r="L34" s="50" cm="1">
        <f t="array" ref="L34">_xll.FDSB(A34,"PERCENT_CHANGE(FMA_EPS(+1,0,,,,""PORTAGG"",""MEAN""),FMA_EPS(+1,-1AM,,,,""PORTAGG"",""MEAN""))")</f>
        <v>-9.5312553814081191</v>
      </c>
      <c r="M34" s="50" cm="1">
        <f t="array" ref="M34">_xll.FDSB(A34,"PERCENT_CHANGE(FMA_EPS(+1,0,,,,""PORTAGG"",""MEAN""),FMA_EPS(+1,-3AM,,,,""PORTAGG"",""MEAN""))")</f>
        <v>-10.8740778627976</v>
      </c>
      <c r="O34" s="3" cm="1">
        <f t="array" ref="O34">_xll.FDS(C34,"FG_TOTAL_RETURNC(0,-3AM)")</f>
        <v>12.632334</v>
      </c>
      <c r="P34" s="3" cm="1">
        <f t="array" ref="P34">_xll.FDS(C34,"FG_TOTAL_RETURNC(0,-6AM)")</f>
        <v>14.412402999999999</v>
      </c>
      <c r="Q34" s="9" cm="1">
        <f t="array" ref="Q34">_xll.FDS(C34,"P_PRICE(0)/P_PRICE_HIGH_PR(0,,,USD,,,""PRICE"",""INTRA"",""52W"")")</f>
        <v>0.99630487000000001</v>
      </c>
      <c r="R34" s="9" cm="1">
        <f t="array" ref="R34">_xll.FDS(C34,"P_PRICE(0)/P_PRICE_low_PR(0,,,USD,,,""PRICE"",""INTRA"",""52W"")-1")</f>
        <v>0.34585569999999999</v>
      </c>
    </row>
    <row r="35" spans="1:18" x14ac:dyDescent="0.35">
      <c r="Q35" s="9"/>
      <c r="R35" s="9"/>
    </row>
    <row r="36" spans="1:18" x14ac:dyDescent="0.35">
      <c r="Q36" s="9"/>
      <c r="R36" s="9"/>
    </row>
    <row r="37" spans="1:18" x14ac:dyDescent="0.35">
      <c r="Q37" s="9"/>
      <c r="R37" s="9"/>
    </row>
    <row r="38" spans="1:18" ht="15" customHeight="1" x14ac:dyDescent="0.35">
      <c r="E38" s="52"/>
      <c r="F38" s="52"/>
      <c r="Q38" s="9"/>
      <c r="R38" s="9"/>
    </row>
    <row r="39" spans="1:18" ht="15" customHeight="1" x14ac:dyDescent="0.35">
      <c r="E39" s="52"/>
      <c r="F39" s="52"/>
      <c r="Q39" s="9"/>
      <c r="R39" s="9"/>
    </row>
    <row r="40" spans="1:18" ht="15" customHeight="1" x14ac:dyDescent="0.35">
      <c r="E40" s="52"/>
      <c r="F40" s="52"/>
      <c r="Q40" s="9"/>
      <c r="R40" s="9"/>
    </row>
    <row r="41" spans="1:18" ht="15" customHeight="1" x14ac:dyDescent="0.35">
      <c r="C41" s="1"/>
      <c r="D41" s="1"/>
      <c r="E41" s="52"/>
      <c r="F41" s="52"/>
      <c r="Q41" s="9"/>
      <c r="R41" s="9"/>
    </row>
    <row r="42" spans="1:18" ht="15" customHeight="1" x14ac:dyDescent="0.35">
      <c r="E42" s="52"/>
      <c r="F42" s="52"/>
      <c r="Q42" s="9"/>
      <c r="R42" s="9"/>
    </row>
    <row r="43" spans="1:18" ht="15" customHeight="1" x14ac:dyDescent="0.35">
      <c r="E43" s="52"/>
      <c r="F43" s="52"/>
      <c r="Q43" s="9"/>
      <c r="R43" s="9"/>
    </row>
    <row r="44" spans="1:18" ht="15" customHeight="1" x14ac:dyDescent="0.35">
      <c r="E44" s="52"/>
      <c r="F44" s="52"/>
      <c r="Q44" s="9"/>
      <c r="R44" s="9"/>
    </row>
    <row r="45" spans="1:18" ht="15" customHeight="1" x14ac:dyDescent="0.35">
      <c r="E45" s="52"/>
      <c r="F45" s="52"/>
      <c r="P45" s="1"/>
      <c r="Q45" s="9"/>
      <c r="R45" s="9"/>
    </row>
    <row r="46" spans="1:18" ht="15" customHeight="1" x14ac:dyDescent="0.35">
      <c r="E46" s="52"/>
      <c r="F46" s="52"/>
      <c r="Q46" s="9"/>
      <c r="R46" s="9"/>
    </row>
    <row r="47" spans="1:18" ht="15" customHeight="1" x14ac:dyDescent="0.35">
      <c r="E47" s="52"/>
      <c r="F47" s="52"/>
      <c r="Q47" s="9"/>
      <c r="R47" s="9"/>
    </row>
    <row r="48" spans="1:18" ht="15" customHeight="1" x14ac:dyDescent="0.35">
      <c r="C48" s="1"/>
      <c r="D48" s="1"/>
      <c r="E48" s="52"/>
      <c r="F48" s="52"/>
      <c r="Q48" s="9"/>
      <c r="R48" s="9"/>
    </row>
    <row r="49" spans="3:18" ht="15" customHeight="1" x14ac:dyDescent="0.35">
      <c r="E49" s="52"/>
      <c r="F49" s="52"/>
      <c r="Q49" s="9"/>
      <c r="R49" s="9"/>
    </row>
    <row r="50" spans="3:18" ht="15" customHeight="1" x14ac:dyDescent="0.35">
      <c r="E50" s="52"/>
      <c r="F50" s="52"/>
      <c r="Q50" s="9"/>
      <c r="R50" s="9"/>
    </row>
    <row r="51" spans="3:18" ht="15" customHeight="1" x14ac:dyDescent="0.35">
      <c r="E51" s="52"/>
      <c r="F51" s="52"/>
      <c r="Q51" s="9"/>
      <c r="R51" s="9"/>
    </row>
    <row r="52" spans="3:18" ht="15" customHeight="1" x14ac:dyDescent="0.35">
      <c r="E52" s="52"/>
      <c r="F52" s="52"/>
      <c r="Q52" s="9"/>
      <c r="R52" s="9"/>
    </row>
    <row r="53" spans="3:18" ht="15" customHeight="1" x14ac:dyDescent="0.35">
      <c r="C53" s="1"/>
      <c r="D53" s="1"/>
      <c r="E53" s="52"/>
      <c r="F53" s="52"/>
      <c r="Q53" s="9"/>
      <c r="R53" s="9"/>
    </row>
    <row r="54" spans="3:18" ht="15" customHeight="1" x14ac:dyDescent="0.35">
      <c r="E54" s="52"/>
      <c r="F54" s="52"/>
      <c r="Q54" s="9"/>
      <c r="R54" s="9"/>
    </row>
    <row r="55" spans="3:18" ht="15" customHeight="1" x14ac:dyDescent="0.35">
      <c r="E55" s="52"/>
      <c r="F55" s="52"/>
      <c r="Q55" s="9"/>
      <c r="R55" s="9"/>
    </row>
    <row r="56" spans="3:18" ht="15" customHeight="1" x14ac:dyDescent="0.35">
      <c r="E56" s="52"/>
      <c r="F56" s="52"/>
      <c r="Q56" s="9"/>
      <c r="R56" s="9"/>
    </row>
    <row r="57" spans="3:18" ht="15" customHeight="1" x14ac:dyDescent="0.35">
      <c r="E57" s="52"/>
      <c r="F57" s="52"/>
      <c r="Q57" s="9"/>
      <c r="R57" s="9"/>
    </row>
    <row r="58" spans="3:18" ht="15" customHeight="1" x14ac:dyDescent="0.35">
      <c r="C58" s="1"/>
      <c r="D58" s="1"/>
      <c r="E58" s="52"/>
      <c r="F58" s="52"/>
      <c r="Q58" s="9"/>
      <c r="R58" s="9"/>
    </row>
    <row r="59" spans="3:18" ht="15" customHeight="1" x14ac:dyDescent="0.35">
      <c r="C59" s="1"/>
      <c r="D59" s="1"/>
      <c r="E59" s="52"/>
      <c r="F59" s="52"/>
    </row>
    <row r="60" spans="3:18" ht="15" customHeight="1" x14ac:dyDescent="0.35">
      <c r="E60" s="52"/>
      <c r="F60" s="52"/>
    </row>
    <row r="61" spans="3:18" ht="15" customHeight="1" x14ac:dyDescent="0.35">
      <c r="E61" s="52"/>
      <c r="F61" s="52"/>
    </row>
    <row r="62" spans="3:18" ht="15" customHeight="1" x14ac:dyDescent="0.35">
      <c r="E62" s="53"/>
      <c r="F62" s="53"/>
      <c r="G62" s="1"/>
    </row>
    <row r="63" spans="3:18" ht="15" customHeight="1" x14ac:dyDescent="0.35">
      <c r="E63" s="52"/>
      <c r="F63" s="52"/>
    </row>
    <row r="64" spans="3:18" ht="15" customHeight="1" x14ac:dyDescent="0.35">
      <c r="E64" s="52"/>
      <c r="F64" s="52"/>
    </row>
    <row r="65" spans="5:7" ht="15" customHeight="1" x14ac:dyDescent="0.35">
      <c r="E65" s="52"/>
      <c r="F65" s="52"/>
    </row>
    <row r="66" spans="5:7" ht="15" customHeight="1" x14ac:dyDescent="0.35">
      <c r="E66" s="52"/>
      <c r="F66" s="52"/>
    </row>
    <row r="67" spans="5:7" ht="15" customHeight="1" x14ac:dyDescent="0.35">
      <c r="E67" s="52"/>
      <c r="F67" s="52"/>
    </row>
    <row r="68" spans="5:7" ht="15" customHeight="1" x14ac:dyDescent="0.35">
      <c r="E68" s="52"/>
      <c r="F68" s="52"/>
    </row>
    <row r="69" spans="5:7" ht="15" customHeight="1" x14ac:dyDescent="0.35">
      <c r="E69" s="52"/>
      <c r="F69" s="52"/>
    </row>
    <row r="70" spans="5:7" ht="15" customHeight="1" x14ac:dyDescent="0.35">
      <c r="E70" s="53"/>
      <c r="F70" s="53"/>
      <c r="G70" s="1"/>
    </row>
    <row r="71" spans="5:7" ht="15" customHeight="1" x14ac:dyDescent="0.35">
      <c r="E71" s="52"/>
      <c r="F71" s="52"/>
    </row>
    <row r="72" spans="5:7" ht="15" customHeight="1" x14ac:dyDescent="0.35">
      <c r="E72" s="52"/>
      <c r="F72" s="52"/>
    </row>
    <row r="73" spans="5:7" ht="15" customHeight="1" x14ac:dyDescent="0.35">
      <c r="E73" s="52"/>
      <c r="F73" s="52"/>
    </row>
    <row r="74" spans="5:7" ht="15" customHeight="1" x14ac:dyDescent="0.35">
      <c r="E74" s="52"/>
      <c r="F74" s="52"/>
    </row>
    <row r="75" spans="5:7" ht="15" customHeight="1" x14ac:dyDescent="0.35">
      <c r="E75" s="52"/>
      <c r="F75" s="52"/>
    </row>
    <row r="76" spans="5:7" ht="15" customHeight="1" x14ac:dyDescent="0.35">
      <c r="E76" s="52"/>
      <c r="F76" s="52"/>
    </row>
    <row r="77" spans="5:7" x14ac:dyDescent="0.35">
      <c r="F77" s="4"/>
    </row>
    <row r="78" spans="5:7" x14ac:dyDescent="0.35">
      <c r="F78" s="4"/>
    </row>
    <row r="79" spans="5:7" x14ac:dyDescent="0.35">
      <c r="F79" s="4"/>
    </row>
    <row r="80" spans="5:7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  <row r="258" spans="6:6" x14ac:dyDescent="0.35">
      <c r="F258" s="4"/>
    </row>
    <row r="259" spans="6:6" x14ac:dyDescent="0.35">
      <c r="F259" s="4"/>
    </row>
    <row r="260" spans="6:6" x14ac:dyDescent="0.35">
      <c r="F260" s="4"/>
    </row>
    <row r="261" spans="6:6" x14ac:dyDescent="0.35">
      <c r="F261" s="4"/>
    </row>
    <row r="262" spans="6:6" x14ac:dyDescent="0.35">
      <c r="F262" s="4"/>
    </row>
    <row r="263" spans="6:6" x14ac:dyDescent="0.35">
      <c r="F263" s="4"/>
    </row>
    <row r="264" spans="6:6" x14ac:dyDescent="0.35">
      <c r="F264" s="4"/>
    </row>
    <row r="265" spans="6:6" x14ac:dyDescent="0.35">
      <c r="F265" s="4"/>
    </row>
    <row r="266" spans="6:6" x14ac:dyDescent="0.35">
      <c r="F266" s="4"/>
    </row>
    <row r="267" spans="6:6" x14ac:dyDescent="0.35">
      <c r="F267" s="4"/>
    </row>
    <row r="268" spans="6:6" x14ac:dyDescent="0.35">
      <c r="F268" s="4"/>
    </row>
    <row r="269" spans="6:6" x14ac:dyDescent="0.35">
      <c r="F269" s="4"/>
    </row>
  </sheetData>
  <sortState xmlns:xlrd2="http://schemas.microsoft.com/office/spreadsheetml/2017/richdata2" ref="E42:F80">
    <sortCondition descending="1" ref="F42:F80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32"/>
  <sheetViews>
    <sheetView workbookViewId="0">
      <selection activeCell="A4" sqref="A4"/>
    </sheetView>
  </sheetViews>
  <sheetFormatPr defaultRowHeight="14.5" x14ac:dyDescent="0.35"/>
  <cols>
    <col min="3" max="3" width="45.6328125" bestFit="1" customWidth="1"/>
    <col min="4" max="4" width="14.54296875" customWidth="1"/>
    <col min="5" max="5" width="10.90625" customWidth="1"/>
    <col min="6" max="7" width="8.453125" customWidth="1"/>
    <col min="8" max="8" width="24.08984375" customWidth="1"/>
    <col min="9" max="9" width="20.453125" customWidth="1"/>
    <col min="10" max="10" width="24.36328125" bestFit="1" customWidth="1"/>
    <col min="11" max="11" width="13.453125" customWidth="1"/>
    <col min="12" max="12" width="14.36328125" customWidth="1"/>
    <col min="13" max="13" width="15.6328125" customWidth="1"/>
    <col min="14" max="14" width="12.36328125" customWidth="1"/>
    <col min="16" max="16" width="9.6328125" customWidth="1"/>
  </cols>
  <sheetData>
    <row r="1" spans="2:18" ht="58" x14ac:dyDescent="0.35">
      <c r="L1" t="s">
        <v>540</v>
      </c>
      <c r="M1" t="s">
        <v>539</v>
      </c>
      <c r="N1" s="60" t="s">
        <v>412</v>
      </c>
      <c r="P1" s="60" t="s">
        <v>411</v>
      </c>
    </row>
    <row r="2" spans="2:18" x14ac:dyDescent="0.35">
      <c r="L2" s="6">
        <f>Assumption!E52</f>
        <v>0.25</v>
      </c>
      <c r="M2" s="6">
        <f>Assumption!F52</f>
        <v>0.25</v>
      </c>
      <c r="N2" s="6">
        <f>Assumption!G52</f>
        <v>0.5</v>
      </c>
    </row>
    <row r="3" spans="2:18" x14ac:dyDescent="0.35">
      <c r="D3" t="s">
        <v>409</v>
      </c>
      <c r="E3" s="55" t="s">
        <v>93</v>
      </c>
      <c r="H3" t="s">
        <v>410</v>
      </c>
      <c r="I3" t="s">
        <v>98</v>
      </c>
      <c r="J3" s="1"/>
      <c r="P3" t="s">
        <v>548</v>
      </c>
      <c r="R3" t="s">
        <v>817</v>
      </c>
    </row>
    <row r="4" spans="2:18" x14ac:dyDescent="0.35">
      <c r="B4" t="s">
        <v>437</v>
      </c>
      <c r="C4" t="s">
        <v>440</v>
      </c>
      <c r="D4" s="9">
        <f>HLOOKUP(B4,'Monthly Returns'!$A$1:$AC$134, 127, FALSE)</f>
        <v>-0.14335858999999998</v>
      </c>
      <c r="E4" s="9">
        <f>HLOOKUP(B4,'Monthly Returns'!$A$1:$AC$134, 132, FALSE)</f>
        <v>0.15217391304347827</v>
      </c>
      <c r="H4" s="9">
        <f>HLOOKUP(B4,'Yearly returns'!$B$1:$V$140, 133, FALSE)</f>
        <v>0.34567901234567899</v>
      </c>
      <c r="I4" s="9">
        <f>HLOOKUP(B4,'Yearly returns'!$B$1:$V$140, 138, FALSE)</f>
        <v>0.182</v>
      </c>
      <c r="L4" s="56">
        <f t="shared" ref="L4:L24" si="0">(1-PERCENTRANK($E$4:$E$24,E4))*100</f>
        <v>65</v>
      </c>
      <c r="M4" s="56">
        <f t="shared" ref="M4:M24" si="1">(1-PERCENTRANK($H$4:$H$24,H4))*100</f>
        <v>19.999999999999996</v>
      </c>
      <c r="N4" s="56">
        <f t="shared" ref="N4:N24" si="2">(1-PERCENTRANK($I$4:$I$24,I4))*100</f>
        <v>95</v>
      </c>
      <c r="P4">
        <f>L4*Assumption!$E$52 + M4*Assumption!$F$52 + N4*Assumption!$G$52</f>
        <v>68.75</v>
      </c>
      <c r="R4" cm="1">
        <f t="array" ref="R4">_xlfn.PERCENTRANK.EXC(_xlfn._xlws.FILTER(P$4:P$24, ISNUMBER(P$4:P$24)),P4)*100</f>
        <v>81.8</v>
      </c>
    </row>
    <row r="5" spans="2:18" x14ac:dyDescent="0.35">
      <c r="B5" t="s">
        <v>27</v>
      </c>
      <c r="C5" t="s">
        <v>441</v>
      </c>
      <c r="D5" s="9">
        <f>HLOOKUP(B5,'Monthly Returns'!$A$1:$AC$134, 127, FALSE)</f>
        <v>-0.22714632000000001</v>
      </c>
      <c r="E5" s="9">
        <f>HLOOKUP(B5,'Monthly Returns'!$A$1:$AC$134, 132, FALSE)</f>
        <v>0.21487603305785125</v>
      </c>
      <c r="H5" s="9">
        <f>HLOOKUP(B5,'Yearly returns'!$B$1:$V$140, 133, FALSE)</f>
        <v>0.42148760330578511</v>
      </c>
      <c r="I5" s="9">
        <f>HLOOKUP(B5,'Yearly returns'!$B$1:$V$140, 138, FALSE)</f>
        <v>0.48299999999999998</v>
      </c>
      <c r="L5" s="56">
        <f t="shared" si="0"/>
        <v>15.000000000000002</v>
      </c>
      <c r="M5" s="56">
        <f t="shared" si="1"/>
        <v>5.0000000000000044</v>
      </c>
      <c r="N5" s="56">
        <f t="shared" si="2"/>
        <v>80</v>
      </c>
      <c r="P5">
        <f>L5*Assumption!$E$52 + M5*Assumption!$F$52 + N5*Assumption!$G$52</f>
        <v>45</v>
      </c>
      <c r="R5" cm="1">
        <f t="array" ref="R5">_xlfn.PERCENTRANK.EXC(_xlfn._xlws.FILTER(P$4:P$24, ISNUMBER(P$4:P$24)),P5)*100</f>
        <v>31.8</v>
      </c>
    </row>
    <row r="6" spans="2:18" x14ac:dyDescent="0.35">
      <c r="B6" t="s">
        <v>35</v>
      </c>
      <c r="C6" t="s">
        <v>442</v>
      </c>
      <c r="D6" s="9">
        <f>HLOOKUP(B6,'Monthly Returns'!$A$1:$AC$134, 127, FALSE)</f>
        <v>-0.38349514000000001</v>
      </c>
      <c r="E6" s="9">
        <f>HLOOKUP(B6,'Monthly Returns'!$A$1:$AC$134, 132, FALSE)</f>
        <v>0.15702479338842976</v>
      </c>
      <c r="H6" s="9">
        <f>HLOOKUP(B6,'Yearly returns'!$B$1:$V$140, 133, FALSE)</f>
        <v>0.23140495867768596</v>
      </c>
      <c r="I6" s="9">
        <f>HLOOKUP(B6,'Yearly returns'!$B$1:$V$140, 138, FALSE)</f>
        <v>0.49099999999999999</v>
      </c>
      <c r="L6" s="56">
        <f t="shared" si="0"/>
        <v>60</v>
      </c>
      <c r="M6" s="56">
        <f t="shared" si="1"/>
        <v>80</v>
      </c>
      <c r="N6" s="56">
        <f t="shared" si="2"/>
        <v>75</v>
      </c>
      <c r="P6">
        <f>L6*Assumption!$E$52 + M6*Assumption!$F$52 + N6*Assumption!$G$52</f>
        <v>72.5</v>
      </c>
      <c r="R6" cm="1">
        <f t="array" ref="R6">_xlfn.PERCENTRANK.EXC(_xlfn._xlws.FILTER(P$4:P$24, ISNUMBER(P$4:P$24)),P6)*100</f>
        <v>86.3</v>
      </c>
    </row>
    <row r="7" spans="2:18" x14ac:dyDescent="0.35">
      <c r="B7" t="s">
        <v>30</v>
      </c>
      <c r="C7" t="s">
        <v>443</v>
      </c>
      <c r="D7" s="9">
        <f>HLOOKUP(B7,'Monthly Returns'!$A$1:$AC$134, 127, FALSE)</f>
        <v>-0.24824589</v>
      </c>
      <c r="E7" s="9">
        <f>HLOOKUP(B7,'Monthly Returns'!$A$1:$AC$134, 132, FALSE)</f>
        <v>0.16528925619834711</v>
      </c>
      <c r="H7" s="9">
        <f>HLOOKUP(B7,'Yearly returns'!$B$1:$V$140, 133, FALSE)</f>
        <v>0.24793388429752067</v>
      </c>
      <c r="I7" s="9">
        <f>HLOOKUP(B7,'Yearly returns'!$B$1:$V$140, 138, FALSE)</f>
        <v>0.64700000000000002</v>
      </c>
      <c r="L7" s="56">
        <f t="shared" si="0"/>
        <v>50</v>
      </c>
      <c r="M7" s="56">
        <f t="shared" si="1"/>
        <v>75</v>
      </c>
      <c r="N7" s="56">
        <f t="shared" si="2"/>
        <v>50</v>
      </c>
      <c r="P7">
        <f>L7*Assumption!$E$52 + M7*Assumption!$F$52 + N7*Assumption!$G$52</f>
        <v>56.25</v>
      </c>
      <c r="R7" cm="1">
        <f t="array" ref="R7">_xlfn.PERCENTRANK.EXC(_xlfn._xlws.FILTER(P$4:P$24, ISNUMBER(P$4:P$24)),P7)*100</f>
        <v>50</v>
      </c>
    </row>
    <row r="8" spans="2:18" x14ac:dyDescent="0.35">
      <c r="B8" t="s">
        <v>23</v>
      </c>
      <c r="C8" t="s">
        <v>444</v>
      </c>
      <c r="D8" s="9">
        <f>HLOOKUP(B8,'Monthly Returns'!$A$1:$AC$134, 127, FALSE)</f>
        <v>-0.27377683999999997</v>
      </c>
      <c r="E8" s="9">
        <f>HLOOKUP(B8,'Monthly Returns'!$A$1:$AC$134, 132, FALSE)</f>
        <v>0.17355371900826447</v>
      </c>
      <c r="H8" s="9">
        <f>HLOOKUP(B8,'Yearly returns'!$B$1:$V$140, 133, FALSE)</f>
        <v>0.42148760330578511</v>
      </c>
      <c r="I8" s="9">
        <f>HLOOKUP(B8,'Yearly returns'!$B$1:$V$140, 138, FALSE)</f>
        <v>0.92600000000000005</v>
      </c>
      <c r="L8" s="56">
        <f t="shared" si="0"/>
        <v>44.999999999999993</v>
      </c>
      <c r="M8" s="56">
        <f t="shared" si="1"/>
        <v>5.0000000000000044</v>
      </c>
      <c r="N8" s="56">
        <f t="shared" si="2"/>
        <v>0</v>
      </c>
      <c r="P8">
        <f>L8*Assumption!$E$52 + M8*Assumption!$F$52 + N8*Assumption!$G$52</f>
        <v>12.5</v>
      </c>
      <c r="R8" cm="1">
        <f t="array" ref="R8">_xlfn.PERCENTRANK.EXC(_xlfn._xlws.FILTER(P$4:P$24, ISNUMBER(P$4:P$24)),P8)*100</f>
        <v>4.5</v>
      </c>
    </row>
    <row r="9" spans="2:18" s="1" customFormat="1" x14ac:dyDescent="0.35">
      <c r="B9" s="1" t="s">
        <v>29</v>
      </c>
      <c r="C9" t="s">
        <v>445</v>
      </c>
      <c r="D9" s="9">
        <f>HLOOKUP(B9,'Monthly Returns'!$A$1:$AC$134, 127, FALSE)</f>
        <v>-0.32887756000000001</v>
      </c>
      <c r="E9" s="9">
        <f>HLOOKUP(B9,'Monthly Returns'!$A$1:$AC$134, 132, FALSE)</f>
        <v>0.17355371900826447</v>
      </c>
      <c r="H9" s="9">
        <f>HLOOKUP(B9,'Yearly returns'!$B$1:$V$140, 133, FALSE)</f>
        <v>0.256198347107438</v>
      </c>
      <c r="I9" s="9">
        <f>HLOOKUP(B9,'Yearly returns'!$B$1:$V$140, 138, FALSE)</f>
        <v>0.80300000000000005</v>
      </c>
      <c r="L9" s="56">
        <f t="shared" si="0"/>
        <v>44.999999999999993</v>
      </c>
      <c r="M9" s="58">
        <f t="shared" si="1"/>
        <v>70</v>
      </c>
      <c r="N9" s="56">
        <f t="shared" si="2"/>
        <v>19.999999999999996</v>
      </c>
      <c r="P9">
        <f>L9*Assumption!$E$52 + M9*Assumption!$F$52 + N9*Assumption!$G$52</f>
        <v>38.75</v>
      </c>
      <c r="R9" cm="1">
        <f t="array" ref="R9">_xlfn.PERCENTRANK.EXC(_xlfn._xlws.FILTER(P$4:P$24, ISNUMBER(P$4:P$24)),P9)*100</f>
        <v>27.200000000000003</v>
      </c>
    </row>
    <row r="10" spans="2:18" x14ac:dyDescent="0.35">
      <c r="B10" t="s">
        <v>33</v>
      </c>
      <c r="C10" t="s">
        <v>446</v>
      </c>
      <c r="D10" s="9">
        <f>HLOOKUP(B10,'Monthly Returns'!$A$1:$AC$134, 127, FALSE)</f>
        <v>-0.18786854000000003</v>
      </c>
      <c r="E10" s="9">
        <f>HLOOKUP(B10,'Monthly Returns'!$A$1:$AC$134, 132, FALSE)</f>
        <v>0.12396694214876033</v>
      </c>
      <c r="H10" s="9">
        <f>HLOOKUP(B10,'Yearly returns'!$B$1:$V$140, 133, FALSE)</f>
        <v>0.26446280991735538</v>
      </c>
      <c r="I10" s="9">
        <f>HLOOKUP(B10,'Yearly returns'!$B$1:$V$140, 138, FALSE)</f>
        <v>0.70399999999999996</v>
      </c>
      <c r="L10" s="56">
        <f t="shared" si="0"/>
        <v>85</v>
      </c>
      <c r="M10" s="56">
        <f t="shared" si="1"/>
        <v>65</v>
      </c>
      <c r="N10" s="56">
        <f t="shared" si="2"/>
        <v>40</v>
      </c>
      <c r="P10">
        <f>L10*Assumption!$E$52 + M10*Assumption!$F$52 + N10*Assumption!$G$52</f>
        <v>57.5</v>
      </c>
      <c r="R10" cm="1">
        <f t="array" ref="R10">_xlfn.PERCENTRANK.EXC(_xlfn._xlws.FILTER(P$4:P$24, ISNUMBER(P$4:P$24)),P10)*100</f>
        <v>63.6</v>
      </c>
    </row>
    <row r="11" spans="2:18" x14ac:dyDescent="0.35">
      <c r="B11" t="s">
        <v>24</v>
      </c>
      <c r="C11" t="s">
        <v>40</v>
      </c>
      <c r="D11" s="9">
        <f>HLOOKUP(B11,'Monthly Returns'!$A$1:$AC$134, 127, FALSE)</f>
        <v>-0.17095542999999999</v>
      </c>
      <c r="E11" s="9">
        <f>HLOOKUP(B11,'Monthly Returns'!$A$1:$AC$134, 132, FALSE)</f>
        <v>0.13223140495867769</v>
      </c>
      <c r="H11" s="9">
        <f>HLOOKUP(B11,'Yearly returns'!$B$1:$V$140, 133, FALSE)</f>
        <v>0.15702479338842976</v>
      </c>
      <c r="I11" s="9">
        <f>HLOOKUP(B11,'Yearly returns'!$B$1:$V$140, 138, FALSE)</f>
        <v>0.61399999999999999</v>
      </c>
      <c r="L11" s="56">
        <f t="shared" si="0"/>
        <v>75</v>
      </c>
      <c r="M11" s="56">
        <f t="shared" si="1"/>
        <v>90</v>
      </c>
      <c r="N11" s="56">
        <f t="shared" si="2"/>
        <v>65</v>
      </c>
      <c r="P11">
        <f>L11*Assumption!$E$52 + M11*Assumption!$F$52 + N11*Assumption!$G$52</f>
        <v>73.75</v>
      </c>
      <c r="R11" cm="1">
        <f t="array" ref="R11">_xlfn.PERCENTRANK.EXC(_xlfn._xlws.FILTER(P$4:P$24, ISNUMBER(P$4:P$24)),P11)*100</f>
        <v>90.9</v>
      </c>
    </row>
    <row r="12" spans="2:18" x14ac:dyDescent="0.35">
      <c r="B12" t="s">
        <v>7</v>
      </c>
      <c r="C12" t="s">
        <v>53</v>
      </c>
      <c r="D12" s="9">
        <f>HLOOKUP(B12,'Monthly Returns'!$A$1:$AC$134, 127, FALSE)</f>
        <v>-0.41672359999999997</v>
      </c>
      <c r="E12" s="9">
        <f>HLOOKUP(B12,'Monthly Returns'!$A$1:$AC$134, 132, FALSE)</f>
        <v>0.17355371900826447</v>
      </c>
      <c r="H12" s="9">
        <f>HLOOKUP(B12,'Yearly returns'!$B$1:$V$140, 133, FALSE)</f>
        <v>0.30578512396694213</v>
      </c>
      <c r="I12" s="9">
        <f>HLOOKUP(B12,'Yearly returns'!$B$1:$V$140, 138, FALSE)</f>
        <v>0.70399999999999996</v>
      </c>
      <c r="L12" s="56">
        <f t="shared" si="0"/>
        <v>44.999999999999993</v>
      </c>
      <c r="M12" s="56">
        <f t="shared" si="1"/>
        <v>55.000000000000007</v>
      </c>
      <c r="N12" s="56">
        <f t="shared" si="2"/>
        <v>40</v>
      </c>
      <c r="P12">
        <f>L12*Assumption!$E$52 + M12*Assumption!$F$52 + N12*Assumption!$G$52</f>
        <v>45</v>
      </c>
      <c r="R12" cm="1">
        <f t="array" ref="R12">_xlfn.PERCENTRANK.EXC(_xlfn._xlws.FILTER(P$4:P$24, ISNUMBER(P$4:P$24)),P12)*100</f>
        <v>31.8</v>
      </c>
    </row>
    <row r="13" spans="2:18" x14ac:dyDescent="0.35">
      <c r="B13" t="s">
        <v>21</v>
      </c>
      <c r="C13" t="s">
        <v>38</v>
      </c>
      <c r="D13" s="9">
        <f>HLOOKUP(B13,'Monthly Returns'!$A$1:$AC$134, 127, FALSE)</f>
        <v>-0.21587355</v>
      </c>
      <c r="E13" s="9">
        <f>HLOOKUP(B13,'Monthly Returns'!$A$1:$AC$134, 132, FALSE)</f>
        <v>0.15702479338842976</v>
      </c>
      <c r="H13" s="9">
        <f>HLOOKUP(B13,'Yearly returns'!$B$1:$V$140, 133, FALSE)</f>
        <v>0.33057851239669422</v>
      </c>
      <c r="I13" s="9">
        <f>HLOOKUP(B13,'Yearly returns'!$B$1:$V$140, 138, FALSE)</f>
        <v>0.622</v>
      </c>
      <c r="L13" s="56">
        <f t="shared" si="0"/>
        <v>60</v>
      </c>
      <c r="M13" s="56">
        <f t="shared" si="1"/>
        <v>35</v>
      </c>
      <c r="N13" s="56">
        <f t="shared" si="2"/>
        <v>60</v>
      </c>
      <c r="P13">
        <f>L13*Assumption!$E$52 + M13*Assumption!$F$52 + N13*Assumption!$G$52</f>
        <v>53.75</v>
      </c>
      <c r="R13" cm="1">
        <f t="array" ref="R13">_xlfn.PERCENTRANK.EXC(_xlfn._xlws.FILTER(P$4:P$24, ISNUMBER(P$4:P$24)),P13)*100</f>
        <v>40.9</v>
      </c>
    </row>
    <row r="14" spans="2:18" x14ac:dyDescent="0.35">
      <c r="B14" t="s">
        <v>12</v>
      </c>
      <c r="C14" t="s">
        <v>54</v>
      </c>
      <c r="D14" s="9">
        <f>HLOOKUP(B14,'Monthly Returns'!$A$1:$AC$134, 127, FALSE)</f>
        <v>-0.43811236999999997</v>
      </c>
      <c r="E14" s="9">
        <f>HLOOKUP(B14,'Monthly Returns'!$A$1:$AC$134, 132, FALSE)</f>
        <v>0.26446280991735538</v>
      </c>
      <c r="H14" s="9">
        <f>HLOOKUP(B14,'Yearly returns'!$B$1:$V$140, 133, FALSE)</f>
        <v>0.33057851239669422</v>
      </c>
      <c r="I14" s="9">
        <f>HLOOKUP(B14,'Yearly returns'!$B$1:$V$140, 138, FALSE)</f>
        <v>0.81899999999999995</v>
      </c>
      <c r="L14" s="56">
        <f t="shared" si="0"/>
        <v>5.0000000000000044</v>
      </c>
      <c r="M14" s="56">
        <f t="shared" si="1"/>
        <v>35</v>
      </c>
      <c r="N14" s="56">
        <f t="shared" si="2"/>
        <v>15.000000000000002</v>
      </c>
      <c r="P14">
        <f>L14*Assumption!$E$52 + M14*Assumption!$F$52 + N14*Assumption!$G$52</f>
        <v>17.500000000000004</v>
      </c>
      <c r="R14" cm="1">
        <f t="array" ref="R14">_xlfn.PERCENTRANK.EXC(_xlfn._xlws.FILTER(P$4:P$24, ISNUMBER(P$4:P$24)),P14)*100</f>
        <v>9</v>
      </c>
    </row>
    <row r="15" spans="2:18" x14ac:dyDescent="0.35">
      <c r="B15" t="s">
        <v>22</v>
      </c>
      <c r="C15" t="s">
        <v>447</v>
      </c>
      <c r="D15" s="9">
        <f>HLOOKUP(B15,'Monthly Returns'!$A$1:$AC$134, 127, FALSE)</f>
        <v>-0.36969990000000003</v>
      </c>
      <c r="E15" s="9">
        <f>HLOOKUP(B15,'Monthly Returns'!$A$1:$AC$134, 132, FALSE)</f>
        <v>0.18181818181818182</v>
      </c>
      <c r="H15" s="9">
        <f>HLOOKUP(B15,'Yearly returns'!$B$1:$V$140, 133, FALSE)</f>
        <v>0.33884297520661155</v>
      </c>
      <c r="I15" s="9">
        <f>HLOOKUP(B15,'Yearly returns'!$B$1:$V$140, 138, FALSE)</f>
        <v>0.36799999999999999</v>
      </c>
      <c r="L15" s="56">
        <f t="shared" si="0"/>
        <v>30.000000000000004</v>
      </c>
      <c r="M15" s="56">
        <f t="shared" si="1"/>
        <v>25</v>
      </c>
      <c r="N15" s="56">
        <f t="shared" si="2"/>
        <v>85</v>
      </c>
      <c r="P15">
        <f>L15*Assumption!$E$52 + M15*Assumption!$F$52 + N15*Assumption!$G$52</f>
        <v>56.25</v>
      </c>
      <c r="R15" cm="1">
        <f t="array" ref="R15">_xlfn.PERCENTRANK.EXC(_xlfn._xlws.FILTER(P$4:P$24, ISNUMBER(P$4:P$24)),P15)*100</f>
        <v>50</v>
      </c>
    </row>
    <row r="16" spans="2:18" x14ac:dyDescent="0.35">
      <c r="B16" t="s">
        <v>28</v>
      </c>
      <c r="C16" t="s">
        <v>448</v>
      </c>
      <c r="D16" s="9">
        <f>HLOOKUP(B16,'Monthly Returns'!$A$1:$AC$134, 127, FALSE)</f>
        <v>-0.34039900000000001</v>
      </c>
      <c r="E16" s="9">
        <f>HLOOKUP(B16,'Monthly Returns'!$A$1:$AC$134, 132, FALSE)</f>
        <v>0.24793388429752067</v>
      </c>
      <c r="H16" s="9">
        <f>HLOOKUP(B16,'Yearly returns'!$B$1:$V$140, 133, FALSE)</f>
        <v>0.41322314049586778</v>
      </c>
      <c r="I16" s="9">
        <f>HLOOKUP(B16,'Yearly returns'!$B$1:$V$140, 138, FALSE)</f>
        <v>0.71299999999999997</v>
      </c>
      <c r="L16" s="56">
        <f t="shared" si="0"/>
        <v>9.9999999999999982</v>
      </c>
      <c r="M16" s="56">
        <f t="shared" si="1"/>
        <v>9.9999999999999982</v>
      </c>
      <c r="N16" s="56">
        <f t="shared" si="2"/>
        <v>30.000000000000004</v>
      </c>
      <c r="P16">
        <f>L16*Assumption!$E$52 + M16*Assumption!$F$52 + N16*Assumption!$G$52</f>
        <v>20</v>
      </c>
      <c r="R16" cm="1">
        <f t="array" ref="R16">_xlfn.PERCENTRANK.EXC(_xlfn._xlws.FILTER(P$4:P$24, ISNUMBER(P$4:P$24)),P16)*100</f>
        <v>13.600000000000001</v>
      </c>
    </row>
    <row r="17" spans="2:18" x14ac:dyDescent="0.35">
      <c r="B17" t="s">
        <v>32</v>
      </c>
      <c r="C17" t="s">
        <v>52</v>
      </c>
      <c r="D17" s="9">
        <f>HLOOKUP(B17,'Monthly Returns'!$A$1:$AC$134, 127, FALSE)</f>
        <v>-0.31197249999999999</v>
      </c>
      <c r="E17" s="9">
        <f>HLOOKUP(B17,'Monthly Returns'!$A$1:$AC$134, 132, FALSE)</f>
        <v>9.9173553719008267E-2</v>
      </c>
      <c r="H17" s="9">
        <f>HLOOKUP(B17,'Yearly returns'!$B$1:$V$140, 133, FALSE)</f>
        <v>0.13223140495867769</v>
      </c>
      <c r="I17" s="9">
        <f>HLOOKUP(B17,'Yearly returns'!$B$1:$V$140, 138, FALSE)</f>
        <v>0.84399999999999997</v>
      </c>
      <c r="L17" s="56">
        <f t="shared" si="0"/>
        <v>95</v>
      </c>
      <c r="M17" s="56">
        <f t="shared" si="1"/>
        <v>100</v>
      </c>
      <c r="N17" s="56">
        <f t="shared" si="2"/>
        <v>9.9999999999999982</v>
      </c>
      <c r="P17">
        <f>L17*Assumption!$E$52 + M17*Assumption!$F$52 + N17*Assumption!$G$52</f>
        <v>53.75</v>
      </c>
      <c r="R17" cm="1">
        <f t="array" ref="R17">_xlfn.PERCENTRANK.EXC(_xlfn._xlws.FILTER(P$4:P$24, ISNUMBER(P$4:P$24)),P17)*100</f>
        <v>40.9</v>
      </c>
    </row>
    <row r="18" spans="2:18" x14ac:dyDescent="0.35">
      <c r="B18" t="s">
        <v>26</v>
      </c>
      <c r="C18" t="s">
        <v>41</v>
      </c>
      <c r="D18" s="9">
        <f>HLOOKUP(B18,'Monthly Returns'!$A$1:$AC$134, 127, FALSE)</f>
        <v>-0.15818184999999998</v>
      </c>
      <c r="E18" s="9">
        <f>HLOOKUP(B18,'Monthly Returns'!$A$1:$AC$134, 132, FALSE)</f>
        <v>0.20661157024793389</v>
      </c>
      <c r="H18" s="9">
        <f>HLOOKUP(B18,'Yearly returns'!$B$1:$V$140, 133, FALSE)</f>
        <v>0.32231404958677684</v>
      </c>
      <c r="I18" s="9">
        <f>HLOOKUP(B18,'Yearly returns'!$B$1:$V$140, 138, FALSE)</f>
        <v>0.188</v>
      </c>
      <c r="L18" s="56">
        <f t="shared" si="0"/>
        <v>25</v>
      </c>
      <c r="M18" s="56">
        <f t="shared" si="1"/>
        <v>44.999999999999993</v>
      </c>
      <c r="N18" s="56">
        <f t="shared" si="2"/>
        <v>90</v>
      </c>
      <c r="P18">
        <f>L18*Assumption!$E$52 + M18*Assumption!$F$52 + N18*Assumption!$G$52</f>
        <v>62.5</v>
      </c>
      <c r="R18" cm="1">
        <f t="array" ref="R18">_xlfn.PERCENTRANK.EXC(_xlfn._xlws.FILTER(P$4:P$24, ISNUMBER(P$4:P$24)),P18)*100</f>
        <v>68.100000000000009</v>
      </c>
    </row>
    <row r="19" spans="2:18" x14ac:dyDescent="0.35">
      <c r="B19" t="s">
        <v>31</v>
      </c>
      <c r="C19" t="s">
        <v>449</v>
      </c>
      <c r="D19" s="9">
        <f>HLOOKUP(B19,'Monthly Returns'!$A$1:$AC$134, 127, FALSE)</f>
        <v>-0.10121548000000001</v>
      </c>
      <c r="E19" s="9">
        <f>HLOOKUP(B19,'Monthly Returns'!$A$1:$AC$134, 132, FALSE)</f>
        <v>0.13559322033898305</v>
      </c>
      <c r="H19" s="9">
        <f>HLOOKUP(B19,'Yearly returns'!$B$1:$V$140, 133, FALSE)</f>
        <v>0.30841121495327101</v>
      </c>
      <c r="I19" s="9">
        <f>HLOOKUP(B19,'Yearly returns'!$B$1:$V$140, 138, FALSE)</f>
        <v>0.55500000000000005</v>
      </c>
      <c r="L19" s="56">
        <f t="shared" si="0"/>
        <v>70</v>
      </c>
      <c r="M19" s="56">
        <f t="shared" si="1"/>
        <v>50</v>
      </c>
      <c r="N19" s="56">
        <f t="shared" si="2"/>
        <v>70</v>
      </c>
      <c r="P19">
        <f>L19*Assumption!$E$52 + M19*Assumption!$F$52 + N19*Assumption!$G$52</f>
        <v>65</v>
      </c>
      <c r="R19" cm="1">
        <f t="array" ref="R19">_xlfn.PERCENTRANK.EXC(_xlfn._xlws.FILTER(P$4:P$24, ISNUMBER(P$4:P$24)),P19)*100</f>
        <v>72.7</v>
      </c>
    </row>
    <row r="20" spans="2:18" x14ac:dyDescent="0.35">
      <c r="B20" t="s">
        <v>764</v>
      </c>
      <c r="C20" s="1" t="s">
        <v>765</v>
      </c>
      <c r="D20" s="9">
        <f>HLOOKUP(B20,'Monthly Returns'!$A$1:$AC$134, 127, FALSE)</f>
        <v>-0.17392158999999999</v>
      </c>
      <c r="E20" s="9">
        <f>HLOOKUP(B20,'Monthly Returns'!$A$1:$AC$134, 132, FALSE)</f>
        <v>8.2644628099173556E-2</v>
      </c>
      <c r="H20" s="9">
        <f>HLOOKUP(B20,'Yearly returns'!$B$1:$V$140, 133, FALSE)</f>
        <v>0.19834710743801653</v>
      </c>
      <c r="I20" s="9">
        <f>HLOOKUP(B20,'Yearly returns'!$B$1:$V$140, 138, FALSE)</f>
        <v>0.114</v>
      </c>
      <c r="L20" s="56">
        <f t="shared" si="0"/>
        <v>100</v>
      </c>
      <c r="M20" s="56">
        <f t="shared" si="1"/>
        <v>85</v>
      </c>
      <c r="N20" s="56">
        <f t="shared" si="2"/>
        <v>100</v>
      </c>
      <c r="P20">
        <f>L20*Assumption!$E$52 + M20*Assumption!$F$52 + N20*Assumption!$G$52</f>
        <v>96.25</v>
      </c>
      <c r="R20" cm="1">
        <f t="array" ref="R20">_xlfn.PERCENTRANK.EXC(_xlfn._xlws.FILTER(P$4:P$24, ISNUMBER(P$4:P$24)),P20)*100</f>
        <v>95.399999999999991</v>
      </c>
    </row>
    <row r="21" spans="2:18" x14ac:dyDescent="0.35">
      <c r="B21" t="s">
        <v>25</v>
      </c>
      <c r="C21" t="s">
        <v>451</v>
      </c>
      <c r="D21" s="9">
        <f>HLOOKUP(B21,'Monthly Returns'!$A$1:$AC$134, 127, FALSE)</f>
        <v>-0.27091480000000001</v>
      </c>
      <c r="E21" s="9">
        <f>HLOOKUP(B21,'Monthly Returns'!$A$1:$AC$134, 132, FALSE)</f>
        <v>0.27272727272727271</v>
      </c>
      <c r="H21" s="9">
        <f>HLOOKUP(B21,'Yearly returns'!$B$1:$V$140, 133, FALSE)</f>
        <v>0.38016528925619836</v>
      </c>
      <c r="I21" s="9">
        <f>HLOOKUP(B21,'Yearly returns'!$B$1:$V$140, 138, FALSE)</f>
        <v>0.65500000000000003</v>
      </c>
      <c r="L21" s="56">
        <f t="shared" si="0"/>
        <v>0</v>
      </c>
      <c r="M21" s="56">
        <f t="shared" si="1"/>
        <v>15.000000000000002</v>
      </c>
      <c r="N21" s="56">
        <f t="shared" si="2"/>
        <v>44.999999999999993</v>
      </c>
      <c r="P21">
        <f>L21*Assumption!$E$52 + M21*Assumption!$F$52 + N21*Assumption!$G$52</f>
        <v>26.249999999999996</v>
      </c>
      <c r="R21" cm="1">
        <f t="array" ref="R21">_xlfn.PERCENTRANK.EXC(_xlfn._xlws.FILTER(P$4:P$24, ISNUMBER(P$4:P$24)),P21)*100</f>
        <v>22.7</v>
      </c>
    </row>
    <row r="22" spans="2:18" x14ac:dyDescent="0.35">
      <c r="B22" t="s">
        <v>34</v>
      </c>
      <c r="C22" t="s">
        <v>452</v>
      </c>
      <c r="D22" s="9">
        <f>HLOOKUP(B22,'Monthly Returns'!$A$1:$AC$134, 127, FALSE)</f>
        <v>-0.23789643999999999</v>
      </c>
      <c r="E22" s="9">
        <f>HLOOKUP(B22,'Monthly Returns'!$A$1:$AC$134, 132, FALSE)</f>
        <v>0.11864406779661017</v>
      </c>
      <c r="H22" s="9">
        <f>HLOOKUP(B22,'Yearly returns'!$B$1:$V$140, 133, FALSE)</f>
        <v>0.27102803738317754</v>
      </c>
      <c r="I22" s="9">
        <f>HLOOKUP(B22,'Yearly returns'!$B$1:$V$140, 138, FALSE)</f>
        <v>0.629</v>
      </c>
      <c r="L22" s="56">
        <f t="shared" si="0"/>
        <v>90</v>
      </c>
      <c r="M22" s="56">
        <f t="shared" si="1"/>
        <v>60</v>
      </c>
      <c r="N22" s="56">
        <f t="shared" si="2"/>
        <v>55.000000000000007</v>
      </c>
      <c r="P22">
        <f>L22*Assumption!$E$52 + M22*Assumption!$F$52 + N22*Assumption!$G$52</f>
        <v>65</v>
      </c>
      <c r="R22" cm="1">
        <f t="array" ref="R22">_xlfn.PERCENTRANK.EXC(_xlfn._xlws.FILTER(P$4:P$24, ISNUMBER(P$4:P$24)),P22)*100</f>
        <v>72.7</v>
      </c>
    </row>
    <row r="23" spans="2:18" x14ac:dyDescent="0.35">
      <c r="B23" t="s">
        <v>37</v>
      </c>
      <c r="C23" t="s">
        <v>453</v>
      </c>
      <c r="D23" s="9">
        <f>HLOOKUP(B23,'Monthly Returns'!$A$1:$AC$134, 127, FALSE)</f>
        <v>-0.2321173</v>
      </c>
      <c r="E23" s="9">
        <f>HLOOKUP(B23,'Monthly Returns'!$A$1:$AC$134, 132, FALSE)</f>
        <v>0.20661157024793389</v>
      </c>
      <c r="H23" s="9">
        <f>HLOOKUP(B23,'Yearly returns'!$B$1:$V$140, 133, FALSE)</f>
        <v>0.32231404958677684</v>
      </c>
      <c r="I23" s="9">
        <f>HLOOKUP(B23,'Yearly returns'!$B$1:$V$140, 138, FALSE)</f>
        <v>0.84399999999999997</v>
      </c>
      <c r="L23" s="56">
        <f t="shared" si="0"/>
        <v>25</v>
      </c>
      <c r="M23" s="56">
        <f t="shared" si="1"/>
        <v>44.999999999999993</v>
      </c>
      <c r="N23" s="56">
        <f t="shared" si="2"/>
        <v>9.9999999999999982</v>
      </c>
      <c r="P23">
        <f>L23*Assumption!$E$52 + M23*Assumption!$F$52 + N23*Assumption!$G$52</f>
        <v>22.5</v>
      </c>
      <c r="R23" cm="1">
        <f t="array" ref="R23">_xlfn.PERCENTRANK.EXC(_xlfn._xlws.FILTER(P$4:P$24, ISNUMBER(P$4:P$24)),P23)*100</f>
        <v>18.099999999999998</v>
      </c>
    </row>
    <row r="24" spans="2:18" x14ac:dyDescent="0.35">
      <c r="B24" t="s">
        <v>36</v>
      </c>
      <c r="C24" t="s">
        <v>454</v>
      </c>
      <c r="D24" s="9">
        <f>HLOOKUP(B24,'Monthly Returns'!$A$1:$AC$134, 127, FALSE)</f>
        <v>-0.10858482</v>
      </c>
      <c r="E24" s="9">
        <f>HLOOKUP(B24,'Monthly Returns'!$A$1:$AC$134, 132, FALSE)</f>
        <v>0.12871287128712872</v>
      </c>
      <c r="H24" s="9">
        <f>HLOOKUP(B24,'Yearly returns'!$B$1:$V$140, 133, FALSE)</f>
        <v>0.13333333333333333</v>
      </c>
      <c r="I24" s="9">
        <f>HLOOKUP(B24,'Yearly returns'!$B$1:$V$140, 138, FALSE)</f>
        <v>0.72499999999999998</v>
      </c>
      <c r="L24" s="56">
        <f t="shared" si="0"/>
        <v>80</v>
      </c>
      <c r="M24" s="56">
        <f t="shared" si="1"/>
        <v>95</v>
      </c>
      <c r="N24" s="56">
        <f t="shared" si="2"/>
        <v>25</v>
      </c>
      <c r="P24">
        <f>L24*Assumption!$E$52 + M24*Assumption!$F$52 + N24*Assumption!$G$52</f>
        <v>56.25</v>
      </c>
      <c r="R24" cm="1">
        <f t="array" ref="R24">_xlfn.PERCENTRANK.EXC(_xlfn._xlws.FILTER(P$4:P$24, ISNUMBER(P$4:P$24)),P24)*100</f>
        <v>50</v>
      </c>
    </row>
    <row r="25" spans="2:18" x14ac:dyDescent="0.35">
      <c r="D25" s="9"/>
    </row>
    <row r="26" spans="2:18" x14ac:dyDescent="0.35">
      <c r="D26" s="9"/>
    </row>
    <row r="27" spans="2:18" x14ac:dyDescent="0.35">
      <c r="D27" s="9"/>
    </row>
    <row r="28" spans="2:18" x14ac:dyDescent="0.35">
      <c r="D28" s="9"/>
    </row>
    <row r="29" spans="2:18" x14ac:dyDescent="0.35">
      <c r="D29" s="9"/>
    </row>
    <row r="30" spans="2:18" x14ac:dyDescent="0.35">
      <c r="D30" s="9"/>
    </row>
    <row r="31" spans="2:18" x14ac:dyDescent="0.35">
      <c r="D31" s="9"/>
    </row>
    <row r="32" spans="2:18" x14ac:dyDescent="0.35">
      <c r="D32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30"/>
  <sheetViews>
    <sheetView zoomScale="85" zoomScaleNormal="85" workbookViewId="0">
      <selection activeCell="A27" sqref="A27"/>
    </sheetView>
  </sheetViews>
  <sheetFormatPr defaultRowHeight="14.5" x14ac:dyDescent="0.35"/>
  <cols>
    <col min="1" max="1" width="15.08984375" bestFit="1" customWidth="1"/>
    <col min="2" max="2" width="34.36328125" bestFit="1" customWidth="1"/>
    <col min="3" max="3" width="10" bestFit="1" customWidth="1"/>
    <col min="4" max="4" width="18.08984375" bestFit="1" customWidth="1"/>
    <col min="5" max="5" width="11.54296875" customWidth="1"/>
    <col min="6" max="6" width="21" customWidth="1"/>
    <col min="7" max="7" width="11.08984375" bestFit="1" customWidth="1"/>
    <col min="8" max="9" width="31.36328125" style="49" customWidth="1"/>
    <col min="10" max="10" width="36.08984375" style="49" customWidth="1"/>
    <col min="12" max="12" width="10.453125" customWidth="1"/>
    <col min="18" max="18" width="14.90625" bestFit="1" customWidth="1"/>
    <col min="19" max="19" width="11.08984375" customWidth="1"/>
    <col min="20" max="20" width="14.08984375" bestFit="1" customWidth="1"/>
    <col min="21" max="21" width="13.36328125" bestFit="1" customWidth="1"/>
    <col min="22" max="22" width="14.632812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K2" t="s">
        <v>814</v>
      </c>
      <c r="L2" s="5">
        <v>0.95</v>
      </c>
    </row>
    <row r="3" spans="1:22" x14ac:dyDescent="0.35">
      <c r="H3"/>
      <c r="I3"/>
      <c r="J3"/>
      <c r="K3" t="s">
        <v>815</v>
      </c>
      <c r="L3" s="5">
        <v>0.05</v>
      </c>
    </row>
    <row r="4" spans="1:22" x14ac:dyDescent="0.35">
      <c r="A4" t="s">
        <v>855</v>
      </c>
      <c r="B4" t="s">
        <v>535</v>
      </c>
      <c r="C4" t="s">
        <v>854</v>
      </c>
      <c r="D4" t="s">
        <v>562</v>
      </c>
      <c r="F4" t="s">
        <v>816</v>
      </c>
      <c r="G4" s="124" t="s">
        <v>852</v>
      </c>
      <c r="H4" s="124" t="s">
        <v>851</v>
      </c>
      <c r="I4" s="124" t="s">
        <v>871</v>
      </c>
      <c r="J4" s="124" t="s">
        <v>853</v>
      </c>
      <c r="S4" s="124" t="s">
        <v>852</v>
      </c>
      <c r="T4" s="124" t="s">
        <v>851</v>
      </c>
      <c r="U4" s="124" t="s">
        <v>871</v>
      </c>
      <c r="V4" s="124" t="s">
        <v>853</v>
      </c>
    </row>
    <row r="5" spans="1:22" x14ac:dyDescent="0.35">
      <c r="A5" t="s">
        <v>181</v>
      </c>
      <c r="B5" t="s">
        <v>440</v>
      </c>
      <c r="C5" t="s">
        <v>437</v>
      </c>
      <c r="D5" t="s">
        <v>622</v>
      </c>
      <c r="E5" s="3" t="s">
        <v>437</v>
      </c>
      <c r="F5" s="9">
        <f>HLOOKUP(E5,'Monthly Returns'!$A$1:$AE$136,134,FALSE)</f>
        <v>0.97799999999999998</v>
      </c>
      <c r="G5" s="7" cm="1">
        <f t="array" ref="G5">_xll.FDSZ(C5,"FG_PRICE(0)")</f>
        <v>26.13</v>
      </c>
      <c r="H5" s="7" cm="1">
        <f t="array" ref="H5">_xll.FDSZ(C5,"FG_PRICE_MAVG(0,,,,30)")</f>
        <v>24.867256000000001</v>
      </c>
      <c r="I5" s="7" cm="1">
        <f t="array" ref="I5">_xll.FDSZ(C5,"FG_PRICE_MAVG(0,,,,60)")</f>
        <v>25.13954</v>
      </c>
      <c r="J5" s="7" cm="1">
        <f t="array" ref="J5">_xll.FDSZ(C5,"FG_PRICE_MAVG(0,,,,200)")</f>
        <v>27.653019</v>
      </c>
      <c r="L5">
        <f>IF($G5&gt;H5, 1, 0)</f>
        <v>1</v>
      </c>
      <c r="M5">
        <f t="shared" ref="M5:N5" si="0">IF($G5&gt;I5, 1, 0)</f>
        <v>1</v>
      </c>
      <c r="N5">
        <f t="shared" si="0"/>
        <v>0</v>
      </c>
      <c r="P5">
        <f>SUM(L5:N5)</f>
        <v>2</v>
      </c>
      <c r="R5" t="s">
        <v>872</v>
      </c>
      <c r="S5" s="7" cm="1">
        <f t="array" ref="S5">_xll.FDSZ($R5,"FG_PRICE(0)")</f>
        <v>253.75961000000001</v>
      </c>
      <c r="T5" s="7" cm="1">
        <f t="array" ref="T5">_xll.FDSZ($R5,"FG_PRICE(0)")</f>
        <v>253.75961000000001</v>
      </c>
      <c r="U5" s="7" cm="1">
        <f t="array" ref="U5">_xll.FDSZ($R5,"FG_PRICE(0)")</f>
        <v>253.75961000000001</v>
      </c>
      <c r="V5" s="7" cm="1">
        <f t="array" ref="V5">_xll.FDSZ($R5,"FG_PRICE(0)")</f>
        <v>253.75961000000001</v>
      </c>
    </row>
    <row r="6" spans="1:22" x14ac:dyDescent="0.35">
      <c r="A6" t="s">
        <v>298</v>
      </c>
      <c r="B6" t="s">
        <v>441</v>
      </c>
      <c r="C6" t="s">
        <v>27</v>
      </c>
      <c r="D6" t="s">
        <v>621</v>
      </c>
      <c r="E6" s="3" t="s">
        <v>27</v>
      </c>
      <c r="F6" s="9">
        <f>HLOOKUP(E6,'Monthly Returns'!$A$1:$AE$136,134,FALSE)</f>
        <v>0.60599999999999998</v>
      </c>
      <c r="G6" s="162" cm="1">
        <f t="array" ref="G6">_xll.FDSZ(C6,"FG_PRICE(0)")</f>
        <v>25.6</v>
      </c>
      <c r="H6" s="162" cm="1">
        <f t="array" ref="H6">_xll.FDSZ(C6,"FG_PRICE_MAVG(0,,,,30)")</f>
        <v>25.452000000000002</v>
      </c>
      <c r="I6" s="162" cm="1">
        <f t="array" ref="I6">_xll.FDSZ(C6,"FG_PRICE_MAVG(0,,,,60)")</f>
        <v>26.300999999999998</v>
      </c>
      <c r="J6" s="162" cm="1">
        <f t="array" ref="J6">_xll.FDSZ(C6,"FG_PRICE_MAVG(0,,,,200)")</f>
        <v>27.329519999999999</v>
      </c>
      <c r="L6">
        <f t="shared" ref="L6:L25" si="1">IF($G6&gt;H6, 1, 0)</f>
        <v>1</v>
      </c>
      <c r="M6">
        <f t="shared" ref="M6:M25" si="2">IF($G6&gt;I6, 1, 0)</f>
        <v>0</v>
      </c>
      <c r="N6">
        <f t="shared" ref="N6:N25" si="3">IF($G6&gt;J6, 1, 0)</f>
        <v>0</v>
      </c>
      <c r="P6">
        <f t="shared" ref="P6:P25" si="4">SUM(L6:N6)</f>
        <v>1</v>
      </c>
      <c r="R6" t="s">
        <v>873</v>
      </c>
      <c r="S6" s="7" cm="1">
        <f t="array" ref="S6">_xll.FDSZ($R6,"FG_PRICE(0)")</f>
        <v>196.59589</v>
      </c>
      <c r="T6" s="7" cm="1">
        <f t="array" ref="T6">_xll.FDSZ($R6,"FG_PRICE(0)")</f>
        <v>196.59589</v>
      </c>
      <c r="U6" s="7" cm="1">
        <f t="array" ref="U6">_xll.FDSZ($R6,"FG_PRICE(0)")</f>
        <v>196.59589</v>
      </c>
      <c r="V6" s="7" cm="1">
        <f t="array" ref="V6">_xll.FDSZ($R6,"FG_PRICE(0)")</f>
        <v>196.59589</v>
      </c>
    </row>
    <row r="7" spans="1:22" x14ac:dyDescent="0.35">
      <c r="A7" t="s">
        <v>191</v>
      </c>
      <c r="B7" t="s">
        <v>442</v>
      </c>
      <c r="C7" t="s">
        <v>35</v>
      </c>
      <c r="D7" t="s">
        <v>658</v>
      </c>
      <c r="E7" s="3" t="s">
        <v>35</v>
      </c>
      <c r="F7" s="9">
        <f>HLOOKUP(E7,'Monthly Returns'!$A$1:$AE$136,134,FALSE)</f>
        <v>0.52400000000000002</v>
      </c>
      <c r="G7" s="162" cm="1">
        <f t="array" ref="G7">_xll.FDSZ(C7,"FG_PRICE(0)")</f>
        <v>22.18</v>
      </c>
      <c r="H7" s="162" cm="1">
        <f t="array" ref="H7">_xll.FDSZ(C7,"FG_PRICE_MAVG(0,,,,30)")</f>
        <v>22.253665999999999</v>
      </c>
      <c r="I7" s="162" cm="1">
        <f t="array" ref="I7">_xll.FDSZ(C7,"FG_PRICE_MAVG(0,,,,60)")</f>
        <v>22.168333000000001</v>
      </c>
      <c r="J7" s="162" cm="1">
        <f t="array" ref="J7">_xll.FDSZ(C7,"FG_PRICE_MAVG(0,,,,200)")</f>
        <v>22.461950000000002</v>
      </c>
      <c r="L7">
        <f t="shared" si="1"/>
        <v>0</v>
      </c>
      <c r="M7">
        <f t="shared" si="2"/>
        <v>1</v>
      </c>
      <c r="N7">
        <f t="shared" si="3"/>
        <v>0</v>
      </c>
      <c r="P7">
        <f t="shared" si="4"/>
        <v>1</v>
      </c>
      <c r="R7" t="s">
        <v>874</v>
      </c>
      <c r="S7" s="7" cm="1">
        <f t="array" ref="S7">_xll.FDSZ($R7,"FG_PRICE(0)")</f>
        <v>1085.0732</v>
      </c>
      <c r="T7" s="7" cm="1">
        <f t="array" ref="T7">_xll.FDSZ($R7,"FG_PRICE(0)")</f>
        <v>1085.0732</v>
      </c>
      <c r="U7" s="7" cm="1">
        <f t="array" ref="U7">_xll.FDSZ($R7,"FG_PRICE(0)")</f>
        <v>1085.0732</v>
      </c>
      <c r="V7" s="7" cm="1">
        <f t="array" ref="V7">_xll.FDSZ($R7,"FG_PRICE(0)")</f>
        <v>1085.0732</v>
      </c>
    </row>
    <row r="8" spans="1:22" x14ac:dyDescent="0.35">
      <c r="A8" t="s">
        <v>209</v>
      </c>
      <c r="B8" t="s">
        <v>443</v>
      </c>
      <c r="C8" t="s">
        <v>30</v>
      </c>
      <c r="D8" t="s">
        <v>706</v>
      </c>
      <c r="E8" s="3" t="s">
        <v>30</v>
      </c>
      <c r="F8" s="9">
        <f>HLOOKUP(E8,'Monthly Returns'!$A$1:$AE$136,134,FALSE)</f>
        <v>0.78600000000000003</v>
      </c>
      <c r="G8" s="162" cm="1">
        <f t="array" ref="G8">_xll.FDSZ(C8,"FG_PRICE(0)")</f>
        <v>27.7</v>
      </c>
      <c r="H8" s="162" cm="1">
        <f t="array" ref="H8">_xll.FDSZ(C8,"FG_PRICE_MAVG(0,,,,30)")</f>
        <v>27.079000000000001</v>
      </c>
      <c r="I8" s="162" cm="1">
        <f t="array" ref="I8">_xll.FDSZ(C8,"FG_PRICE_MAVG(0,,,,60)")</f>
        <v>26.513268</v>
      </c>
      <c r="J8" s="162" cm="1">
        <f t="array" ref="J8">_xll.FDSZ(C8,"FG_PRICE_MAVG(0,,,,200)")</f>
        <v>25.616972000000001</v>
      </c>
      <c r="L8">
        <f t="shared" si="1"/>
        <v>1</v>
      </c>
      <c r="M8">
        <f t="shared" si="2"/>
        <v>1</v>
      </c>
      <c r="N8">
        <f t="shared" si="3"/>
        <v>1</v>
      </c>
      <c r="P8">
        <f t="shared" si="4"/>
        <v>3</v>
      </c>
      <c r="R8" t="s">
        <v>875</v>
      </c>
      <c r="S8" s="7" cm="1">
        <f t="array" ref="S8">_xll.FDSZ($R8,"FG_PRICE(0)")</f>
        <v>334.28937000000002</v>
      </c>
      <c r="T8" s="7" cm="1">
        <f t="array" ref="T8">_xll.FDSZ($R8,"FG_PRICE(0)")</f>
        <v>334.28937000000002</v>
      </c>
      <c r="U8" s="7" cm="1">
        <f t="array" ref="U8">_xll.FDSZ($R8,"FG_PRICE(0)")</f>
        <v>334.28937000000002</v>
      </c>
      <c r="V8" s="7" cm="1">
        <f t="array" ref="V8">_xll.FDSZ($R8,"FG_PRICE(0)")</f>
        <v>334.28937000000002</v>
      </c>
    </row>
    <row r="9" spans="1:22" x14ac:dyDescent="0.35">
      <c r="A9" t="s">
        <v>261</v>
      </c>
      <c r="B9" t="s">
        <v>444</v>
      </c>
      <c r="C9" t="s">
        <v>23</v>
      </c>
      <c r="D9" t="s">
        <v>707</v>
      </c>
      <c r="E9" s="3" t="s">
        <v>23</v>
      </c>
      <c r="F9" s="9">
        <f>HLOOKUP(E9,'Monthly Returns'!$A$1:$AE$136,134,FALSE)</f>
        <v>0.66300000000000003</v>
      </c>
      <c r="G9" s="162" cm="1">
        <f t="array" ref="G9">_xll.FDSZ(C9,"FG_PRICE(0)")</f>
        <v>23.15</v>
      </c>
      <c r="H9" s="162" cm="1">
        <f t="array" ref="H9">_xll.FDSZ(C9,"FG_PRICE_MAVG(0,,,,30)")</f>
        <v>22.471333000000001</v>
      </c>
      <c r="I9" s="162" cm="1">
        <f t="array" ref="I9">_xll.FDSZ(C9,"FG_PRICE_MAVG(0,,,,60)")</f>
        <v>22.360749999999999</v>
      </c>
      <c r="J9" s="162" cm="1">
        <f t="array" ref="J9">_xll.FDSZ(C9,"FG_PRICE_MAVG(0,,,,200)")</f>
        <v>20.199273999999999</v>
      </c>
      <c r="L9">
        <f t="shared" si="1"/>
        <v>1</v>
      </c>
      <c r="M9">
        <f t="shared" si="2"/>
        <v>1</v>
      </c>
      <c r="N9">
        <f t="shared" si="3"/>
        <v>1</v>
      </c>
      <c r="P9">
        <f t="shared" si="4"/>
        <v>3</v>
      </c>
      <c r="R9" t="s">
        <v>876</v>
      </c>
      <c r="S9" s="7" cm="1">
        <f t="array" ref="S9">_xll.FDSZ($R9,"FG_PRICE(0)")</f>
        <v>210.10811000000001</v>
      </c>
      <c r="T9" s="7" cm="1">
        <f t="array" ref="T9">_xll.FDSZ($R9,"FG_PRICE(0)")</f>
        <v>210.10811000000001</v>
      </c>
      <c r="U9" s="7" cm="1">
        <f t="array" ref="U9">_xll.FDSZ($R9,"FG_PRICE(0)")</f>
        <v>210.10811000000001</v>
      </c>
      <c r="V9" s="7" cm="1">
        <f t="array" ref="V9">_xll.FDSZ($R9,"FG_PRICE(0)")</f>
        <v>210.10811000000001</v>
      </c>
    </row>
    <row r="10" spans="1:22" x14ac:dyDescent="0.35">
      <c r="A10" t="s">
        <v>308</v>
      </c>
      <c r="B10" t="s">
        <v>445</v>
      </c>
      <c r="C10" t="s">
        <v>29</v>
      </c>
      <c r="D10" t="s">
        <v>705</v>
      </c>
      <c r="E10" s="3" t="s">
        <v>29</v>
      </c>
      <c r="F10" s="9">
        <f>HLOOKUP(E10,'Monthly Returns'!$A$1:$AE$136,134,FALSE)</f>
        <v>0.81100000000000005</v>
      </c>
      <c r="G10" s="162" cm="1">
        <f t="array" ref="G10">_xll.FDSZ(C10,"FG_PRICE(0)")</f>
        <v>35.645299999999999</v>
      </c>
      <c r="H10" s="162" cm="1">
        <f t="array" ref="H10">_xll.FDSZ(C10,"FG_PRICE_MAVG(0,,,,30)")</f>
        <v>34.244956999999999</v>
      </c>
      <c r="I10" s="162" cm="1">
        <f t="array" ref="I10">_xll.FDSZ(C10,"FG_PRICE_MAVG(0,,,,60)")</f>
        <v>33.74671</v>
      </c>
      <c r="J10" s="162" cm="1">
        <f t="array" ref="J10">_xll.FDSZ(C10,"FG_PRICE_MAVG(0,,,,200)")</f>
        <v>31.705742000000001</v>
      </c>
      <c r="L10">
        <f t="shared" si="1"/>
        <v>1</v>
      </c>
      <c r="M10">
        <f t="shared" si="2"/>
        <v>1</v>
      </c>
      <c r="N10">
        <f t="shared" si="3"/>
        <v>1</v>
      </c>
      <c r="P10">
        <f t="shared" si="4"/>
        <v>3</v>
      </c>
      <c r="R10" t="s">
        <v>877</v>
      </c>
      <c r="S10" s="7" cm="1">
        <f t="array" ref="S10">_xll.FDSZ($R10,"FG_PRICE(0)")</f>
        <v>866.05597</v>
      </c>
      <c r="T10" s="7" cm="1">
        <f t="array" ref="T10">_xll.FDSZ($R10,"FG_PRICE(0)")</f>
        <v>866.05597</v>
      </c>
      <c r="U10" s="7" cm="1">
        <f t="array" ref="U10">_xll.FDSZ($R10,"FG_PRICE(0)")</f>
        <v>866.05597</v>
      </c>
      <c r="V10" s="7" cm="1">
        <f t="array" ref="V10">_xll.FDSZ($R10,"FG_PRICE(0)")</f>
        <v>866.05597</v>
      </c>
    </row>
    <row r="11" spans="1:22" x14ac:dyDescent="0.35">
      <c r="A11" t="s">
        <v>198</v>
      </c>
      <c r="B11" t="s">
        <v>446</v>
      </c>
      <c r="C11" t="s">
        <v>33</v>
      </c>
      <c r="D11" t="s">
        <v>680</v>
      </c>
      <c r="E11" s="3" t="s">
        <v>33</v>
      </c>
      <c r="F11" s="9">
        <f>HLOOKUP(E11,'Monthly Returns'!$A$1:$AE$136,134,FALSE)</f>
        <v>0.69599999999999995</v>
      </c>
      <c r="G11" s="162" cm="1">
        <f t="array" ref="G11">_xll.FDSZ(C11,"FG_PRICE(0)")</f>
        <v>21.6</v>
      </c>
      <c r="H11" s="162" cm="1">
        <f t="array" ref="H11">_xll.FDSZ(C11,"FG_PRICE_MAVG(0,,,,30)")</f>
        <v>21.314667</v>
      </c>
      <c r="I11" s="162" cm="1">
        <f t="array" ref="I11">_xll.FDSZ(C11,"FG_PRICE_MAVG(0,,,,60)")</f>
        <v>21.270333999999998</v>
      </c>
      <c r="J11" s="162" cm="1">
        <f t="array" ref="J11">_xll.FDSZ(C11,"FG_PRICE_MAVG(0,,,,200)")</f>
        <v>21.0002</v>
      </c>
      <c r="L11">
        <f t="shared" si="1"/>
        <v>1</v>
      </c>
      <c r="M11">
        <f t="shared" si="2"/>
        <v>1</v>
      </c>
      <c r="N11">
        <f t="shared" si="3"/>
        <v>1</v>
      </c>
      <c r="P11">
        <f t="shared" si="4"/>
        <v>3</v>
      </c>
      <c r="R11" t="s">
        <v>878</v>
      </c>
      <c r="S11" s="7" cm="1">
        <f t="array" ref="S11">_xll.FDSZ($R11,"FG_PRICE(0)")</f>
        <v>233.13763</v>
      </c>
      <c r="T11" s="7" cm="1">
        <f t="array" ref="T11">_xll.FDSZ($R11,"FG_PRICE(0)")</f>
        <v>233.13763</v>
      </c>
      <c r="U11" s="7" cm="1">
        <f t="array" ref="U11">_xll.FDSZ($R11,"FG_PRICE(0)")</f>
        <v>233.13763</v>
      </c>
      <c r="V11" s="7" cm="1">
        <f t="array" ref="V11">_xll.FDSZ($R11,"FG_PRICE(0)")</f>
        <v>233.13763</v>
      </c>
    </row>
    <row r="12" spans="1:22" x14ac:dyDescent="0.35">
      <c r="A12" t="s">
        <v>221</v>
      </c>
      <c r="B12" t="s">
        <v>40</v>
      </c>
      <c r="C12" t="s">
        <v>24</v>
      </c>
      <c r="D12" t="s">
        <v>727</v>
      </c>
      <c r="E12" s="3" t="s">
        <v>24</v>
      </c>
      <c r="F12" s="9">
        <f>HLOOKUP(E12,'Monthly Returns'!$A$1:$AE$136,134,FALSE)</f>
        <v>0.81899999999999995</v>
      </c>
      <c r="G12" s="162" cm="1">
        <f t="array" ref="G12">_xll.FDSZ(C12,"FG_PRICE(0)")</f>
        <v>47.28</v>
      </c>
      <c r="H12" s="162" cm="1">
        <f t="array" ref="H12">_xll.FDSZ(C12,"FG_PRICE_MAVG(0,,,,30)")</f>
        <v>45.802334000000002</v>
      </c>
      <c r="I12" s="162" cm="1">
        <f t="array" ref="I12">_xll.FDSZ(C12,"FG_PRICE_MAVG(0,,,,60)")</f>
        <v>45.874831999999998</v>
      </c>
      <c r="J12" s="162" cm="1">
        <f t="array" ref="J12">_xll.FDSZ(C12,"FG_PRICE_MAVG(0,,,,200)")</f>
        <v>46.209699999999998</v>
      </c>
      <c r="L12">
        <f t="shared" si="1"/>
        <v>1</v>
      </c>
      <c r="M12">
        <f t="shared" si="2"/>
        <v>1</v>
      </c>
      <c r="N12">
        <f t="shared" si="3"/>
        <v>1</v>
      </c>
      <c r="P12">
        <f t="shared" si="4"/>
        <v>3</v>
      </c>
      <c r="R12" t="s">
        <v>879</v>
      </c>
      <c r="S12" s="7" cm="1">
        <f t="array" ref="S12">_xll.FDSZ($R12,"FG_PRICE(0)")</f>
        <v>333.411</v>
      </c>
      <c r="T12" s="7" cm="1">
        <f t="array" ref="T12">_xll.FDSZ($R12,"FG_PRICE(0)")</f>
        <v>333.411</v>
      </c>
      <c r="U12" s="7" cm="1">
        <f t="array" ref="U12">_xll.FDSZ($R12,"FG_PRICE(0)")</f>
        <v>333.411</v>
      </c>
      <c r="V12" s="7" cm="1">
        <f t="array" ref="V12">_xll.FDSZ($R12,"FG_PRICE(0)")</f>
        <v>333.411</v>
      </c>
    </row>
    <row r="13" spans="1:22" x14ac:dyDescent="0.35">
      <c r="A13" t="s">
        <v>305</v>
      </c>
      <c r="B13" t="s">
        <v>53</v>
      </c>
      <c r="C13" t="s">
        <v>7</v>
      </c>
      <c r="D13" t="s">
        <v>685</v>
      </c>
      <c r="E13" s="3" t="s">
        <v>7</v>
      </c>
      <c r="F13" s="9">
        <f>HLOOKUP(E13,'Monthly Returns'!$A$1:$AE$136,134,FALSE)</f>
        <v>0.254</v>
      </c>
      <c r="G13" s="162" cm="1">
        <f t="array" ref="G13">_xll.FDSZ(C13,"FG_PRICE(0)")</f>
        <v>65.63</v>
      </c>
      <c r="H13" s="162" cm="1">
        <f t="array" ref="H13">_xll.FDSZ(C13,"FG_PRICE_MAVG(0,,,,30)")</f>
        <v>66.62867</v>
      </c>
      <c r="I13" s="162" cm="1">
        <f t="array" ref="I13">_xll.FDSZ(C13,"FG_PRICE_MAVG(0,,,,60)")</f>
        <v>66.400999999999996</v>
      </c>
      <c r="J13" s="162" cm="1">
        <f t="array" ref="J13">_xll.FDSZ(C13,"FG_PRICE_MAVG(0,,,,200)")</f>
        <v>62.377000000000002</v>
      </c>
      <c r="L13">
        <f t="shared" si="1"/>
        <v>0</v>
      </c>
      <c r="M13">
        <f t="shared" si="2"/>
        <v>0</v>
      </c>
      <c r="N13">
        <f t="shared" si="3"/>
        <v>1</v>
      </c>
      <c r="P13">
        <f t="shared" si="4"/>
        <v>1</v>
      </c>
      <c r="R13" t="s">
        <v>880</v>
      </c>
      <c r="S13" s="7" cm="1">
        <f t="array" ref="S13">_xll.FDSZ($R13,"FG_PRICE(0)")</f>
        <v>517.59950000000003</v>
      </c>
      <c r="T13" s="7" cm="1">
        <f t="array" ref="T13">_xll.FDSZ($R13,"FG_PRICE(0)")</f>
        <v>517.59950000000003</v>
      </c>
      <c r="U13" s="7" cm="1">
        <f t="array" ref="U13">_xll.FDSZ($R13,"FG_PRICE(0)")</f>
        <v>517.59950000000003</v>
      </c>
      <c r="V13" s="7" cm="1">
        <f t="array" ref="V13">_xll.FDSZ($R13,"FG_PRICE(0)")</f>
        <v>517.59950000000003</v>
      </c>
    </row>
    <row r="14" spans="1:22" x14ac:dyDescent="0.35">
      <c r="A14" t="s">
        <v>214</v>
      </c>
      <c r="B14" t="s">
        <v>38</v>
      </c>
      <c r="C14" t="s">
        <v>21</v>
      </c>
      <c r="D14" t="s">
        <v>667</v>
      </c>
      <c r="E14" s="3" t="s">
        <v>21</v>
      </c>
      <c r="F14" s="9">
        <f>HLOOKUP(E14,'Monthly Returns'!$A$1:$AE$136,134,FALSE)</f>
        <v>0.81100000000000005</v>
      </c>
      <c r="G14" s="162" cm="1">
        <f t="array" ref="G14">_xll.FDSZ(C14,"FG_PRICE(0)")</f>
        <v>65.599999999999994</v>
      </c>
      <c r="H14" s="162" cm="1">
        <f t="array" ref="H14">_xll.FDSZ(C14,"FG_PRICE_MAVG(0,,,,30)")</f>
        <v>62.582332999999998</v>
      </c>
      <c r="I14" s="162" cm="1">
        <f t="array" ref="I14">_xll.FDSZ(C14,"FG_PRICE_MAVG(0,,,,60)")</f>
        <v>62.648335000000003</v>
      </c>
      <c r="J14" s="162" cm="1">
        <f t="array" ref="J14">_xll.FDSZ(C14,"FG_PRICE_MAVG(0,,,,200)")</f>
        <v>62.474049999999998</v>
      </c>
      <c r="L14">
        <f t="shared" si="1"/>
        <v>1</v>
      </c>
      <c r="M14">
        <f t="shared" si="2"/>
        <v>1</v>
      </c>
      <c r="N14">
        <f t="shared" si="3"/>
        <v>1</v>
      </c>
      <c r="P14">
        <f t="shared" si="4"/>
        <v>3</v>
      </c>
      <c r="R14" t="s">
        <v>881</v>
      </c>
      <c r="S14" s="7" cm="1">
        <f t="array" ref="S14">_xll.FDSZ($R14,"FG_PRICE(0)")</f>
        <v>474.66577000000001</v>
      </c>
      <c r="T14" s="7" cm="1">
        <f t="array" ref="T14">_xll.FDSZ($R14,"FG_PRICE(0)")</f>
        <v>474.66577000000001</v>
      </c>
      <c r="U14" s="7" cm="1">
        <f t="array" ref="U14">_xll.FDSZ($R14,"FG_PRICE(0)")</f>
        <v>474.66577000000001</v>
      </c>
      <c r="V14" s="7" cm="1">
        <f t="array" ref="V14">_xll.FDSZ($R14,"FG_PRICE(0)")</f>
        <v>474.66577000000001</v>
      </c>
    </row>
    <row r="15" spans="1:22" x14ac:dyDescent="0.35">
      <c r="A15" t="s">
        <v>295</v>
      </c>
      <c r="B15" t="s">
        <v>54</v>
      </c>
      <c r="C15" t="s">
        <v>12</v>
      </c>
      <c r="D15" t="s">
        <v>610</v>
      </c>
      <c r="E15" s="3" t="s">
        <v>12</v>
      </c>
      <c r="F15" s="9">
        <f>HLOOKUP(E15,'Monthly Returns'!$A$1:$AE$136,134,FALSE)</f>
        <v>0.5</v>
      </c>
      <c r="G15" s="162" cm="1">
        <f t="array" ref="G15">_xll.FDSZ(C15,"FG_PRICE(0)")</f>
        <v>32.99</v>
      </c>
      <c r="H15" s="162" cm="1">
        <f t="array" ref="H15">_xll.FDSZ(C15,"FG_PRICE_MAVG(0,,,,30)")</f>
        <v>33.092334999999999</v>
      </c>
      <c r="I15" s="162" cm="1">
        <f t="array" ref="I15">_xll.FDSZ(C15,"FG_PRICE_MAVG(0,,,,60)")</f>
        <v>33.672333000000002</v>
      </c>
      <c r="J15" s="162" cm="1">
        <f t="array" ref="J15">_xll.FDSZ(C15,"FG_PRICE_MAVG(0,,,,200)")</f>
        <v>32.210799999999999</v>
      </c>
      <c r="L15">
        <f t="shared" si="1"/>
        <v>0</v>
      </c>
      <c r="M15">
        <f t="shared" si="2"/>
        <v>0</v>
      </c>
      <c r="N15">
        <f t="shared" si="3"/>
        <v>1</v>
      </c>
      <c r="P15">
        <f t="shared" si="4"/>
        <v>1</v>
      </c>
      <c r="R15" t="s">
        <v>882</v>
      </c>
      <c r="S15" s="7" cm="1">
        <f t="array" ref="S15">_xll.FDSZ($R15,"FG_PRICE(0)")</f>
        <v>217.66154</v>
      </c>
      <c r="T15" s="7" cm="1">
        <f t="array" ref="T15">_xll.FDSZ($R15,"FG_PRICE(0)")</f>
        <v>217.66154</v>
      </c>
      <c r="U15" s="7" cm="1">
        <f t="array" ref="U15">_xll.FDSZ($R15,"FG_PRICE(0)")</f>
        <v>217.66154</v>
      </c>
      <c r="V15" s="7" cm="1">
        <f t="array" ref="V15">_xll.FDSZ($R15,"FG_PRICE(0)")</f>
        <v>217.66154</v>
      </c>
    </row>
    <row r="16" spans="1:22" x14ac:dyDescent="0.35">
      <c r="A16" t="s">
        <v>370</v>
      </c>
      <c r="B16" t="s">
        <v>447</v>
      </c>
      <c r="C16" t="s">
        <v>22</v>
      </c>
      <c r="D16" t="s">
        <v>720</v>
      </c>
      <c r="E16" s="3" t="s">
        <v>22</v>
      </c>
      <c r="F16" s="9">
        <f>HLOOKUP(E16,'Monthly Returns'!$A$1:$AE$136,134,FALSE)</f>
        <v>0.31900000000000001</v>
      </c>
      <c r="G16" s="162" cm="1">
        <f t="array" ref="G16">_xll.FDSZ(C16,"FG_PRICE(0)")</f>
        <v>37.979999999999997</v>
      </c>
      <c r="H16" s="162" cm="1">
        <f t="array" ref="H16">_xll.FDSZ(C16,"FG_PRICE_MAVG(0,,,,30)")</f>
        <v>38.445999999999998</v>
      </c>
      <c r="I16" s="162" cm="1">
        <f t="array" ref="I16">_xll.FDSZ(C16,"FG_PRICE_MAVG(0,,,,60)")</f>
        <v>39.218665999999999</v>
      </c>
      <c r="J16" s="162" cm="1">
        <f t="array" ref="J16">_xll.FDSZ(C16,"FG_PRICE_MAVG(0,,,,200)")</f>
        <v>39.481900000000003</v>
      </c>
      <c r="L16">
        <f t="shared" si="1"/>
        <v>0</v>
      </c>
      <c r="M16">
        <f t="shared" si="2"/>
        <v>0</v>
      </c>
      <c r="N16">
        <f t="shared" si="3"/>
        <v>0</v>
      </c>
      <c r="P16">
        <f t="shared" si="4"/>
        <v>0</v>
      </c>
      <c r="R16" t="s">
        <v>883</v>
      </c>
      <c r="S16" s="7" cm="1">
        <f t="array" ref="S16">_xll.FDSZ($R16,"FG_PRICE(0)")</f>
        <v>299.88263000000001</v>
      </c>
      <c r="T16" s="7" cm="1">
        <f t="array" ref="T16">_xll.FDSZ($R16,"FG_PRICE(0)")</f>
        <v>299.88263000000001</v>
      </c>
      <c r="U16" s="7" cm="1">
        <f t="array" ref="U16">_xll.FDSZ($R16,"FG_PRICE(0)")</f>
        <v>299.88263000000001</v>
      </c>
      <c r="V16" s="7" cm="1">
        <f t="array" ref="V16">_xll.FDSZ($R16,"FG_PRICE(0)")</f>
        <v>299.88263000000001</v>
      </c>
    </row>
    <row r="17" spans="1:22" x14ac:dyDescent="0.35">
      <c r="A17" t="s">
        <v>503</v>
      </c>
      <c r="B17" t="s">
        <v>448</v>
      </c>
      <c r="C17" t="s">
        <v>28</v>
      </c>
      <c r="D17" t="s">
        <v>647</v>
      </c>
      <c r="E17" s="3" t="s">
        <v>28</v>
      </c>
      <c r="F17" s="9">
        <f>HLOOKUP(E17,'Monthly Returns'!$A$1:$AE$136,134,FALSE)</f>
        <v>0.622</v>
      </c>
      <c r="G17" s="162" cm="1">
        <f t="array" ref="G17">_xll.FDSZ(C17,"FG_PRICE(0)")</f>
        <v>40.82</v>
      </c>
      <c r="H17" s="162" cm="1">
        <f t="array" ref="H17">_xll.FDSZ(C17,"FG_PRICE_MAVG(0,,,,30)")</f>
        <v>39.746000000000002</v>
      </c>
      <c r="I17" s="162" cm="1">
        <f t="array" ref="I17">_xll.FDSZ(C17,"FG_PRICE_MAVG(0,,,,60)")</f>
        <v>38.6982</v>
      </c>
      <c r="J17" s="162" cm="1">
        <f t="array" ref="J17">_xll.FDSZ(C17,"FG_PRICE_MAVG(0,,,,200)")</f>
        <v>36.688760000000002</v>
      </c>
      <c r="L17">
        <f t="shared" si="1"/>
        <v>1</v>
      </c>
      <c r="M17">
        <f t="shared" si="2"/>
        <v>1</v>
      </c>
      <c r="N17">
        <f t="shared" si="3"/>
        <v>1</v>
      </c>
      <c r="P17">
        <f t="shared" si="4"/>
        <v>3</v>
      </c>
      <c r="R17" t="s">
        <v>884</v>
      </c>
      <c r="S17" s="7" cm="1">
        <f t="array" ref="S17">_xll.FDSZ($R17,"FG_PRICE(0)")</f>
        <v>9.824128</v>
      </c>
      <c r="T17" s="7" cm="1">
        <f t="array" ref="T17">_xll.FDSZ($R17,"FG_PRICE(0)")</f>
        <v>9.824128</v>
      </c>
      <c r="U17" s="7" cm="1">
        <f t="array" ref="U17">_xll.FDSZ($R17,"FG_PRICE(0)")</f>
        <v>9.824128</v>
      </c>
      <c r="V17" s="7" cm="1">
        <f t="array" ref="V17">_xll.FDSZ($R17,"FG_PRICE(0)")</f>
        <v>9.824128</v>
      </c>
    </row>
    <row r="18" spans="1:22" x14ac:dyDescent="0.35">
      <c r="A18" t="s">
        <v>188</v>
      </c>
      <c r="B18" t="s">
        <v>52</v>
      </c>
      <c r="C18" t="s">
        <v>32</v>
      </c>
      <c r="D18" t="s">
        <v>657</v>
      </c>
      <c r="E18" s="3" t="s">
        <v>32</v>
      </c>
      <c r="F18" s="9">
        <f>HLOOKUP(E18,'Monthly Returns'!$A$1:$AE$136,134,FALSE)</f>
        <v>0.67200000000000004</v>
      </c>
      <c r="G18" s="162" cm="1">
        <f t="array" ref="G18">_xll.FDSZ(C18,"FG_PRICE(0)")</f>
        <v>51.91</v>
      </c>
      <c r="H18" s="162" cm="1">
        <f t="array" ref="H18">_xll.FDSZ(C18,"FG_PRICE_MAVG(0,,,,30)")</f>
        <v>50.593000000000004</v>
      </c>
      <c r="I18" s="162" cm="1">
        <f t="array" ref="I18">_xll.FDSZ(C18,"FG_PRICE_MAVG(0,,,,60)")</f>
        <v>49.570749999999997</v>
      </c>
      <c r="J18" s="162" cm="1">
        <f t="array" ref="J18">_xll.FDSZ(C18,"FG_PRICE_MAVG(0,,,,200)")</f>
        <v>45.596724999999999</v>
      </c>
      <c r="L18">
        <f t="shared" si="1"/>
        <v>1</v>
      </c>
      <c r="M18">
        <f t="shared" si="2"/>
        <v>1</v>
      </c>
      <c r="N18">
        <f t="shared" si="3"/>
        <v>1</v>
      </c>
      <c r="P18">
        <f t="shared" si="4"/>
        <v>3</v>
      </c>
      <c r="R18" t="s">
        <v>885</v>
      </c>
      <c r="S18" s="7" cm="1">
        <f t="array" ref="S18">_xll.FDSZ($R18,"FG_PRICE(0)")</f>
        <v>1292.7876000000001</v>
      </c>
      <c r="T18" s="7" cm="1">
        <f t="array" ref="T18">_xll.FDSZ($R18,"FG_PRICE(0)")</f>
        <v>1292.7876000000001</v>
      </c>
      <c r="U18" s="7" cm="1">
        <f t="array" ref="U18">_xll.FDSZ($R18,"FG_PRICE(0)")</f>
        <v>1292.7876000000001</v>
      </c>
      <c r="V18" s="7" cm="1">
        <f t="array" ref="V18">_xll.FDSZ($R18,"FG_PRICE(0)")</f>
        <v>1292.7876000000001</v>
      </c>
    </row>
    <row r="19" spans="1:22" x14ac:dyDescent="0.35">
      <c r="A19" t="s">
        <v>181</v>
      </c>
      <c r="B19" t="s">
        <v>41</v>
      </c>
      <c r="C19" t="s">
        <v>26</v>
      </c>
      <c r="D19" t="s">
        <v>622</v>
      </c>
      <c r="E19" s="3" t="s">
        <v>26</v>
      </c>
      <c r="F19" s="9">
        <f>HLOOKUP(E19,'Monthly Returns'!$A$1:$AE$136,134,FALSE)</f>
        <v>0.84399999999999997</v>
      </c>
      <c r="G19" s="162" cm="1">
        <f t="array" ref="G19">_xll.FDSZ(C19,"FG_PRICE(0)")</f>
        <v>38.909999999999997</v>
      </c>
      <c r="H19" s="162" cm="1">
        <f t="array" ref="H19">_xll.FDSZ(C19,"FG_PRICE_MAVG(0,,,,30)")</f>
        <v>38.142665999999998</v>
      </c>
      <c r="I19" s="162" cm="1">
        <f t="array" ref="I19">_xll.FDSZ(C19,"FG_PRICE_MAVG(0,,,,60)")</f>
        <v>38.907333000000001</v>
      </c>
      <c r="J19" s="162" cm="1">
        <f t="array" ref="J19">_xll.FDSZ(C19,"FG_PRICE_MAVG(0,,,,200)")</f>
        <v>42.806800000000003</v>
      </c>
      <c r="L19">
        <f t="shared" si="1"/>
        <v>1</v>
      </c>
      <c r="M19">
        <f t="shared" si="2"/>
        <v>1</v>
      </c>
      <c r="N19">
        <f t="shared" si="3"/>
        <v>0</v>
      </c>
      <c r="P19">
        <f t="shared" si="4"/>
        <v>2</v>
      </c>
      <c r="R19" t="s">
        <v>872</v>
      </c>
      <c r="S19" s="7" cm="1">
        <f t="array" ref="S19">_xll.FDSZ($R19,"FG_PRICE(0)")</f>
        <v>253.75961000000001</v>
      </c>
      <c r="T19" s="7" cm="1">
        <f t="array" ref="T19">_xll.FDSZ($R19,"FG_PRICE(0)")</f>
        <v>253.75961000000001</v>
      </c>
      <c r="U19" s="7" cm="1">
        <f t="array" ref="U19">_xll.FDSZ($R19,"FG_PRICE(0)")</f>
        <v>253.75961000000001</v>
      </c>
      <c r="V19" s="7" cm="1">
        <f t="array" ref="V19">_xll.FDSZ($R19,"FG_PRICE(0)")</f>
        <v>253.75961000000001</v>
      </c>
    </row>
    <row r="20" spans="1:22" x14ac:dyDescent="0.35">
      <c r="A20" t="s">
        <v>364</v>
      </c>
      <c r="B20" t="s">
        <v>449</v>
      </c>
      <c r="C20" t="s">
        <v>31</v>
      </c>
      <c r="D20" t="s">
        <v>709</v>
      </c>
      <c r="E20" s="3" t="s">
        <v>31</v>
      </c>
      <c r="F20" s="9">
        <f>HLOOKUP(E20,'Monthly Returns'!$A$1:$AE$136,134,FALSE)</f>
        <v>0.86499999999999999</v>
      </c>
      <c r="G20" s="162" cm="1">
        <f t="array" ref="G20">_xll.FDSZ(C20,"FG_PRICE(0)")</f>
        <v>18.09</v>
      </c>
      <c r="H20" s="162" cm="1">
        <f t="array" ref="H20">_xll.FDSZ(C20,"FG_PRICE_MAVG(0,,,,30)")</f>
        <v>17.590754</v>
      </c>
      <c r="I20" s="162" cm="1">
        <f t="array" ref="I20">_xll.FDSZ(C20,"FG_PRICE_MAVG(0,,,,60)")</f>
        <v>17.595542999999999</v>
      </c>
      <c r="J20" s="162" cm="1">
        <f t="array" ref="J20">_xll.FDSZ(C20,"FG_PRICE_MAVG(0,,,,200)")</f>
        <v>17.757387000000001</v>
      </c>
      <c r="L20">
        <f t="shared" si="1"/>
        <v>1</v>
      </c>
      <c r="M20">
        <f t="shared" si="2"/>
        <v>1</v>
      </c>
      <c r="N20">
        <f t="shared" si="3"/>
        <v>1</v>
      </c>
      <c r="P20">
        <f t="shared" si="4"/>
        <v>3</v>
      </c>
      <c r="R20" t="s">
        <v>886</v>
      </c>
      <c r="S20" s="7" cm="1">
        <f t="array" ref="S20">_xll.FDSZ($R20,"FG_PRICE(0)")</f>
        <v>105.97004</v>
      </c>
      <c r="T20" s="7" cm="1">
        <f t="array" ref="T20">_xll.FDSZ($R20,"FG_PRICE(0)")</f>
        <v>105.97004</v>
      </c>
      <c r="U20" s="7" cm="1">
        <f t="array" ref="U20">_xll.FDSZ($R20,"FG_PRICE(0)")</f>
        <v>105.97004</v>
      </c>
      <c r="V20" s="7" cm="1">
        <f t="array" ref="V20">_xll.FDSZ($R20,"FG_PRICE(0)")</f>
        <v>105.97004</v>
      </c>
    </row>
    <row r="21" spans="1:22" x14ac:dyDescent="0.35">
      <c r="A21" t="s">
        <v>225</v>
      </c>
      <c r="B21" t="s">
        <v>765</v>
      </c>
      <c r="C21" t="s">
        <v>764</v>
      </c>
      <c r="D21" t="s">
        <v>730</v>
      </c>
      <c r="E21" s="3" t="s">
        <v>764</v>
      </c>
      <c r="F21" s="9">
        <f>HLOOKUP(E21,'Monthly Returns'!$A$1:$AE$136,134,FALSE)</f>
        <v>0.31900000000000001</v>
      </c>
      <c r="G21" s="162" cm="1">
        <f t="array" ref="G21">_xll.FDSZ(C21,"FG_PRICE(0)")</f>
        <v>1362.59</v>
      </c>
      <c r="H21" s="162" cm="1">
        <f t="array" ref="H21">_xll.FDSZ(C21,"FG_PRICE_MAVG(0,,,,30)")</f>
        <v>1381.816</v>
      </c>
      <c r="I21" s="162" cm="1">
        <f t="array" ref="I21">_xll.FDSZ(C21,"FG_PRICE_MAVG(0,,,,60)")</f>
        <v>1391.6139000000001</v>
      </c>
      <c r="J21" s="162" cm="1">
        <f t="array" ref="J21">_xll.FDSZ(C21,"FG_PRICE_MAVG(0,,,,200)")</f>
        <v>1461.8117999999999</v>
      </c>
      <c r="L21">
        <f t="shared" si="1"/>
        <v>0</v>
      </c>
      <c r="M21">
        <f t="shared" si="2"/>
        <v>0</v>
      </c>
      <c r="N21">
        <f t="shared" si="3"/>
        <v>0</v>
      </c>
      <c r="P21">
        <f t="shared" si="4"/>
        <v>0</v>
      </c>
      <c r="R21" t="s">
        <v>764</v>
      </c>
      <c r="S21" s="7" cm="1">
        <f t="array" ref="S21">_xll.FDSZ($R21,"FG_PRICE(0)")</f>
        <v>1362.59</v>
      </c>
      <c r="T21" s="7" cm="1">
        <f t="array" ref="T21">_xll.FDSZ($R21,"FG_PRICE(0)")</f>
        <v>1362.59</v>
      </c>
      <c r="U21" s="7" cm="1">
        <f t="array" ref="U21">_xll.FDSZ($R21,"FG_PRICE(0)")</f>
        <v>1362.59</v>
      </c>
      <c r="V21" s="7" cm="1">
        <f t="array" ref="V21">_xll.FDSZ($R21,"FG_PRICE(0)")</f>
        <v>1362.59</v>
      </c>
    </row>
    <row r="22" spans="1:22" x14ac:dyDescent="0.35">
      <c r="A22" t="s">
        <v>283</v>
      </c>
      <c r="B22" t="s">
        <v>451</v>
      </c>
      <c r="C22" t="s">
        <v>25</v>
      </c>
      <c r="D22" t="s">
        <v>734</v>
      </c>
      <c r="E22" s="3" t="s">
        <v>25</v>
      </c>
      <c r="F22" s="9">
        <f>HLOOKUP(E22,'Monthly Returns'!$A$1:$AE$136,134,FALSE)</f>
        <v>0.52400000000000002</v>
      </c>
      <c r="G22" s="162" cm="1">
        <f t="array" ref="G22">_xll.FDSZ(C22,"FG_PRICE(0)")</f>
        <v>36.200000000000003</v>
      </c>
      <c r="H22" s="162" cm="1">
        <f t="array" ref="H22">_xll.FDSZ(C22,"FG_PRICE_MAVG(0,,,,30)")</f>
        <v>36.802334000000002</v>
      </c>
      <c r="I22" s="162" cm="1">
        <f t="array" ref="I22">_xll.FDSZ(C22,"FG_PRICE_MAVG(0,,,,60)")</f>
        <v>35.140166999999998</v>
      </c>
      <c r="J22" s="162" cm="1">
        <f t="array" ref="J22">_xll.FDSZ(C22,"FG_PRICE_MAVG(0,,,,200)")</f>
        <v>34.390650000000001</v>
      </c>
      <c r="L22">
        <f t="shared" si="1"/>
        <v>0</v>
      </c>
      <c r="M22">
        <f t="shared" si="2"/>
        <v>1</v>
      </c>
      <c r="N22">
        <f t="shared" si="3"/>
        <v>1</v>
      </c>
      <c r="P22">
        <f t="shared" si="4"/>
        <v>2</v>
      </c>
      <c r="R22" t="s">
        <v>887</v>
      </c>
      <c r="S22" s="7" cm="1">
        <f t="array" ref="S22">_xll.FDSZ($R22,"FG_PRICE(0)")</f>
        <v>234.8252</v>
      </c>
      <c r="T22" s="7" cm="1">
        <f t="array" ref="T22">_xll.FDSZ($R22,"FG_PRICE(0)")</f>
        <v>234.8252</v>
      </c>
      <c r="U22" s="7" cm="1">
        <f t="array" ref="U22">_xll.FDSZ($R22,"FG_PRICE(0)")</f>
        <v>234.8252</v>
      </c>
      <c r="V22" s="7" cm="1">
        <f t="array" ref="V22">_xll.FDSZ($R22,"FG_PRICE(0)")</f>
        <v>234.8252</v>
      </c>
    </row>
    <row r="23" spans="1:22" x14ac:dyDescent="0.35">
      <c r="A23" t="s">
        <v>377</v>
      </c>
      <c r="B23" t="s">
        <v>452</v>
      </c>
      <c r="C23" t="s">
        <v>34</v>
      </c>
      <c r="D23" t="s">
        <v>738</v>
      </c>
      <c r="E23" s="3" t="s">
        <v>34</v>
      </c>
      <c r="F23" s="9">
        <f>HLOOKUP(E23,'Monthly Returns'!$A$1:$AE$136,134,FALSE)</f>
        <v>0.40300000000000002</v>
      </c>
      <c r="G23" s="162" cm="1">
        <f t="array" ref="G23">_xll.FDSZ(C23,"FG_PRICE(0)")</f>
        <v>14.635</v>
      </c>
      <c r="H23" s="162" cm="1">
        <f t="array" ref="H23">_xll.FDSZ(C23,"FG_PRICE_MAVG(0,,,,30)")</f>
        <v>14.777856999999999</v>
      </c>
      <c r="I23" s="162" cm="1">
        <f t="array" ref="I23">_xll.FDSZ(C23,"FG_PRICE_MAVG(0,,,,60)")</f>
        <v>14.765345</v>
      </c>
      <c r="J23" s="162" cm="1">
        <f t="array" ref="J23">_xll.FDSZ(C23,"FG_PRICE_MAVG(0,,,,200)")</f>
        <v>14.800627</v>
      </c>
      <c r="L23">
        <f t="shared" si="1"/>
        <v>0</v>
      </c>
      <c r="M23">
        <f t="shared" si="2"/>
        <v>0</v>
      </c>
      <c r="N23">
        <f t="shared" si="3"/>
        <v>0</v>
      </c>
      <c r="P23">
        <f t="shared" si="4"/>
        <v>0</v>
      </c>
      <c r="R23" t="s">
        <v>888</v>
      </c>
      <c r="S23" s="7" cm="1">
        <f t="array" ref="S23">_xll.FDSZ($R23,"FG_PRICE(0)")</f>
        <v>146.48502999999999</v>
      </c>
      <c r="T23" s="7" cm="1">
        <f t="array" ref="T23">_xll.FDSZ($R23,"FG_PRICE(0)")</f>
        <v>146.48502999999999</v>
      </c>
      <c r="U23" s="7" cm="1">
        <f t="array" ref="U23">_xll.FDSZ($R23,"FG_PRICE(0)")</f>
        <v>146.48502999999999</v>
      </c>
      <c r="V23" s="7" cm="1">
        <f t="array" ref="V23">_xll.FDSZ($R23,"FG_PRICE(0)")</f>
        <v>146.48502999999999</v>
      </c>
    </row>
    <row r="24" spans="1:22" x14ac:dyDescent="0.35">
      <c r="A24" t="s">
        <v>228</v>
      </c>
      <c r="B24" t="s">
        <v>453</v>
      </c>
      <c r="C24" t="s">
        <v>37</v>
      </c>
      <c r="D24" t="s">
        <v>743</v>
      </c>
      <c r="E24" s="3" t="s">
        <v>37</v>
      </c>
      <c r="F24" s="9">
        <f>HLOOKUP(E24,'Monthly Returns'!$A$1:$AE$136,134,FALSE)</f>
        <v>0.77800000000000002</v>
      </c>
      <c r="G24" s="162" cm="1">
        <f t="array" ref="G24">_xll.FDSZ(C24,"FG_PRICE(0)")</f>
        <v>13.58</v>
      </c>
      <c r="H24" s="162" cm="1">
        <f t="array" ref="H24">_xll.FDSZ(C24,"FG_PRICE_MAVG(0,,,,30)")</f>
        <v>13.097834000000001</v>
      </c>
      <c r="I24" s="162" cm="1">
        <f t="array" ref="I24">_xll.FDSZ(C24,"FG_PRICE_MAVG(0,,,,60)")</f>
        <v>13.04</v>
      </c>
      <c r="J24" s="162" cm="1">
        <f t="array" ref="J24">_xll.FDSZ(C24,"FG_PRICE_MAVG(0,,,,200)")</f>
        <v>13.499775</v>
      </c>
      <c r="L24">
        <f t="shared" si="1"/>
        <v>1</v>
      </c>
      <c r="M24">
        <f t="shared" si="2"/>
        <v>1</v>
      </c>
      <c r="N24">
        <f t="shared" si="3"/>
        <v>1</v>
      </c>
      <c r="P24">
        <f t="shared" si="4"/>
        <v>3</v>
      </c>
      <c r="R24" t="s">
        <v>889</v>
      </c>
      <c r="S24" s="7" cm="1">
        <f t="array" ref="S24">_xll.FDSZ($R24,"FG_PRICE(0)")</f>
        <v>393.46069929999999</v>
      </c>
      <c r="T24" s="7" cm="1">
        <f t="array" ref="T24">_xll.FDSZ($R24,"FG_PRICE(0)")</f>
        <v>393.46069929999999</v>
      </c>
      <c r="U24" s="7" cm="1">
        <f t="array" ref="U24">_xll.FDSZ($R24,"FG_PRICE(0)")</f>
        <v>393.46069929999999</v>
      </c>
      <c r="V24" s="7" cm="1">
        <f t="array" ref="V24">_xll.FDSZ($R24,"FG_PRICE(0)")</f>
        <v>393.46069929999999</v>
      </c>
    </row>
    <row r="25" spans="1:22" x14ac:dyDescent="0.35">
      <c r="A25" t="s">
        <v>367</v>
      </c>
      <c r="B25" t="s">
        <v>454</v>
      </c>
      <c r="C25" t="s">
        <v>36</v>
      </c>
      <c r="D25" t="s">
        <v>713</v>
      </c>
      <c r="E25" s="3" t="s">
        <v>36</v>
      </c>
      <c r="F25" s="9">
        <f>HLOOKUP(E25,'Monthly Returns'!$A$1:$AE$136,134,FALSE)</f>
        <v>0.754</v>
      </c>
      <c r="G25" s="162" cm="1">
        <f t="array" ref="G25">_xll.FDSZ(C25,"FG_PRICE(0)")</f>
        <v>43.94</v>
      </c>
      <c r="H25" s="162" cm="1">
        <f t="array" ref="H25">_xll.FDSZ(C25,"FG_PRICE_MAVG(0,,,,30)")</f>
        <v>43.618668</v>
      </c>
      <c r="I25" s="162" cm="1">
        <f t="array" ref="I25">_xll.FDSZ(C25,"FG_PRICE_MAVG(0,,,,60)")</f>
        <v>42.735500000000002</v>
      </c>
      <c r="J25" s="162" cm="1">
        <f t="array" ref="J25">_xll.FDSZ(C25,"FG_PRICE_MAVG(0,,,,200)")</f>
        <v>40.889949999999999</v>
      </c>
      <c r="L25">
        <f t="shared" si="1"/>
        <v>1</v>
      </c>
      <c r="M25">
        <f t="shared" si="2"/>
        <v>1</v>
      </c>
      <c r="N25">
        <f t="shared" si="3"/>
        <v>1</v>
      </c>
      <c r="P25">
        <f t="shared" si="4"/>
        <v>3</v>
      </c>
      <c r="R25" t="s">
        <v>890</v>
      </c>
      <c r="S25" s="7" cm="1">
        <f t="array" ref="S25">_xll.FDSZ($R25,"FG_PRICE(0)")</f>
        <v>52.525039999999997</v>
      </c>
      <c r="T25" s="7" cm="1">
        <f t="array" ref="T25">_xll.FDSZ($R25,"FG_PRICE(0)")</f>
        <v>52.525039999999997</v>
      </c>
      <c r="U25" s="7" cm="1">
        <f t="array" ref="U25">_xll.FDSZ($R25,"FG_PRICE(0)")</f>
        <v>52.525039999999997</v>
      </c>
      <c r="V25" s="7" cm="1">
        <f t="array" ref="V25">_xll.FDSZ($R25,"FG_PRICE(0)")</f>
        <v>52.525039999999997</v>
      </c>
    </row>
    <row r="27" spans="1:22" x14ac:dyDescent="0.35">
      <c r="K27" s="129" t="s">
        <v>916</v>
      </c>
      <c r="L27" s="129">
        <f>SUM(L5:L25)</f>
        <v>14</v>
      </c>
      <c r="M27" s="129">
        <f>SUM(M5:M25)</f>
        <v>15</v>
      </c>
      <c r="N27" s="129">
        <f>SUM(N5:N25)</f>
        <v>14</v>
      </c>
    </row>
    <row r="28" spans="1:22" x14ac:dyDescent="0.35">
      <c r="K28" s="129" t="s">
        <v>90</v>
      </c>
      <c r="L28" s="129">
        <f>COUNT(L5:L25)</f>
        <v>21</v>
      </c>
      <c r="M28" s="129">
        <f>COUNT(M5:M25)</f>
        <v>21</v>
      </c>
      <c r="N28" s="129">
        <f>COUNT(N5:N25)</f>
        <v>21</v>
      </c>
    </row>
    <row r="29" spans="1:22" x14ac:dyDescent="0.35">
      <c r="K29" s="129"/>
      <c r="L29" s="129"/>
      <c r="M29" s="129"/>
      <c r="N29" s="129"/>
    </row>
    <row r="30" spans="1:22" x14ac:dyDescent="0.35">
      <c r="K30" s="129" t="s">
        <v>92</v>
      </c>
      <c r="L30" s="188">
        <f>L27/L28</f>
        <v>0.66666666666666663</v>
      </c>
      <c r="M30" s="188">
        <f t="shared" ref="M30:N30" si="5">M27/M28</f>
        <v>0.7142857142857143</v>
      </c>
      <c r="N30" s="188">
        <f t="shared" si="5"/>
        <v>0.66666666666666663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workbookViewId="0">
      <selection activeCell="K14" sqref="K14"/>
    </sheetView>
  </sheetViews>
  <sheetFormatPr defaultRowHeight="14.5" x14ac:dyDescent="0.35"/>
  <cols>
    <col min="1" max="2" width="17" customWidth="1"/>
    <col min="3" max="3" width="11.453125" customWidth="1"/>
    <col min="4" max="4" width="14.632812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6328125" bestFit="1" customWidth="1"/>
    <col min="10" max="10" width="15.453125" customWidth="1"/>
    <col min="16" max="16" width="22.90625" customWidth="1"/>
    <col min="17" max="17" width="32.6328125" customWidth="1"/>
    <col min="18" max="20" width="12.36328125" customWidth="1"/>
  </cols>
  <sheetData>
    <row r="2" spans="1:20" x14ac:dyDescent="0.35">
      <c r="B2" t="s">
        <v>818</v>
      </c>
      <c r="C2" t="s">
        <v>819</v>
      </c>
      <c r="D2" t="s">
        <v>820</v>
      </c>
      <c r="E2" t="s">
        <v>821</v>
      </c>
      <c r="F2" t="s">
        <v>822</v>
      </c>
      <c r="G2" t="s">
        <v>823</v>
      </c>
      <c r="H2" t="s">
        <v>824</v>
      </c>
      <c r="I2" t="s">
        <v>825</v>
      </c>
      <c r="J2" t="s">
        <v>826</v>
      </c>
      <c r="S2" t="s">
        <v>827</v>
      </c>
    </row>
    <row r="3" spans="1:20" x14ac:dyDescent="0.35">
      <c r="A3" t="s">
        <v>828</v>
      </c>
      <c r="B3" t="s">
        <v>829</v>
      </c>
      <c r="C3" cm="1">
        <f t="array" ref="C3">_xll.FDS($A3,"FG_PRICE(0)")</f>
        <v>116.94</v>
      </c>
      <c r="D3" cm="1">
        <f t="array" ref="D3">_xll.FDS($A3,"FG_PRICE_MAVG(0,,,,30)")</f>
        <v>129.15299999999999</v>
      </c>
      <c r="E3" s="56" cm="1">
        <f t="array" ref="E3">_xll.FDS($A3,"FG_PRICE_CHANGE(0,-1AM)")</f>
        <v>-9.0880820959340696</v>
      </c>
      <c r="F3" s="56" cm="1">
        <f t="array" ref="F3">_xll.FDS($A3,"FG_PRICE_CHANGE(0,-3AM)")</f>
        <v>-10.363329756247101</v>
      </c>
      <c r="G3" s="56" cm="1">
        <f t="array" ref="G3">_xll.FDS($A3,"FG_PRICE_CHANGE(0,-6AM)")</f>
        <v>-1.0576190879092999</v>
      </c>
      <c r="H3" s="56" cm="1">
        <f t="array" ref="H3">_xll.FDS($A3,"FG_PRICE_CHANGE(0,-1AY)")</f>
        <v>-7.6595072646873001</v>
      </c>
      <c r="I3" s="56" cm="1">
        <f t="array" ref="I3">_xll.FDS($A3,"FG_PRICE(0)/MAX(FG_PRICE(0,-1AY))")</f>
        <v>0.81118201997780204</v>
      </c>
      <c r="J3" cm="1">
        <f t="array" ref="J3">_xll.FDS($A3,"MAX(FG_PRICE(0,-5AY))")</f>
        <v>219.77</v>
      </c>
      <c r="P3" t="s">
        <v>437</v>
      </c>
      <c r="Q3" t="s">
        <v>440</v>
      </c>
      <c r="R3" t="s">
        <v>437</v>
      </c>
      <c r="S3">
        <f>IF(E3&lt;$C$19, -1, IF(E3&gt;$C$20,1,0))</f>
        <v>-1</v>
      </c>
      <c r="T3">
        <f>S3</f>
        <v>-1</v>
      </c>
    </row>
    <row r="4" spans="1:20" x14ac:dyDescent="0.35">
      <c r="A4" t="s">
        <v>830</v>
      </c>
      <c r="B4" t="s">
        <v>831</v>
      </c>
      <c r="C4" cm="1">
        <f t="array" ref="C4">_xll.FDS($A4,"FG_PRICE(0)")</f>
        <v>3.8519999999999999</v>
      </c>
      <c r="D4" cm="1">
        <f t="array" ref="D4">_xll.FDS($A4,"FG_PRICE_MAVG(0,,,,30)")</f>
        <v>3.8158165999999998</v>
      </c>
      <c r="E4" s="56" cm="1">
        <f t="array" ref="E4">_xll.FDS($A4,"FG_PRICE_CHANGE(0,-1AM)")</f>
        <v>0.79811592306686696</v>
      </c>
      <c r="F4" s="56" cm="1">
        <f t="array" ref="F4">_xll.FDS($A4,"FG_PRICE_CHANGE(0,-3AM)")</f>
        <v>0.82449941107185498</v>
      </c>
      <c r="G4" s="56" cm="1">
        <f t="array" ref="G4">_xll.FDS($A4,"FG_PRICE_CHANGE(0,-6AM)")</f>
        <v>1.03606557377049</v>
      </c>
      <c r="H4" s="56" cm="1">
        <f t="array" ref="H4">_xll.FDS($A4,"FG_PRICE_CHANGE(0,-1AY)")</f>
        <v>-5.5419323197645998</v>
      </c>
      <c r="I4" s="56" cm="1">
        <f t="array" ref="I4">_xll.FDS($A4,"FG_PRICE(0)/MAX(FG_PRICE(0,-1AY))")</f>
        <v>0.92908827785817605</v>
      </c>
      <c r="J4" cm="1">
        <f t="array" ref="J4">_xll.FDS($A4,"MAX(FG_PRICE(0,-5AY))")</f>
        <v>4.9290000000000003</v>
      </c>
      <c r="P4" t="s">
        <v>27</v>
      </c>
      <c r="Q4" t="s">
        <v>441</v>
      </c>
      <c r="R4" t="s">
        <v>27</v>
      </c>
      <c r="S4">
        <f>IF(E4&lt;$C$19, -1, IF(E4&gt;$C$20,1,0))</f>
        <v>0</v>
      </c>
      <c r="T4">
        <f t="shared" ref="T4:T5" si="0">S4</f>
        <v>0</v>
      </c>
    </row>
    <row r="5" spans="1:20" x14ac:dyDescent="0.35">
      <c r="A5" t="s">
        <v>832</v>
      </c>
      <c r="B5" t="s">
        <v>466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56" cm="1">
        <f t="array" ref="E5">_xll.FDS($A5,"FG_PRICE_CHANGE(0,-1AM)")</f>
        <v>0</v>
      </c>
      <c r="F5" s="56" cm="1">
        <f t="array" ref="F5">_xll.FDS($A5,"FG_PRICE_CHANGE(0,-3AM)")</f>
        <v>0</v>
      </c>
      <c r="G5" s="56" cm="1">
        <f t="array" ref="G5">_xll.FDS($A5,"FG_PRICE_CHANGE(0,-6AM)")</f>
        <v>-4.7587354409317797</v>
      </c>
      <c r="H5" s="56" cm="1">
        <f t="array" ref="H5">_xll.FDS($A5,"FG_PRICE_CHANGE(0,-1AY)")</f>
        <v>-1.57056058695404</v>
      </c>
      <c r="I5" s="56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442</v>
      </c>
      <c r="R5" t="s">
        <v>35</v>
      </c>
      <c r="S5">
        <f>IF(E9&lt;$C$19, -1, IF(E9&gt;$C$20,1,0))</f>
        <v>0</v>
      </c>
      <c r="T5">
        <f t="shared" si="0"/>
        <v>0</v>
      </c>
    </row>
    <row r="6" spans="1:20" x14ac:dyDescent="0.35">
      <c r="A6" t="s">
        <v>833</v>
      </c>
      <c r="B6" t="s">
        <v>834</v>
      </c>
      <c r="C6" cm="1">
        <f t="array" ref="C6">_xll.FDS($A6,"FG_PRICE(0)")</f>
        <v>5.6349999999999998</v>
      </c>
      <c r="D6" cm="1">
        <f t="array" ref="D6">_xll.FDS($A6,"FG_PRICE_MAVG(0,,,,30)")</f>
        <v>5.8834166999999997</v>
      </c>
      <c r="E6" s="56" cm="1">
        <f t="array" ref="E6">_xll.FDS($A6,"FG_PRICE_CHANGE(0,-1AM)")</f>
        <v>-6.0441850771154604</v>
      </c>
      <c r="F6" s="56" cm="1">
        <f t="array" ref="F6">_xll.FDS($A6,"FG_PRICE_CHANGE(0,-3AM)")</f>
        <v>-5.4133445237096103</v>
      </c>
      <c r="G6" s="56" cm="1">
        <f t="array" ref="G6">_xll.FDS($A6,"FG_PRICE_CHANGE(0,-6AM)")</f>
        <v>-0.70484581497797205</v>
      </c>
      <c r="H6" s="56" cm="1">
        <f t="array" ref="H6">_xll.FDS($A6,"FG_PRICE_CHANGE(0,-1AY)")</f>
        <v>-19.008264462809901</v>
      </c>
      <c r="I6" s="56" cm="1">
        <f t="array" ref="I6">_xll.FDS($A6,"FG_PRICE(0)/MAX(FG_PRICE(0,-1AY))")</f>
        <v>0.74120355146333405</v>
      </c>
      <c r="J6" cm="1">
        <f t="array" ref="J6">_xll.FDS($A6,"MAX(FG_PRICE(0,-5AY))")</f>
        <v>14.2525</v>
      </c>
      <c r="P6" t="s">
        <v>30</v>
      </c>
      <c r="Q6" t="s">
        <v>443</v>
      </c>
      <c r="R6" t="s">
        <v>30</v>
      </c>
    </row>
    <row r="7" spans="1:20" x14ac:dyDescent="0.35">
      <c r="A7" t="s">
        <v>835</v>
      </c>
      <c r="B7" t="s">
        <v>836</v>
      </c>
      <c r="C7" cm="1">
        <f t="array" ref="C7">_xll.FDS($A7,"FG_PRICE(0)")</f>
        <v>4017</v>
      </c>
      <c r="D7" cm="1">
        <f t="array" ref="D7">_xll.FDS($A7,"FG_PRICE_MAVG(0,,,,30)")</f>
        <v>3942.3332999999998</v>
      </c>
      <c r="E7" s="56" cm="1">
        <f t="array" ref="E7">_xll.FDS($A7,"FG_PRICE_CHANGE(0,-1AM)")</f>
        <v>6.0454065469905096</v>
      </c>
      <c r="F7" s="56" cm="1">
        <f t="array" ref="F7">_xll.FDS($A7,"FG_PRICE_CHANGE(0,-3AM)")</f>
        <v>9.2169657422512206</v>
      </c>
      <c r="G7" s="56" cm="1">
        <f t="array" ref="G7">_xll.FDS($A7,"FG_PRICE_CHANGE(0,-6AM)")</f>
        <v>2.7365728900255801</v>
      </c>
      <c r="H7" s="56" cm="1">
        <f t="array" ref="H7">_xll.FDS($A7,"FG_PRICE_CHANGE(0,-1AY)")</f>
        <v>-6.9708198239925903</v>
      </c>
      <c r="I7" s="56" cm="1">
        <f t="array" ref="I7">_xll.FDS($A7,"FG_PRICE(0)/MAX(FG_PRICE(0,-1AY))")</f>
        <v>0.92835682921192497</v>
      </c>
      <c r="J7" cm="1">
        <f t="array" ref="J7">_xll.FDS($A7,"MAX(FG_PRICE(0,-5AY))")</f>
        <v>8163</v>
      </c>
      <c r="P7" t="s">
        <v>23</v>
      </c>
      <c r="Q7" t="s">
        <v>444</v>
      </c>
      <c r="R7" t="s">
        <v>23</v>
      </c>
    </row>
    <row r="8" spans="1:20" x14ac:dyDescent="0.35">
      <c r="A8" t="s">
        <v>837</v>
      </c>
      <c r="B8" t="s">
        <v>838</v>
      </c>
      <c r="C8" cm="1">
        <f t="array" ref="C8">_xll.FDS($A8,"FG_PRICE(0)")</f>
        <v>894</v>
      </c>
      <c r="D8" cm="1">
        <f t="array" ref="D8">_xll.FDS($A8,"FG_PRICE_MAVG(0,,,,30)")</f>
        <v>902.46669999999995</v>
      </c>
      <c r="E8" s="56" cm="1">
        <f t="array" ref="E8">_xll.FDS($A8,"FG_PRICE_CHANGE(0,-1AM)")</f>
        <v>-1.75824175824176</v>
      </c>
      <c r="F8" s="56" cm="1">
        <f t="array" ref="F8">_xll.FDS($A8,"FG_PRICE_CHANGE(0,-3AM)")</f>
        <v>-4.3850267379679098</v>
      </c>
      <c r="G8" s="56" cm="1">
        <f t="array" ref="G8">_xll.FDS($A8,"FG_PRICE_CHANGE(0,-6AM)")</f>
        <v>-9.4224924012158109</v>
      </c>
      <c r="H8" s="56" cm="1">
        <f t="array" ref="H8">_xll.FDS($A8,"FG_PRICE_CHANGE(0,-1AY)")</f>
        <v>-9.2385786802030498</v>
      </c>
      <c r="I8" s="56" cm="1">
        <f t="array" ref="I8">_xll.FDS($A8,"FG_PRICE(0)/MAX(FG_PRICE(0,-1AY))")</f>
        <v>0.78766519823788494</v>
      </c>
      <c r="J8" cm="1">
        <f t="array" ref="J8">_xll.FDS($A8,"MAX(FG_PRICE(0,-5AY))")</f>
        <v>1272.5899999999999</v>
      </c>
      <c r="P8" t="s">
        <v>29</v>
      </c>
      <c r="Q8" t="s">
        <v>445</v>
      </c>
      <c r="R8" t="s">
        <v>29</v>
      </c>
    </row>
    <row r="9" spans="1:20" x14ac:dyDescent="0.35">
      <c r="A9" t="s">
        <v>839</v>
      </c>
      <c r="B9" t="s">
        <v>840</v>
      </c>
      <c r="C9" cm="1">
        <f t="array" ref="C9">_xll.FDS($A9,"FG_PRICE(0)")</f>
        <v>17575</v>
      </c>
      <c r="D9" cm="1">
        <f t="array" ref="D9">_xll.FDS($A9,"FG_PRICE_MAVG(0,,,,30)")</f>
        <v>16349</v>
      </c>
      <c r="E9" s="56" cm="1">
        <f t="array" ref="E9">_xll.FDS($A9,"FG_PRICE_CHANGE(0,-1AM)")</f>
        <v>8.9922480620155092</v>
      </c>
      <c r="F9" s="56" cm="1">
        <f t="array" ref="F9">_xll.FDS($A9,"FG_PRICE_CHANGE(0,-3AM)")</f>
        <v>7.4923547400611596</v>
      </c>
      <c r="G9" s="56" cm="1">
        <f t="array" ref="G9">_xll.FDS($A9,"FG_PRICE_CHANGE(0,-6AM)")</f>
        <v>-14.1636141636142</v>
      </c>
      <c r="H9" s="56" cm="1">
        <f t="array" ref="H9">_xll.FDS($A9,"FG_PRICE_CHANGE(0,-1AY)")</f>
        <v>-27.986068428600699</v>
      </c>
      <c r="I9" s="56" cm="1">
        <f t="array" ref="I9">_xll.FDS($A9,"FG_PRICE(0)/MAX(FG_PRICE(0,-1AY))")</f>
        <v>0.68813625685199697</v>
      </c>
      <c r="J9" cm="1">
        <f t="array" ref="J9">_xll.FDS($A9,"MAX(FG_PRICE(0,-5AY))")</f>
        <v>48241</v>
      </c>
      <c r="P9" t="s">
        <v>33</v>
      </c>
      <c r="Q9" t="s">
        <v>446</v>
      </c>
      <c r="R9" t="s">
        <v>33</v>
      </c>
      <c r="S9">
        <f>IF(E7&lt;$C$19, -1, IF(E7&gt;$C$20,1,0))</f>
        <v>0</v>
      </c>
      <c r="T9">
        <f t="shared" ref="T9" si="1">S9</f>
        <v>0</v>
      </c>
    </row>
    <row r="10" spans="1:20" x14ac:dyDescent="0.35">
      <c r="A10" t="s">
        <v>841</v>
      </c>
      <c r="B10" t="s">
        <v>842</v>
      </c>
      <c r="C10" cm="1">
        <f t="array" ref="C10">_xll.FDS($A10,"FG_PRICE(0)")</f>
        <v>960</v>
      </c>
      <c r="D10" cm="1">
        <f t="array" ref="D10">_xll.FDS($A10,"FG_PRICE_MAVG(0,,,,30)")</f>
        <v>953.93335000000002</v>
      </c>
      <c r="E10" s="56" cm="1">
        <f t="array" ref="E10">_xll.FDS($A10,"FG_PRICE_CHANGE(0,-1AM)")</f>
        <v>-0.82644628099173301</v>
      </c>
      <c r="F10" s="56" cm="1">
        <f t="array" ref="F10">_xll.FDS($A10,"FG_PRICE_CHANGE(0,-3AM)")</f>
        <v>-1.5384615384615301</v>
      </c>
      <c r="G10" s="56" cm="1">
        <f t="array" ref="G10">_xll.FDS($A10,"FG_PRICE_CHANGE(0,-6AM)")</f>
        <v>-22.580645161290299</v>
      </c>
      <c r="H10" s="56" cm="1">
        <f t="array" ref="H10">_xll.FDS($A10,"FG_PRICE_CHANGE(0,-1AY)")</f>
        <v>-34.6938775510204</v>
      </c>
      <c r="I10" s="56" cm="1">
        <f t="array" ref="I10">_xll.FDS($A10,"FG_PRICE(0)/MAX(FG_PRICE(0,-1AY))")</f>
        <v>0.58536585365853699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843</v>
      </c>
      <c r="C11" cm="1">
        <f t="array" ref="C11">_xll.FDS($A11,"FG_PRICE(0)")</f>
        <v>593</v>
      </c>
      <c r="D11" cm="1">
        <f t="array" ref="D11">_xll.FDS($A11,"FG_PRICE_MAVG(0,,,,30)")</f>
        <v>646.01666</v>
      </c>
      <c r="E11" s="56" cm="1">
        <f t="array" ref="E11">_xll.FDS($A11,"FG_PRICE_CHANGE(0,-1AM)")</f>
        <v>-10.246708036930499</v>
      </c>
      <c r="F11" s="56" cm="1">
        <f t="array" ref="F11">_xll.FDS($A11,"FG_PRICE_CHANGE(0,-3AM)")</f>
        <v>-16.420014094432702</v>
      </c>
      <c r="G11" s="56" cm="1">
        <f t="array" ref="G11">_xll.FDS($A11,"FG_PRICE_CHANGE(0,-6AM)")</f>
        <v>-18.543956043956001</v>
      </c>
      <c r="H11" s="56" cm="1">
        <f t="array" ref="H11">_xll.FDS($A11,"FG_PRICE_CHANGE(0,-1AY)")</f>
        <v>0.78178110129163403</v>
      </c>
      <c r="I11" s="56" cm="1">
        <f t="array" ref="I11">_xll.FDS($A11,"FG_PRICE(0)/MAX(FG_PRICE(0,-1AY))")</f>
        <v>0.77678805344511404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844</v>
      </c>
      <c r="B12" t="s">
        <v>845</v>
      </c>
      <c r="C12" cm="1">
        <f t="array" ref="C12">_xll.FDS($A12,"FG_PRICE(0)")</f>
        <v>0.96913903999999995</v>
      </c>
      <c r="D12" cm="1">
        <f t="array" ref="D12">_xll.FDS($A12,"FG_PRICE_MAVG(0,,,,30)")</f>
        <v>0.97211179999999997</v>
      </c>
      <c r="E12" s="56" cm="1">
        <f t="array" ref="E12">_xll.FDS($A12,"FG_PRICE_CHANGE(0,-1AM)")</f>
        <v>-0.407332092765544</v>
      </c>
      <c r="F12" s="56" cm="1">
        <f t="array" ref="F12">_xll.FDS($A12,"FG_PRICE_CHANGE(0,-3AM)")</f>
        <v>-3.3984956050627799</v>
      </c>
      <c r="G12" s="56" cm="1">
        <f t="array" ref="G12">_xll.FDS($A12,"FG_PRICE_CHANGE(0,-6AM)")</f>
        <v>1.0709838886347101</v>
      </c>
      <c r="H12" s="56" cm="1">
        <f t="array" ref="H12">_xll.FDS($A12,"FG_PRICE_CHANGE(0,-1AY)")</f>
        <v>-20.100080696409702</v>
      </c>
      <c r="I12" s="56" cm="1">
        <f t="array" ref="I12">_xll.FDS($A12,"FG_PRICE(0)/MAX(FG_PRICE(0,-1AY))")</f>
        <v>0.79899919303590305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-1, IF(E3&gt;$C$20,1,0))</f>
        <v>-1</v>
      </c>
      <c r="T13">
        <f t="shared" ref="T13:T23" si="2">S13</f>
        <v>-1</v>
      </c>
    </row>
    <row r="14" spans="1:20" x14ac:dyDescent="0.35">
      <c r="P14" t="s">
        <v>22</v>
      </c>
      <c r="Q14" t="s">
        <v>447</v>
      </c>
      <c r="R14" t="s">
        <v>22</v>
      </c>
      <c r="S14" t="str">
        <f>IF(E8&lt;$C$19, -1, "")</f>
        <v/>
      </c>
      <c r="T14" t="str">
        <f t="shared" si="2"/>
        <v/>
      </c>
    </row>
    <row r="15" spans="1:20" x14ac:dyDescent="0.35">
      <c r="P15" t="s">
        <v>28</v>
      </c>
      <c r="Q15" t="s">
        <v>448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-1, IF(E5&gt;$C$20,1,0))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449</v>
      </c>
      <c r="R18" t="s">
        <v>31</v>
      </c>
    </row>
    <row r="19" spans="2:20" x14ac:dyDescent="0.35">
      <c r="B19" t="s">
        <v>847</v>
      </c>
      <c r="C19" s="65">
        <v>-5</v>
      </c>
      <c r="P19" s="1" t="s">
        <v>764</v>
      </c>
      <c r="Q19" s="1" t="s">
        <v>765</v>
      </c>
      <c r="R19" s="1" t="s">
        <v>764</v>
      </c>
    </row>
    <row r="20" spans="2:20" x14ac:dyDescent="0.35">
      <c r="B20" t="s">
        <v>848</v>
      </c>
      <c r="C20" s="65">
        <v>10</v>
      </c>
      <c r="P20" t="s">
        <v>25</v>
      </c>
      <c r="Q20" t="s">
        <v>451</v>
      </c>
      <c r="R20" t="s">
        <v>25</v>
      </c>
    </row>
    <row r="21" spans="2:20" x14ac:dyDescent="0.35">
      <c r="P21" t="s">
        <v>34</v>
      </c>
      <c r="Q21" t="s">
        <v>452</v>
      </c>
      <c r="R21" t="s">
        <v>34</v>
      </c>
      <c r="S21" s="1"/>
    </row>
    <row r="22" spans="2:20" x14ac:dyDescent="0.35">
      <c r="P22" t="s">
        <v>37</v>
      </c>
      <c r="Q22" t="s">
        <v>453</v>
      </c>
      <c r="R22" t="s">
        <v>37</v>
      </c>
    </row>
    <row r="23" spans="2:20" x14ac:dyDescent="0.35">
      <c r="P23" t="s">
        <v>36</v>
      </c>
      <c r="Q23" t="s">
        <v>454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438</v>
      </c>
      <c r="Q24" t="s">
        <v>455</v>
      </c>
      <c r="R24" t="s">
        <v>438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456</v>
      </c>
      <c r="R30" t="s">
        <v>48</v>
      </c>
    </row>
    <row r="31" spans="2:20" x14ac:dyDescent="0.35">
      <c r="P31" t="s">
        <v>51</v>
      </c>
      <c r="Q31" t="s">
        <v>457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AK127"/>
  <sheetViews>
    <sheetView workbookViewId="0">
      <selection activeCell="X12" sqref="X12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_xll.FDS(C1,"JULIAN(FMA_DIV_YLD(LTMA,-10AY,0,AM,""PORTAGG"",""MEANR"").dates)")</f>
        <v>41702</v>
      </c>
      <c r="B2" s="3" t="e" cm="1">
        <f t="array" ref="B2:B122">_xll.FDS(B1,"FMA_PE(LTMA,-10AY,0,AM,""PORTAGG"",""MEANR"")")</f>
        <v>#N/A</v>
      </c>
      <c r="C2" s="3" cm="1">
        <f t="array" ref="C2:C122">_xll.FDS(C1,"FMA_PE(LTMA,-10AY,0,AM,""PORTAGG"",""MEANR"")")</f>
        <v>15.614502860160799</v>
      </c>
      <c r="D2" s="3" cm="1">
        <f t="array" ref="D2:D122">_xll.FDS(D1,"FMA_PE(LTMA,-10AY,0,AM,""PORTAGG"",""MEANR"")")</f>
        <v>15.603680882527801</v>
      </c>
      <c r="E2" s="3" cm="1">
        <f t="array" ref="E2:E122">_xll.FDS(E1,"FMA_PE(LTMA,-10AY,0,AM,""PORTAGG"",""MEANR"")")</f>
        <v>19.3495933713033</v>
      </c>
      <c r="F2" s="3" cm="1">
        <f t="array" ref="F2:F122">_xll.FDS(F1,"FMA_PE(LTMA,-10AY,0,AM,""PORTAGG"",""MEANR"")")</f>
        <v>15.4051245455637</v>
      </c>
      <c r="G2" s="3" cm="1">
        <f t="array" ref="G2:G122">_xll.FDS(G1,"FMA_PE(LTMA,-10AY,0,AM,""PORTAGG"",""MEANR"")")</f>
        <v>15.201899122805401</v>
      </c>
      <c r="H2" s="3" cm="1">
        <f t="array" ref="H2:H122">_xll.FDS(H1,"FMA_PE(LTMA,-10AY,0,AM,""PORTAGG"",""MEANR"")")</f>
        <v>16.807201792080701</v>
      </c>
      <c r="I2" s="3" cm="1">
        <f t="array" ref="I2:I122">_xll.FDS(I1,"FMA_PE(LTMA,-10AY,0,AM,""PORTAGG"",""MEANR"")")</f>
        <v>15.7129114883595</v>
      </c>
      <c r="J2" s="3" t="e" cm="1">
        <f t="array" ref="J2:J122">_xll.FDS(J1,"FMA_PE(LTMA,-10AY,0,AM,""PORTAGG"",""MEANR"")")</f>
        <v>#N/A</v>
      </c>
      <c r="K2" s="3" cm="1">
        <f t="array" ref="K2:K122">_xll.FDS(K1,"FMA_PE(LTMA,-10AY,0,AM,""PORTAGG"",""MEANR"")")</f>
        <v>11.777504305710099</v>
      </c>
      <c r="L2" s="3" cm="1">
        <f t="array" ref="L2:L122">_xll.FDS(L1,"FMA_PE(LTMA,-10AY,0,AM,""PORTAGG"",""MEANR"")")</f>
        <v>11.335704782703599</v>
      </c>
      <c r="M2" s="3" cm="1">
        <f t="array" ref="M2:M122">_xll.FDS(M1,"FMA_PE(LTMA,-10AY,0,AM,""PORTAGG"",""MEANR"")")</f>
        <v>15.7849938023462</v>
      </c>
      <c r="N2" s="3" cm="1">
        <f t="array" ref="N2:N122">_xll.FDS(N1,"FMA_PE(LTMA,-10AY,0,AM,""PORTAGG"",""MEANR"")")</f>
        <v>33.878838468625197</v>
      </c>
      <c r="O2" s="3" cm="1">
        <f t="array" ref="O2:O122">_xll.FDS(O1,"FMA_PE(LTMA,-10AY,0,AM,""PORTAGG"",""MEANR"")")</f>
        <v>16.345380305915999</v>
      </c>
      <c r="P2" s="3" cm="1">
        <f t="array" ref="P2:P122">_xll.FDS(P1,"FMA_PE(LTMA,-10AY,0,AM,""PORTAGG"",""MEANR"")")</f>
        <v>9.3041896626693905</v>
      </c>
      <c r="Q2" s="3" t="e" cm="1">
        <f t="array" ref="Q2:Q122">_xll.FDS(Q1,"FMA_PE(LTMA,-10AY,0,AM,""PORTAGG"",""MEANR"")")</f>
        <v>#N/A</v>
      </c>
      <c r="R2" s="3" cm="1">
        <f t="array" ref="R2:R122">_xll.FDS(R1,"FMA_PE(LTMA,-10AY,0,AM,""PORTAGG"",""MEANR"")")</f>
        <v>18.814284245312201</v>
      </c>
      <c r="S2" s="3" cm="1">
        <f t="array" ref="S2:S122">_xll.FDS(S1,"FMA_PE(LTMA,-10AY,0,AM,""PORTAGG"",""MEANR"")")</f>
        <v>9.1783800945370402</v>
      </c>
      <c r="T2" s="3" t="e" cm="1">
        <f t="array" ref="T2:T122">_xll.FDS(T1,"FMA_PE(LTMA,-10AY,0,AM,""PORTAGG"",""MEANR"")")</f>
        <v>#N/A</v>
      </c>
      <c r="U2" s="3" cm="1">
        <f t="array" ref="U2:U122">_xll.FDS(U1,"FMA_PE(LTMA,-10AY,0,AM,""PORTAGG"",""MEANR"")")</f>
        <v>11.6176589075852</v>
      </c>
      <c r="V2" s="3" t="e" cm="1">
        <f t="array" ref="V2:V122">_xll.FDS(V1,"FMA_PE(LTMA,-10AY,0,AM,""PORTAGG"",""MEANR"")")</f>
        <v>#N/A</v>
      </c>
    </row>
    <row r="3" spans="1:22" x14ac:dyDescent="0.35">
      <c r="A3" s="2">
        <v>41733</v>
      </c>
      <c r="B3" s="3" t="e">
        <v>#N/A</v>
      </c>
      <c r="C3" s="3">
        <v>15.568068651287501</v>
      </c>
      <c r="D3" s="3">
        <v>15.6698115718987</v>
      </c>
      <c r="E3" s="3">
        <v>19.306505582975799</v>
      </c>
      <c r="F3" s="3">
        <v>15.406537141813899</v>
      </c>
      <c r="G3" s="3">
        <v>14.859619784381501</v>
      </c>
      <c r="H3" s="3">
        <v>16.745891088601802</v>
      </c>
      <c r="I3" s="3">
        <v>15.729709985709</v>
      </c>
      <c r="J3" s="3" t="e">
        <v>#N/A</v>
      </c>
      <c r="K3" s="3">
        <v>11.588847741716499</v>
      </c>
      <c r="L3" s="3">
        <v>11.422087011007701</v>
      </c>
      <c r="M3" s="3">
        <v>15.692430451627301</v>
      </c>
      <c r="N3" s="3">
        <v>32.427949158326399</v>
      </c>
      <c r="O3" s="3">
        <v>16.3751748231197</v>
      </c>
      <c r="P3" s="3">
        <v>9.2774452215594501</v>
      </c>
      <c r="Q3" s="3" t="e">
        <v>#N/A</v>
      </c>
      <c r="R3" s="3">
        <v>18.467331623196198</v>
      </c>
      <c r="S3" s="3">
        <v>9.6298291476987004</v>
      </c>
      <c r="T3" s="3" t="e">
        <v>#N/A</v>
      </c>
      <c r="U3" s="3">
        <v>11.939385059745801</v>
      </c>
      <c r="V3" s="3" t="e">
        <v>#N/A</v>
      </c>
    </row>
    <row r="4" spans="1:22" x14ac:dyDescent="0.35">
      <c r="A4" s="2">
        <v>41761</v>
      </c>
      <c r="B4" s="3" t="e">
        <v>#N/A</v>
      </c>
      <c r="C4" s="3">
        <v>15.6708560901989</v>
      </c>
      <c r="D4" s="3">
        <v>15.582251773680699</v>
      </c>
      <c r="E4" s="3">
        <v>19.257206244182701</v>
      </c>
      <c r="F4" s="3">
        <v>15.3049270532621</v>
      </c>
      <c r="G4" s="3">
        <v>14.798545846887899</v>
      </c>
      <c r="H4" s="3">
        <v>16.721406396502701</v>
      </c>
      <c r="I4" s="3">
        <v>15.5182595646185</v>
      </c>
      <c r="J4" s="3" t="e">
        <v>#N/A</v>
      </c>
      <c r="K4" s="3">
        <v>11.3902423918792</v>
      </c>
      <c r="L4" s="3">
        <v>11.5723894719453</v>
      </c>
      <c r="M4" s="3">
        <v>15.5785740667365</v>
      </c>
      <c r="N4" s="3">
        <v>32.057733173589398</v>
      </c>
      <c r="O4" s="3">
        <v>16.3133268186001</v>
      </c>
      <c r="P4" s="3">
        <v>9.1960762726117</v>
      </c>
      <c r="Q4" s="3" t="e">
        <v>#N/A</v>
      </c>
      <c r="R4" s="3">
        <v>18.282410583783602</v>
      </c>
      <c r="S4" s="3">
        <v>9.9236024491692607</v>
      </c>
      <c r="T4" s="3" t="e">
        <v>#N/A</v>
      </c>
      <c r="U4" s="3">
        <v>11.8525339807946</v>
      </c>
      <c r="V4" s="3" t="e">
        <v>#N/A</v>
      </c>
    </row>
    <row r="5" spans="1:22" x14ac:dyDescent="0.35">
      <c r="A5" s="2">
        <v>41794</v>
      </c>
      <c r="B5" s="3" t="e">
        <v>#N/A</v>
      </c>
      <c r="C5" s="3">
        <v>15.870484230034499</v>
      </c>
      <c r="D5" s="3">
        <v>15.588883231810501</v>
      </c>
      <c r="E5" s="3">
        <v>19.258849130206901</v>
      </c>
      <c r="F5" s="3">
        <v>15.174650380341101</v>
      </c>
      <c r="G5" s="3">
        <v>15.2482191904113</v>
      </c>
      <c r="H5" s="3">
        <v>16.690275944587899</v>
      </c>
      <c r="I5" s="3">
        <v>15.485664351049399</v>
      </c>
      <c r="J5" s="3" t="e">
        <v>#N/A</v>
      </c>
      <c r="K5" s="3">
        <v>11.365021908534301</v>
      </c>
      <c r="L5" s="3">
        <v>11.533991638563</v>
      </c>
      <c r="M5" s="3">
        <v>15.6305469704877</v>
      </c>
      <c r="N5" s="3">
        <v>27.4441596828709</v>
      </c>
      <c r="O5" s="3">
        <v>16.837244690281199</v>
      </c>
      <c r="P5" s="3">
        <v>9.2983876339263993</v>
      </c>
      <c r="Q5" s="3" t="e">
        <v>#N/A</v>
      </c>
      <c r="R5" s="3">
        <v>18.044991501764802</v>
      </c>
      <c r="S5" s="3">
        <v>10.2300273072113</v>
      </c>
      <c r="T5" s="3" t="e">
        <v>#N/A</v>
      </c>
      <c r="U5" s="3">
        <v>11.9501681709505</v>
      </c>
      <c r="V5" s="3" t="e">
        <v>#N/A</v>
      </c>
    </row>
    <row r="6" spans="1:22" x14ac:dyDescent="0.35">
      <c r="A6" s="2">
        <v>41823</v>
      </c>
      <c r="B6" s="3" t="e">
        <v>#N/A</v>
      </c>
      <c r="C6" s="3">
        <v>16.065141278490199</v>
      </c>
      <c r="D6" s="3">
        <v>15.3749720306505</v>
      </c>
      <c r="E6" s="3">
        <v>19.295725915199899</v>
      </c>
      <c r="F6" s="3">
        <v>14.806492862185801</v>
      </c>
      <c r="G6" s="3">
        <v>15.9972007285938</v>
      </c>
      <c r="H6" s="3">
        <v>16.7620453963989</v>
      </c>
      <c r="I6" s="3">
        <v>15.691317094637199</v>
      </c>
      <c r="J6" s="3" t="e">
        <v>#N/A</v>
      </c>
      <c r="K6" s="3">
        <v>11.3237157078905</v>
      </c>
      <c r="L6" s="3">
        <v>11.7995701747188</v>
      </c>
      <c r="M6" s="3">
        <v>15.928182725815899</v>
      </c>
      <c r="N6" s="3">
        <v>25.241454269820199</v>
      </c>
      <c r="O6" s="3">
        <v>17.309690778762899</v>
      </c>
      <c r="P6" s="3">
        <v>9.4295010037906</v>
      </c>
      <c r="Q6" s="3" t="e">
        <v>#N/A</v>
      </c>
      <c r="R6" s="3">
        <v>17.769147521595599</v>
      </c>
      <c r="S6" s="3">
        <v>10.315777782376699</v>
      </c>
      <c r="T6" s="3" t="e">
        <v>#N/A</v>
      </c>
      <c r="U6" s="3">
        <v>12.3465934303218</v>
      </c>
      <c r="V6" s="3" t="e">
        <v>#N/A</v>
      </c>
    </row>
    <row r="7" spans="1:22" x14ac:dyDescent="0.35">
      <c r="A7" s="2">
        <v>41855</v>
      </c>
      <c r="B7" s="3" t="e">
        <v>#N/A</v>
      </c>
      <c r="C7" s="3">
        <v>16.258584861762401</v>
      </c>
      <c r="D7" s="3">
        <v>15.759295230413899</v>
      </c>
      <c r="E7" s="3">
        <v>19.4256206430953</v>
      </c>
      <c r="F7" s="3">
        <v>14.6514057738014</v>
      </c>
      <c r="G7" s="3">
        <v>16.2637899846397</v>
      </c>
      <c r="H7" s="3">
        <v>16.719814798822402</v>
      </c>
      <c r="I7" s="3">
        <v>15.175436454649001</v>
      </c>
      <c r="J7" s="3" t="e">
        <v>#N/A</v>
      </c>
      <c r="K7" s="3">
        <v>11.718662431404899</v>
      </c>
      <c r="L7" s="3">
        <v>12.2070668508505</v>
      </c>
      <c r="M7" s="3">
        <v>16.212151527203702</v>
      </c>
      <c r="N7" s="3">
        <v>22.406132669244801</v>
      </c>
      <c r="O7" s="3">
        <v>17.320925779640199</v>
      </c>
      <c r="P7" s="3">
        <v>9.70547563368795</v>
      </c>
      <c r="Q7" s="3" t="e">
        <v>#N/A</v>
      </c>
      <c r="R7" s="3">
        <v>17.675695933484899</v>
      </c>
      <c r="S7" s="3">
        <v>10.781323384352699</v>
      </c>
      <c r="T7" s="3" t="e">
        <v>#N/A</v>
      </c>
      <c r="U7" s="3">
        <v>12.6589947469365</v>
      </c>
      <c r="V7" s="3" t="e">
        <v>#N/A</v>
      </c>
    </row>
    <row r="8" spans="1:22" x14ac:dyDescent="0.35">
      <c r="A8" s="2">
        <v>41886</v>
      </c>
      <c r="B8" s="3" t="e">
        <v>#N/A</v>
      </c>
      <c r="C8" s="3">
        <v>16.702893563561801</v>
      </c>
      <c r="D8" s="3">
        <v>16.0283040176068</v>
      </c>
      <c r="E8" s="3">
        <v>19.824014282217899</v>
      </c>
      <c r="F8" s="3">
        <v>15.019697050209301</v>
      </c>
      <c r="G8" s="3">
        <v>15.6953679671657</v>
      </c>
      <c r="H8" s="3">
        <v>16.877156023954502</v>
      </c>
      <c r="I8" s="3">
        <v>15.0415992798881</v>
      </c>
      <c r="J8" s="3" t="e">
        <v>#N/A</v>
      </c>
      <c r="K8" s="3">
        <v>11.5898806835099</v>
      </c>
      <c r="L8" s="3">
        <v>13.101462166825</v>
      </c>
      <c r="M8" s="3">
        <v>16.747374415619401</v>
      </c>
      <c r="N8" s="3">
        <v>20.891482666323999</v>
      </c>
      <c r="O8" s="3">
        <v>17.9524150712421</v>
      </c>
      <c r="P8" s="3">
        <v>9.8989624632708697</v>
      </c>
      <c r="Q8" s="3" t="e">
        <v>#N/A</v>
      </c>
      <c r="R8" s="3">
        <v>19.092590114947299</v>
      </c>
      <c r="S8" s="3">
        <v>10.9406233971568</v>
      </c>
      <c r="T8" s="3" t="e">
        <v>#N/A</v>
      </c>
      <c r="U8" s="3">
        <v>13.703231338766701</v>
      </c>
      <c r="V8" s="3" t="e">
        <v>#N/A</v>
      </c>
    </row>
    <row r="9" spans="1:22" x14ac:dyDescent="0.35">
      <c r="A9" s="2">
        <v>41915</v>
      </c>
      <c r="B9" s="3" t="e">
        <v>#N/A</v>
      </c>
      <c r="C9" s="3">
        <v>16.282922295286902</v>
      </c>
      <c r="D9" s="3">
        <v>15.260068670706801</v>
      </c>
      <c r="E9" s="3">
        <v>19.662086051392201</v>
      </c>
      <c r="F9" s="3">
        <v>14.595774216878601</v>
      </c>
      <c r="G9" s="3">
        <v>14.863725297798</v>
      </c>
      <c r="H9" s="3">
        <v>16.7188357623039</v>
      </c>
      <c r="I9" s="3">
        <v>14.458823129333499</v>
      </c>
      <c r="J9" s="3" t="e">
        <v>#N/A</v>
      </c>
      <c r="K9" s="3">
        <v>11.160434192007999</v>
      </c>
      <c r="L9" s="3">
        <v>12.3184894460862</v>
      </c>
      <c r="M9" s="3">
        <v>16.088168710012699</v>
      </c>
      <c r="N9" s="3">
        <v>18.413376786468099</v>
      </c>
      <c r="O9" s="3">
        <v>18.086530400423101</v>
      </c>
      <c r="P9" s="3">
        <v>9.28306759138205</v>
      </c>
      <c r="Q9" s="3" t="e">
        <v>#N/A</v>
      </c>
      <c r="R9" s="3">
        <v>19.082666343415202</v>
      </c>
      <c r="S9" s="3">
        <v>10.228905311435399</v>
      </c>
      <c r="T9" s="3" t="e">
        <v>#N/A</v>
      </c>
      <c r="U9" s="3">
        <v>13.4804164707277</v>
      </c>
      <c r="V9" s="3" t="e">
        <v>#N/A</v>
      </c>
    </row>
    <row r="10" spans="1:22" x14ac:dyDescent="0.35">
      <c r="A10" s="2">
        <v>41947</v>
      </c>
      <c r="B10" s="3" t="e">
        <v>#N/A</v>
      </c>
      <c r="C10" s="3">
        <v>15.9890262180581</v>
      </c>
      <c r="D10" s="3">
        <v>15.8285311493078</v>
      </c>
      <c r="E10" s="3">
        <v>19.851752567819599</v>
      </c>
      <c r="F10" s="3">
        <v>14.824335418975901</v>
      </c>
      <c r="G10" s="3">
        <v>14.1286277846594</v>
      </c>
      <c r="H10" s="3">
        <v>16.673500693296301</v>
      </c>
      <c r="I10" s="3">
        <v>14.165974500404801</v>
      </c>
      <c r="J10" s="3" t="e">
        <v>#N/A</v>
      </c>
      <c r="K10" s="3">
        <v>11.4570274410571</v>
      </c>
      <c r="L10" s="3">
        <v>12.6529396836046</v>
      </c>
      <c r="M10" s="3">
        <v>16.907712677375699</v>
      </c>
      <c r="N10" s="3">
        <v>16.2801994228947</v>
      </c>
      <c r="O10" s="3">
        <v>18.825801460075699</v>
      </c>
      <c r="P10" s="3">
        <v>9.5516796112342295</v>
      </c>
      <c r="Q10" s="3" t="e">
        <v>#N/A</v>
      </c>
      <c r="R10" s="3">
        <v>19.6355133668342</v>
      </c>
      <c r="S10" s="3">
        <v>10.9769359360336</v>
      </c>
      <c r="T10" s="3" t="e">
        <v>#N/A</v>
      </c>
      <c r="U10" s="3">
        <v>13.2731161521557</v>
      </c>
      <c r="V10" s="3" t="e">
        <v>#N/A</v>
      </c>
    </row>
    <row r="11" spans="1:22" x14ac:dyDescent="0.35">
      <c r="A11" s="2">
        <v>41977</v>
      </c>
      <c r="B11" s="3" t="e">
        <v>#N/A</v>
      </c>
      <c r="C11" s="3">
        <v>17.041743932528998</v>
      </c>
      <c r="D11" s="3">
        <v>16.529536187875799</v>
      </c>
      <c r="E11" s="3">
        <v>20.145175727810901</v>
      </c>
      <c r="F11" s="3">
        <v>14.9187484579395</v>
      </c>
      <c r="G11" s="3">
        <v>14.547050830218501</v>
      </c>
      <c r="H11" s="3">
        <v>16.1809303685665</v>
      </c>
      <c r="I11" s="3">
        <v>14.131014489782901</v>
      </c>
      <c r="J11" s="3" t="e">
        <v>#N/A</v>
      </c>
      <c r="K11" s="3">
        <v>11.9487594128128</v>
      </c>
      <c r="L11" s="3">
        <v>12.3258852881716</v>
      </c>
      <c r="M11" s="3">
        <v>16.2768351592917</v>
      </c>
      <c r="N11" s="3">
        <v>18.952700436918999</v>
      </c>
      <c r="O11" s="3">
        <v>19.7392655953185</v>
      </c>
      <c r="P11" s="3">
        <v>9.9094104916858594</v>
      </c>
      <c r="Q11" s="3" t="e">
        <v>#N/A</v>
      </c>
      <c r="R11" s="3">
        <v>20.2740023806337</v>
      </c>
      <c r="S11" s="3">
        <v>11.885170625756</v>
      </c>
      <c r="T11" s="3" t="e">
        <v>#N/A</v>
      </c>
      <c r="U11" s="3">
        <v>13.2102942996762</v>
      </c>
      <c r="V11" s="3" t="e">
        <v>#N/A</v>
      </c>
    </row>
    <row r="12" spans="1:22" x14ac:dyDescent="0.35">
      <c r="A12" s="2">
        <v>42006</v>
      </c>
      <c r="B12" s="3" t="e">
        <v>#N/A</v>
      </c>
      <c r="C12" s="3">
        <v>16.754735108679998</v>
      </c>
      <c r="D12" s="3">
        <v>16.903247759789402</v>
      </c>
      <c r="E12" s="3">
        <v>20.020336746233799</v>
      </c>
      <c r="F12" s="3">
        <v>14.247435588227701</v>
      </c>
      <c r="G12" s="3">
        <v>14.278701821404599</v>
      </c>
      <c r="H12" s="3">
        <v>16.251633590786799</v>
      </c>
      <c r="I12" s="3">
        <v>13.9821443421233</v>
      </c>
      <c r="J12" s="3" t="e">
        <v>#N/A</v>
      </c>
      <c r="K12" s="3">
        <v>11.3477256568773</v>
      </c>
      <c r="L12" s="3">
        <v>12.031497452810999</v>
      </c>
      <c r="M12" s="3">
        <v>16.9127637754384</v>
      </c>
      <c r="N12" s="3">
        <v>13.9189050393929</v>
      </c>
      <c r="O12" s="3">
        <v>19.533985469832</v>
      </c>
      <c r="P12" s="3">
        <v>10.356503818127299</v>
      </c>
      <c r="Q12" s="3">
        <v>15.086899349692301</v>
      </c>
      <c r="R12" s="3">
        <v>19.2508733401759</v>
      </c>
      <c r="S12" s="3">
        <v>11.8812960561631</v>
      </c>
      <c r="T12" s="3">
        <v>11.649069020442401</v>
      </c>
      <c r="U12" s="3">
        <v>12.600604480673001</v>
      </c>
      <c r="V12" s="3" t="e">
        <v>#N/A</v>
      </c>
    </row>
    <row r="13" spans="1:22" x14ac:dyDescent="0.35">
      <c r="A13" s="2">
        <v>42039</v>
      </c>
      <c r="B13" s="3" t="e">
        <v>#N/A</v>
      </c>
      <c r="C13" s="3">
        <v>16.396627578078899</v>
      </c>
      <c r="D13" s="3">
        <v>17.199395925021101</v>
      </c>
      <c r="E13" s="3">
        <v>20.986983738339202</v>
      </c>
      <c r="F13" s="3">
        <v>18.511240842708201</v>
      </c>
      <c r="G13" s="3">
        <v>15.833119393961599</v>
      </c>
      <c r="H13" s="3">
        <v>16.5440146676615</v>
      </c>
      <c r="I13" s="3">
        <v>14.2912861669368</v>
      </c>
      <c r="J13" s="3" t="e">
        <v>#N/A</v>
      </c>
      <c r="K13" s="3">
        <v>12.1352299580251</v>
      </c>
      <c r="L13" s="3">
        <v>12.3729762572714</v>
      </c>
      <c r="M13" s="3">
        <v>18.324461411263801</v>
      </c>
      <c r="N13" s="3">
        <v>13.985399945479299</v>
      </c>
      <c r="O13" s="3">
        <v>20.431511625792499</v>
      </c>
      <c r="P13" s="3">
        <v>10.595363007841399</v>
      </c>
      <c r="Q13" s="3">
        <v>15.060626541849301</v>
      </c>
      <c r="R13" s="3">
        <v>22.655987433798298</v>
      </c>
      <c r="S13" s="3">
        <v>12.1124178267789</v>
      </c>
      <c r="T13" s="3">
        <v>12.7230386115885</v>
      </c>
      <c r="U13" s="3">
        <v>12.2710765284162</v>
      </c>
      <c r="V13" s="3" t="e">
        <v>#N/A</v>
      </c>
    </row>
    <row r="14" spans="1:22" x14ac:dyDescent="0.35">
      <c r="A14" s="2">
        <v>42067</v>
      </c>
      <c r="B14" s="3" t="e">
        <v>#N/A</v>
      </c>
      <c r="C14" s="3">
        <v>16.652926528369498</v>
      </c>
      <c r="D14" s="3">
        <v>17.989116901220001</v>
      </c>
      <c r="E14" s="3">
        <v>21.0795993964331</v>
      </c>
      <c r="F14" s="3">
        <v>20.307381526855401</v>
      </c>
      <c r="G14" s="3">
        <v>16.310645313271898</v>
      </c>
      <c r="H14" s="3">
        <v>17.099051735263</v>
      </c>
      <c r="I14" s="3">
        <v>14.3267402714651</v>
      </c>
      <c r="J14" s="3" t="e">
        <v>#N/A</v>
      </c>
      <c r="K14" s="3">
        <v>12.2763537212324</v>
      </c>
      <c r="L14" s="3">
        <v>12.868622625711</v>
      </c>
      <c r="M14" s="3">
        <v>18.434166347220099</v>
      </c>
      <c r="N14" s="3">
        <v>17.975403248246099</v>
      </c>
      <c r="O14" s="3">
        <v>21.044458724814099</v>
      </c>
      <c r="P14" s="3">
        <v>10.813528510991</v>
      </c>
      <c r="Q14" s="3">
        <v>15.012103363461099</v>
      </c>
      <c r="R14" s="3">
        <v>23.591931717185702</v>
      </c>
      <c r="S14" s="3">
        <v>11.862249791068001</v>
      </c>
      <c r="T14" s="3">
        <v>13.1191940805261</v>
      </c>
      <c r="U14" s="3">
        <v>16.980280116333901</v>
      </c>
      <c r="V14" s="3" t="e">
        <v>#N/A</v>
      </c>
    </row>
    <row r="15" spans="1:22" x14ac:dyDescent="0.35">
      <c r="A15" s="2">
        <v>42096</v>
      </c>
      <c r="B15" s="3" t="e">
        <v>#N/A</v>
      </c>
      <c r="C15" s="3">
        <v>16.4345048918826</v>
      </c>
      <c r="D15" s="3">
        <v>17.8954018452139</v>
      </c>
      <c r="E15" s="3">
        <v>20.957822863853501</v>
      </c>
      <c r="F15" s="3">
        <v>19.864679369916001</v>
      </c>
      <c r="G15" s="3">
        <v>16.0678640709578</v>
      </c>
      <c r="H15" s="3">
        <v>17.0375130082945</v>
      </c>
      <c r="I15" s="3">
        <v>14.1530700971008</v>
      </c>
      <c r="J15" s="3" t="e">
        <v>#N/A</v>
      </c>
      <c r="K15" s="3">
        <v>12.057275322616601</v>
      </c>
      <c r="L15" s="3">
        <v>13.1851384600131</v>
      </c>
      <c r="M15" s="3">
        <v>18.4516734666941</v>
      </c>
      <c r="N15" s="3">
        <v>16.890222155053099</v>
      </c>
      <c r="O15" s="3">
        <v>20.731150436362601</v>
      </c>
      <c r="P15" s="3">
        <v>10.981591913510201</v>
      </c>
      <c r="Q15" s="3">
        <v>14.808833901143901</v>
      </c>
      <c r="R15" s="3">
        <v>22.770013343656501</v>
      </c>
      <c r="S15" s="3">
        <v>11.715304997459199</v>
      </c>
      <c r="T15" s="3">
        <v>13.026334021276201</v>
      </c>
      <c r="U15" s="3">
        <v>16.3938374486466</v>
      </c>
      <c r="V15" s="3" t="e">
        <v>#N/A</v>
      </c>
    </row>
    <row r="16" spans="1:22" x14ac:dyDescent="0.35">
      <c r="A16" s="2">
        <v>42128</v>
      </c>
      <c r="B16" s="3" t="e">
        <v>#N/A</v>
      </c>
      <c r="C16" s="3">
        <v>16.392760714836701</v>
      </c>
      <c r="D16" s="3">
        <v>17.3857313052164</v>
      </c>
      <c r="E16" s="3">
        <v>20.595752871770401</v>
      </c>
      <c r="F16" s="3">
        <v>19.469957333593701</v>
      </c>
      <c r="G16" s="3">
        <v>15.703022989849901</v>
      </c>
      <c r="H16" s="3">
        <v>16.924824889708699</v>
      </c>
      <c r="I16" s="3">
        <v>14.1841136656268</v>
      </c>
      <c r="J16" s="3" t="e">
        <v>#N/A</v>
      </c>
      <c r="K16" s="3">
        <v>11.927486861591699</v>
      </c>
      <c r="L16" s="3">
        <v>13.9395664698409</v>
      </c>
      <c r="M16" s="3">
        <v>18.5455535266419</v>
      </c>
      <c r="N16" s="3">
        <v>15.579297917086899</v>
      </c>
      <c r="O16" s="3">
        <v>20.385044927640401</v>
      </c>
      <c r="P16" s="3">
        <v>11.562196178263299</v>
      </c>
      <c r="Q16" s="3">
        <v>14.8058589156783</v>
      </c>
      <c r="R16" s="3">
        <v>22.090564560678299</v>
      </c>
      <c r="S16" s="3">
        <v>11.733707928588901</v>
      </c>
      <c r="T16" s="3">
        <v>13.652627464294399</v>
      </c>
      <c r="U16" s="3">
        <v>16.750078139519299</v>
      </c>
      <c r="V16" s="3" t="e">
        <v>#N/A</v>
      </c>
    </row>
    <row r="17" spans="1:22" x14ac:dyDescent="0.35">
      <c r="A17" s="2">
        <v>42159</v>
      </c>
      <c r="B17" s="3" t="e">
        <v>#N/A</v>
      </c>
      <c r="C17" s="3">
        <v>16.106467522977301</v>
      </c>
      <c r="D17" s="3">
        <v>17.296471599594099</v>
      </c>
      <c r="E17" s="3">
        <v>20.269323093390799</v>
      </c>
      <c r="F17" s="3">
        <v>18.486628072721</v>
      </c>
      <c r="G17" s="3">
        <v>16.226920454545699</v>
      </c>
      <c r="H17" s="3">
        <v>16.720622856254199</v>
      </c>
      <c r="I17" s="3">
        <v>13.836486102522199</v>
      </c>
      <c r="J17" s="3" t="e">
        <v>#N/A</v>
      </c>
      <c r="K17" s="3">
        <v>11.509306596704899</v>
      </c>
      <c r="L17" s="3">
        <v>13.819279376575601</v>
      </c>
      <c r="M17" s="3">
        <v>17.878392043413299</v>
      </c>
      <c r="N17" s="3">
        <v>14.734351802534301</v>
      </c>
      <c r="O17" s="3">
        <v>20.195647864106999</v>
      </c>
      <c r="P17" s="3">
        <v>11.493996631358</v>
      </c>
      <c r="Q17" s="3">
        <v>14.704987015603001</v>
      </c>
      <c r="R17" s="3">
        <v>21.504309017547701</v>
      </c>
      <c r="S17" s="3">
        <v>11.597693713863</v>
      </c>
      <c r="T17" s="3">
        <v>13.4411684133362</v>
      </c>
      <c r="U17" s="3">
        <v>16.591285451958498</v>
      </c>
      <c r="V17" s="3" t="e">
        <v>#N/A</v>
      </c>
    </row>
    <row r="18" spans="1:22" x14ac:dyDescent="0.35">
      <c r="A18" s="2">
        <v>42187</v>
      </c>
      <c r="B18" s="3" t="e">
        <v>#N/A</v>
      </c>
      <c r="C18" s="3">
        <v>15.587218092103599</v>
      </c>
      <c r="D18" s="3">
        <v>16.9835167787929</v>
      </c>
      <c r="E18" s="3">
        <v>20.157678417684401</v>
      </c>
      <c r="F18" s="3">
        <v>17.485251640726201</v>
      </c>
      <c r="G18" s="3">
        <v>15.856040225907501</v>
      </c>
      <c r="H18" s="3">
        <v>16.656335356023</v>
      </c>
      <c r="I18" s="3">
        <v>13.8055723053021</v>
      </c>
      <c r="J18" s="3" t="e">
        <v>#N/A</v>
      </c>
      <c r="K18" s="3">
        <v>11.3535563272901</v>
      </c>
      <c r="L18" s="3">
        <v>13.7011480595632</v>
      </c>
      <c r="M18" s="3">
        <v>18.149085008314401</v>
      </c>
      <c r="N18" s="3">
        <v>13.428657844416</v>
      </c>
      <c r="O18" s="3">
        <v>20.857810627965002</v>
      </c>
      <c r="P18" s="3">
        <v>11.0948764288738</v>
      </c>
      <c r="Q18" s="3">
        <v>14.593874904447199</v>
      </c>
      <c r="R18" s="3">
        <v>20.994889714467998</v>
      </c>
      <c r="S18" s="3">
        <v>11.500864471916</v>
      </c>
      <c r="T18" s="3">
        <v>13.544638439214401</v>
      </c>
      <c r="U18" s="3">
        <v>16.9581580295607</v>
      </c>
      <c r="V18" s="3" t="e">
        <v>#N/A</v>
      </c>
    </row>
    <row r="19" spans="1:22" x14ac:dyDescent="0.35">
      <c r="A19" s="2">
        <v>42220</v>
      </c>
      <c r="B19" s="3" t="e">
        <v>#N/A</v>
      </c>
      <c r="C19" s="3">
        <v>15.1428938945913</v>
      </c>
      <c r="D19" s="3">
        <v>16.800517676855101</v>
      </c>
      <c r="E19" s="3">
        <v>20.1751344596398</v>
      </c>
      <c r="F19" s="3">
        <v>16.389308771894498</v>
      </c>
      <c r="G19" s="3">
        <v>15.357299673220099</v>
      </c>
      <c r="H19" s="3">
        <v>16.590522264358601</v>
      </c>
      <c r="I19" s="3">
        <v>13.2789149936774</v>
      </c>
      <c r="J19" s="3" t="e">
        <v>#N/A</v>
      </c>
      <c r="K19" s="3">
        <v>11.2704673552823</v>
      </c>
      <c r="L19" s="3">
        <v>13.2797358589307</v>
      </c>
      <c r="M19" s="3">
        <v>17.827851793207401</v>
      </c>
      <c r="N19" s="3">
        <v>12.3429770311122</v>
      </c>
      <c r="O19" s="3">
        <v>21.019310426988799</v>
      </c>
      <c r="P19" s="3">
        <v>10.387720533361399</v>
      </c>
      <c r="Q19" s="3">
        <v>14.498302240980401</v>
      </c>
      <c r="R19" s="3">
        <v>20.097569396628</v>
      </c>
      <c r="S19" s="3">
        <v>11.1002780089286</v>
      </c>
      <c r="T19" s="3">
        <v>13.4947514608692</v>
      </c>
      <c r="U19" s="3">
        <v>16.876270775083501</v>
      </c>
      <c r="V19" s="3" t="e">
        <v>#N/A</v>
      </c>
    </row>
    <row r="20" spans="1:22" x14ac:dyDescent="0.35">
      <c r="A20" s="2">
        <v>42251</v>
      </c>
      <c r="B20" s="3" t="e">
        <v>#N/A</v>
      </c>
      <c r="C20" s="3">
        <v>15.3461770044213</v>
      </c>
      <c r="D20" s="3">
        <v>16.039895212922801</v>
      </c>
      <c r="E20" s="3">
        <v>19.086994040815</v>
      </c>
      <c r="F20" s="3">
        <v>15.2014376535572</v>
      </c>
      <c r="G20" s="3">
        <v>14.3072907373269</v>
      </c>
      <c r="H20" s="3">
        <v>15.8900076128399</v>
      </c>
      <c r="I20" s="3">
        <v>12.549843311616</v>
      </c>
      <c r="J20" s="3" t="e">
        <v>#N/A</v>
      </c>
      <c r="K20" s="3">
        <v>10.607091603464299</v>
      </c>
      <c r="L20" s="3">
        <v>12.6723731240921</v>
      </c>
      <c r="M20" s="3">
        <v>17.052048744950699</v>
      </c>
      <c r="N20" s="3">
        <v>10.8028587965002</v>
      </c>
      <c r="O20" s="3">
        <v>20.0868695128379</v>
      </c>
      <c r="P20" s="3">
        <v>9.5651429130660901</v>
      </c>
      <c r="Q20" s="3">
        <v>13.8913165590987</v>
      </c>
      <c r="R20" s="3">
        <v>19.078130061004199</v>
      </c>
      <c r="S20" s="3">
        <v>10.4815949123564</v>
      </c>
      <c r="T20" s="3">
        <v>13.317847751464701</v>
      </c>
      <c r="U20" s="3">
        <v>17.346780049229899</v>
      </c>
      <c r="V20" s="3" t="e">
        <v>#N/A</v>
      </c>
    </row>
    <row r="21" spans="1:22" x14ac:dyDescent="0.35">
      <c r="A21" s="2">
        <v>42279</v>
      </c>
      <c r="B21" s="3" t="e">
        <v>#N/A</v>
      </c>
      <c r="C21" s="3">
        <v>14.9780696221897</v>
      </c>
      <c r="D21" s="3">
        <v>15.137877417392399</v>
      </c>
      <c r="E21" s="3">
        <v>18.639968687802899</v>
      </c>
      <c r="F21" s="3">
        <v>13.962922584996001</v>
      </c>
      <c r="G21" s="3">
        <v>14.6147924604486</v>
      </c>
      <c r="H21" s="3">
        <v>16.177625811256</v>
      </c>
      <c r="I21" s="3">
        <v>12.6350509706458</v>
      </c>
      <c r="J21" s="3" t="e">
        <v>#N/A</v>
      </c>
      <c r="K21" s="3">
        <v>10.7949140694987</v>
      </c>
      <c r="L21" s="3">
        <v>12.5198338251554</v>
      </c>
      <c r="M21" s="3">
        <v>17.096578269521501</v>
      </c>
      <c r="N21" s="3">
        <v>11.9901929879849</v>
      </c>
      <c r="O21" s="3">
        <v>20.409030216260099</v>
      </c>
      <c r="P21" s="3">
        <v>9.8292983419436606</v>
      </c>
      <c r="Q21" s="3">
        <v>13.939046947176401</v>
      </c>
      <c r="R21" s="3">
        <v>18.335654284782599</v>
      </c>
      <c r="S21" s="3">
        <v>10.5369234423161</v>
      </c>
      <c r="T21" s="3">
        <v>13.4510796389945</v>
      </c>
      <c r="U21" s="3">
        <v>18.3571469931919</v>
      </c>
      <c r="V21" s="3" t="e">
        <v>#N/A</v>
      </c>
    </row>
    <row r="22" spans="1:22" x14ac:dyDescent="0.35">
      <c r="A22" s="2">
        <v>42312</v>
      </c>
      <c r="B22" s="3" t="e">
        <v>#N/A</v>
      </c>
      <c r="C22" s="3">
        <v>16.045931326150299</v>
      </c>
      <c r="D22" s="3">
        <v>16.5686878302179</v>
      </c>
      <c r="E22" s="3">
        <v>19.343187167245802</v>
      </c>
      <c r="F22" s="3">
        <v>13.3622320041347</v>
      </c>
      <c r="G22" s="3">
        <v>11.8803998067271</v>
      </c>
      <c r="H22" s="3">
        <v>16.659096495812602</v>
      </c>
      <c r="I22" s="3">
        <v>13.283806812687301</v>
      </c>
      <c r="J22" s="3" t="e">
        <v>#N/A</v>
      </c>
      <c r="K22" s="3">
        <v>11.6416362624588</v>
      </c>
      <c r="L22" s="3">
        <v>12.572700539223399</v>
      </c>
      <c r="M22" s="3">
        <v>18.017462387165502</v>
      </c>
      <c r="N22" s="3">
        <v>10.9128565922788</v>
      </c>
      <c r="O22" s="3">
        <v>20.589806544472001</v>
      </c>
      <c r="P22" s="3">
        <v>10.3692201646661</v>
      </c>
      <c r="Q22" s="3">
        <v>13.798059670359301</v>
      </c>
      <c r="R22" s="3">
        <v>18.5400906176266</v>
      </c>
      <c r="S22" s="3">
        <v>11.6335543166515</v>
      </c>
      <c r="T22" s="3">
        <v>12.9690005296438</v>
      </c>
      <c r="U22" s="3">
        <v>23.531136396959798</v>
      </c>
      <c r="V22" s="3" t="e">
        <v>#N/A</v>
      </c>
    </row>
    <row r="23" spans="1:22" x14ac:dyDescent="0.35">
      <c r="A23" s="2">
        <v>42342</v>
      </c>
      <c r="B23" s="3" t="e">
        <v>#N/A</v>
      </c>
      <c r="C23" s="3">
        <v>15.929597733888199</v>
      </c>
      <c r="D23" s="3">
        <v>16.402502486606899</v>
      </c>
      <c r="E23" s="3">
        <v>18.312924624565099</v>
      </c>
      <c r="F23" s="3">
        <v>11.777612412523</v>
      </c>
      <c r="G23" s="3">
        <v>11.2486332015899</v>
      </c>
      <c r="H23" s="3">
        <v>16.675243649685498</v>
      </c>
      <c r="I23" s="3">
        <v>12.5695641730126</v>
      </c>
      <c r="J23" s="3" t="e">
        <v>#N/A</v>
      </c>
      <c r="K23" s="3">
        <v>10.9831381874118</v>
      </c>
      <c r="L23" s="3">
        <v>12.5376793191669</v>
      </c>
      <c r="M23" s="3">
        <v>16.439469355274898</v>
      </c>
      <c r="N23" s="3">
        <v>-6.98583273513005E-2</v>
      </c>
      <c r="O23" s="3">
        <v>20.0903384099914</v>
      </c>
      <c r="P23" s="3">
        <v>9.9720570077423698</v>
      </c>
      <c r="Q23" s="3">
        <v>12.415821091334299</v>
      </c>
      <c r="R23" s="3">
        <v>15.416871810952101</v>
      </c>
      <c r="S23" s="3">
        <v>10.386801074577701</v>
      </c>
      <c r="T23" s="3">
        <v>12.2126026968026</v>
      </c>
      <c r="U23" s="3">
        <v>24.4545557890489</v>
      </c>
      <c r="V23" s="3" t="e">
        <v>#N/A</v>
      </c>
    </row>
    <row r="24" spans="1:22" x14ac:dyDescent="0.35">
      <c r="A24" s="2">
        <v>42373</v>
      </c>
      <c r="B24" s="3" t="e">
        <v>#N/A</v>
      </c>
      <c r="C24" s="3">
        <v>15.8363309022421</v>
      </c>
      <c r="D24" s="3">
        <v>15.9585104581782</v>
      </c>
      <c r="E24" s="3">
        <v>17.798732497071398</v>
      </c>
      <c r="F24" s="3">
        <v>10.9434082866906</v>
      </c>
      <c r="G24" s="3">
        <v>15.0177648022536</v>
      </c>
      <c r="H24" s="3">
        <v>16.3614425713237</v>
      </c>
      <c r="I24" s="3">
        <v>11.7181875083932</v>
      </c>
      <c r="J24" s="3">
        <v>23.350162318587898</v>
      </c>
      <c r="K24" s="3">
        <v>9.8192700749548703</v>
      </c>
      <c r="L24" s="3">
        <v>11.672613387123301</v>
      </c>
      <c r="M24" s="3">
        <v>16.1264653984129</v>
      </c>
      <c r="N24" s="3">
        <v>-2.7634316231799501</v>
      </c>
      <c r="O24" s="3">
        <v>20.2090828972762</v>
      </c>
      <c r="P24" s="3">
        <v>10.461568478299</v>
      </c>
      <c r="Q24" s="3">
        <v>11.8526135404325</v>
      </c>
      <c r="R24" s="3">
        <v>13.8575936212839</v>
      </c>
      <c r="S24" s="3">
        <v>9.5110129445012408</v>
      </c>
      <c r="T24" s="3">
        <v>13.3826093334772</v>
      </c>
      <c r="U24" s="3">
        <v>27.406661700132101</v>
      </c>
      <c r="V24" s="3">
        <v>13.4549936647179</v>
      </c>
    </row>
    <row r="25" spans="1:22" x14ac:dyDescent="0.35">
      <c r="A25" s="2">
        <v>42404</v>
      </c>
      <c r="B25" s="3" t="e">
        <v>#N/A</v>
      </c>
      <c r="C25" s="3">
        <v>15.644663268850101</v>
      </c>
      <c r="D25" s="3">
        <v>16.434892338215899</v>
      </c>
      <c r="E25" s="3">
        <v>17.183531091957502</v>
      </c>
      <c r="F25" s="3">
        <v>11.819448371667701</v>
      </c>
      <c r="G25" s="3">
        <v>16.452635971437001</v>
      </c>
      <c r="H25" s="3">
        <v>16.473414866470701</v>
      </c>
      <c r="I25" s="3">
        <v>11.849659753693</v>
      </c>
      <c r="J25" s="3">
        <v>23.2567778663221</v>
      </c>
      <c r="K25" s="3">
        <v>10.450347392510601</v>
      </c>
      <c r="L25" s="3">
        <v>11.5309302116847</v>
      </c>
      <c r="M25" s="3">
        <v>16.226960575825601</v>
      </c>
      <c r="N25" s="3">
        <v>-0.77539400870687902</v>
      </c>
      <c r="O25" s="3">
        <v>19.587265999702399</v>
      </c>
      <c r="P25" s="3">
        <v>9.40381078596333</v>
      </c>
      <c r="Q25" s="3">
        <v>11.7982168665558</v>
      </c>
      <c r="R25" s="3">
        <v>15.893763814854101</v>
      </c>
      <c r="S25" s="3">
        <v>10.117876946339299</v>
      </c>
      <c r="T25" s="3">
        <v>12.461666068249199</v>
      </c>
      <c r="U25" s="3">
        <v>18.577879135286501</v>
      </c>
      <c r="V25" s="3">
        <v>11.123287620442101</v>
      </c>
    </row>
    <row r="26" spans="1:22" x14ac:dyDescent="0.35">
      <c r="A26" s="2">
        <v>42433</v>
      </c>
      <c r="B26" s="3" t="e">
        <v>#N/A</v>
      </c>
      <c r="C26" s="3">
        <v>15.5492439707843</v>
      </c>
      <c r="D26" s="3">
        <v>16.850368428717299</v>
      </c>
      <c r="E26" s="3">
        <v>16.691665618195401</v>
      </c>
      <c r="F26" s="3">
        <v>12.2770220037375</v>
      </c>
      <c r="G26" s="3">
        <v>22.594625529286301</v>
      </c>
      <c r="H26" s="3">
        <v>16.646441376354101</v>
      </c>
      <c r="I26" s="3">
        <v>12.4185290785954</v>
      </c>
      <c r="J26" s="3">
        <v>24.938209322386999</v>
      </c>
      <c r="K26" s="3">
        <v>10.6057459743683</v>
      </c>
      <c r="L26" s="3">
        <v>12.9544194689805</v>
      </c>
      <c r="M26" s="3">
        <v>15.997925175635601</v>
      </c>
      <c r="N26" s="3">
        <v>6.01332557881726E-2</v>
      </c>
      <c r="O26" s="3">
        <v>18.970067466374399</v>
      </c>
      <c r="P26" s="3">
        <v>9.3452277190913495</v>
      </c>
      <c r="Q26" s="3">
        <v>12.0159054360449</v>
      </c>
      <c r="R26" s="3">
        <v>16.655645970312399</v>
      </c>
      <c r="S26" s="3">
        <v>9.7635965132470606</v>
      </c>
      <c r="T26" s="3">
        <v>13.033176112206201</v>
      </c>
      <c r="U26" s="3">
        <v>-5.5045831316231002</v>
      </c>
      <c r="V26" s="3">
        <v>11.622754296550699</v>
      </c>
    </row>
    <row r="27" spans="1:22" x14ac:dyDescent="0.35">
      <c r="A27" s="2">
        <v>42464</v>
      </c>
      <c r="B27" s="3" t="e">
        <v>#N/A</v>
      </c>
      <c r="C27" s="3">
        <v>15.4564170253032</v>
      </c>
      <c r="D27" s="3">
        <v>16.760322055612601</v>
      </c>
      <c r="E27" s="3">
        <v>16.971629061926699</v>
      </c>
      <c r="F27" s="3">
        <v>12.5105627640833</v>
      </c>
      <c r="G27" s="3">
        <v>21.909008611288399</v>
      </c>
      <c r="H27" s="3">
        <v>16.715197174892801</v>
      </c>
      <c r="I27" s="3">
        <v>12.530894715182299</v>
      </c>
      <c r="J27" s="3">
        <v>24.438034630480502</v>
      </c>
      <c r="K27" s="3">
        <v>10.647208124831099</v>
      </c>
      <c r="L27" s="3">
        <v>13.082839706723201</v>
      </c>
      <c r="M27" s="3">
        <v>15.9965582393024</v>
      </c>
      <c r="N27" s="3">
        <v>1.04944189996068</v>
      </c>
      <c r="O27" s="3">
        <v>18.9463888235361</v>
      </c>
      <c r="P27" s="3">
        <v>9.5557211541611906</v>
      </c>
      <c r="Q27" s="3">
        <v>12.112459187349399</v>
      </c>
      <c r="R27" s="3">
        <v>16.536763033870699</v>
      </c>
      <c r="S27" s="3">
        <v>9.8571073006152101</v>
      </c>
      <c r="T27" s="3">
        <v>13.046635331384</v>
      </c>
      <c r="U27" s="3">
        <v>-4.1217506392448904</v>
      </c>
      <c r="V27" s="3">
        <v>11.798762341407601</v>
      </c>
    </row>
    <row r="28" spans="1:22" x14ac:dyDescent="0.35">
      <c r="A28" s="2">
        <v>42494</v>
      </c>
      <c r="B28" s="3" t="e">
        <v>#N/A</v>
      </c>
      <c r="C28" s="3">
        <v>15.4188164540386</v>
      </c>
      <c r="D28" s="3">
        <v>16.487973672471099</v>
      </c>
      <c r="E28" s="3">
        <v>16.7667650002392</v>
      </c>
      <c r="F28" s="3">
        <v>12.266753921169</v>
      </c>
      <c r="G28" s="3">
        <v>21.479576240241499</v>
      </c>
      <c r="H28" s="3">
        <v>16.481876239845601</v>
      </c>
      <c r="I28" s="3">
        <v>12.3564446655586</v>
      </c>
      <c r="J28" s="3">
        <v>24.463266617764098</v>
      </c>
      <c r="K28" s="3">
        <v>10.5105731912561</v>
      </c>
      <c r="L28" s="3">
        <v>13.0925454483979</v>
      </c>
      <c r="M28" s="3">
        <v>15.8161332796676</v>
      </c>
      <c r="N28" s="3">
        <v>2.53908060667331</v>
      </c>
      <c r="O28" s="3">
        <v>18.858562295960802</v>
      </c>
      <c r="P28" s="3">
        <v>9.63140506931801</v>
      </c>
      <c r="Q28" s="3">
        <v>12.1608084229907</v>
      </c>
      <c r="R28" s="3">
        <v>16.344914194676701</v>
      </c>
      <c r="S28" s="3">
        <v>9.6617571500344805</v>
      </c>
      <c r="T28" s="3">
        <v>13.177660381869201</v>
      </c>
      <c r="U28" s="3">
        <v>-2.24459389297775</v>
      </c>
      <c r="V28" s="3">
        <v>12.184906836307301</v>
      </c>
    </row>
    <row r="29" spans="1:22" x14ac:dyDescent="0.35">
      <c r="A29" s="2">
        <v>42524</v>
      </c>
      <c r="B29" s="3" t="e">
        <v>#N/A</v>
      </c>
      <c r="C29" s="3">
        <v>15.1772421644432</v>
      </c>
      <c r="D29" s="3">
        <v>16.517165269721399</v>
      </c>
      <c r="E29" s="3">
        <v>17.139290638013399</v>
      </c>
      <c r="F29" s="3">
        <v>12.025408293296699</v>
      </c>
      <c r="G29" s="3">
        <v>20.720755983953499</v>
      </c>
      <c r="H29" s="3">
        <v>16.593546338659099</v>
      </c>
      <c r="I29" s="3">
        <v>12.8389164664154</v>
      </c>
      <c r="J29" s="3">
        <v>23.507664347377201</v>
      </c>
      <c r="K29" s="3">
        <v>10.491683220452099</v>
      </c>
      <c r="L29" s="3">
        <v>13.078685120485799</v>
      </c>
      <c r="M29" s="3">
        <v>16.086452258937701</v>
      </c>
      <c r="N29" s="3">
        <v>4.2638169305026299</v>
      </c>
      <c r="O29" s="3">
        <v>19.158699573044601</v>
      </c>
      <c r="P29" s="3">
        <v>10.2382537200477</v>
      </c>
      <c r="Q29" s="3">
        <v>12.030618350009499</v>
      </c>
      <c r="R29" s="3">
        <v>16.440678702917999</v>
      </c>
      <c r="S29" s="3">
        <v>9.5646400224920995</v>
      </c>
      <c r="T29" s="3">
        <v>13.176969926822</v>
      </c>
      <c r="U29" s="3">
        <v>-0.31612774701448898</v>
      </c>
      <c r="V29" s="3">
        <v>12.619693066439901</v>
      </c>
    </row>
    <row r="30" spans="1:22" x14ac:dyDescent="0.35">
      <c r="A30" s="2">
        <v>42552</v>
      </c>
      <c r="B30" s="3" t="e">
        <v>#N/A</v>
      </c>
      <c r="C30" s="3">
        <v>15.405547070720401</v>
      </c>
      <c r="D30" s="3">
        <v>16.861633728548199</v>
      </c>
      <c r="E30" s="3">
        <v>17.691431223136199</v>
      </c>
      <c r="F30" s="3">
        <v>11.808675346792899</v>
      </c>
      <c r="G30" s="3">
        <v>20.0443484226961</v>
      </c>
      <c r="H30" s="3">
        <v>16.67363379471</v>
      </c>
      <c r="I30" s="3">
        <v>13.093113642187101</v>
      </c>
      <c r="J30" s="3">
        <v>23.2156570861323</v>
      </c>
      <c r="K30" s="3">
        <v>10.492756718622401</v>
      </c>
      <c r="L30" s="3">
        <v>13.3009299606477</v>
      </c>
      <c r="M30" s="3">
        <v>16.0521610413542</v>
      </c>
      <c r="N30" s="3">
        <v>4.0662975881367096</v>
      </c>
      <c r="O30" s="3">
        <v>19.2389500380004</v>
      </c>
      <c r="P30" s="3">
        <v>10.455968887047799</v>
      </c>
      <c r="Q30" s="3">
        <v>12.265882561813299</v>
      </c>
      <c r="R30" s="3">
        <v>16.44752238761</v>
      </c>
      <c r="S30" s="3">
        <v>9.5069804613139706</v>
      </c>
      <c r="T30" s="3">
        <v>13.320599741392501</v>
      </c>
      <c r="U30" s="3">
        <v>1.1949256941622599</v>
      </c>
      <c r="V30" s="3">
        <v>12.6969718236264</v>
      </c>
    </row>
    <row r="31" spans="1:22" x14ac:dyDescent="0.35">
      <c r="A31" s="2">
        <v>42586</v>
      </c>
      <c r="B31" s="3" t="e">
        <v>#N/A</v>
      </c>
      <c r="C31" s="3">
        <v>16.036687019476599</v>
      </c>
      <c r="D31" s="3">
        <v>17.865732203381299</v>
      </c>
      <c r="E31" s="3">
        <v>18.045567127690202</v>
      </c>
      <c r="F31" s="3">
        <v>12.131718695882499</v>
      </c>
      <c r="G31" s="3">
        <v>19.487807698906099</v>
      </c>
      <c r="H31" s="3">
        <v>16.784354414370998</v>
      </c>
      <c r="I31" s="3">
        <v>13.5707591950538</v>
      </c>
      <c r="J31" s="3">
        <v>22.927744755746001</v>
      </c>
      <c r="K31" s="3">
        <v>10.424751153905</v>
      </c>
      <c r="L31" s="3">
        <v>14.1691485691564</v>
      </c>
      <c r="M31" s="3">
        <v>16.364258230602399</v>
      </c>
      <c r="N31" s="3">
        <v>5.9570431137243904</v>
      </c>
      <c r="O31" s="3">
        <v>19.600752083530001</v>
      </c>
      <c r="P31" s="3">
        <v>11.047349223997699</v>
      </c>
      <c r="Q31" s="3">
        <v>12.7872659134784</v>
      </c>
      <c r="R31" s="3">
        <v>16.641144105062899</v>
      </c>
      <c r="S31" s="3">
        <v>9.2621922031293593</v>
      </c>
      <c r="T31" s="3">
        <v>13.355907483178299</v>
      </c>
      <c r="U31" s="3">
        <v>3.3108916018338901</v>
      </c>
      <c r="V31" s="3">
        <v>12.8533952935479</v>
      </c>
    </row>
    <row r="32" spans="1:22" x14ac:dyDescent="0.35">
      <c r="A32" s="2">
        <v>42615</v>
      </c>
      <c r="B32" s="3" t="e">
        <v>#N/A</v>
      </c>
      <c r="C32" s="3">
        <v>16.0233313280443</v>
      </c>
      <c r="D32" s="3">
        <v>17.777946962917301</v>
      </c>
      <c r="E32" s="3">
        <v>18.595977517263801</v>
      </c>
      <c r="F32" s="3">
        <v>12.1685990216669</v>
      </c>
      <c r="G32" s="3">
        <v>18.3388804365906</v>
      </c>
      <c r="H32" s="3">
        <v>17.161386066035</v>
      </c>
      <c r="I32" s="3">
        <v>13.7114811847225</v>
      </c>
      <c r="J32" s="3">
        <v>22.570606530541401</v>
      </c>
      <c r="K32" s="3">
        <v>10.661534043929899</v>
      </c>
      <c r="L32" s="3">
        <v>14.671091085014</v>
      </c>
      <c r="M32" s="3">
        <v>16.5588813408636</v>
      </c>
      <c r="N32" s="3">
        <v>7.7679864683863</v>
      </c>
      <c r="O32" s="3">
        <v>19.827538011936198</v>
      </c>
      <c r="P32" s="3">
        <v>12.1012373211574</v>
      </c>
      <c r="Q32" s="3">
        <v>13.305333089141101</v>
      </c>
      <c r="R32" s="3">
        <v>16.482994879118198</v>
      </c>
      <c r="S32" s="3">
        <v>9.4472301971588202</v>
      </c>
      <c r="T32" s="3">
        <v>13.4335754097376</v>
      </c>
      <c r="U32" s="3">
        <v>4.9182707323230197</v>
      </c>
      <c r="V32" s="3">
        <v>12.616348962548701</v>
      </c>
    </row>
    <row r="33" spans="1:22" x14ac:dyDescent="0.35">
      <c r="A33" s="2">
        <v>42647</v>
      </c>
      <c r="B33" s="3" t="e">
        <v>#N/A</v>
      </c>
      <c r="C33" s="3">
        <v>15.8704953819488</v>
      </c>
      <c r="D33" s="3">
        <v>18.461491990847101</v>
      </c>
      <c r="E33" s="3">
        <v>18.053066180854302</v>
      </c>
      <c r="F33" s="3">
        <v>12.238755761302301</v>
      </c>
      <c r="G33" s="3">
        <v>16.907253539292</v>
      </c>
      <c r="H33" s="3">
        <v>17.1882020394069</v>
      </c>
      <c r="I33" s="3">
        <v>14.325926568277399</v>
      </c>
      <c r="J33" s="3">
        <v>22.1637311226755</v>
      </c>
      <c r="K33" s="3">
        <v>10.731498200903999</v>
      </c>
      <c r="L33" s="3">
        <v>14.6276397920742</v>
      </c>
      <c r="M33" s="3">
        <v>16.705787261369501</v>
      </c>
      <c r="N33" s="3">
        <v>9.7607922201499893</v>
      </c>
      <c r="O33" s="3">
        <v>19.931874201726199</v>
      </c>
      <c r="P33" s="3">
        <v>12.753935172534201</v>
      </c>
      <c r="Q33" s="3">
        <v>13.1707403669391</v>
      </c>
      <c r="R33" s="3">
        <v>16.3094600392382</v>
      </c>
      <c r="S33" s="3">
        <v>9.3876902811693004</v>
      </c>
      <c r="T33" s="3">
        <v>13.7993795720498</v>
      </c>
      <c r="U33" s="3">
        <v>9.8244234716780898</v>
      </c>
      <c r="V33" s="3">
        <v>12.183653579384501</v>
      </c>
    </row>
    <row r="34" spans="1:22" x14ac:dyDescent="0.35">
      <c r="A34" s="2">
        <v>42678</v>
      </c>
      <c r="B34" s="3" t="e">
        <v>#N/A</v>
      </c>
      <c r="C34" s="3">
        <v>16.833733230752699</v>
      </c>
      <c r="D34" s="3">
        <v>17.8530826694541</v>
      </c>
      <c r="E34" s="3">
        <v>17.1531226400806</v>
      </c>
      <c r="F34" s="3">
        <v>12.5243187900639</v>
      </c>
      <c r="G34" s="3">
        <v>16.205698230220701</v>
      </c>
      <c r="H34" s="3">
        <v>17.195723601575398</v>
      </c>
      <c r="I34" s="3">
        <v>13.986836142570599</v>
      </c>
      <c r="J34" s="3">
        <v>21.889084678675001</v>
      </c>
      <c r="K34" s="3">
        <v>10.666453525063201</v>
      </c>
      <c r="L34" s="3">
        <v>14.742102588136399</v>
      </c>
      <c r="M34" s="3">
        <v>16.262593729280098</v>
      </c>
      <c r="N34" s="3">
        <v>10.688656046342899</v>
      </c>
      <c r="O34" s="3">
        <v>19.3876669700878</v>
      </c>
      <c r="P34" s="3">
        <v>12.689434307941401</v>
      </c>
      <c r="Q34" s="3">
        <v>13.2169591621742</v>
      </c>
      <c r="R34" s="3">
        <v>15.894744297768799</v>
      </c>
      <c r="S34" s="3">
        <v>8.8851404080043093</v>
      </c>
      <c r="T34" s="3">
        <v>12.870813144855299</v>
      </c>
      <c r="U34" s="3">
        <v>10.977816434260401</v>
      </c>
      <c r="V34" s="3">
        <v>13.145404903352301</v>
      </c>
    </row>
    <row r="35" spans="1:22" x14ac:dyDescent="0.35">
      <c r="A35" s="2">
        <v>42706</v>
      </c>
      <c r="B35" s="3" t="e">
        <v>#N/A</v>
      </c>
      <c r="C35" s="3">
        <v>16.484911771988699</v>
      </c>
      <c r="D35" s="3">
        <v>17.485086477625401</v>
      </c>
      <c r="E35" s="3">
        <v>16.8359978150879</v>
      </c>
      <c r="F35" s="3">
        <v>12.492594482995599</v>
      </c>
      <c r="G35" s="3">
        <v>15.6732210783213</v>
      </c>
      <c r="H35" s="3">
        <v>16.992214165075801</v>
      </c>
      <c r="I35" s="3">
        <v>14.096345832098701</v>
      </c>
      <c r="J35" s="3">
        <v>20.348007377959</v>
      </c>
      <c r="K35" s="3">
        <v>10.780962019443001</v>
      </c>
      <c r="L35" s="3">
        <v>14.7479196852206</v>
      </c>
      <c r="M35" s="3">
        <v>15.8916549012327</v>
      </c>
      <c r="N35" s="3">
        <v>13.9572046245884</v>
      </c>
      <c r="O35" s="3">
        <v>18.729755664926699</v>
      </c>
      <c r="P35" s="3">
        <v>13.069674809215901</v>
      </c>
      <c r="Q35" s="3">
        <v>13.307500607216401</v>
      </c>
      <c r="R35" s="3">
        <v>16.056220788445501</v>
      </c>
      <c r="S35" s="3">
        <v>8.6504229746359602</v>
      </c>
      <c r="T35" s="3">
        <v>12.4362659330165</v>
      </c>
      <c r="U35" s="3">
        <v>12.5913850181649</v>
      </c>
      <c r="V35" s="3">
        <v>14.756472830539799</v>
      </c>
    </row>
    <row r="36" spans="1:22" x14ac:dyDescent="0.35">
      <c r="A36" s="2">
        <v>42739</v>
      </c>
      <c r="B36" s="3">
        <v>15.138751628164</v>
      </c>
      <c r="C36" s="3">
        <v>15.5425029892371</v>
      </c>
      <c r="D36" s="3">
        <v>18.006220782519399</v>
      </c>
      <c r="E36" s="3">
        <v>17.595464611529099</v>
      </c>
      <c r="F36" s="3">
        <v>14.090988592650101</v>
      </c>
      <c r="G36" s="3">
        <v>15.580224173876401</v>
      </c>
      <c r="H36" s="3">
        <v>17.063112902799698</v>
      </c>
      <c r="I36" s="3">
        <v>14.4028439442577</v>
      </c>
      <c r="J36" s="3">
        <v>20.6495648292446</v>
      </c>
      <c r="K36" s="3">
        <v>11.157159463887799</v>
      </c>
      <c r="L36" s="3">
        <v>15.0957775307436</v>
      </c>
      <c r="M36" s="3">
        <v>17.324821651067602</v>
      </c>
      <c r="N36" s="3">
        <v>15.110932088053801</v>
      </c>
      <c r="O36" s="3">
        <v>19.0766079997045</v>
      </c>
      <c r="P36" s="3">
        <v>13.222378227988701</v>
      </c>
      <c r="Q36" s="3">
        <v>14.780464133813901</v>
      </c>
      <c r="R36" s="3">
        <v>16.512151523315701</v>
      </c>
      <c r="S36" s="3">
        <v>8.7641701788719306</v>
      </c>
      <c r="T36" s="3">
        <v>13.235514953179001</v>
      </c>
      <c r="U36" s="3">
        <v>14.7246004182152</v>
      </c>
      <c r="V36" s="3">
        <v>15.396754363718999</v>
      </c>
    </row>
    <row r="37" spans="1:22" x14ac:dyDescent="0.35">
      <c r="A37" s="2">
        <v>42769</v>
      </c>
      <c r="B37" s="3">
        <v>14.929656923270599</v>
      </c>
      <c r="C37" s="3">
        <v>16.326540142198599</v>
      </c>
      <c r="D37" s="3">
        <v>17.664241989750501</v>
      </c>
      <c r="E37" s="3">
        <v>18.012559153882801</v>
      </c>
      <c r="F37" s="3">
        <v>14.341209535667399</v>
      </c>
      <c r="G37" s="3">
        <v>17.224014814441901</v>
      </c>
      <c r="H37" s="3">
        <v>17.157229408140601</v>
      </c>
      <c r="I37" s="3">
        <v>14.243887165886999</v>
      </c>
      <c r="J37" s="3">
        <v>21.874042165467799</v>
      </c>
      <c r="K37" s="3">
        <v>11.4937027446692</v>
      </c>
      <c r="L37" s="3">
        <v>15.5842227139862</v>
      </c>
      <c r="M37" s="3">
        <v>17.4439318321981</v>
      </c>
      <c r="N37" s="3">
        <v>13.726325198744799</v>
      </c>
      <c r="O37" s="3">
        <v>19.9779250246436</v>
      </c>
      <c r="P37" s="3">
        <v>13.663710809673001</v>
      </c>
      <c r="Q37" s="3">
        <v>14.492872725022</v>
      </c>
      <c r="R37" s="3">
        <v>16.682258941913101</v>
      </c>
      <c r="S37" s="3">
        <v>10.047071817686</v>
      </c>
      <c r="T37" s="3">
        <v>13.1885815025373</v>
      </c>
      <c r="U37" s="3">
        <v>15.012250111114099</v>
      </c>
      <c r="V37" s="3">
        <v>15.217838355924</v>
      </c>
    </row>
    <row r="38" spans="1:22" x14ac:dyDescent="0.35">
      <c r="A38" s="2">
        <v>42797</v>
      </c>
      <c r="B38" s="3">
        <v>15.211063315818199</v>
      </c>
      <c r="C38" s="3">
        <v>16.816190412935502</v>
      </c>
      <c r="D38" s="3">
        <v>17.519878422421499</v>
      </c>
      <c r="E38" s="3">
        <v>17.777733450518301</v>
      </c>
      <c r="F38" s="3">
        <v>15.8002441579332</v>
      </c>
      <c r="G38" s="3">
        <v>16.220229091802</v>
      </c>
      <c r="H38" s="3">
        <v>17.061723711960301</v>
      </c>
      <c r="I38" s="3">
        <v>14.4960578030551</v>
      </c>
      <c r="J38" s="3">
        <v>21.505343113429699</v>
      </c>
      <c r="K38" s="3">
        <v>11.6420975796535</v>
      </c>
      <c r="L38" s="3">
        <v>16.844616721641501</v>
      </c>
      <c r="M38" s="3">
        <v>18.4690895188876</v>
      </c>
      <c r="N38" s="3">
        <v>14.3717980636072</v>
      </c>
      <c r="O38" s="3">
        <v>20.5194242918664</v>
      </c>
      <c r="P38" s="3">
        <v>14.042261904038099</v>
      </c>
      <c r="Q38" s="3">
        <v>14.896993963894101</v>
      </c>
      <c r="R38" s="3">
        <v>16.3667730063428</v>
      </c>
      <c r="S38" s="3">
        <v>9.8924869715255497</v>
      </c>
      <c r="T38" s="3">
        <v>13.414456882311001</v>
      </c>
      <c r="U38" s="3">
        <v>15.616921274164399</v>
      </c>
      <c r="V38" s="3">
        <v>15.3603007367815</v>
      </c>
    </row>
    <row r="39" spans="1:22" x14ac:dyDescent="0.35">
      <c r="A39" s="2">
        <v>42829</v>
      </c>
      <c r="B39" s="3">
        <v>15.0850781816058</v>
      </c>
      <c r="C39" s="3">
        <v>17.0630322214271</v>
      </c>
      <c r="D39" s="3">
        <v>17.505723017813398</v>
      </c>
      <c r="E39" s="3">
        <v>17.8750483163846</v>
      </c>
      <c r="F39" s="3">
        <v>15.421836931094001</v>
      </c>
      <c r="G39" s="3">
        <v>15.799381247158101</v>
      </c>
      <c r="H39" s="3">
        <v>17.1481774723621</v>
      </c>
      <c r="I39" s="3">
        <v>14.381757787786199</v>
      </c>
      <c r="J39" s="3">
        <v>21.2421715362192</v>
      </c>
      <c r="K39" s="3">
        <v>11.419345642180501</v>
      </c>
      <c r="L39" s="3">
        <v>16.3957946747067</v>
      </c>
      <c r="M39" s="3">
        <v>18.2846420739568</v>
      </c>
      <c r="N39" s="3">
        <v>14.015283843208101</v>
      </c>
      <c r="O39" s="3">
        <v>20.4456867090286</v>
      </c>
      <c r="P39" s="3">
        <v>13.965072162418499</v>
      </c>
      <c r="Q39" s="3">
        <v>14.6430023715687</v>
      </c>
      <c r="R39" s="3">
        <v>16.298436053291201</v>
      </c>
      <c r="S39" s="3">
        <v>9.7187770352350409</v>
      </c>
      <c r="T39" s="3">
        <v>13.3459975751461</v>
      </c>
      <c r="U39" s="3">
        <v>15.742642492177101</v>
      </c>
      <c r="V39" s="3">
        <v>15.2499350599764</v>
      </c>
    </row>
    <row r="40" spans="1:22" x14ac:dyDescent="0.35">
      <c r="A40" s="2">
        <v>42859</v>
      </c>
      <c r="B40" s="3">
        <v>14.979440534180499</v>
      </c>
      <c r="C40" s="3">
        <v>17.210572946182602</v>
      </c>
      <c r="D40" s="3">
        <v>17.446656689186199</v>
      </c>
      <c r="E40" s="3">
        <v>18.1187181060162</v>
      </c>
      <c r="F40" s="3">
        <v>15.286290344330901</v>
      </c>
      <c r="G40" s="3">
        <v>14.898032767060799</v>
      </c>
      <c r="H40" s="3">
        <v>17.2242781234348</v>
      </c>
      <c r="I40" s="3">
        <v>14.401948659065701</v>
      </c>
      <c r="J40" s="3">
        <v>20.670861725187301</v>
      </c>
      <c r="K40" s="3">
        <v>11.156714187932501</v>
      </c>
      <c r="L40" s="3">
        <v>15.978130312612</v>
      </c>
      <c r="M40" s="3">
        <v>18.257823035554399</v>
      </c>
      <c r="N40" s="3">
        <v>14.7337521952145</v>
      </c>
      <c r="O40" s="3">
        <v>20.413626130270998</v>
      </c>
      <c r="P40" s="3">
        <v>13.897554191305099</v>
      </c>
      <c r="Q40" s="3">
        <v>14.570100840488999</v>
      </c>
      <c r="R40" s="3">
        <v>16.159039731559599</v>
      </c>
      <c r="S40" s="3">
        <v>9.7153115432013504</v>
      </c>
      <c r="T40" s="3">
        <v>13.285673786572801</v>
      </c>
      <c r="U40" s="3">
        <v>15.884062280762</v>
      </c>
      <c r="V40" s="3">
        <v>15.0138307987486</v>
      </c>
    </row>
    <row r="41" spans="1:22" x14ac:dyDescent="0.35">
      <c r="A41" s="2">
        <v>42888</v>
      </c>
      <c r="B41" s="3">
        <v>15.041360890036501</v>
      </c>
      <c r="C41" s="3">
        <v>17.2371109030877</v>
      </c>
      <c r="D41" s="3">
        <v>17.342314281527798</v>
      </c>
      <c r="E41" s="3">
        <v>18.238197884381499</v>
      </c>
      <c r="F41" s="3">
        <v>14.8831569501786</v>
      </c>
      <c r="G41" s="3">
        <v>15.0156033524463</v>
      </c>
      <c r="H41" s="3">
        <v>17.200535258997402</v>
      </c>
      <c r="I41" s="3">
        <v>14.4232164580502</v>
      </c>
      <c r="J41" s="3">
        <v>20.357941159301699</v>
      </c>
      <c r="K41" s="3">
        <v>11.1640938656108</v>
      </c>
      <c r="L41" s="3">
        <v>15.3939405455762</v>
      </c>
      <c r="M41" s="3">
        <v>17.95624571326</v>
      </c>
      <c r="N41" s="3">
        <v>15.3632525194694</v>
      </c>
      <c r="O41" s="3">
        <v>20.440480632682998</v>
      </c>
      <c r="P41" s="3">
        <v>14.0890426724976</v>
      </c>
      <c r="Q41" s="3">
        <v>14.564410314189599</v>
      </c>
      <c r="R41" s="3">
        <v>16.0508853259376</v>
      </c>
      <c r="S41" s="3">
        <v>9.7884144335556194</v>
      </c>
      <c r="T41" s="3">
        <v>12.855886041826199</v>
      </c>
      <c r="U41" s="3">
        <v>15.739497632606399</v>
      </c>
      <c r="V41" s="3">
        <v>15.0604403040591</v>
      </c>
    </row>
    <row r="42" spans="1:22" x14ac:dyDescent="0.35">
      <c r="A42" s="2">
        <v>42919</v>
      </c>
      <c r="B42" s="3">
        <v>15.3274356212603</v>
      </c>
      <c r="C42" s="3">
        <v>17.5135857328311</v>
      </c>
      <c r="D42" s="3">
        <v>17.5288663335166</v>
      </c>
      <c r="E42" s="3">
        <v>18.0609571052203</v>
      </c>
      <c r="F42" s="3">
        <v>14.6701307811589</v>
      </c>
      <c r="G42" s="3">
        <v>14.796424903224001</v>
      </c>
      <c r="H42" s="3">
        <v>17.244855852103299</v>
      </c>
      <c r="I42" s="3">
        <v>14.6311226063372</v>
      </c>
      <c r="J42" s="3">
        <v>19.970434942641202</v>
      </c>
      <c r="K42" s="3">
        <v>10.973526673727701</v>
      </c>
      <c r="L42" s="3">
        <v>15.024499910837299</v>
      </c>
      <c r="M42" s="3">
        <v>17.686923035101199</v>
      </c>
      <c r="N42" s="3">
        <v>15.315283694611599</v>
      </c>
      <c r="O42" s="3">
        <v>20.298003069745299</v>
      </c>
      <c r="P42" s="3">
        <v>14.074036010891501</v>
      </c>
      <c r="Q42" s="3">
        <v>13.8767064193012</v>
      </c>
      <c r="R42" s="3">
        <v>15.9905631472538</v>
      </c>
      <c r="S42" s="3">
        <v>9.6371334590291493</v>
      </c>
      <c r="T42" s="3">
        <v>12.777227076680401</v>
      </c>
      <c r="U42" s="3">
        <v>16.899749541214</v>
      </c>
      <c r="V42" s="3">
        <v>15.691425132270499</v>
      </c>
    </row>
    <row r="43" spans="1:22" x14ac:dyDescent="0.35">
      <c r="A43" s="2">
        <v>42951</v>
      </c>
      <c r="B43" s="3">
        <v>15.2342005083557</v>
      </c>
      <c r="C43" s="3">
        <v>18.2365267454521</v>
      </c>
      <c r="D43" s="3">
        <v>17.167256375618901</v>
      </c>
      <c r="E43" s="3">
        <v>17.7618816625261</v>
      </c>
      <c r="F43" s="3">
        <v>14.4735805496944</v>
      </c>
      <c r="G43" s="3">
        <v>14.9635975239123</v>
      </c>
      <c r="H43" s="3">
        <v>17.2723645019374</v>
      </c>
      <c r="I43" s="3">
        <v>14.773080368806401</v>
      </c>
      <c r="J43" s="3">
        <v>19.975939208082799</v>
      </c>
      <c r="K43" s="3">
        <v>10.687890659842299</v>
      </c>
      <c r="L43" s="3">
        <v>15.3044751058037</v>
      </c>
      <c r="M43" s="3">
        <v>18.068920814086699</v>
      </c>
      <c r="N43" s="3">
        <v>15.3602995627077</v>
      </c>
      <c r="O43" s="3">
        <v>20.935600043654802</v>
      </c>
      <c r="P43" s="3">
        <v>14.564616438331401</v>
      </c>
      <c r="Q43" s="3">
        <v>14.1038903119872</v>
      </c>
      <c r="R43" s="3">
        <v>16.0208685558562</v>
      </c>
      <c r="S43" s="3">
        <v>9.6802376503060703</v>
      </c>
      <c r="T43" s="3">
        <v>13.2311581742235</v>
      </c>
      <c r="U43" s="3">
        <v>16.149126459382501</v>
      </c>
      <c r="V43" s="3">
        <v>15.168915492294101</v>
      </c>
    </row>
    <row r="44" spans="1:22" x14ac:dyDescent="0.35">
      <c r="A44" s="2">
        <v>42979</v>
      </c>
      <c r="B44" s="3">
        <v>15.604389873603299</v>
      </c>
      <c r="C44" s="3">
        <v>19.6135053247665</v>
      </c>
      <c r="D44" s="3">
        <v>17.359583274885299</v>
      </c>
      <c r="E44" s="3">
        <v>18.169940119415301</v>
      </c>
      <c r="F44" s="3">
        <v>14.430277453696</v>
      </c>
      <c r="G44" s="3">
        <v>14.9823818634649</v>
      </c>
      <c r="H44" s="3">
        <v>17.448969031195599</v>
      </c>
      <c r="I44" s="3">
        <v>14.6787248738976</v>
      </c>
      <c r="J44" s="3">
        <v>19.546262069491402</v>
      </c>
      <c r="K44" s="3">
        <v>10.3671110345913</v>
      </c>
      <c r="L44" s="3">
        <v>15.3933543763867</v>
      </c>
      <c r="M44" s="3">
        <v>18.027105087608501</v>
      </c>
      <c r="N44" s="3">
        <v>14.902144164900999</v>
      </c>
      <c r="O44" s="3">
        <v>21.007451131850299</v>
      </c>
      <c r="P44" s="3">
        <v>14.5388959276112</v>
      </c>
      <c r="Q44" s="3">
        <v>13.4658536551579</v>
      </c>
      <c r="R44" s="3">
        <v>16.1974056859024</v>
      </c>
      <c r="S44" s="3">
        <v>9.5957746526863392</v>
      </c>
      <c r="T44" s="3">
        <v>12.596801197930001</v>
      </c>
      <c r="U44" s="3">
        <v>17.445327627479902</v>
      </c>
      <c r="V44" s="3">
        <v>15.137926894843799</v>
      </c>
    </row>
    <row r="45" spans="1:22" x14ac:dyDescent="0.35">
      <c r="A45" s="2">
        <v>43012</v>
      </c>
      <c r="B45" s="3">
        <v>15.6495140545358</v>
      </c>
      <c r="C45" s="3">
        <v>15.8201003465452</v>
      </c>
      <c r="D45" s="3">
        <v>17.417416944438902</v>
      </c>
      <c r="E45" s="3">
        <v>19.196358785318299</v>
      </c>
      <c r="F45" s="3">
        <v>13.399171557608</v>
      </c>
      <c r="G45" s="3">
        <v>17.035441630746401</v>
      </c>
      <c r="H45" s="3">
        <v>17.429634094122001</v>
      </c>
      <c r="I45" s="3">
        <v>14.420659777796899</v>
      </c>
      <c r="J45" s="3">
        <v>18.9749719093974</v>
      </c>
      <c r="K45" s="3">
        <v>10.346136087026601</v>
      </c>
      <c r="L45" s="3">
        <v>15.76121730188</v>
      </c>
      <c r="M45" s="3">
        <v>17.582149035808101</v>
      </c>
      <c r="N45" s="3">
        <v>14.257162472769799</v>
      </c>
      <c r="O45" s="3">
        <v>20.9430216474587</v>
      </c>
      <c r="P45" s="3">
        <v>15.107609165525499</v>
      </c>
      <c r="Q45" s="3">
        <v>12.5931181815311</v>
      </c>
      <c r="R45" s="3">
        <v>16.625064311810299</v>
      </c>
      <c r="S45" s="3">
        <v>9.0709081233120408</v>
      </c>
      <c r="T45" s="3">
        <v>12.1704859637182</v>
      </c>
      <c r="U45" s="3">
        <v>18.049235875149702</v>
      </c>
      <c r="V45" s="3">
        <v>14.9488515662935</v>
      </c>
    </row>
    <row r="46" spans="1:22" x14ac:dyDescent="0.35">
      <c r="A46" s="2">
        <v>43042</v>
      </c>
      <c r="B46" s="3">
        <v>16.066784586020699</v>
      </c>
      <c r="C46" s="3">
        <v>18.598811196260399</v>
      </c>
      <c r="D46" s="3">
        <v>17.3667683905709</v>
      </c>
      <c r="E46" s="3">
        <v>19.537540834840101</v>
      </c>
      <c r="F46" s="3">
        <v>13.144626346676599</v>
      </c>
      <c r="G46" s="3">
        <v>16.663631597913401</v>
      </c>
      <c r="H46" s="3">
        <v>17.366176295229302</v>
      </c>
      <c r="I46" s="3">
        <v>14.878463409353101</v>
      </c>
      <c r="J46" s="3">
        <v>17.263146389216502</v>
      </c>
      <c r="K46" s="3">
        <v>10.576641598116099</v>
      </c>
      <c r="L46" s="3">
        <v>14.8811786088286</v>
      </c>
      <c r="M46" s="3">
        <v>18.347562175559801</v>
      </c>
      <c r="N46" s="3">
        <v>16.947455805151399</v>
      </c>
      <c r="O46" s="3">
        <v>21.961448213990799</v>
      </c>
      <c r="P46" s="3">
        <v>15.1765215891528</v>
      </c>
      <c r="Q46" s="3">
        <v>12.840797946134099</v>
      </c>
      <c r="R46" s="3">
        <v>16.9939269865223</v>
      </c>
      <c r="S46" s="3">
        <v>9.3132416581709894</v>
      </c>
      <c r="T46" s="3">
        <v>12.3854955648195</v>
      </c>
      <c r="U46" s="3">
        <v>18.340370518765901</v>
      </c>
      <c r="V46" s="3">
        <v>14.4064215980186</v>
      </c>
    </row>
    <row r="47" spans="1:22" x14ac:dyDescent="0.35">
      <c r="A47" s="2">
        <v>43073</v>
      </c>
      <c r="B47" s="3">
        <v>15.8380535647022</v>
      </c>
      <c r="C47" s="3">
        <v>16.2605009289916</v>
      </c>
      <c r="D47" s="3">
        <v>16.902555140329401</v>
      </c>
      <c r="E47" s="3">
        <v>18.631963759595202</v>
      </c>
      <c r="F47" s="3">
        <v>12.408488524567799</v>
      </c>
      <c r="G47" s="3">
        <v>16.7309732693302</v>
      </c>
      <c r="H47" s="3">
        <v>17.400302958859601</v>
      </c>
      <c r="I47" s="3">
        <v>14.7667325189256</v>
      </c>
      <c r="J47" s="3">
        <v>16.956243550058701</v>
      </c>
      <c r="K47" s="3">
        <v>10.3635401850278</v>
      </c>
      <c r="L47" s="3">
        <v>14.623322812605601</v>
      </c>
      <c r="M47" s="3">
        <v>18.5769705073522</v>
      </c>
      <c r="N47" s="3">
        <v>17.914486425621298</v>
      </c>
      <c r="O47" s="3">
        <v>21.5866252740277</v>
      </c>
      <c r="P47" s="3">
        <v>15.0394106799328</v>
      </c>
      <c r="Q47" s="3">
        <v>12.273330995221899</v>
      </c>
      <c r="R47" s="3">
        <v>17.083342704955999</v>
      </c>
      <c r="S47" s="3">
        <v>8.6262021760199996</v>
      </c>
      <c r="T47" s="3">
        <v>11.540694388933201</v>
      </c>
      <c r="U47" s="3">
        <v>20.9848002997531</v>
      </c>
      <c r="V47" s="3">
        <v>14.5325673775582</v>
      </c>
    </row>
    <row r="48" spans="1:22" x14ac:dyDescent="0.35">
      <c r="A48" s="2">
        <v>43104</v>
      </c>
      <c r="B48" s="3">
        <v>16.307630869519201</v>
      </c>
      <c r="C48" s="3">
        <v>18.3035061047078</v>
      </c>
      <c r="D48" s="3">
        <v>17.8818290768316</v>
      </c>
      <c r="E48" s="3">
        <v>20.224855618366401</v>
      </c>
      <c r="F48" s="3">
        <v>12.786976524768001</v>
      </c>
      <c r="G48" s="3">
        <v>17.600120353387801</v>
      </c>
      <c r="H48" s="3">
        <v>18.441828383660098</v>
      </c>
      <c r="I48" s="3">
        <v>14.876119075753399</v>
      </c>
      <c r="J48" s="3">
        <v>17.269472350007099</v>
      </c>
      <c r="K48" s="3">
        <v>10.136540272911001</v>
      </c>
      <c r="L48" s="3">
        <v>15.2740892972009</v>
      </c>
      <c r="M48" s="3">
        <v>18.442491959460199</v>
      </c>
      <c r="N48" s="3">
        <v>20.9135379655965</v>
      </c>
      <c r="O48" s="3">
        <v>22.6609228164778</v>
      </c>
      <c r="P48" s="3">
        <v>15.9752947591378</v>
      </c>
      <c r="Q48" s="3">
        <v>13.4505459042391</v>
      </c>
      <c r="R48" s="3">
        <v>18.245245799132999</v>
      </c>
      <c r="S48" s="3">
        <v>9.0420653509600299</v>
      </c>
      <c r="T48" s="3">
        <v>12.151530686152199</v>
      </c>
      <c r="U48" s="3">
        <v>23.221708983709799</v>
      </c>
      <c r="V48" s="3">
        <v>14.661242101237599</v>
      </c>
    </row>
    <row r="49" spans="1:22" x14ac:dyDescent="0.35">
      <c r="A49" s="2">
        <v>43133</v>
      </c>
      <c r="B49" s="3">
        <v>16.435403052908601</v>
      </c>
      <c r="C49" s="3">
        <v>18.271305081283899</v>
      </c>
      <c r="D49" s="3">
        <v>18.217919326701701</v>
      </c>
      <c r="E49" s="3">
        <v>19.994359296590599</v>
      </c>
      <c r="F49" s="3">
        <v>12.674222321631101</v>
      </c>
      <c r="G49" s="3">
        <v>18.380414268828101</v>
      </c>
      <c r="H49" s="3">
        <v>18.909834741656098</v>
      </c>
      <c r="I49" s="3">
        <v>15.0553787430953</v>
      </c>
      <c r="J49" s="3">
        <v>17.7002566003844</v>
      </c>
      <c r="K49" s="3">
        <v>10.5907535311534</v>
      </c>
      <c r="L49" s="3">
        <v>16.282951537446699</v>
      </c>
      <c r="M49" s="3">
        <v>17.985264028037498</v>
      </c>
      <c r="N49" s="3">
        <v>23.588474128184799</v>
      </c>
      <c r="O49" s="3">
        <v>22.108249871856099</v>
      </c>
      <c r="P49" s="3">
        <v>16.1488276261151</v>
      </c>
      <c r="Q49" s="3">
        <v>13.398701228062601</v>
      </c>
      <c r="R49" s="3">
        <v>18.365003754015099</v>
      </c>
      <c r="S49" s="3">
        <v>9.0870218368679403</v>
      </c>
      <c r="T49" s="3">
        <v>12.2999991649049</v>
      </c>
      <c r="U49" s="3">
        <v>25.797432552019501</v>
      </c>
      <c r="V49" s="3">
        <v>15.268618594943799</v>
      </c>
    </row>
    <row r="50" spans="1:22" x14ac:dyDescent="0.35">
      <c r="A50" s="2">
        <v>43161</v>
      </c>
      <c r="B50" s="3">
        <v>15.297017774092801</v>
      </c>
      <c r="C50" s="3">
        <v>17.531793169199599</v>
      </c>
      <c r="D50" s="3">
        <v>17.671830375458001</v>
      </c>
      <c r="E50" s="3">
        <v>19.385677360104602</v>
      </c>
      <c r="F50" s="3">
        <v>11.729246514839801</v>
      </c>
      <c r="G50" s="3">
        <v>19.861380235269898</v>
      </c>
      <c r="H50" s="3">
        <v>18.578026994812799</v>
      </c>
      <c r="I50" s="3">
        <v>14.4333806415748</v>
      </c>
      <c r="J50" s="3">
        <v>17.948038455704999</v>
      </c>
      <c r="K50" s="3">
        <v>10.521488528668799</v>
      </c>
      <c r="L50" s="3">
        <v>16.5689358601382</v>
      </c>
      <c r="M50" s="3">
        <v>18.103434537752399</v>
      </c>
      <c r="N50" s="3">
        <v>23.836520050643301</v>
      </c>
      <c r="O50" s="3">
        <v>21.740374686265501</v>
      </c>
      <c r="P50" s="3">
        <v>15.3196825981027</v>
      </c>
      <c r="Q50" s="3">
        <v>12.815029136115101</v>
      </c>
      <c r="R50" s="3">
        <v>17.814500595315099</v>
      </c>
      <c r="S50" s="3">
        <v>9.2009941017300996</v>
      </c>
      <c r="T50" s="3">
        <v>12.4514249371929</v>
      </c>
      <c r="U50" s="3">
        <v>24.620695365593701</v>
      </c>
      <c r="V50" s="3">
        <v>15.0418603304136</v>
      </c>
    </row>
    <row r="51" spans="1:22" x14ac:dyDescent="0.35">
      <c r="A51" s="2">
        <v>43194</v>
      </c>
      <c r="B51" s="3">
        <v>14.9895828026131</v>
      </c>
      <c r="C51" s="3">
        <v>17.127838916196801</v>
      </c>
      <c r="D51" s="3">
        <v>17.220918018385699</v>
      </c>
      <c r="E51" s="3">
        <v>18.941605497505801</v>
      </c>
      <c r="F51" s="3">
        <v>11.626539257265801</v>
      </c>
      <c r="G51" s="3">
        <v>19.2664618380131</v>
      </c>
      <c r="H51" s="3">
        <v>18.280348005815402</v>
      </c>
      <c r="I51" s="3">
        <v>14.3698426981921</v>
      </c>
      <c r="J51" s="3">
        <v>17.7597710441832</v>
      </c>
      <c r="K51" s="3">
        <v>10.3608067646955</v>
      </c>
      <c r="L51" s="3">
        <v>16.1484431013847</v>
      </c>
      <c r="M51" s="3">
        <v>17.785704071709802</v>
      </c>
      <c r="N51" s="3">
        <v>22.799650245243701</v>
      </c>
      <c r="O51" s="3">
        <v>21.3212554032269</v>
      </c>
      <c r="P51" s="3">
        <v>14.928410186625699</v>
      </c>
      <c r="Q51" s="3">
        <v>12.6973402683742</v>
      </c>
      <c r="R51" s="3">
        <v>17.330230349032298</v>
      </c>
      <c r="S51" s="3">
        <v>9.0066817490466793</v>
      </c>
      <c r="T51" s="3">
        <v>12.3472797705282</v>
      </c>
      <c r="U51" s="3">
        <v>24.774412825459201</v>
      </c>
      <c r="V51" s="3">
        <v>15.229138017835099</v>
      </c>
    </row>
    <row r="52" spans="1:22" x14ac:dyDescent="0.35">
      <c r="A52" s="2">
        <v>43224</v>
      </c>
      <c r="B52" s="3">
        <v>14.4711273902853</v>
      </c>
      <c r="C52" s="3">
        <v>16.8586473819873</v>
      </c>
      <c r="D52" s="3">
        <v>16.647561689668098</v>
      </c>
      <c r="E52" s="3">
        <v>18.5273652597817</v>
      </c>
      <c r="F52" s="3">
        <v>11.6875358012829</v>
      </c>
      <c r="G52" s="3">
        <v>18.625333047067102</v>
      </c>
      <c r="H52" s="3">
        <v>18.144913814460999</v>
      </c>
      <c r="I52" s="3">
        <v>14.1897425833765</v>
      </c>
      <c r="J52" s="3">
        <v>17.510885947460402</v>
      </c>
      <c r="K52" s="3">
        <v>10.2543314109669</v>
      </c>
      <c r="L52" s="3">
        <v>15.6831913049053</v>
      </c>
      <c r="M52" s="3">
        <v>17.679117747075001</v>
      </c>
      <c r="N52" s="3">
        <v>22.494511427230702</v>
      </c>
      <c r="O52" s="3">
        <v>21.3321436593979</v>
      </c>
      <c r="P52" s="3">
        <v>14.7640408840465</v>
      </c>
      <c r="Q52" s="3">
        <v>12.5676340243946</v>
      </c>
      <c r="R52" s="3">
        <v>17.277658915566899</v>
      </c>
      <c r="S52" s="3">
        <v>8.6329802172530794</v>
      </c>
      <c r="T52" s="3">
        <v>12.1170039280114</v>
      </c>
      <c r="U52" s="3">
        <v>23.872678594495301</v>
      </c>
      <c r="V52" s="3">
        <v>15.2742124759351</v>
      </c>
    </row>
    <row r="53" spans="1:22" x14ac:dyDescent="0.35">
      <c r="A53" s="2">
        <v>43255</v>
      </c>
      <c r="B53" s="3">
        <v>14.313950081443901</v>
      </c>
      <c r="C53" s="3">
        <v>16.088405561158599</v>
      </c>
      <c r="D53" s="3">
        <v>16.4568480523338</v>
      </c>
      <c r="E53" s="3">
        <v>18.452893950943</v>
      </c>
      <c r="F53" s="3">
        <v>11.570922507309</v>
      </c>
      <c r="G53" s="3">
        <v>17.970179882280299</v>
      </c>
      <c r="H53" s="3">
        <v>17.8940746488529</v>
      </c>
      <c r="I53" s="3">
        <v>14.389371881418</v>
      </c>
      <c r="J53" s="3">
        <v>17.0561769367545</v>
      </c>
      <c r="K53" s="3">
        <v>10.1292590196374</v>
      </c>
      <c r="L53" s="3">
        <v>15.0706388257779</v>
      </c>
      <c r="M53" s="3">
        <v>17.389862218324801</v>
      </c>
      <c r="N53" s="3">
        <v>21.971367789018601</v>
      </c>
      <c r="O53" s="3">
        <v>21.229564966082101</v>
      </c>
      <c r="P53" s="3">
        <v>14.8042207696221</v>
      </c>
      <c r="Q53" s="3">
        <v>12.5940710145799</v>
      </c>
      <c r="R53" s="3">
        <v>17.0189528721437</v>
      </c>
      <c r="S53" s="3">
        <v>8.3175603236907101</v>
      </c>
      <c r="T53" s="3">
        <v>11.8955713676985</v>
      </c>
      <c r="U53" s="3">
        <v>24.185458537395998</v>
      </c>
      <c r="V53" s="3">
        <v>15.6179774432767</v>
      </c>
    </row>
    <row r="54" spans="1:22" x14ac:dyDescent="0.35">
      <c r="A54" s="2">
        <v>43284</v>
      </c>
      <c r="B54" s="3">
        <v>13.4298446212934</v>
      </c>
      <c r="C54" s="3">
        <v>15.367160710365599</v>
      </c>
      <c r="D54" s="3">
        <v>15.453660445598</v>
      </c>
      <c r="E54" s="3">
        <v>17.762183146814799</v>
      </c>
      <c r="F54" s="3">
        <v>11.3167863564339</v>
      </c>
      <c r="G54" s="3">
        <v>17.681571174220601</v>
      </c>
      <c r="H54" s="3">
        <v>17.452524825503499</v>
      </c>
      <c r="I54" s="3">
        <v>14.038783503780699</v>
      </c>
      <c r="J54" s="3">
        <v>17.2296636213899</v>
      </c>
      <c r="K54" s="3">
        <v>9.6745865019485304</v>
      </c>
      <c r="L54" s="3">
        <v>14.236479644788499</v>
      </c>
      <c r="M54" s="3">
        <v>17.031547575460799</v>
      </c>
      <c r="N54" s="3">
        <v>21.477203422374501</v>
      </c>
      <c r="O54" s="3">
        <v>21.115459593203699</v>
      </c>
      <c r="P54" s="3">
        <v>14.2047659380358</v>
      </c>
      <c r="Q54" s="3">
        <v>12.545647359982899</v>
      </c>
      <c r="R54" s="3">
        <v>16.420941852087498</v>
      </c>
      <c r="S54" s="3">
        <v>8.0600280339020909</v>
      </c>
      <c r="T54" s="3">
        <v>11.942318411174201</v>
      </c>
      <c r="U54" s="3">
        <v>21.684897505809602</v>
      </c>
      <c r="V54" s="3">
        <v>15.4112488695033</v>
      </c>
    </row>
    <row r="55" spans="1:22" x14ac:dyDescent="0.35">
      <c r="A55" s="2">
        <v>43315</v>
      </c>
      <c r="B55" s="3">
        <v>12.7767972435104</v>
      </c>
      <c r="C55" s="3">
        <v>15.4378680662089</v>
      </c>
      <c r="D55" s="3">
        <v>15.8632394905823</v>
      </c>
      <c r="E55" s="3">
        <v>18.105625192561</v>
      </c>
      <c r="F55" s="3">
        <v>11.672460533169099</v>
      </c>
      <c r="G55" s="3">
        <v>17.794494285963001</v>
      </c>
      <c r="H55" s="3">
        <v>17.8148409490224</v>
      </c>
      <c r="I55" s="3">
        <v>14.2648239792867</v>
      </c>
      <c r="J55" s="3">
        <v>17.422664498423298</v>
      </c>
      <c r="K55" s="3">
        <v>9.5440002149410699</v>
      </c>
      <c r="L55" s="3">
        <v>14.4267094987633</v>
      </c>
      <c r="M55" s="3">
        <v>16.6155705322358</v>
      </c>
      <c r="N55" s="3">
        <v>21.094934287814901</v>
      </c>
      <c r="O55" s="3">
        <v>22.0372605447537</v>
      </c>
      <c r="P55" s="3">
        <v>13.8115017544129</v>
      </c>
      <c r="Q55" s="3">
        <v>13.0464221640279</v>
      </c>
      <c r="R55" s="3">
        <v>16.5808987812363</v>
      </c>
      <c r="S55" s="3">
        <v>7.7610316016542997</v>
      </c>
      <c r="T55" s="3">
        <v>12.2584486545998</v>
      </c>
      <c r="U55" s="3">
        <v>22.0303901174495</v>
      </c>
      <c r="V55" s="3">
        <v>15.2765086508123</v>
      </c>
    </row>
    <row r="56" spans="1:22" x14ac:dyDescent="0.35">
      <c r="A56" s="2">
        <v>43347</v>
      </c>
      <c r="B56" s="3">
        <v>12.7128201910195</v>
      </c>
      <c r="C56" s="3">
        <v>14.917026161517599</v>
      </c>
      <c r="D56" s="3">
        <v>15.6223838210609</v>
      </c>
      <c r="E56" s="3">
        <v>17.576576861748698</v>
      </c>
      <c r="F56" s="3">
        <v>11.711920617600899</v>
      </c>
      <c r="G56" s="3">
        <v>16.474797421418501</v>
      </c>
      <c r="H56" s="3">
        <v>17.904661527405299</v>
      </c>
      <c r="I56" s="3">
        <v>14.012902543453</v>
      </c>
      <c r="J56" s="3">
        <v>17.139382556144</v>
      </c>
      <c r="K56" s="3">
        <v>9.4583853234478603</v>
      </c>
      <c r="L56" s="3">
        <v>13.2383889744873</v>
      </c>
      <c r="M56" s="3">
        <v>16.114503511310001</v>
      </c>
      <c r="N56" s="3">
        <v>20.591158864753101</v>
      </c>
      <c r="O56" s="3">
        <v>22.343533543873502</v>
      </c>
      <c r="P56" s="3">
        <v>13.467557470901101</v>
      </c>
      <c r="Q56" s="3">
        <v>13.1529308297631</v>
      </c>
      <c r="R56" s="3">
        <v>16.389044921499799</v>
      </c>
      <c r="S56" s="3">
        <v>7.3945553250550402</v>
      </c>
      <c r="T56" s="3">
        <v>13.120389122337899</v>
      </c>
      <c r="U56" s="3">
        <v>21.861616214181002</v>
      </c>
      <c r="V56" s="3">
        <v>15.085191363346601</v>
      </c>
    </row>
    <row r="57" spans="1:22" x14ac:dyDescent="0.35">
      <c r="A57" s="2">
        <v>43377</v>
      </c>
      <c r="B57" s="3">
        <v>12.650846923192899</v>
      </c>
      <c r="C57" s="3">
        <v>14.993599580183</v>
      </c>
      <c r="D57" s="3">
        <v>14.993699583615101</v>
      </c>
      <c r="E57" s="3">
        <v>16.0390277591429</v>
      </c>
      <c r="F57" s="3">
        <v>11.675182654395</v>
      </c>
      <c r="G57" s="3">
        <v>16.4244758539397</v>
      </c>
      <c r="H57" s="3">
        <v>17.596915226490601</v>
      </c>
      <c r="I57" s="3">
        <v>13.552976234474</v>
      </c>
      <c r="J57" s="3">
        <v>16.915460039420999</v>
      </c>
      <c r="K57" s="3">
        <v>9.1935552628664698</v>
      </c>
      <c r="L57" s="3">
        <v>13.6061092752295</v>
      </c>
      <c r="M57" s="3">
        <v>15.155443401226799</v>
      </c>
      <c r="N57" s="3">
        <v>20.616930215743999</v>
      </c>
      <c r="O57" s="3">
        <v>20.8389379111149</v>
      </c>
      <c r="P57" s="3">
        <v>12.816661707143799</v>
      </c>
      <c r="Q57" s="3">
        <v>13.248828430538801</v>
      </c>
      <c r="R57" s="3">
        <v>16.225667568268001</v>
      </c>
      <c r="S57" s="3">
        <v>7.3830797503925298</v>
      </c>
      <c r="T57" s="3">
        <v>12.8125877087853</v>
      </c>
      <c r="U57" s="3">
        <v>21.236311909831301</v>
      </c>
      <c r="V57" s="3">
        <v>15.0549526677282</v>
      </c>
    </row>
    <row r="58" spans="1:22" x14ac:dyDescent="0.35">
      <c r="A58" s="2">
        <v>43406</v>
      </c>
      <c r="B58" s="3">
        <v>12.025147254163199</v>
      </c>
      <c r="C58" s="3">
        <v>16.9320735077725</v>
      </c>
      <c r="D58" s="3">
        <v>15.3564910202285</v>
      </c>
      <c r="E58" s="3">
        <v>16.050698167279901</v>
      </c>
      <c r="F58" s="3">
        <v>11.2602498280856</v>
      </c>
      <c r="G58" s="3">
        <v>16.488406718951499</v>
      </c>
      <c r="H58" s="3">
        <v>16.801509377404699</v>
      </c>
      <c r="I58" s="3">
        <v>12.7338474584887</v>
      </c>
      <c r="J58" s="3">
        <v>15.8896047682539</v>
      </c>
      <c r="K58" s="3">
        <v>8.6612308114076093</v>
      </c>
      <c r="L58" s="3">
        <v>14.102250792105099</v>
      </c>
      <c r="M58" s="3">
        <v>14.91713072424</v>
      </c>
      <c r="N58" s="3">
        <v>18.437003955483</v>
      </c>
      <c r="O58" s="3">
        <v>21.130962043666798</v>
      </c>
      <c r="P58" s="3">
        <v>12.5207925859058</v>
      </c>
      <c r="Q58" s="3">
        <v>13.822879115688799</v>
      </c>
      <c r="R58" s="3">
        <v>15.730117910531799</v>
      </c>
      <c r="S58" s="3">
        <v>7.1603655976341702</v>
      </c>
      <c r="T58" s="3">
        <v>12.6995825715028</v>
      </c>
      <c r="U58" s="3">
        <v>19.606156378972599</v>
      </c>
      <c r="V58" s="3">
        <v>15.0258230198153</v>
      </c>
    </row>
    <row r="59" spans="1:22" x14ac:dyDescent="0.35">
      <c r="A59" s="2">
        <v>43438</v>
      </c>
      <c r="B59" s="3">
        <v>11.749479251631801</v>
      </c>
      <c r="C59" s="3">
        <v>17.210630270861</v>
      </c>
      <c r="D59" s="3">
        <v>15.763109419262999</v>
      </c>
      <c r="E59" s="3">
        <v>16.932850056890501</v>
      </c>
      <c r="F59" s="3">
        <v>11.914711029418401</v>
      </c>
      <c r="G59" s="3">
        <v>16.739321173722701</v>
      </c>
      <c r="H59" s="3">
        <v>16.852509936090499</v>
      </c>
      <c r="I59" s="3">
        <v>12.9774890630197</v>
      </c>
      <c r="J59" s="3">
        <v>14.7030451081785</v>
      </c>
      <c r="K59" s="3">
        <v>8.5197897166278693</v>
      </c>
      <c r="L59" s="3">
        <v>14.0741042303247</v>
      </c>
      <c r="M59" s="3">
        <v>15.225837411064999</v>
      </c>
      <c r="N59" s="3">
        <v>18.421117305977202</v>
      </c>
      <c r="O59" s="3">
        <v>21.708911625406699</v>
      </c>
      <c r="P59" s="3">
        <v>12.538480470450899</v>
      </c>
      <c r="Q59" s="3">
        <v>14.2517723164627</v>
      </c>
      <c r="R59" s="3">
        <v>15.4549239559106</v>
      </c>
      <c r="S59" s="3">
        <v>6.9406776910248</v>
      </c>
      <c r="T59" s="3">
        <v>12.4653235316049</v>
      </c>
      <c r="U59" s="3">
        <v>19.756584580805701</v>
      </c>
      <c r="V59" s="3">
        <v>15.4690364645513</v>
      </c>
    </row>
    <row r="60" spans="1:22" x14ac:dyDescent="0.35">
      <c r="A60" s="2">
        <v>43469</v>
      </c>
      <c r="B60" s="3">
        <v>10.7098585281728</v>
      </c>
      <c r="C60" s="3">
        <v>16.706805983808302</v>
      </c>
      <c r="D60" s="3">
        <v>15.7754546621359</v>
      </c>
      <c r="E60" s="3">
        <v>17.483353743689001</v>
      </c>
      <c r="F60" s="3">
        <v>11.4933990319877</v>
      </c>
      <c r="G60" s="3">
        <v>17.471488629903099</v>
      </c>
      <c r="H60" s="3">
        <v>16.6464781924237</v>
      </c>
      <c r="I60" s="3">
        <v>12.0436837015941</v>
      </c>
      <c r="J60" s="3">
        <v>14.908128361833301</v>
      </c>
      <c r="K60" s="3">
        <v>8.0440237019513496</v>
      </c>
      <c r="L60" s="3">
        <v>14.3595211824485</v>
      </c>
      <c r="M60" s="3">
        <v>14.879862950840501</v>
      </c>
      <c r="N60" s="3">
        <v>14.7338972698772</v>
      </c>
      <c r="O60" s="3">
        <v>21.257926545713101</v>
      </c>
      <c r="P60" s="3">
        <v>11.3848499115122</v>
      </c>
      <c r="Q60" s="3">
        <v>14.105222203219601</v>
      </c>
      <c r="R60" s="3">
        <v>14.4226790149199</v>
      </c>
      <c r="S60" s="3">
        <v>6.47978782215863</v>
      </c>
      <c r="T60" s="3">
        <v>11.8125462046203</v>
      </c>
      <c r="U60" s="3">
        <v>17.455255650639501</v>
      </c>
      <c r="V60" s="3">
        <v>15.479221029359399</v>
      </c>
    </row>
    <row r="61" spans="1:22" x14ac:dyDescent="0.35">
      <c r="A61" s="2">
        <v>43500</v>
      </c>
      <c r="B61" s="3">
        <v>11.4577364942197</v>
      </c>
      <c r="C61" s="3">
        <v>18.032121006506902</v>
      </c>
      <c r="D61" s="3">
        <v>16.239974729823</v>
      </c>
      <c r="E61" s="3">
        <v>17.6556784337632</v>
      </c>
      <c r="F61" s="3">
        <v>11.8738152523508</v>
      </c>
      <c r="G61" s="3">
        <v>19.064999486264998</v>
      </c>
      <c r="H61" s="3">
        <v>16.893993405688601</v>
      </c>
      <c r="I61" s="3">
        <v>13.2606373735338</v>
      </c>
      <c r="J61" s="3">
        <v>15.3276945477251</v>
      </c>
      <c r="K61" s="3">
        <v>9.7104033774645995</v>
      </c>
      <c r="L61" s="3">
        <v>15.364335898769999</v>
      </c>
      <c r="M61" s="3">
        <v>15.088650467667399</v>
      </c>
      <c r="N61" s="3">
        <v>17.843388066182399</v>
      </c>
      <c r="O61" s="3">
        <v>21.869800009081398</v>
      </c>
      <c r="P61" s="3">
        <v>12.561510051358299</v>
      </c>
      <c r="Q61" s="3">
        <v>14.493565022643599</v>
      </c>
      <c r="R61" s="3">
        <v>15.568393049685801</v>
      </c>
      <c r="S61" s="3">
        <v>7.4915489848908399</v>
      </c>
      <c r="T61" s="3">
        <v>12.1587915718051</v>
      </c>
      <c r="U61" s="3">
        <v>18.3020388237052</v>
      </c>
      <c r="V61" s="3">
        <v>17.2322206722605</v>
      </c>
    </row>
    <row r="62" spans="1:22" x14ac:dyDescent="0.35">
      <c r="A62" s="2">
        <v>43528</v>
      </c>
      <c r="B62" s="3">
        <v>12.755101788778299</v>
      </c>
      <c r="C62" s="3">
        <v>15.767303087475399</v>
      </c>
      <c r="D62" s="3">
        <v>15.905141300121</v>
      </c>
      <c r="E62" s="3">
        <v>16.786761296752999</v>
      </c>
      <c r="F62" s="3">
        <v>11.5027723154739</v>
      </c>
      <c r="G62" s="3">
        <v>20.137728514821099</v>
      </c>
      <c r="H62" s="3">
        <v>17.078893753172999</v>
      </c>
      <c r="I62" s="3">
        <v>14.072853548934001</v>
      </c>
      <c r="J62" s="3">
        <v>15.5000330319213</v>
      </c>
      <c r="K62" s="3">
        <v>9.9984683327002308</v>
      </c>
      <c r="L62" s="3">
        <v>14.748863466704099</v>
      </c>
      <c r="M62" s="3">
        <v>15.386260748471001</v>
      </c>
      <c r="N62" s="3">
        <v>18.747265264111899</v>
      </c>
      <c r="O62" s="3">
        <v>21.684363556921401</v>
      </c>
      <c r="P62" s="3">
        <v>12.880812217478001</v>
      </c>
      <c r="Q62" s="3">
        <v>13.6146832010668</v>
      </c>
      <c r="R62" s="3">
        <v>16.211949135913699</v>
      </c>
      <c r="S62" s="3">
        <v>7.4664279835041301</v>
      </c>
      <c r="T62" s="3">
        <v>12.809276802119699</v>
      </c>
      <c r="U62" s="3">
        <v>19.748509366793499</v>
      </c>
      <c r="V62" s="3">
        <v>17.2324228224977</v>
      </c>
    </row>
    <row r="63" spans="1:22" x14ac:dyDescent="0.35">
      <c r="A63" s="2">
        <v>43559</v>
      </c>
      <c r="B63" s="3">
        <v>12.838322247069</v>
      </c>
      <c r="C63" s="3">
        <v>15.724598906296899</v>
      </c>
      <c r="D63" s="3">
        <v>15.7513878342479</v>
      </c>
      <c r="E63" s="3">
        <v>16.716295431776</v>
      </c>
      <c r="F63" s="3">
        <v>11.676902964391299</v>
      </c>
      <c r="G63" s="3">
        <v>19.811141898715299</v>
      </c>
      <c r="H63" s="3">
        <v>16.962676696898999</v>
      </c>
      <c r="I63" s="3">
        <v>14.3037955147066</v>
      </c>
      <c r="J63" s="3">
        <v>15.4059621451523</v>
      </c>
      <c r="K63" s="3">
        <v>10.3234324349643</v>
      </c>
      <c r="L63" s="3">
        <v>14.4812035266139</v>
      </c>
      <c r="M63" s="3">
        <v>15.2854887896266</v>
      </c>
      <c r="N63" s="3">
        <v>18.582217884733399</v>
      </c>
      <c r="O63" s="3">
        <v>21.631225913002599</v>
      </c>
      <c r="P63" s="3">
        <v>12.9270632988142</v>
      </c>
      <c r="Q63" s="3">
        <v>13.5646930193674</v>
      </c>
      <c r="R63" s="3">
        <v>16.1254643055799</v>
      </c>
      <c r="S63" s="3">
        <v>7.3696058836824996</v>
      </c>
      <c r="T63" s="3">
        <v>12.711186067870401</v>
      </c>
      <c r="U63" s="3">
        <v>19.610985375789799</v>
      </c>
      <c r="V63" s="3">
        <v>17.432216950087</v>
      </c>
    </row>
    <row r="64" spans="1:22" x14ac:dyDescent="0.35">
      <c r="A64" s="2">
        <v>43588</v>
      </c>
      <c r="B64" s="3">
        <v>12.7096795396898</v>
      </c>
      <c r="C64" s="3">
        <v>15.844790697814901</v>
      </c>
      <c r="D64" s="3">
        <v>15.5530511624684</v>
      </c>
      <c r="E64" s="3">
        <v>16.795710610922999</v>
      </c>
      <c r="F64" s="3">
        <v>11.6332291628982</v>
      </c>
      <c r="G64" s="3">
        <v>18.854325323011299</v>
      </c>
      <c r="H64" s="3">
        <v>16.891530773842302</v>
      </c>
      <c r="I64" s="3">
        <v>14.6578691230786</v>
      </c>
      <c r="J64" s="3">
        <v>15.3159627170976</v>
      </c>
      <c r="K64" s="3">
        <v>10.588207863198001</v>
      </c>
      <c r="L64" s="3">
        <v>14.128145860526899</v>
      </c>
      <c r="M64" s="3">
        <v>15.396209099391699</v>
      </c>
      <c r="N64" s="3">
        <v>18.3445218115484</v>
      </c>
      <c r="O64" s="3">
        <v>21.562287590376499</v>
      </c>
      <c r="P64" s="3">
        <v>12.937050574074499</v>
      </c>
      <c r="Q64" s="3">
        <v>13.7351751540794</v>
      </c>
      <c r="R64" s="3">
        <v>16.168627567823101</v>
      </c>
      <c r="S64" s="3">
        <v>7.2337272030150404</v>
      </c>
      <c r="T64" s="3">
        <v>12.839177721751501</v>
      </c>
      <c r="U64" s="3">
        <v>19.6626232813936</v>
      </c>
      <c r="V64" s="3">
        <v>17.5871038536771</v>
      </c>
    </row>
    <row r="65" spans="1:22" x14ac:dyDescent="0.35">
      <c r="A65" s="2">
        <v>43620</v>
      </c>
      <c r="B65" s="3">
        <v>12.417186533280001</v>
      </c>
      <c r="C65" s="3">
        <v>15.648700993199499</v>
      </c>
      <c r="D65" s="3">
        <v>15.386418939209801</v>
      </c>
      <c r="E65" s="3">
        <v>16.6702288107081</v>
      </c>
      <c r="F65" s="3">
        <v>11.330950102264399</v>
      </c>
      <c r="G65" s="3">
        <v>17.9980728047653</v>
      </c>
      <c r="H65" s="3">
        <v>17.069516287806401</v>
      </c>
      <c r="I65" s="3">
        <v>14.442145048332099</v>
      </c>
      <c r="J65" s="3">
        <v>15.0022926177481</v>
      </c>
      <c r="K65" s="3">
        <v>10.6369130565164</v>
      </c>
      <c r="L65" s="3">
        <v>14.132190501703199</v>
      </c>
      <c r="M65" s="3">
        <v>14.9480652998759</v>
      </c>
      <c r="N65" s="3">
        <v>18.214987485619801</v>
      </c>
      <c r="O65" s="3">
        <v>21.722954752282501</v>
      </c>
      <c r="P65" s="3">
        <v>12.371127691041</v>
      </c>
      <c r="Q65" s="3">
        <v>13.6007053911033</v>
      </c>
      <c r="R65" s="3">
        <v>16.038188129898899</v>
      </c>
      <c r="S65" s="3">
        <v>7.2051799969753496</v>
      </c>
      <c r="T65" s="3">
        <v>12.669531487336901</v>
      </c>
      <c r="U65" s="3">
        <v>19.345715138053301</v>
      </c>
      <c r="V65" s="3">
        <v>17.060550809974298</v>
      </c>
    </row>
    <row r="66" spans="1:22" x14ac:dyDescent="0.35">
      <c r="A66" s="2">
        <v>43649</v>
      </c>
      <c r="B66" s="3">
        <v>12.836873204144</v>
      </c>
      <c r="C66" s="3">
        <v>16.034672694009799</v>
      </c>
      <c r="D66" s="3">
        <v>15.634946558256701</v>
      </c>
      <c r="E66" s="3">
        <v>16.758838766501</v>
      </c>
      <c r="F66" s="3">
        <v>11.6484082622892</v>
      </c>
      <c r="G66" s="3">
        <v>17.780720602139301</v>
      </c>
      <c r="H66" s="3">
        <v>17.2817243091426</v>
      </c>
      <c r="I66" s="3">
        <v>14.8597141909207</v>
      </c>
      <c r="J66" s="3">
        <v>14.907742798211901</v>
      </c>
      <c r="K66" s="3">
        <v>11.048233282367701</v>
      </c>
      <c r="L66" s="3">
        <v>14.279392683563101</v>
      </c>
      <c r="M66" s="3">
        <v>14.926000223180401</v>
      </c>
      <c r="N66" s="3">
        <v>18.808764204051801</v>
      </c>
      <c r="O66" s="3">
        <v>21.5007606192361</v>
      </c>
      <c r="P66" s="3">
        <v>12.751158255605301</v>
      </c>
      <c r="Q66" s="3">
        <v>13.9057295783443</v>
      </c>
      <c r="R66" s="3">
        <v>16.4685438540841</v>
      </c>
      <c r="S66" s="3">
        <v>7.5704169708645104</v>
      </c>
      <c r="T66" s="3">
        <v>13.09958502359</v>
      </c>
      <c r="U66" s="3">
        <v>19.2059186236208</v>
      </c>
      <c r="V66" s="3">
        <v>17.5168388021197</v>
      </c>
    </row>
    <row r="67" spans="1:22" x14ac:dyDescent="0.35">
      <c r="A67" s="2">
        <v>43679</v>
      </c>
      <c r="B67" s="3">
        <v>12.464309598178801</v>
      </c>
      <c r="C67" s="3">
        <v>15.626662186092799</v>
      </c>
      <c r="D67" s="3">
        <v>15.975773823454601</v>
      </c>
      <c r="E67" s="3">
        <v>16.667920558875899</v>
      </c>
      <c r="F67" s="3">
        <v>11.221967759375801</v>
      </c>
      <c r="G67" s="3">
        <v>18.128076487598399</v>
      </c>
      <c r="H67" s="3">
        <v>16.976000809567399</v>
      </c>
      <c r="I67" s="3">
        <v>14.8864149475723</v>
      </c>
      <c r="J67" s="3">
        <v>14.370411758596401</v>
      </c>
      <c r="K67" s="3">
        <v>11.2091841876942</v>
      </c>
      <c r="L67" s="3">
        <v>14.514018272725</v>
      </c>
      <c r="M67" s="3">
        <v>14.5531808837447</v>
      </c>
      <c r="N67" s="3">
        <v>18.189407050513299</v>
      </c>
      <c r="O67" s="3">
        <v>20.876067839217399</v>
      </c>
      <c r="P67" s="3">
        <v>12.343771447761601</v>
      </c>
      <c r="Q67" s="3">
        <v>13.848845560959999</v>
      </c>
      <c r="R67" s="3">
        <v>16.2830148245123</v>
      </c>
      <c r="S67" s="3">
        <v>7.6711742201334401</v>
      </c>
      <c r="T67" s="3">
        <v>13.8987498940867</v>
      </c>
      <c r="U67" s="3">
        <v>18.664087186063799</v>
      </c>
      <c r="V67" s="3">
        <v>17.5665465273146</v>
      </c>
    </row>
    <row r="68" spans="1:22" x14ac:dyDescent="0.35">
      <c r="A68" s="2">
        <v>43712</v>
      </c>
      <c r="B68" s="3">
        <v>12.847210684713099</v>
      </c>
      <c r="C68" s="3">
        <v>15.597834730443999</v>
      </c>
      <c r="D68" s="3">
        <v>15.9038779467244</v>
      </c>
      <c r="E68" s="3">
        <v>15.4263991574188</v>
      </c>
      <c r="F68" s="3">
        <v>10.8277610214052</v>
      </c>
      <c r="G68" s="3">
        <v>17.862125439427299</v>
      </c>
      <c r="H68" s="3">
        <v>16.8580036375159</v>
      </c>
      <c r="I68" s="3">
        <v>15.192823278996499</v>
      </c>
      <c r="J68" s="3">
        <v>14.7730493920026</v>
      </c>
      <c r="K68" s="3">
        <v>11.478555915757299</v>
      </c>
      <c r="L68" s="3">
        <v>14.1744194563079</v>
      </c>
      <c r="M68" s="3">
        <v>14.0679743804565</v>
      </c>
      <c r="N68" s="3">
        <v>19.0211266466771</v>
      </c>
      <c r="O68" s="3">
        <v>20.936924291824202</v>
      </c>
      <c r="P68" s="3">
        <v>12.497304304135</v>
      </c>
      <c r="Q68" s="3">
        <v>13.8300254921415</v>
      </c>
      <c r="R68" s="3">
        <v>16.521201919713299</v>
      </c>
      <c r="S68" s="3">
        <v>7.8089601657582497</v>
      </c>
      <c r="T68" s="3">
        <v>14.246204919486299</v>
      </c>
      <c r="U68" s="3">
        <v>17.405081537666</v>
      </c>
      <c r="V68" s="3">
        <v>18.195280528615701</v>
      </c>
    </row>
    <row r="69" spans="1:22" x14ac:dyDescent="0.35">
      <c r="A69" s="2">
        <v>43742</v>
      </c>
      <c r="B69" s="3">
        <v>12.6748693927908</v>
      </c>
      <c r="C69" s="3">
        <v>16.734870280842301</v>
      </c>
      <c r="D69" s="3">
        <v>15.554747927115599</v>
      </c>
      <c r="E69" s="3">
        <v>15.0457233426378</v>
      </c>
      <c r="F69" s="3">
        <v>10.797176136252499</v>
      </c>
      <c r="G69" s="3">
        <v>16.8846902781791</v>
      </c>
      <c r="H69" s="3">
        <v>16.548336110218901</v>
      </c>
      <c r="I69" s="3">
        <v>15.651678595364</v>
      </c>
      <c r="J69" s="3">
        <v>15.216674215461699</v>
      </c>
      <c r="K69" s="3">
        <v>11.9116952151085</v>
      </c>
      <c r="L69" s="3">
        <v>14.3946586201897</v>
      </c>
      <c r="M69" s="3">
        <v>13.446469432674</v>
      </c>
      <c r="N69" s="3">
        <v>17.307810815883201</v>
      </c>
      <c r="O69" s="3">
        <v>21.099853630716201</v>
      </c>
      <c r="P69" s="3">
        <v>12.2829267850767</v>
      </c>
      <c r="Q69" s="3">
        <v>14.06398506631</v>
      </c>
      <c r="R69" s="3">
        <v>16.293850308682899</v>
      </c>
      <c r="S69" s="3">
        <v>8.0188565461333994</v>
      </c>
      <c r="T69" s="3">
        <v>13.7818015173329</v>
      </c>
      <c r="U69" s="3">
        <v>17.305997975561802</v>
      </c>
      <c r="V69" s="3">
        <v>18.1597312514685</v>
      </c>
    </row>
    <row r="70" spans="1:22" x14ac:dyDescent="0.35">
      <c r="A70" s="2">
        <v>43773</v>
      </c>
      <c r="B70" s="3">
        <v>13.1106612920929</v>
      </c>
      <c r="C70" s="3">
        <v>15.8629871836613</v>
      </c>
      <c r="D70" s="3">
        <v>16.004772543681799</v>
      </c>
      <c r="E70" s="3">
        <v>15.396596760203201</v>
      </c>
      <c r="F70" s="3">
        <v>11.2270429627119</v>
      </c>
      <c r="G70" s="3">
        <v>17.386609382907299</v>
      </c>
      <c r="H70" s="3">
        <v>16.8737040336636</v>
      </c>
      <c r="I70" s="3">
        <v>16.614984877851601</v>
      </c>
      <c r="J70" s="3">
        <v>15.5369974559936</v>
      </c>
      <c r="K70" s="3">
        <v>13.1897083506546</v>
      </c>
      <c r="L70" s="3">
        <v>15.5426217820368</v>
      </c>
      <c r="M70" s="3">
        <v>13.6936527714031</v>
      </c>
      <c r="N70" s="3">
        <v>15.7625677355721</v>
      </c>
      <c r="O70" s="3">
        <v>22.870761648313401</v>
      </c>
      <c r="P70" s="3">
        <v>12.6715080915389</v>
      </c>
      <c r="Q70" s="3">
        <v>14.0525723703152</v>
      </c>
      <c r="R70" s="3">
        <v>16.9197822370094</v>
      </c>
      <c r="S70" s="3">
        <v>7.9677345380297204</v>
      </c>
      <c r="T70" s="3">
        <v>14.361393378670099</v>
      </c>
      <c r="U70" s="3">
        <v>17.4853893336692</v>
      </c>
      <c r="V70" s="3">
        <v>17.988313330341299</v>
      </c>
    </row>
    <row r="71" spans="1:22" x14ac:dyDescent="0.35">
      <c r="A71" s="2">
        <v>43803</v>
      </c>
      <c r="B71" s="3">
        <v>13.669817199153</v>
      </c>
      <c r="C71" s="3">
        <v>15.376096250635401</v>
      </c>
      <c r="D71" s="3">
        <v>16.3441055798877</v>
      </c>
      <c r="E71" s="3">
        <v>14.723456393951301</v>
      </c>
      <c r="F71" s="3">
        <v>10.526691790274301</v>
      </c>
      <c r="G71" s="3">
        <v>16.253897894190398</v>
      </c>
      <c r="H71" s="3">
        <v>16.6820746870976</v>
      </c>
      <c r="I71" s="3">
        <v>16.539509436868201</v>
      </c>
      <c r="J71" s="3">
        <v>15.0999553405432</v>
      </c>
      <c r="K71" s="3">
        <v>13.347702388609401</v>
      </c>
      <c r="L71" s="3">
        <v>15.810872236243799</v>
      </c>
      <c r="M71" s="3">
        <v>13.9549134543003</v>
      </c>
      <c r="N71" s="3">
        <v>16.959133084466099</v>
      </c>
      <c r="O71" s="3">
        <v>23.075110224638099</v>
      </c>
      <c r="P71" s="3">
        <v>12.721970862197701</v>
      </c>
      <c r="Q71" s="3">
        <v>14.088867897361901</v>
      </c>
      <c r="R71" s="3">
        <v>16.872535436596898</v>
      </c>
      <c r="S71" s="3">
        <v>8.7517591763715306</v>
      </c>
      <c r="T71" s="3">
        <v>14.398188998087599</v>
      </c>
      <c r="U71" s="3">
        <v>17.608527280924601</v>
      </c>
      <c r="V71" s="3">
        <v>18.3733622360323</v>
      </c>
    </row>
    <row r="72" spans="1:22" x14ac:dyDescent="0.35">
      <c r="A72" s="2">
        <v>43833</v>
      </c>
      <c r="B72" s="3">
        <v>14.839579307842699</v>
      </c>
      <c r="C72" s="3">
        <v>15.567499964563901</v>
      </c>
      <c r="D72" s="3">
        <v>16.813377323676601</v>
      </c>
      <c r="E72" s="3">
        <v>15.082113330316201</v>
      </c>
      <c r="F72" s="3">
        <v>11.0834660238848</v>
      </c>
      <c r="G72" s="3">
        <v>17.0322652856355</v>
      </c>
      <c r="H72" s="3">
        <v>17.2509349334332</v>
      </c>
      <c r="I72" s="3">
        <v>17.619823725462702</v>
      </c>
      <c r="J72" s="3">
        <v>15.896244385923101</v>
      </c>
      <c r="K72" s="3">
        <v>14.4657869260041</v>
      </c>
      <c r="L72" s="3">
        <v>17.532385696345099</v>
      </c>
      <c r="M72" s="3">
        <v>14.7465320995271</v>
      </c>
      <c r="N72" s="3">
        <v>17.978853690144899</v>
      </c>
      <c r="O72" s="3">
        <v>23.536099988852602</v>
      </c>
      <c r="P72" s="3">
        <v>13.954813628927401</v>
      </c>
      <c r="Q72" s="3">
        <v>14.7681545796229</v>
      </c>
      <c r="R72" s="3">
        <v>17.1911254978058</v>
      </c>
      <c r="S72" s="3">
        <v>9.3743345738323498</v>
      </c>
      <c r="T72" s="3">
        <v>16.058807191866901</v>
      </c>
      <c r="U72" s="3">
        <v>17.034964435227799</v>
      </c>
      <c r="V72" s="3">
        <v>20.086085602373402</v>
      </c>
    </row>
    <row r="73" spans="1:22" x14ac:dyDescent="0.35">
      <c r="A73" s="2">
        <v>43865</v>
      </c>
      <c r="B73" s="3">
        <v>13.617125267215799</v>
      </c>
      <c r="C73" s="3">
        <v>14.989267787036599</v>
      </c>
      <c r="D73" s="3">
        <v>16.8081996876118</v>
      </c>
      <c r="E73" s="3">
        <v>13.823039458682</v>
      </c>
      <c r="F73" s="3">
        <v>11.1006628836525</v>
      </c>
      <c r="G73" s="3">
        <v>16.9356605539617</v>
      </c>
      <c r="H73" s="3">
        <v>16.320312867968099</v>
      </c>
      <c r="I73" s="3">
        <v>16.836742586610502</v>
      </c>
      <c r="J73" s="3">
        <v>16.124177140920899</v>
      </c>
      <c r="K73" s="3">
        <v>15.3226940023771</v>
      </c>
      <c r="L73" s="3">
        <v>17.064243187865401</v>
      </c>
      <c r="M73" s="3">
        <v>14.090213749972699</v>
      </c>
      <c r="N73" s="3">
        <v>17.560614260583701</v>
      </c>
      <c r="O73" s="3">
        <v>22.9142447860103</v>
      </c>
      <c r="P73" s="3">
        <v>13.3845988615303</v>
      </c>
      <c r="Q73" s="3">
        <v>14.785036725403099</v>
      </c>
      <c r="R73" s="3">
        <v>16.349712067226601</v>
      </c>
      <c r="S73" s="3">
        <v>9.7431497968181393</v>
      </c>
      <c r="T73" s="3">
        <v>15.366537990873701</v>
      </c>
      <c r="U73" s="3">
        <v>15.209076012546999</v>
      </c>
      <c r="V73" s="3">
        <v>19.050418865967199</v>
      </c>
    </row>
    <row r="74" spans="1:22" x14ac:dyDescent="0.35">
      <c r="A74" s="2">
        <v>43894</v>
      </c>
      <c r="B74" s="3">
        <v>14.3707301997624</v>
      </c>
      <c r="C74" s="3">
        <v>15.7503662051947</v>
      </c>
      <c r="D74" s="3">
        <v>15.1759451816206</v>
      </c>
      <c r="E74" s="3">
        <v>13.041243295617599</v>
      </c>
      <c r="F74" s="3">
        <v>9.7714453637198702</v>
      </c>
      <c r="G74" s="3">
        <v>16.685030834229799</v>
      </c>
      <c r="H74" s="3">
        <v>16.4306381741638</v>
      </c>
      <c r="I74" s="3">
        <v>16.373310030129701</v>
      </c>
      <c r="J74" s="3">
        <v>15.24586478538</v>
      </c>
      <c r="K74" s="3">
        <v>15.159815694425401</v>
      </c>
      <c r="L74" s="3">
        <v>17.0909593110283</v>
      </c>
      <c r="M74" s="3">
        <v>12.6979644467944</v>
      </c>
      <c r="N74" s="3">
        <v>12.569827713770101</v>
      </c>
      <c r="O74" s="3">
        <v>21.259583890294898</v>
      </c>
      <c r="P74" s="3">
        <v>13.0912198702118</v>
      </c>
      <c r="Q74" s="3">
        <v>13.830975396715001</v>
      </c>
      <c r="R74" s="3">
        <v>14.953867220875001</v>
      </c>
      <c r="S74" s="3">
        <v>8.4154989030223604</v>
      </c>
      <c r="T74" s="3">
        <v>14.6281732558221</v>
      </c>
      <c r="U74" s="3">
        <v>15.0398239937099</v>
      </c>
      <c r="V74" s="3">
        <v>17.600119424031401</v>
      </c>
    </row>
    <row r="75" spans="1:22" x14ac:dyDescent="0.35">
      <c r="A75" s="2">
        <v>43924</v>
      </c>
      <c r="B75" s="3">
        <v>14.026012929976</v>
      </c>
      <c r="C75" s="3">
        <v>15.018485836931699</v>
      </c>
      <c r="D75" s="3">
        <v>14.3048754736918</v>
      </c>
      <c r="E75" s="3">
        <v>12.395082702915101</v>
      </c>
      <c r="F75" s="3">
        <v>9.6719758019427502</v>
      </c>
      <c r="G75" s="3">
        <v>15.469617843098</v>
      </c>
      <c r="H75" s="3">
        <v>16.171483324008701</v>
      </c>
      <c r="I75" s="3">
        <v>15.956306772262099</v>
      </c>
      <c r="J75" s="3">
        <v>14.2809909548962</v>
      </c>
      <c r="K75" s="3">
        <v>14.5143701868809</v>
      </c>
      <c r="L75" s="3">
        <v>16.073732306948902</v>
      </c>
      <c r="M75" s="3">
        <v>11.954330248857801</v>
      </c>
      <c r="N75" s="3">
        <v>11.6407079346065</v>
      </c>
      <c r="O75" s="3">
        <v>19.919361876518199</v>
      </c>
      <c r="P75" s="3">
        <v>12.9259051819474</v>
      </c>
      <c r="Q75" s="3">
        <v>13.526948316953799</v>
      </c>
      <c r="R75" s="3">
        <v>14.673501546539301</v>
      </c>
      <c r="S75" s="3">
        <v>8.0187607975752098</v>
      </c>
      <c r="T75" s="3">
        <v>13.9345040210631</v>
      </c>
      <c r="U75" s="3">
        <v>14.4998210052399</v>
      </c>
      <c r="V75" s="3">
        <v>17.333484381079</v>
      </c>
    </row>
    <row r="76" spans="1:22" x14ac:dyDescent="0.35">
      <c r="A76" s="2">
        <v>43955</v>
      </c>
      <c r="B76" s="3">
        <v>14.307519026563</v>
      </c>
      <c r="C76" s="3">
        <v>15.158503524859301</v>
      </c>
      <c r="D76" s="3">
        <v>14.391975971122401</v>
      </c>
      <c r="E76" s="3">
        <v>12.905076930921</v>
      </c>
      <c r="F76" s="3">
        <v>10.756279749617599</v>
      </c>
      <c r="G76" s="3">
        <v>16.5361880083871</v>
      </c>
      <c r="H76" s="3">
        <v>16.5587112611545</v>
      </c>
      <c r="I76" s="3">
        <v>16.347908404658298</v>
      </c>
      <c r="J76" s="3">
        <v>15.551928063380499</v>
      </c>
      <c r="K76" s="3">
        <v>14.7903723609517</v>
      </c>
      <c r="L76" s="3">
        <v>16.782862232527801</v>
      </c>
      <c r="M76" s="3">
        <v>12.421573280315</v>
      </c>
      <c r="N76" s="3">
        <v>12.140753214084199</v>
      </c>
      <c r="O76" s="3">
        <v>20.892569907720901</v>
      </c>
      <c r="P76" s="3">
        <v>13.054423462845801</v>
      </c>
      <c r="Q76" s="3">
        <v>14.012498637333699</v>
      </c>
      <c r="R76" s="3">
        <v>15.664112131993299</v>
      </c>
      <c r="S76" s="3">
        <v>8.2048907932200699</v>
      </c>
      <c r="T76" s="3">
        <v>15.6289057927944</v>
      </c>
      <c r="U76" s="3">
        <v>15.261081778615999</v>
      </c>
      <c r="V76" s="3">
        <v>17.814132598966001</v>
      </c>
    </row>
    <row r="77" spans="1:22" x14ac:dyDescent="0.35">
      <c r="A77" s="2">
        <v>43986</v>
      </c>
      <c r="B77" s="3">
        <v>14.568818515486299</v>
      </c>
      <c r="C77" s="3">
        <v>15.929367400931101</v>
      </c>
      <c r="D77" s="3">
        <v>15.7635968771728</v>
      </c>
      <c r="E77" s="3">
        <v>15.2087475669131</v>
      </c>
      <c r="F77" s="3">
        <v>11.901952772404499</v>
      </c>
      <c r="G77" s="3">
        <v>18.705644241455602</v>
      </c>
      <c r="H77" s="3">
        <v>18.603768979761298</v>
      </c>
      <c r="I77" s="3">
        <v>16.9610724327447</v>
      </c>
      <c r="J77" s="3">
        <v>16.997134702557101</v>
      </c>
      <c r="K77" s="3">
        <v>15.507131879586099</v>
      </c>
      <c r="L77" s="3">
        <v>19.328758054373299</v>
      </c>
      <c r="M77" s="3">
        <v>12.8300011779197</v>
      </c>
      <c r="N77" s="3">
        <v>12.9472210225083</v>
      </c>
      <c r="O77" s="3">
        <v>22.256497294129801</v>
      </c>
      <c r="P77" s="3">
        <v>13.864967888526399</v>
      </c>
      <c r="Q77" s="3">
        <v>14.5696928242632</v>
      </c>
      <c r="R77" s="3">
        <v>17.874624192772</v>
      </c>
      <c r="S77" s="3">
        <v>9.3208684869087701</v>
      </c>
      <c r="T77" s="3">
        <v>15.8843447808917</v>
      </c>
      <c r="U77" s="3">
        <v>16.370806992648301</v>
      </c>
      <c r="V77" s="3">
        <v>19.206254540521201</v>
      </c>
    </row>
    <row r="78" spans="1:22" x14ac:dyDescent="0.35">
      <c r="A78" s="2">
        <v>44014</v>
      </c>
      <c r="B78" s="3">
        <v>15.2668028557563</v>
      </c>
      <c r="C78" s="3">
        <v>17.2816886465152</v>
      </c>
      <c r="D78" s="3">
        <v>16.832415176495299</v>
      </c>
      <c r="E78" s="3">
        <v>15.7428279853292</v>
      </c>
      <c r="F78" s="3">
        <v>11.468481538117601</v>
      </c>
      <c r="G78" s="3">
        <v>21.844100765013899</v>
      </c>
      <c r="H78" s="3">
        <v>19.076197188669099</v>
      </c>
      <c r="I78" s="3">
        <v>17.333413203891201</v>
      </c>
      <c r="J78" s="3">
        <v>18.1361507871447</v>
      </c>
      <c r="K78" s="3">
        <v>15.4030229854468</v>
      </c>
      <c r="L78" s="3">
        <v>29.2238404994409</v>
      </c>
      <c r="M78" s="3">
        <v>13.039874096535</v>
      </c>
      <c r="N78" s="3">
        <v>15.323437861901899</v>
      </c>
      <c r="O78" s="3">
        <v>23.7857669113593</v>
      </c>
      <c r="P78" s="3">
        <v>14.4716023500369</v>
      </c>
      <c r="Q78" s="3">
        <v>15.0766683615081</v>
      </c>
      <c r="R78" s="3">
        <v>18.785767711931399</v>
      </c>
      <c r="S78" s="3">
        <v>9.9664142265772906</v>
      </c>
      <c r="T78" s="3">
        <v>17.5472504835002</v>
      </c>
      <c r="U78" s="3">
        <v>16.080930797092002</v>
      </c>
      <c r="V78" s="3">
        <v>19.421588760415698</v>
      </c>
    </row>
    <row r="79" spans="1:22" x14ac:dyDescent="0.35">
      <c r="A79" s="2">
        <v>44047</v>
      </c>
      <c r="B79" s="3">
        <v>16.459424843183299</v>
      </c>
      <c r="C79" s="3">
        <v>18.696220982354198</v>
      </c>
      <c r="D79" s="3">
        <v>17.544695192313501</v>
      </c>
      <c r="E79" s="3">
        <v>15.8989183253537</v>
      </c>
      <c r="F79" s="3">
        <v>12.0859032462408</v>
      </c>
      <c r="G79" s="3">
        <v>24.4043645601215</v>
      </c>
      <c r="H79" s="3">
        <v>19.5806666314135</v>
      </c>
      <c r="I79" s="3">
        <v>17.921558212206801</v>
      </c>
      <c r="J79" s="3">
        <v>19.3745892991803</v>
      </c>
      <c r="K79" s="3">
        <v>15.8567326963909</v>
      </c>
      <c r="L79" s="3">
        <v>32.824725367391999</v>
      </c>
      <c r="M79" s="3">
        <v>13.4621310688125</v>
      </c>
      <c r="N79" s="3">
        <v>15.3379871170398</v>
      </c>
      <c r="O79" s="3">
        <v>25.1448598679575</v>
      </c>
      <c r="P79" s="3">
        <v>15.423029850962701</v>
      </c>
      <c r="Q79" s="3">
        <v>15.775258527195099</v>
      </c>
      <c r="R79" s="3">
        <v>19.6303865280696</v>
      </c>
      <c r="S79" s="3">
        <v>9.8471451809811992</v>
      </c>
      <c r="T79" s="3">
        <v>15.273142001225301</v>
      </c>
      <c r="U79" s="3">
        <v>16.604962281376</v>
      </c>
      <c r="V79" s="3">
        <v>20.0153237586816</v>
      </c>
    </row>
    <row r="80" spans="1:22" x14ac:dyDescent="0.35">
      <c r="A80" s="2">
        <v>44078</v>
      </c>
      <c r="B80" s="3">
        <v>17.108998542798599</v>
      </c>
      <c r="C80" s="3">
        <v>19.656021659065001</v>
      </c>
      <c r="D80" s="3">
        <v>19.0425409271996</v>
      </c>
      <c r="E80" s="3">
        <v>17.6551118985637</v>
      </c>
      <c r="F80" s="3">
        <v>12.6403651520474</v>
      </c>
      <c r="G80" s="3">
        <v>34.4664228055574</v>
      </c>
      <c r="H80" s="3">
        <v>20.3570479286196</v>
      </c>
      <c r="I80" s="3">
        <v>17.1178931698824</v>
      </c>
      <c r="J80" s="3">
        <v>19.4408707876382</v>
      </c>
      <c r="K80" s="3">
        <v>16.1621142249736</v>
      </c>
      <c r="L80" s="3">
        <v>35.275970408592698</v>
      </c>
      <c r="M80" s="3">
        <v>13.1609434311661</v>
      </c>
      <c r="N80" s="3">
        <v>16.357517040503801</v>
      </c>
      <c r="O80" s="3">
        <v>25.296079592705699</v>
      </c>
      <c r="P80" s="3">
        <v>15.8594403001815</v>
      </c>
      <c r="Q80" s="3">
        <v>16.127015482471901</v>
      </c>
      <c r="R80" s="3">
        <v>20.6475956133628</v>
      </c>
      <c r="S80" s="3">
        <v>10.351036701669001</v>
      </c>
      <c r="T80" s="3">
        <v>16.671146011841198</v>
      </c>
      <c r="U80" s="3">
        <v>18.107266695040799</v>
      </c>
      <c r="V80" s="3">
        <v>21.958517477428799</v>
      </c>
    </row>
    <row r="81" spans="1:22" x14ac:dyDescent="0.35">
      <c r="A81" s="2">
        <v>44106</v>
      </c>
      <c r="B81" s="3">
        <v>16.913269734114099</v>
      </c>
      <c r="C81" s="3">
        <v>19.3803427925595</v>
      </c>
      <c r="D81" s="3">
        <v>18.2771687977027</v>
      </c>
      <c r="E81" s="3">
        <v>19.559325981620301</v>
      </c>
      <c r="F81" s="3">
        <v>13.709563713777801</v>
      </c>
      <c r="G81" s="3">
        <v>38.488503117458301</v>
      </c>
      <c r="H81" s="3">
        <v>20.1992788241593</v>
      </c>
      <c r="I81" s="3">
        <v>17.004677623811201</v>
      </c>
      <c r="J81" s="3">
        <v>20.038355746311002</v>
      </c>
      <c r="K81" s="3">
        <v>15.9999557918304</v>
      </c>
      <c r="L81" s="3">
        <v>28.4159441241335</v>
      </c>
      <c r="M81" s="3">
        <v>13.210777217276499</v>
      </c>
      <c r="N81" s="3">
        <v>15.1149700622277</v>
      </c>
      <c r="O81" s="3">
        <v>26.0537502388663</v>
      </c>
      <c r="P81" s="3">
        <v>15.940989444682099</v>
      </c>
      <c r="Q81" s="3">
        <v>16.3099514559044</v>
      </c>
      <c r="R81" s="3">
        <v>20.923333804787799</v>
      </c>
      <c r="S81" s="3">
        <v>10.956516646418899</v>
      </c>
      <c r="T81" s="3">
        <v>15.920351321478501</v>
      </c>
      <c r="U81" s="3">
        <v>18.329125982416901</v>
      </c>
      <c r="V81" s="3">
        <v>24.592398103464198</v>
      </c>
    </row>
    <row r="82" spans="1:22" x14ac:dyDescent="0.35">
      <c r="A82" s="2">
        <v>44139</v>
      </c>
      <c r="B82" s="3">
        <v>17.693840226272499</v>
      </c>
      <c r="C82" s="3">
        <v>19.461564807336401</v>
      </c>
      <c r="D82" s="3">
        <v>19.805629861985999</v>
      </c>
      <c r="E82" s="3">
        <v>21.716717218207801</v>
      </c>
      <c r="F82" s="3">
        <v>16.753657816094201</v>
      </c>
      <c r="G82" s="3">
        <v>41.333449074941498</v>
      </c>
      <c r="H82" s="3">
        <v>19.703402752803001</v>
      </c>
      <c r="I82" s="3">
        <v>16.845190490983299</v>
      </c>
      <c r="J82" s="3">
        <v>20.911216779726999</v>
      </c>
      <c r="K82" s="3">
        <v>15.896126599290801</v>
      </c>
      <c r="L82" s="3">
        <v>28.494520781537599</v>
      </c>
      <c r="M82" s="3">
        <v>13.1856020646609</v>
      </c>
      <c r="N82" s="3">
        <v>13.7911601852537</v>
      </c>
      <c r="O82" s="3">
        <v>26.088129987518901</v>
      </c>
      <c r="P82" s="3">
        <v>17.3301246486824</v>
      </c>
      <c r="Q82" s="3">
        <v>16.690580679498002</v>
      </c>
      <c r="R82" s="3">
        <v>20.239921004235601</v>
      </c>
      <c r="S82" s="3">
        <v>12.503756488559301</v>
      </c>
      <c r="T82" s="3">
        <v>20.782192694658502</v>
      </c>
      <c r="U82" s="3">
        <v>18.611104173618799</v>
      </c>
      <c r="V82" s="3">
        <v>25.4947476891492</v>
      </c>
    </row>
    <row r="83" spans="1:22" x14ac:dyDescent="0.35">
      <c r="A83" s="2">
        <v>44169</v>
      </c>
      <c r="B83" s="3">
        <v>19.0704326403864</v>
      </c>
      <c r="C83" s="3">
        <v>23.611101196869299</v>
      </c>
      <c r="D83" s="3">
        <v>24.088679659635702</v>
      </c>
      <c r="E83" s="3">
        <v>24.4214986080489</v>
      </c>
      <c r="F83" s="3">
        <v>21.246773182086699</v>
      </c>
      <c r="G83" s="3">
        <v>50.216269601342603</v>
      </c>
      <c r="H83" s="3">
        <v>21.485080103422401</v>
      </c>
      <c r="I83" s="3">
        <v>17.532665498761201</v>
      </c>
      <c r="J83" s="3">
        <v>27.244792728218101</v>
      </c>
      <c r="K83" s="3">
        <v>18.534601952593601</v>
      </c>
      <c r="L83" s="3">
        <v>32.806282191914001</v>
      </c>
      <c r="M83" s="3">
        <v>13.559039158176599</v>
      </c>
      <c r="N83" s="3">
        <v>20.6050933419701</v>
      </c>
      <c r="O83" s="3">
        <v>31.210398633577601</v>
      </c>
      <c r="P83" s="3">
        <v>17.759931835136499</v>
      </c>
      <c r="Q83" s="3">
        <v>17.9069320540723</v>
      </c>
      <c r="R83" s="3">
        <v>25.058200674865802</v>
      </c>
      <c r="S83" s="3">
        <v>12.8386614442263</v>
      </c>
      <c r="T83" s="3">
        <v>24.676736005431799</v>
      </c>
      <c r="U83" s="3">
        <v>20.1649495045606</v>
      </c>
      <c r="V83" s="3">
        <v>27.562779958555499</v>
      </c>
    </row>
    <row r="84" spans="1:22" x14ac:dyDescent="0.35">
      <c r="A84" s="2">
        <v>44200</v>
      </c>
      <c r="B84" s="3">
        <v>20.4326666792557</v>
      </c>
      <c r="C84" s="3">
        <v>23.4458678819102</v>
      </c>
      <c r="D84" s="3">
        <v>25.1807503365686</v>
      </c>
      <c r="E84" s="3">
        <v>25.553317861793499</v>
      </c>
      <c r="F84" s="3">
        <v>22.826325914685299</v>
      </c>
      <c r="G84" s="3">
        <v>49.026555717342902</v>
      </c>
      <c r="H84" s="3">
        <v>20.718988411765601</v>
      </c>
      <c r="I84" s="3">
        <v>18.561074095106299</v>
      </c>
      <c r="J84" s="3">
        <v>32.705091043825298</v>
      </c>
      <c r="K84" s="3">
        <v>20.1744574129219</v>
      </c>
      <c r="L84" s="3">
        <v>36.486850235645903</v>
      </c>
      <c r="M84" s="3">
        <v>14.1256589114787</v>
      </c>
      <c r="N84" s="3">
        <v>19.427586393290898</v>
      </c>
      <c r="O84" s="3">
        <v>34.0858475294378</v>
      </c>
      <c r="P84" s="3">
        <v>18.3946374757213</v>
      </c>
      <c r="Q84" s="3">
        <v>17.387250073888399</v>
      </c>
      <c r="R84" s="3">
        <v>27.589951412814901</v>
      </c>
      <c r="S84" s="3">
        <v>14.386411280496599</v>
      </c>
      <c r="T84" s="3">
        <v>24.556156332637102</v>
      </c>
      <c r="U84" s="3">
        <v>23.295745616964101</v>
      </c>
      <c r="V84" s="3">
        <v>28.797036916868301</v>
      </c>
    </row>
    <row r="85" spans="1:22" x14ac:dyDescent="0.35">
      <c r="A85" s="2">
        <v>44231</v>
      </c>
      <c r="B85" s="3">
        <v>21.110068265102001</v>
      </c>
      <c r="C85" s="3">
        <v>25.9945817876795</v>
      </c>
      <c r="D85" s="3">
        <v>24.718609226558598</v>
      </c>
      <c r="E85" s="3">
        <v>24.351026314388101</v>
      </c>
      <c r="F85" s="3">
        <v>15.417799463450301</v>
      </c>
      <c r="G85" s="3">
        <v>46.969476162372302</v>
      </c>
      <c r="H85" s="3">
        <v>19.6682856043941</v>
      </c>
      <c r="I85" s="3">
        <v>18.693024503935</v>
      </c>
      <c r="J85" s="3">
        <v>29.7576392314289</v>
      </c>
      <c r="K85" s="3">
        <v>21.176001315796299</v>
      </c>
      <c r="L85" s="3">
        <v>28.852789362973098</v>
      </c>
      <c r="M85" s="3">
        <v>14.028663862490699</v>
      </c>
      <c r="N85" s="3">
        <v>17.032741955225202</v>
      </c>
      <c r="O85" s="3">
        <v>33.1368971683819</v>
      </c>
      <c r="P85" s="3">
        <v>21.157575960198098</v>
      </c>
      <c r="Q85" s="3">
        <v>17.1137177344939</v>
      </c>
      <c r="R85" s="3">
        <v>26.984828744543002</v>
      </c>
      <c r="S85" s="3">
        <v>13.3403469725594</v>
      </c>
      <c r="T85" s="3">
        <v>23.22675159884</v>
      </c>
      <c r="U85" s="3">
        <v>23.849066315453001</v>
      </c>
      <c r="V85" s="3">
        <v>26.030335624900101</v>
      </c>
    </row>
    <row r="86" spans="1:22" x14ac:dyDescent="0.35">
      <c r="A86" s="2">
        <v>44259</v>
      </c>
      <c r="B86" s="3">
        <v>20.0947234055898</v>
      </c>
      <c r="C86" s="3">
        <v>32.3082739678593</v>
      </c>
      <c r="D86" s="3">
        <v>24.0059160787008</v>
      </c>
      <c r="E86" s="3">
        <v>22.925313426971901</v>
      </c>
      <c r="F86" s="3">
        <v>17.106169338067399</v>
      </c>
      <c r="G86" s="3">
        <v>67.186310644054103</v>
      </c>
      <c r="H86" s="3">
        <v>19.737535498555399</v>
      </c>
      <c r="I86" s="3">
        <v>18.5656415388545</v>
      </c>
      <c r="J86" s="3">
        <v>27.333971312278202</v>
      </c>
      <c r="K86" s="3">
        <v>20.3972656767017</v>
      </c>
      <c r="L86" s="3">
        <v>20.559077938076801</v>
      </c>
      <c r="M86" s="3">
        <v>13.6253236493804</v>
      </c>
      <c r="N86" s="3">
        <v>17.805151115265598</v>
      </c>
      <c r="O86" s="3">
        <v>31.168810733941601</v>
      </c>
      <c r="P86" s="3">
        <v>19.745121984077102</v>
      </c>
      <c r="Q86" s="3">
        <v>16.834065171398599</v>
      </c>
      <c r="R86" s="3">
        <v>27.646443272990702</v>
      </c>
      <c r="S86" s="3">
        <v>12.079014163943199</v>
      </c>
      <c r="T86" s="3">
        <v>27.3621222266997</v>
      </c>
      <c r="U86" s="3">
        <v>24.348192665500601</v>
      </c>
      <c r="V86" s="3">
        <v>26.484356232706901</v>
      </c>
    </row>
    <row r="87" spans="1:22" x14ac:dyDescent="0.35">
      <c r="A87" s="2">
        <v>44287</v>
      </c>
      <c r="B87" s="3">
        <v>19.6955186142463</v>
      </c>
      <c r="C87" s="3">
        <v>30.5823235138167</v>
      </c>
      <c r="D87" s="3">
        <v>23.1340210880619</v>
      </c>
      <c r="E87" s="3">
        <v>22.109377354273001</v>
      </c>
      <c r="F87" s="3">
        <v>16.732293452097402</v>
      </c>
      <c r="G87" s="3">
        <v>62.008381264120501</v>
      </c>
      <c r="H87" s="3">
        <v>19.183609932935902</v>
      </c>
      <c r="I87" s="3">
        <v>18.3214756221562</v>
      </c>
      <c r="J87" s="3">
        <v>26.2719765077182</v>
      </c>
      <c r="K87" s="3">
        <v>19.7498963447207</v>
      </c>
      <c r="L87" s="3">
        <v>19.368117107138801</v>
      </c>
      <c r="M87" s="3">
        <v>13.313416040443499</v>
      </c>
      <c r="N87" s="3">
        <v>17.411672374544199</v>
      </c>
      <c r="O87" s="3">
        <v>30.4317880578825</v>
      </c>
      <c r="P87" s="3">
        <v>19.441019506057899</v>
      </c>
      <c r="Q87" s="3">
        <v>16.721679340922702</v>
      </c>
      <c r="R87" s="3">
        <v>27.031582713315402</v>
      </c>
      <c r="S87" s="3">
        <v>11.5455968192712</v>
      </c>
      <c r="T87" s="3">
        <v>26.1436084726082</v>
      </c>
      <c r="U87" s="3">
        <v>23.775543334210202</v>
      </c>
      <c r="V87" s="3">
        <v>26.035551145342801</v>
      </c>
    </row>
    <row r="88" spans="1:22" x14ac:dyDescent="0.35">
      <c r="A88" s="2">
        <v>44320</v>
      </c>
      <c r="B88" s="3">
        <v>19.364181070997301</v>
      </c>
      <c r="C88" s="3">
        <v>28.177525520105299</v>
      </c>
      <c r="D88" s="3">
        <v>22.464617082412001</v>
      </c>
      <c r="E88" s="3">
        <v>21.392827137129601</v>
      </c>
      <c r="F88" s="3">
        <v>16.284481832246101</v>
      </c>
      <c r="G88" s="3">
        <v>55.330465936537998</v>
      </c>
      <c r="H88" s="3">
        <v>18.542481542856301</v>
      </c>
      <c r="I88" s="3">
        <v>17.619124421528898</v>
      </c>
      <c r="J88" s="3">
        <v>24.950957895085001</v>
      </c>
      <c r="K88" s="3">
        <v>18.249966632237701</v>
      </c>
      <c r="L88" s="3">
        <v>17.950391654699601</v>
      </c>
      <c r="M88" s="3">
        <v>12.7060169099923</v>
      </c>
      <c r="N88" s="3">
        <v>17.4453184980689</v>
      </c>
      <c r="O88" s="3">
        <v>29.489040742218201</v>
      </c>
      <c r="P88" s="3">
        <v>18.970333455656199</v>
      </c>
      <c r="Q88" s="3">
        <v>16.523697960759701</v>
      </c>
      <c r="R88" s="3">
        <v>26.1300651682756</v>
      </c>
      <c r="S88" s="3">
        <v>10.937426556477099</v>
      </c>
      <c r="T88" s="3">
        <v>24.813216550494801</v>
      </c>
      <c r="U88" s="3">
        <v>22.977456888089499</v>
      </c>
      <c r="V88" s="3">
        <v>25.406027162252901</v>
      </c>
    </row>
    <row r="89" spans="1:22" x14ac:dyDescent="0.35">
      <c r="A89" s="2">
        <v>44351</v>
      </c>
      <c r="B89" s="3">
        <v>19.4421393129509</v>
      </c>
      <c r="C89" s="3">
        <v>25.494295956465201</v>
      </c>
      <c r="D89" s="3">
        <v>22.032839789021899</v>
      </c>
      <c r="E89" s="3">
        <v>21.6930844960036</v>
      </c>
      <c r="F89" s="3">
        <v>16.201868292027399</v>
      </c>
      <c r="G89" s="3">
        <v>49.543332863981</v>
      </c>
      <c r="H89" s="3">
        <v>17.847007572131901</v>
      </c>
      <c r="I89" s="3">
        <v>16.948586610745799</v>
      </c>
      <c r="J89" s="3">
        <v>23.953107876036398</v>
      </c>
      <c r="K89" s="3">
        <v>17.3761086274809</v>
      </c>
      <c r="L89" s="3">
        <v>17.109476843074798</v>
      </c>
      <c r="M89" s="3">
        <v>12.577282528448601</v>
      </c>
      <c r="N89" s="3">
        <v>17.163717156846701</v>
      </c>
      <c r="O89" s="3">
        <v>29.389685164174502</v>
      </c>
      <c r="P89" s="3">
        <v>18.944112154351998</v>
      </c>
      <c r="Q89" s="3">
        <v>16.2038861132121</v>
      </c>
      <c r="R89" s="3">
        <v>24.808639088945402</v>
      </c>
      <c r="S89" s="3">
        <v>10.378560840971801</v>
      </c>
      <c r="T89" s="3">
        <v>24.0306257875732</v>
      </c>
      <c r="U89" s="3">
        <v>23.183250041871698</v>
      </c>
      <c r="V89" s="3">
        <v>24.771268616618201</v>
      </c>
    </row>
    <row r="90" spans="1:22" x14ac:dyDescent="0.35">
      <c r="A90" s="2">
        <v>44379</v>
      </c>
      <c r="B90" s="3">
        <v>19.003402730266199</v>
      </c>
      <c r="C90" s="3">
        <v>23.5472280564104</v>
      </c>
      <c r="D90" s="3">
        <v>20.820142704592499</v>
      </c>
      <c r="E90" s="3">
        <v>21.416532942664102</v>
      </c>
      <c r="F90" s="3">
        <v>15.479593422476499</v>
      </c>
      <c r="G90" s="3">
        <v>43.580631825062603</v>
      </c>
      <c r="H90" s="3">
        <v>17.1646873842285</v>
      </c>
      <c r="I90" s="3">
        <v>16.5071596490179</v>
      </c>
      <c r="J90" s="3">
        <v>22.7988707580799</v>
      </c>
      <c r="K90" s="3">
        <v>16.5603408881021</v>
      </c>
      <c r="L90" s="3">
        <v>15.855521975114099</v>
      </c>
      <c r="M90" s="3">
        <v>11.9980563647593</v>
      </c>
      <c r="N90" s="3">
        <v>16.608100242036102</v>
      </c>
      <c r="O90" s="3">
        <v>28.889844441960101</v>
      </c>
      <c r="P90" s="3">
        <v>18.6159962438559</v>
      </c>
      <c r="Q90" s="3">
        <v>15.9284226717647</v>
      </c>
      <c r="R90" s="3">
        <v>23.691601526852999</v>
      </c>
      <c r="S90" s="3">
        <v>9.7394618921083804</v>
      </c>
      <c r="T90" s="3">
        <v>22.8888455835197</v>
      </c>
      <c r="U90" s="3">
        <v>22.589577348664999</v>
      </c>
      <c r="V90" s="3">
        <v>24.291236186491101</v>
      </c>
    </row>
    <row r="91" spans="1:22" x14ac:dyDescent="0.35">
      <c r="A91" s="2">
        <v>44412</v>
      </c>
      <c r="B91" s="3">
        <v>18.324488906005499</v>
      </c>
      <c r="C91" s="3">
        <v>20.4486736437795</v>
      </c>
      <c r="D91" s="3">
        <v>20.083440668063499</v>
      </c>
      <c r="E91" s="3">
        <v>20.314945065884601</v>
      </c>
      <c r="F91" s="3">
        <v>14.5987175004396</v>
      </c>
      <c r="G91" s="3">
        <v>36.793347501187597</v>
      </c>
      <c r="H91" s="3">
        <v>16.317430928854399</v>
      </c>
      <c r="I91" s="3">
        <v>15.760528313805301</v>
      </c>
      <c r="J91" s="3">
        <v>21.246573972112301</v>
      </c>
      <c r="K91" s="3">
        <v>15.3185891506263</v>
      </c>
      <c r="L91" s="3">
        <v>14.0483095588725</v>
      </c>
      <c r="M91" s="3">
        <v>11.6570534960751</v>
      </c>
      <c r="N91" s="3">
        <v>16.071564760776901</v>
      </c>
      <c r="O91" s="3">
        <v>28.9758486117701</v>
      </c>
      <c r="P91" s="3">
        <v>17.323438254169702</v>
      </c>
      <c r="Q91" s="3">
        <v>15.555978397299601</v>
      </c>
      <c r="R91" s="3">
        <v>22.535272726237601</v>
      </c>
      <c r="S91" s="3">
        <v>9.1221060120489206</v>
      </c>
      <c r="T91" s="3">
        <v>21.619419852594699</v>
      </c>
      <c r="U91" s="3">
        <v>21.523711669710799</v>
      </c>
      <c r="V91" s="3">
        <v>23.468140988599799</v>
      </c>
    </row>
    <row r="92" spans="1:22" x14ac:dyDescent="0.35">
      <c r="A92" s="2">
        <v>44442</v>
      </c>
      <c r="B92" s="3">
        <v>18.052586719670199</v>
      </c>
      <c r="C92" s="3">
        <v>18.792800336260601</v>
      </c>
      <c r="D92" s="3">
        <v>19.726732591803302</v>
      </c>
      <c r="E92" s="3">
        <v>20.502345756242601</v>
      </c>
      <c r="F92" s="3">
        <v>14.1650003505785</v>
      </c>
      <c r="G92" s="3">
        <v>32.1203402818863</v>
      </c>
      <c r="H92" s="3">
        <v>16.187310841639398</v>
      </c>
      <c r="I92" s="3">
        <v>15.000935831020501</v>
      </c>
      <c r="J92" s="3">
        <v>19.9964232856431</v>
      </c>
      <c r="K92" s="3">
        <v>14.160811848160799</v>
      </c>
      <c r="L92" s="3">
        <v>12.409623934813</v>
      </c>
      <c r="M92" s="3">
        <v>11.1302337979842</v>
      </c>
      <c r="N92" s="3">
        <v>15.408647307306699</v>
      </c>
      <c r="O92" s="3">
        <v>29.505429586495101</v>
      </c>
      <c r="P92" s="3">
        <v>16.991321807570198</v>
      </c>
      <c r="Q92" s="3">
        <v>15.4972314454248</v>
      </c>
      <c r="R92" s="3">
        <v>22.5598695905739</v>
      </c>
      <c r="S92" s="3">
        <v>8.4775939936758906</v>
      </c>
      <c r="T92" s="3">
        <v>20.701611808637299</v>
      </c>
      <c r="U92" s="3">
        <v>20.7090512059799</v>
      </c>
      <c r="V92" s="3">
        <v>22.970998857210301</v>
      </c>
    </row>
    <row r="93" spans="1:22" x14ac:dyDescent="0.35">
      <c r="A93" s="2">
        <v>44473</v>
      </c>
      <c r="B93" s="3">
        <v>17.791052425220901</v>
      </c>
      <c r="C93" s="3">
        <v>16.192109181306101</v>
      </c>
      <c r="D93" s="3">
        <v>19.217241117823299</v>
      </c>
      <c r="E93" s="3">
        <v>20.409169410599802</v>
      </c>
      <c r="F93" s="3">
        <v>13.912721060496899</v>
      </c>
      <c r="G93" s="3">
        <v>26.380043380870301</v>
      </c>
      <c r="H93" s="3">
        <v>15.408517005195099</v>
      </c>
      <c r="I93" s="3">
        <v>13.8440705331716</v>
      </c>
      <c r="J93" s="3">
        <v>18.2154409025222</v>
      </c>
      <c r="K93" s="3">
        <v>12.6882591744629</v>
      </c>
      <c r="L93" s="3">
        <v>10.7158297973512</v>
      </c>
      <c r="M93" s="3">
        <v>10.8123701440289</v>
      </c>
      <c r="N93" s="3">
        <v>13.478094327493499</v>
      </c>
      <c r="O93" s="3">
        <v>29.278876381117101</v>
      </c>
      <c r="P93" s="3">
        <v>15.6613563337607</v>
      </c>
      <c r="Q93" s="3">
        <v>15.5326816451048</v>
      </c>
      <c r="R93" s="3">
        <v>21.1854711756183</v>
      </c>
      <c r="S93" s="3">
        <v>7.6304269995462999</v>
      </c>
      <c r="T93" s="3">
        <v>19.509522577580601</v>
      </c>
      <c r="U93" s="3">
        <v>19.971962337127302</v>
      </c>
      <c r="V93" s="3">
        <v>22.0539056382787</v>
      </c>
    </row>
    <row r="94" spans="1:22" x14ac:dyDescent="0.35">
      <c r="A94" s="2">
        <v>44503</v>
      </c>
      <c r="B94" s="3">
        <v>17.855221622428999</v>
      </c>
      <c r="C94" s="3">
        <v>13.8699593801361</v>
      </c>
      <c r="D94" s="3">
        <v>18.345259404776002</v>
      </c>
      <c r="E94" s="3">
        <v>20.6580527053009</v>
      </c>
      <c r="F94" s="3">
        <v>13.5592100105642</v>
      </c>
      <c r="G94" s="3">
        <v>21.037637116887399</v>
      </c>
      <c r="H94" s="3">
        <v>14.9606483084426</v>
      </c>
      <c r="I94" s="3">
        <v>13.479685002250401</v>
      </c>
      <c r="J94" s="3">
        <v>17.0849891701356</v>
      </c>
      <c r="K94" s="3">
        <v>11.5055622984479</v>
      </c>
      <c r="L94" s="3">
        <v>9.1881617089472893</v>
      </c>
      <c r="M94" s="3">
        <v>10.8817343458885</v>
      </c>
      <c r="N94" s="3">
        <v>15.399464463827799</v>
      </c>
      <c r="O94" s="3">
        <v>29.114727030773</v>
      </c>
      <c r="P94" s="3">
        <v>19.008229529229599</v>
      </c>
      <c r="Q94" s="3">
        <v>15.768096025995501</v>
      </c>
      <c r="R94" s="3">
        <v>20.421563210790101</v>
      </c>
      <c r="S94" s="3">
        <v>7.3463267413138302</v>
      </c>
      <c r="T94" s="3">
        <v>18.890821929982799</v>
      </c>
      <c r="U94" s="3">
        <v>19.981549071852001</v>
      </c>
      <c r="V94" s="3">
        <v>21.549431700140399</v>
      </c>
    </row>
    <row r="95" spans="1:22" x14ac:dyDescent="0.35">
      <c r="A95" s="2">
        <v>44533</v>
      </c>
      <c r="B95" s="3">
        <v>18.254422734582501</v>
      </c>
      <c r="C95" s="3">
        <v>11.1967260225417</v>
      </c>
      <c r="D95" s="3">
        <v>17.417118034061598</v>
      </c>
      <c r="E95" s="3">
        <v>19.721722276093001</v>
      </c>
      <c r="F95" s="3">
        <v>11.4410384688621</v>
      </c>
      <c r="G95" s="3">
        <v>15.8571255342135</v>
      </c>
      <c r="H95" s="3">
        <v>15.253957097009501</v>
      </c>
      <c r="I95" s="3">
        <v>13.135233543995099</v>
      </c>
      <c r="J95" s="3">
        <v>15.442365679636</v>
      </c>
      <c r="K95" s="3">
        <v>10.4225654855518</v>
      </c>
      <c r="L95" s="3">
        <v>7.7374978557254801</v>
      </c>
      <c r="M95" s="3">
        <v>10.555326019596301</v>
      </c>
      <c r="N95" s="3">
        <v>12.7212041464515</v>
      </c>
      <c r="O95" s="3">
        <v>28.5516243684716</v>
      </c>
      <c r="P95" s="3">
        <v>14.6074066785218</v>
      </c>
      <c r="Q95" s="3">
        <v>15.0947764931237</v>
      </c>
      <c r="R95" s="3">
        <v>19.0353015238354</v>
      </c>
      <c r="S95" s="3">
        <v>7.4650518062342099</v>
      </c>
      <c r="T95" s="3">
        <v>18.100416529363599</v>
      </c>
      <c r="U95" s="3">
        <v>18.712613985206499</v>
      </c>
      <c r="V95" s="3">
        <v>19.5028751728047</v>
      </c>
    </row>
    <row r="96" spans="1:22" x14ac:dyDescent="0.35">
      <c r="A96" s="2">
        <v>44565</v>
      </c>
      <c r="B96" s="3">
        <v>18.062932603186699</v>
      </c>
      <c r="C96" s="3">
        <v>9.7581759796456709</v>
      </c>
      <c r="D96" s="3">
        <v>16.921810314730099</v>
      </c>
      <c r="E96" s="3">
        <v>19.191015595417898</v>
      </c>
      <c r="F96" s="3">
        <v>10.942492015896899</v>
      </c>
      <c r="G96" s="3">
        <v>11.6438312802774</v>
      </c>
      <c r="H96" s="3">
        <v>15.2589654386395</v>
      </c>
      <c r="I96" s="3">
        <v>13.1967371634451</v>
      </c>
      <c r="J96" s="3">
        <v>15.350684106903801</v>
      </c>
      <c r="K96" s="3">
        <v>9.5235758558288808</v>
      </c>
      <c r="L96" s="3">
        <v>6.4329112958655799</v>
      </c>
      <c r="M96" s="3">
        <v>10.5949222439921</v>
      </c>
      <c r="N96" s="3">
        <v>12.602761128333301</v>
      </c>
      <c r="O96" s="3">
        <v>29.1287056578132</v>
      </c>
      <c r="P96" s="3">
        <v>13.838926226202901</v>
      </c>
      <c r="Q96" s="3">
        <v>14.8681554283121</v>
      </c>
      <c r="R96" s="3">
        <v>19.1808595193557</v>
      </c>
      <c r="S96" s="3">
        <v>7.1219376178996097</v>
      </c>
      <c r="T96" s="3">
        <v>16.5752308420887</v>
      </c>
      <c r="U96" s="3">
        <v>18.495206060914501</v>
      </c>
      <c r="V96" s="3">
        <v>19.767559496988099</v>
      </c>
    </row>
    <row r="97" spans="1:22" x14ac:dyDescent="0.35">
      <c r="A97" s="2">
        <v>44596</v>
      </c>
      <c r="B97" s="3">
        <v>16.515829246162799</v>
      </c>
      <c r="C97" s="3">
        <v>9.2831451623285606</v>
      </c>
      <c r="D97" s="3">
        <v>17.0557916505193</v>
      </c>
      <c r="E97" s="3">
        <v>19.7908245279448</v>
      </c>
      <c r="F97" s="3">
        <v>11.402035150207199</v>
      </c>
      <c r="G97" s="3">
        <v>11.514429650154</v>
      </c>
      <c r="H97" s="3">
        <v>15.094343582338199</v>
      </c>
      <c r="I97" s="3">
        <v>12.470741017268001</v>
      </c>
      <c r="J97" s="3">
        <v>14.6219155550718</v>
      </c>
      <c r="K97" s="3">
        <v>9.2250602720423593</v>
      </c>
      <c r="L97" s="3">
        <v>7.0486657634659</v>
      </c>
      <c r="M97" s="3">
        <v>10.8245199768169</v>
      </c>
      <c r="N97" s="3">
        <v>-119.42437360597501</v>
      </c>
      <c r="O97" s="3">
        <v>28.126776676233298</v>
      </c>
      <c r="P97" s="3">
        <v>14.030476055783501</v>
      </c>
      <c r="Q97" s="3">
        <v>15.8215283666738</v>
      </c>
      <c r="R97" s="3">
        <v>18.9979966282819</v>
      </c>
      <c r="S97" s="3">
        <v>6.24247702908219</v>
      </c>
      <c r="T97" s="3">
        <v>16.840351507564598</v>
      </c>
      <c r="U97" s="3">
        <v>17.0164380130858</v>
      </c>
      <c r="V97" s="3">
        <v>20.833404662920199</v>
      </c>
    </row>
    <row r="98" spans="1:22" x14ac:dyDescent="0.35">
      <c r="A98" s="2">
        <v>44624</v>
      </c>
      <c r="B98" s="3">
        <v>16.587417353223401</v>
      </c>
      <c r="C98" s="3">
        <v>9.8725445031713495</v>
      </c>
      <c r="D98" s="3">
        <v>17.422183594007301</v>
      </c>
      <c r="E98" s="3">
        <v>19.322252308584801</v>
      </c>
      <c r="F98" s="3">
        <v>9.7762038278622292</v>
      </c>
      <c r="G98" s="3">
        <v>13.606364411298101</v>
      </c>
      <c r="H98" s="3">
        <v>15.9237402266663</v>
      </c>
      <c r="I98" s="3">
        <v>12.3623728843633</v>
      </c>
      <c r="J98" s="3">
        <v>15.004682345107</v>
      </c>
      <c r="K98" s="3">
        <v>9.3034308077451602</v>
      </c>
      <c r="L98" s="3">
        <v>7.0797878850284999</v>
      </c>
      <c r="M98" s="3">
        <v>11.1915624546173</v>
      </c>
      <c r="N98" s="3">
        <v>-95.3370042629994</v>
      </c>
      <c r="O98" s="3">
        <v>26.257693858163702</v>
      </c>
      <c r="P98" s="3">
        <v>12.958438432761801</v>
      </c>
      <c r="Q98" s="3">
        <v>16.324883176201901</v>
      </c>
      <c r="R98" s="3">
        <v>18.839970503100002</v>
      </c>
      <c r="S98" s="3">
        <v>5.9892757456788503</v>
      </c>
      <c r="T98" s="3">
        <v>17.368749056766099</v>
      </c>
      <c r="U98" s="3">
        <v>16.496418250338898</v>
      </c>
      <c r="V98" s="3">
        <v>21.466926592184102</v>
      </c>
    </row>
    <row r="99" spans="1:22" x14ac:dyDescent="0.35">
      <c r="A99" s="2">
        <v>44655</v>
      </c>
      <c r="B99" s="3">
        <v>16.196340428617599</v>
      </c>
      <c r="C99" s="3">
        <v>9.8573908169427398</v>
      </c>
      <c r="D99" s="3">
        <v>17.204060160104799</v>
      </c>
      <c r="E99" s="3">
        <v>18.888407913824398</v>
      </c>
      <c r="F99" s="3">
        <v>9.8074590604913308</v>
      </c>
      <c r="G99" s="3">
        <v>13.2338323062739</v>
      </c>
      <c r="H99" s="3">
        <v>15.921084085743599</v>
      </c>
      <c r="I99" s="3">
        <v>12.307199962565299</v>
      </c>
      <c r="J99" s="3">
        <v>15.123749771017801</v>
      </c>
      <c r="K99" s="3">
        <v>9.3742716521915099</v>
      </c>
      <c r="L99" s="3">
        <v>7.0640520176277697</v>
      </c>
      <c r="M99" s="3">
        <v>11.0736288458322</v>
      </c>
      <c r="N99" s="3">
        <v>-84.247286579876302</v>
      </c>
      <c r="O99" s="3">
        <v>26.2992121641457</v>
      </c>
      <c r="P99" s="3">
        <v>12.894663369571401</v>
      </c>
      <c r="Q99" s="3">
        <v>16.100123471464901</v>
      </c>
      <c r="R99" s="3">
        <v>18.811482620171098</v>
      </c>
      <c r="S99" s="3">
        <v>6.0066373056903801</v>
      </c>
      <c r="T99" s="3">
        <v>17.422493016041699</v>
      </c>
      <c r="U99" s="3">
        <v>16.3609165193504</v>
      </c>
      <c r="V99" s="3">
        <v>21.222502390893698</v>
      </c>
    </row>
    <row r="100" spans="1:22" x14ac:dyDescent="0.35">
      <c r="A100" s="2">
        <v>44685</v>
      </c>
      <c r="B100" s="3">
        <v>15.785066941338901</v>
      </c>
      <c r="C100" s="3">
        <v>9.5694939683708604</v>
      </c>
      <c r="D100" s="3">
        <v>16.898894240428699</v>
      </c>
      <c r="E100" s="3">
        <v>18.162403861852201</v>
      </c>
      <c r="F100" s="3">
        <v>9.0730575273620495</v>
      </c>
      <c r="G100" s="3">
        <v>12.363977009147501</v>
      </c>
      <c r="H100" s="3">
        <v>15.849255982391499</v>
      </c>
      <c r="I100" s="3">
        <v>12.0541278004529</v>
      </c>
      <c r="J100" s="3">
        <v>14.620826294271</v>
      </c>
      <c r="K100" s="3">
        <v>9.2191328673998694</v>
      </c>
      <c r="L100" s="3">
        <v>6.68448942692764</v>
      </c>
      <c r="M100" s="3">
        <v>10.6870201344405</v>
      </c>
      <c r="N100" s="3">
        <v>-73.828159553234599</v>
      </c>
      <c r="O100" s="3">
        <v>25.4771691244731</v>
      </c>
      <c r="P100" s="3">
        <v>12.635344621667</v>
      </c>
      <c r="Q100" s="3">
        <v>15.8410324133602</v>
      </c>
      <c r="R100" s="3">
        <v>18.4088687317895</v>
      </c>
      <c r="S100" s="3">
        <v>5.7783675019905196</v>
      </c>
      <c r="T100" s="3">
        <v>17.340947058295999</v>
      </c>
      <c r="U100" s="3">
        <v>15.7394001012894</v>
      </c>
      <c r="V100" s="3">
        <v>21.1912686233341</v>
      </c>
    </row>
    <row r="101" spans="1:22" x14ac:dyDescent="0.35">
      <c r="A101" s="2">
        <v>44715</v>
      </c>
      <c r="B101" s="3">
        <v>15.6454287732252</v>
      </c>
      <c r="C101" s="3">
        <v>8.6027477903390004</v>
      </c>
      <c r="D101" s="3">
        <v>16.2155257258906</v>
      </c>
      <c r="E101" s="3">
        <v>17.752825897400701</v>
      </c>
      <c r="F101" s="3">
        <v>8.5241825416591492</v>
      </c>
      <c r="G101" s="3">
        <v>11.7492753988532</v>
      </c>
      <c r="H101" s="3">
        <v>15.5801678801368</v>
      </c>
      <c r="I101" s="3">
        <v>11.983396810732099</v>
      </c>
      <c r="J101" s="3">
        <v>14.3322770941291</v>
      </c>
      <c r="K101" s="3">
        <v>9.2627896841043107</v>
      </c>
      <c r="L101" s="3">
        <v>6.6635709638799598</v>
      </c>
      <c r="M101" s="3">
        <v>10.5108163188026</v>
      </c>
      <c r="N101" s="3">
        <v>-63.323511440335601</v>
      </c>
      <c r="O101" s="3">
        <v>25.1270065447105</v>
      </c>
      <c r="P101" s="3">
        <v>12.712504083287399</v>
      </c>
      <c r="Q101" s="3">
        <v>15.1336595485931</v>
      </c>
      <c r="R101" s="3">
        <v>18.1636557218593</v>
      </c>
      <c r="S101" s="3">
        <v>5.8780838662291597</v>
      </c>
      <c r="T101" s="3">
        <v>16.591498863787098</v>
      </c>
      <c r="U101" s="3">
        <v>15.2358327783821</v>
      </c>
      <c r="V101" s="3">
        <v>20.0588811239232</v>
      </c>
    </row>
    <row r="102" spans="1:22" x14ac:dyDescent="0.35">
      <c r="A102" s="2">
        <v>44743</v>
      </c>
      <c r="B102" s="3">
        <v>16.033520679800201</v>
      </c>
      <c r="C102" s="3">
        <v>7.8971283446212297</v>
      </c>
      <c r="D102" s="3">
        <v>15.2079530707736</v>
      </c>
      <c r="E102" s="3">
        <v>16.746933270557999</v>
      </c>
      <c r="F102" s="3">
        <v>8.1058036475736994</v>
      </c>
      <c r="G102" s="3">
        <v>10.581489045021399</v>
      </c>
      <c r="H102" s="3">
        <v>15.1248462461333</v>
      </c>
      <c r="I102" s="3">
        <v>11.155165425485899</v>
      </c>
      <c r="J102" s="3">
        <v>13.7524268668577</v>
      </c>
      <c r="K102" s="3">
        <v>8.7854689050395098</v>
      </c>
      <c r="L102" s="3">
        <v>6.1940539894161102</v>
      </c>
      <c r="M102" s="3">
        <v>10.1410044940954</v>
      </c>
      <c r="N102" s="3">
        <v>-54.512756881650603</v>
      </c>
      <c r="O102" s="3">
        <v>24.2849393570845</v>
      </c>
      <c r="P102" s="3">
        <v>13.1092156524071</v>
      </c>
      <c r="Q102" s="3">
        <v>14.7195085338287</v>
      </c>
      <c r="R102" s="3">
        <v>17.4351418428861</v>
      </c>
      <c r="S102" s="3">
        <v>5.4681062746819302</v>
      </c>
      <c r="T102" s="3">
        <v>15.6117046908871</v>
      </c>
      <c r="U102" s="3">
        <v>14.122742145457501</v>
      </c>
      <c r="V102" s="3">
        <v>18.9506323156875</v>
      </c>
    </row>
    <row r="103" spans="1:22" x14ac:dyDescent="0.35">
      <c r="A103" s="2">
        <v>44777</v>
      </c>
      <c r="B103" s="3">
        <v>15.168143116203799</v>
      </c>
      <c r="C103" s="3">
        <v>7.5079410689224302</v>
      </c>
      <c r="D103" s="3">
        <v>15.046453447053301</v>
      </c>
      <c r="E103" s="3">
        <v>16.502216161498598</v>
      </c>
      <c r="F103" s="3">
        <v>7.16291181379182</v>
      </c>
      <c r="G103" s="3">
        <v>9.9923089062125197</v>
      </c>
      <c r="H103" s="3">
        <v>15.333564038547699</v>
      </c>
      <c r="I103" s="3">
        <v>11.0674846275703</v>
      </c>
      <c r="J103" s="3">
        <v>13.485708142179</v>
      </c>
      <c r="K103" s="3">
        <v>9.0359492876954093</v>
      </c>
      <c r="L103" s="3">
        <v>6.2719899093644296</v>
      </c>
      <c r="M103" s="3">
        <v>10.135250052382199</v>
      </c>
      <c r="N103" s="3">
        <v>-42.600418477675198</v>
      </c>
      <c r="O103" s="3">
        <v>25.4722416308751</v>
      </c>
      <c r="P103" s="3">
        <v>12.4645924781105</v>
      </c>
      <c r="Q103" s="3">
        <v>15.247639022878399</v>
      </c>
      <c r="R103" s="3">
        <v>17.296708091681399</v>
      </c>
      <c r="S103" s="3">
        <v>5.2700943899900397</v>
      </c>
      <c r="T103" s="3">
        <v>15.5533317311671</v>
      </c>
      <c r="U103" s="3">
        <v>13.996581745581199</v>
      </c>
      <c r="V103" s="3">
        <v>19.1075835945989</v>
      </c>
    </row>
    <row r="104" spans="1:22" x14ac:dyDescent="0.35">
      <c r="A104" s="2">
        <v>44806</v>
      </c>
      <c r="B104" s="3">
        <v>14.948089250945101</v>
      </c>
      <c r="C104" s="3">
        <v>7.2815439657539498</v>
      </c>
      <c r="D104" s="3">
        <v>14.693903671211</v>
      </c>
      <c r="E104" s="3">
        <v>16.198251193796001</v>
      </c>
      <c r="F104" s="3">
        <v>6.8874833767941999</v>
      </c>
      <c r="G104" s="3">
        <v>9.5300604510350801</v>
      </c>
      <c r="H104" s="3">
        <v>15.2200604185175</v>
      </c>
      <c r="I104" s="3">
        <v>10.987292422271601</v>
      </c>
      <c r="J104" s="3">
        <v>12.991286127011</v>
      </c>
      <c r="K104" s="3">
        <v>8.8131394217657402</v>
      </c>
      <c r="L104" s="3">
        <v>6.1732670670170604</v>
      </c>
      <c r="M104" s="3">
        <v>9.9557580706914894</v>
      </c>
      <c r="N104" s="3">
        <v>-33.783972225677502</v>
      </c>
      <c r="O104" s="3">
        <v>25.677052648462102</v>
      </c>
      <c r="P104" s="3">
        <v>12.431878225271999</v>
      </c>
      <c r="Q104" s="3">
        <v>14.726515556568099</v>
      </c>
      <c r="R104" s="3">
        <v>16.893783432268499</v>
      </c>
      <c r="S104" s="3">
        <v>5.1531668768647201</v>
      </c>
      <c r="T104" s="3">
        <v>15.099317208376901</v>
      </c>
      <c r="U104" s="3">
        <v>13.7489859110542</v>
      </c>
      <c r="V104" s="3">
        <v>18.504484235119101</v>
      </c>
    </row>
    <row r="105" spans="1:22" x14ac:dyDescent="0.35">
      <c r="A105" s="2">
        <v>44838</v>
      </c>
      <c r="B105" s="3">
        <v>14.1721827072402</v>
      </c>
      <c r="C105" s="3">
        <v>7.4603967843326</v>
      </c>
      <c r="D105" s="3">
        <v>14.192284392605799</v>
      </c>
      <c r="E105" s="3">
        <v>14.3916815337468</v>
      </c>
      <c r="F105" s="3">
        <v>6.16749043610952</v>
      </c>
      <c r="G105" s="3">
        <v>9.52464948370271</v>
      </c>
      <c r="H105" s="3">
        <v>14.530095940153</v>
      </c>
      <c r="I105" s="3">
        <v>10.3101635720994</v>
      </c>
      <c r="J105" s="3">
        <v>12.8598615216751</v>
      </c>
      <c r="K105" s="3">
        <v>8.4624029787833592</v>
      </c>
      <c r="L105" s="3">
        <v>6.2863023165383298</v>
      </c>
      <c r="M105" s="3">
        <v>9.6281944829514092</v>
      </c>
      <c r="N105" s="3">
        <v>-23.1692855453067</v>
      </c>
      <c r="O105" s="3">
        <v>25.096676511776199</v>
      </c>
      <c r="P105" s="3">
        <v>11.4620921020454</v>
      </c>
      <c r="Q105" s="3">
        <v>14.5571735890321</v>
      </c>
      <c r="R105" s="3">
        <v>16.282355283706099</v>
      </c>
      <c r="S105" s="3">
        <v>5.02942334406674</v>
      </c>
      <c r="T105" s="3">
        <v>14.585337887124</v>
      </c>
      <c r="U105" s="3">
        <v>12.8641459672086</v>
      </c>
      <c r="V105" s="3">
        <v>17.794870784968499</v>
      </c>
    </row>
    <row r="106" spans="1:22" x14ac:dyDescent="0.35">
      <c r="A106" s="2">
        <v>44869</v>
      </c>
      <c r="B106" s="3">
        <v>14.1840753645834</v>
      </c>
      <c r="C106" s="3">
        <v>7.2458748487821998</v>
      </c>
      <c r="D106" s="3">
        <v>13.645544499269199</v>
      </c>
      <c r="E106" s="3">
        <v>13.986531733766499</v>
      </c>
      <c r="F106" s="3">
        <v>6.3719999346331599</v>
      </c>
      <c r="G106" s="3">
        <v>9.9802626378528405</v>
      </c>
      <c r="H106" s="3">
        <v>14.6188289631757</v>
      </c>
      <c r="I106" s="3">
        <v>9.9620959296045903</v>
      </c>
      <c r="J106" s="3">
        <v>13.701523109471401</v>
      </c>
      <c r="K106" s="3">
        <v>9.3494012848663406</v>
      </c>
      <c r="L106" s="3">
        <v>6.3343265615893696</v>
      </c>
      <c r="M106" s="3">
        <v>9.9243593027255805</v>
      </c>
      <c r="N106" s="3">
        <v>-12.971391829291401</v>
      </c>
      <c r="O106" s="3">
        <v>26.077160901481399</v>
      </c>
      <c r="P106" s="3">
        <v>10.889797008410699</v>
      </c>
      <c r="Q106" s="3">
        <v>13.7767858867382</v>
      </c>
      <c r="R106" s="3">
        <v>16.428081922528399</v>
      </c>
      <c r="S106" s="3">
        <v>5.2185525747300296</v>
      </c>
      <c r="T106" s="3">
        <v>14.1485920845113</v>
      </c>
      <c r="U106" s="3">
        <v>11.7794069989782</v>
      </c>
      <c r="V106" s="3">
        <v>17.101255377358399</v>
      </c>
    </row>
    <row r="107" spans="1:22" x14ac:dyDescent="0.35">
      <c r="A107" s="2">
        <v>44897</v>
      </c>
      <c r="B107" s="3">
        <v>14.398747083812999</v>
      </c>
      <c r="C107" s="3">
        <v>5.8073029472353301</v>
      </c>
      <c r="D107" s="3">
        <v>13.296403793091599</v>
      </c>
      <c r="E107" s="3">
        <v>14.097966337698599</v>
      </c>
      <c r="F107" s="3">
        <v>6.0635657448912497</v>
      </c>
      <c r="G107" s="3">
        <v>10.051282017410699</v>
      </c>
      <c r="H107" s="3">
        <v>14.9102085903782</v>
      </c>
      <c r="I107" s="3">
        <v>11.2602214188543</v>
      </c>
      <c r="J107" s="3">
        <v>13.477201086533601</v>
      </c>
      <c r="K107" s="3">
        <v>9.9138752845484408</v>
      </c>
      <c r="L107" s="3">
        <v>5.8802645856704698</v>
      </c>
      <c r="M107" s="3">
        <v>10.199098678705701</v>
      </c>
      <c r="N107" s="3">
        <v>-3.4902277709875702</v>
      </c>
      <c r="O107" s="3">
        <v>27.0358855525099</v>
      </c>
      <c r="P107" s="3">
        <v>12.050852842154701</v>
      </c>
      <c r="Q107" s="3">
        <v>13.5811018033019</v>
      </c>
      <c r="R107" s="3">
        <v>16.849499208323099</v>
      </c>
      <c r="S107" s="3">
        <v>5.12784709313945</v>
      </c>
      <c r="T107" s="3">
        <v>13.752170203392501</v>
      </c>
      <c r="U107" s="3">
        <v>13.377974062950001</v>
      </c>
      <c r="V107" s="3">
        <v>16.281873335280999</v>
      </c>
    </row>
    <row r="108" spans="1:22" x14ac:dyDescent="0.35">
      <c r="A108" s="2">
        <v>44930</v>
      </c>
      <c r="B108" s="3">
        <v>14.0635024212894</v>
      </c>
      <c r="C108" s="3">
        <v>5.28253496928202</v>
      </c>
      <c r="D108" s="3">
        <v>12.2254912737355</v>
      </c>
      <c r="E108" s="3">
        <v>14.118645098853101</v>
      </c>
      <c r="F108" s="3">
        <v>6.0935732102919804</v>
      </c>
      <c r="G108" s="3">
        <v>9.5074403074082294</v>
      </c>
      <c r="H108" s="3">
        <v>14.742944267555901</v>
      </c>
      <c r="I108" s="3">
        <v>10.7369189006646</v>
      </c>
      <c r="J108" s="3">
        <v>13.109181870537601</v>
      </c>
      <c r="K108" s="3">
        <v>9.4660146714278302</v>
      </c>
      <c r="L108" s="3">
        <v>5.4627172816906198</v>
      </c>
      <c r="M108" s="3">
        <v>10.422621638760299</v>
      </c>
      <c r="N108" s="3">
        <v>6.25677197683813</v>
      </c>
      <c r="O108" s="3">
        <v>25.908396996644399</v>
      </c>
      <c r="P108" s="3">
        <v>12.988369524988499</v>
      </c>
      <c r="Q108" s="3">
        <v>12.180497159881201</v>
      </c>
      <c r="R108" s="3">
        <v>16.954035880734299</v>
      </c>
      <c r="S108" s="3">
        <v>5.7665635994180597</v>
      </c>
      <c r="T108" s="3">
        <v>12.560104024646799</v>
      </c>
      <c r="U108" s="3">
        <v>11.721783661095101</v>
      </c>
      <c r="V108" s="3">
        <v>15.6395660318605</v>
      </c>
    </row>
    <row r="109" spans="1:22" x14ac:dyDescent="0.35">
      <c r="A109" s="2">
        <v>44960</v>
      </c>
      <c r="B109" s="3">
        <v>14.9387026999649</v>
      </c>
      <c r="C109" s="3">
        <v>5.9434757571053698</v>
      </c>
      <c r="D109" s="3">
        <v>12.507820006737999</v>
      </c>
      <c r="E109" s="3">
        <v>14.4553259390582</v>
      </c>
      <c r="F109" s="3">
        <v>5.5717441051826304</v>
      </c>
      <c r="G109" s="3">
        <v>10.0329031524555</v>
      </c>
      <c r="H109" s="3">
        <v>14.856343733408901</v>
      </c>
      <c r="I109" s="3">
        <v>12.214951909503201</v>
      </c>
      <c r="J109" s="3">
        <v>14.0058469266577</v>
      </c>
      <c r="K109" s="3">
        <v>10.440869051663</v>
      </c>
      <c r="L109" s="3">
        <v>5.7895941400498998</v>
      </c>
      <c r="M109" s="3">
        <v>10.853735943252101</v>
      </c>
      <c r="N109" s="3">
        <v>7.4160311398555496</v>
      </c>
      <c r="O109" s="3">
        <v>24.972673947005902</v>
      </c>
      <c r="P109" s="3">
        <v>13.466665486040799</v>
      </c>
      <c r="Q109" s="3">
        <v>12.063658904513</v>
      </c>
      <c r="R109" s="3">
        <v>17.494904211133001</v>
      </c>
      <c r="S109" s="3">
        <v>4.9680647543551597</v>
      </c>
      <c r="T109" s="3">
        <v>12.482913414899199</v>
      </c>
      <c r="U109" s="3">
        <v>12.371065332031799</v>
      </c>
      <c r="V109" s="3">
        <v>15.953154905928599</v>
      </c>
    </row>
    <row r="110" spans="1:22" x14ac:dyDescent="0.35">
      <c r="A110" s="2">
        <v>44988</v>
      </c>
      <c r="B110" s="3">
        <v>14.631181000841501</v>
      </c>
      <c r="C110" s="3">
        <v>5.8817018952001003</v>
      </c>
      <c r="D110" s="3">
        <v>12.0345977684643</v>
      </c>
      <c r="E110" s="3">
        <v>13.2612789746702</v>
      </c>
      <c r="F110" s="3">
        <v>6.0031293330224296</v>
      </c>
      <c r="G110" s="3">
        <v>9.4355361633921895</v>
      </c>
      <c r="H110" s="3">
        <v>14.8639236334665</v>
      </c>
      <c r="I110" s="3">
        <v>12.479991740065699</v>
      </c>
      <c r="J110" s="3">
        <v>14.6454476152628</v>
      </c>
      <c r="K110" s="3">
        <v>11.0503576959082</v>
      </c>
      <c r="L110" s="3">
        <v>5.5423163268439204</v>
      </c>
      <c r="M110" s="3">
        <v>10.3062064076585</v>
      </c>
      <c r="N110" s="3">
        <v>7.8209540806987299</v>
      </c>
      <c r="O110" s="3">
        <v>24.166002569205499</v>
      </c>
      <c r="P110" s="3">
        <v>12.4478961659559</v>
      </c>
      <c r="Q110" s="3">
        <v>11.811425136305701</v>
      </c>
      <c r="R110" s="3">
        <v>17.4303903589906</v>
      </c>
      <c r="S110" s="3">
        <v>4.9810428954935499</v>
      </c>
      <c r="T110" s="3">
        <v>12.2447255649385</v>
      </c>
      <c r="U110" s="3">
        <v>12.283061471560099</v>
      </c>
      <c r="V110" s="3">
        <v>15.252332368096001</v>
      </c>
    </row>
    <row r="111" spans="1:22" x14ac:dyDescent="0.35">
      <c r="A111" s="2">
        <v>45020</v>
      </c>
      <c r="B111" s="3">
        <v>14.4689853325477</v>
      </c>
      <c r="C111" s="3">
        <v>5.8812703826248596</v>
      </c>
      <c r="D111" s="3">
        <v>12.080771070256899</v>
      </c>
      <c r="E111" s="3">
        <v>13.1139157540727</v>
      </c>
      <c r="F111" s="3">
        <v>5.9641098664271297</v>
      </c>
      <c r="G111" s="3">
        <v>9.5305359891244397</v>
      </c>
      <c r="H111" s="3">
        <v>14.6944040101562</v>
      </c>
      <c r="I111" s="3">
        <v>12.9660759486539</v>
      </c>
      <c r="J111" s="3">
        <v>14.4588044499329</v>
      </c>
      <c r="K111" s="3">
        <v>11.645166323122201</v>
      </c>
      <c r="L111" s="3">
        <v>5.6181589417087299</v>
      </c>
      <c r="M111" s="3">
        <v>10.264879582050201</v>
      </c>
      <c r="N111" s="3">
        <v>7.63977267764455</v>
      </c>
      <c r="O111" s="3">
        <v>23.7865003938314</v>
      </c>
      <c r="P111" s="3">
        <v>12.323254385599901</v>
      </c>
      <c r="Q111" s="3">
        <v>11.787569680371901</v>
      </c>
      <c r="R111" s="3">
        <v>17.298255679452499</v>
      </c>
      <c r="S111" s="3">
        <v>4.9803414549478697</v>
      </c>
      <c r="T111" s="3">
        <v>12.0521061443274</v>
      </c>
      <c r="U111" s="3">
        <v>12.8388320886034</v>
      </c>
      <c r="V111" s="3">
        <v>15.590074442622599</v>
      </c>
    </row>
    <row r="112" spans="1:22" x14ac:dyDescent="0.35">
      <c r="A112" s="2">
        <v>45050</v>
      </c>
      <c r="B112" s="3">
        <v>14.3140481524153</v>
      </c>
      <c r="C112" s="3">
        <v>6.1869925330017201</v>
      </c>
      <c r="D112" s="3">
        <v>12.1593004227073</v>
      </c>
      <c r="E112" s="3">
        <v>12.989937706277001</v>
      </c>
      <c r="F112" s="3">
        <v>6.0793972931379896</v>
      </c>
      <c r="G112" s="3">
        <v>9.5484443456184707</v>
      </c>
      <c r="H112" s="3">
        <v>14.564449900081399</v>
      </c>
      <c r="I112" s="3">
        <v>13.3883719405961</v>
      </c>
      <c r="J112" s="3">
        <v>14.212043714003</v>
      </c>
      <c r="K112" s="3">
        <v>12.0644001883912</v>
      </c>
      <c r="L112" s="3">
        <v>5.7401726104076802</v>
      </c>
      <c r="M112" s="3">
        <v>10.169845182229</v>
      </c>
      <c r="N112" s="3">
        <v>7.5349629320768701</v>
      </c>
      <c r="O112" s="3">
        <v>23.873288549978302</v>
      </c>
      <c r="P112" s="3">
        <v>12.090748132908001</v>
      </c>
      <c r="Q112" s="3">
        <v>11.8277912599034</v>
      </c>
      <c r="R112" s="3">
        <v>17.081899463152201</v>
      </c>
      <c r="S112" s="3">
        <v>4.7493085058123299</v>
      </c>
      <c r="T112" s="3">
        <v>12.078925041527199</v>
      </c>
      <c r="U112" s="3">
        <v>12.9102854628212</v>
      </c>
      <c r="V112" s="3">
        <v>15.877772572031001</v>
      </c>
    </row>
    <row r="113" spans="1:37" x14ac:dyDescent="0.35">
      <c r="A113" s="2">
        <v>45079</v>
      </c>
      <c r="B113" s="3">
        <v>14.065311421330099</v>
      </c>
      <c r="C113" s="3">
        <v>6.6047324546342701</v>
      </c>
      <c r="D113" s="3">
        <v>12.790573524051</v>
      </c>
      <c r="E113" s="3">
        <v>12.2931642258437</v>
      </c>
      <c r="F113" s="3">
        <v>6.4305347798152601</v>
      </c>
      <c r="G113" s="3">
        <v>9.6922841291780504</v>
      </c>
      <c r="H113" s="3">
        <v>14.531200085045199</v>
      </c>
      <c r="I113" s="3">
        <v>14.3966426230858</v>
      </c>
      <c r="J113" s="3">
        <v>13.732272101730899</v>
      </c>
      <c r="K113" s="3">
        <v>12.456852973363899</v>
      </c>
      <c r="L113" s="3">
        <v>6.2058418440407497</v>
      </c>
      <c r="M113" s="3">
        <v>9.9980443835416892</v>
      </c>
      <c r="N113" s="3">
        <v>7.7015658868147696</v>
      </c>
      <c r="O113" s="3">
        <v>23.977842762152299</v>
      </c>
      <c r="P113" s="3">
        <v>11.856628798359599</v>
      </c>
      <c r="Q113" s="3">
        <v>11.701850849638999</v>
      </c>
      <c r="R113" s="3">
        <v>17.121091693093</v>
      </c>
      <c r="S113" s="3">
        <v>4.9253705370218102</v>
      </c>
      <c r="T113" s="3">
        <v>11.8043809496831</v>
      </c>
      <c r="U113" s="3">
        <v>13.6710176131939</v>
      </c>
      <c r="V113" s="3">
        <v>16.182543932874999</v>
      </c>
    </row>
    <row r="114" spans="1:37" x14ac:dyDescent="0.35">
      <c r="A114" s="2">
        <v>45110</v>
      </c>
      <c r="B114" s="3">
        <v>13.929661639148501</v>
      </c>
      <c r="C114" s="3">
        <v>7.1076822797961201</v>
      </c>
      <c r="D114" s="3">
        <v>13.009404948299499</v>
      </c>
      <c r="E114" s="3">
        <v>12.0141173907774</v>
      </c>
      <c r="F114" s="3">
        <v>6.6909567542502302</v>
      </c>
      <c r="G114" s="3">
        <v>10.0997210929447</v>
      </c>
      <c r="H114" s="3">
        <v>14.5533547278994</v>
      </c>
      <c r="I114" s="3">
        <v>15.096457263943</v>
      </c>
      <c r="J114" s="3">
        <v>13.5992105536561</v>
      </c>
      <c r="K114" s="3">
        <v>12.669561685872299</v>
      </c>
      <c r="L114" s="3">
        <v>6.8299326454778004</v>
      </c>
      <c r="M114" s="3">
        <v>10.318790410050701</v>
      </c>
      <c r="N114" s="3">
        <v>7.9614109910949997</v>
      </c>
      <c r="O114" s="3">
        <v>24.286756122638099</v>
      </c>
      <c r="P114" s="3">
        <v>11.8741420748621</v>
      </c>
      <c r="Q114" s="3">
        <v>11.748141738216001</v>
      </c>
      <c r="R114" s="3">
        <v>17.111964015830399</v>
      </c>
      <c r="S114" s="3">
        <v>5.4048734750939103</v>
      </c>
      <c r="T114" s="3">
        <v>11.8255856869647</v>
      </c>
      <c r="U114" s="3">
        <v>13.4104861418138</v>
      </c>
      <c r="V114" s="3">
        <v>16.957170503104699</v>
      </c>
    </row>
    <row r="115" spans="1:37" x14ac:dyDescent="0.35">
      <c r="A115" s="2">
        <v>45142</v>
      </c>
      <c r="B115" s="3">
        <v>14.0463601602958</v>
      </c>
      <c r="C115" s="3">
        <v>7.7440708215046001</v>
      </c>
      <c r="D115" s="3">
        <v>13.261589705805401</v>
      </c>
      <c r="E115" s="3">
        <v>11.6933448137556</v>
      </c>
      <c r="F115" s="3">
        <v>6.7050910713901999</v>
      </c>
      <c r="G115" s="3">
        <v>11.005114814267399</v>
      </c>
      <c r="H115" s="3">
        <v>14.730941196226199</v>
      </c>
      <c r="I115" s="3">
        <v>15.901246841037199</v>
      </c>
      <c r="J115" s="3">
        <v>13.4084799167025</v>
      </c>
      <c r="K115" s="3">
        <v>13.079544814075501</v>
      </c>
      <c r="L115" s="3">
        <v>7.0692373623148299</v>
      </c>
      <c r="M115" s="3">
        <v>10.6150540028019</v>
      </c>
      <c r="N115" s="3">
        <v>7.9171886114789398</v>
      </c>
      <c r="O115" s="3">
        <v>23.863155423906399</v>
      </c>
      <c r="P115" s="3">
        <v>12.1340567285989</v>
      </c>
      <c r="Q115" s="3">
        <v>12.2478242894056</v>
      </c>
      <c r="R115" s="3">
        <v>17.2840940209202</v>
      </c>
      <c r="S115" s="3">
        <v>6.1338579294640603</v>
      </c>
      <c r="T115" s="3">
        <v>11.7965808432402</v>
      </c>
      <c r="U115" s="3">
        <v>14.3132236837144</v>
      </c>
      <c r="V115" s="3">
        <v>17.282597925766201</v>
      </c>
    </row>
    <row r="116" spans="1:37" x14ac:dyDescent="0.35">
      <c r="A116" s="2">
        <v>45170</v>
      </c>
      <c r="B116" s="3">
        <v>13.987206973767501</v>
      </c>
      <c r="C116" s="3">
        <v>7.8775249697104401</v>
      </c>
      <c r="D116" s="3">
        <v>13.653342328483401</v>
      </c>
      <c r="E116" s="3">
        <v>11.0585362374976</v>
      </c>
      <c r="F116" s="3">
        <v>7.0539588131932396</v>
      </c>
      <c r="G116" s="3">
        <v>11.040923658454799</v>
      </c>
      <c r="H116" s="3">
        <v>14.987239416235701</v>
      </c>
      <c r="I116" s="3">
        <v>16.017498119269501</v>
      </c>
      <c r="J116" s="3">
        <v>13.1005400467289</v>
      </c>
      <c r="K116" s="3">
        <v>13.5076796862782</v>
      </c>
      <c r="L116" s="3">
        <v>7.2066164103549397</v>
      </c>
      <c r="M116" s="3">
        <v>10.629233457753701</v>
      </c>
      <c r="N116" s="3">
        <v>7.4736511114715301</v>
      </c>
      <c r="O116" s="3">
        <v>23.471990364665501</v>
      </c>
      <c r="P116" s="3">
        <v>11.8009479696931</v>
      </c>
      <c r="Q116" s="3">
        <v>11.723621463899701</v>
      </c>
      <c r="R116" s="3">
        <v>17.576742271043599</v>
      </c>
      <c r="S116" s="3">
        <v>6.6079550944939696</v>
      </c>
      <c r="T116" s="3">
        <v>11.2111803007001</v>
      </c>
      <c r="U116" s="3">
        <v>15.4391017206135</v>
      </c>
      <c r="V116" s="3">
        <v>17.879278332001</v>
      </c>
    </row>
    <row r="117" spans="1:37" x14ac:dyDescent="0.35">
      <c r="A117" s="2">
        <v>45203</v>
      </c>
      <c r="B117" s="3">
        <v>13.6553624073923</v>
      </c>
      <c r="C117" s="3">
        <v>7.7614646313150901</v>
      </c>
      <c r="D117" s="3">
        <v>13.422800237737601</v>
      </c>
      <c r="E117" s="3">
        <v>11.189584635416701</v>
      </c>
      <c r="F117" s="3">
        <v>6.7426747804483904</v>
      </c>
      <c r="G117" s="3">
        <v>10.4765490679137</v>
      </c>
      <c r="H117" s="3">
        <v>14.6555068904678</v>
      </c>
      <c r="I117" s="3">
        <v>16.247317490371501</v>
      </c>
      <c r="J117" s="3">
        <v>12.474197108240499</v>
      </c>
      <c r="K117" s="3">
        <v>13.283500068276499</v>
      </c>
      <c r="L117" s="3">
        <v>7.18245229516869</v>
      </c>
      <c r="M117" s="3">
        <v>10.2584969488843</v>
      </c>
      <c r="N117" s="3">
        <v>6.8103447875811298</v>
      </c>
      <c r="O117" s="3">
        <v>23.367798057737701</v>
      </c>
      <c r="P117" s="3">
        <v>11.1934968150257</v>
      </c>
      <c r="Q117" s="3">
        <v>11.5302112875739</v>
      </c>
      <c r="R117" s="3">
        <v>16.743917762387301</v>
      </c>
      <c r="S117" s="3">
        <v>6.7853225129331296</v>
      </c>
      <c r="T117" s="3">
        <v>11.216887572592499</v>
      </c>
      <c r="U117" s="3">
        <v>14.531937846936</v>
      </c>
      <c r="V117" s="3">
        <v>17.397977584365499</v>
      </c>
    </row>
    <row r="118" spans="1:37" x14ac:dyDescent="0.35">
      <c r="A118" s="2">
        <v>45233</v>
      </c>
      <c r="B118" s="3">
        <v>13.6069777210965</v>
      </c>
      <c r="C118" s="3">
        <v>8.06460625726125</v>
      </c>
      <c r="D118" s="3">
        <v>13.020353444425799</v>
      </c>
      <c r="E118" s="3">
        <v>10.5547552412547</v>
      </c>
      <c r="F118" s="3">
        <v>7.7313840274890397</v>
      </c>
      <c r="G118" s="3">
        <v>11.122864024208599</v>
      </c>
      <c r="H118" s="3">
        <v>14.9194024569919</v>
      </c>
      <c r="I118" s="3">
        <v>16.7579451830869</v>
      </c>
      <c r="J118" s="3">
        <v>12.7321360928606</v>
      </c>
      <c r="K118" s="3">
        <v>13.403602200735399</v>
      </c>
      <c r="L118" s="3">
        <v>7.4438745499246401</v>
      </c>
      <c r="M118" s="3">
        <v>10.859028354306099</v>
      </c>
      <c r="N118" s="3">
        <v>6.8365664257382202</v>
      </c>
      <c r="O118" s="3">
        <v>23.083487656058701</v>
      </c>
      <c r="P118" s="3">
        <v>11.4000076480897</v>
      </c>
      <c r="Q118" s="3">
        <v>11.2169161883632</v>
      </c>
      <c r="R118" s="3">
        <v>16.660140783963602</v>
      </c>
      <c r="S118" s="3">
        <v>6.0044034289638999</v>
      </c>
      <c r="T118" s="3">
        <v>10.410740596070699</v>
      </c>
      <c r="U118" s="3">
        <v>14.8645449791189</v>
      </c>
      <c r="V118" s="3">
        <v>17.972310287515899</v>
      </c>
    </row>
    <row r="119" spans="1:37" x14ac:dyDescent="0.35">
      <c r="A119" s="2">
        <v>45264</v>
      </c>
      <c r="B119" s="3">
        <v>13.438740124200599</v>
      </c>
      <c r="C119" s="3">
        <v>7.8449612174392902</v>
      </c>
      <c r="D119" s="3">
        <v>13.443231617111801</v>
      </c>
      <c r="E119" s="3">
        <v>10.304433794232301</v>
      </c>
      <c r="F119" s="3">
        <v>8.4117009532248108</v>
      </c>
      <c r="G119" s="3">
        <v>12.7296781614717</v>
      </c>
      <c r="H119" s="3">
        <v>15.0699159873728</v>
      </c>
      <c r="I119" s="3">
        <v>17.790156802023699</v>
      </c>
      <c r="J119" s="3">
        <v>13.266943751523</v>
      </c>
      <c r="K119" s="3">
        <v>14.4365518227387</v>
      </c>
      <c r="L119" s="3">
        <v>8.1340122971954099</v>
      </c>
      <c r="M119" s="3">
        <v>11.234076455999499</v>
      </c>
      <c r="N119" s="3">
        <v>6.4548913677471704</v>
      </c>
      <c r="O119" s="3">
        <v>24.538928402292701</v>
      </c>
      <c r="P119" s="3">
        <v>10.7939107542146</v>
      </c>
      <c r="Q119" s="3">
        <v>11.3586541356471</v>
      </c>
      <c r="R119" s="3">
        <v>16.0527069372333</v>
      </c>
      <c r="S119" s="3">
        <v>6.0724112257657197</v>
      </c>
      <c r="T119" s="3">
        <v>10.19411408963</v>
      </c>
      <c r="U119" s="3">
        <v>16.446630731594201</v>
      </c>
      <c r="V119" s="3">
        <v>18.966390127641802</v>
      </c>
    </row>
    <row r="120" spans="1:37" x14ac:dyDescent="0.35">
      <c r="A120" s="2">
        <v>45295</v>
      </c>
      <c r="B120" s="3">
        <v>13.0228235652905</v>
      </c>
      <c r="C120" s="3">
        <v>8.3271228606425094</v>
      </c>
      <c r="D120" s="3">
        <v>14.0988985484609</v>
      </c>
      <c r="E120" s="3">
        <v>10.1098818312012</v>
      </c>
      <c r="F120" s="3">
        <v>8.7415874088475398</v>
      </c>
      <c r="G120" s="3">
        <v>14.627934529727799</v>
      </c>
      <c r="H120" s="3">
        <v>15.280548498263601</v>
      </c>
      <c r="I120" s="3">
        <v>18.536751952418498</v>
      </c>
      <c r="J120" s="3">
        <v>13.5232556324487</v>
      </c>
      <c r="K120" s="3">
        <v>15.1222103334261</v>
      </c>
      <c r="L120" s="3">
        <v>8.6181496891698206</v>
      </c>
      <c r="M120" s="3">
        <v>11.307600767298601</v>
      </c>
      <c r="N120" s="3">
        <v>6.3738100043601102</v>
      </c>
      <c r="O120" s="3">
        <v>25.806291837338598</v>
      </c>
      <c r="P120" s="3">
        <v>10.7584798178677</v>
      </c>
      <c r="Q120" s="3">
        <v>11.751663745183301</v>
      </c>
      <c r="R120" s="3">
        <v>16.160852252879799</v>
      </c>
      <c r="S120" s="3">
        <v>5.6750798807382798</v>
      </c>
      <c r="T120" s="3">
        <v>10.0705405972161</v>
      </c>
      <c r="U120" s="3">
        <v>17.130829369100699</v>
      </c>
      <c r="V120" s="3">
        <v>21.469776362422301</v>
      </c>
    </row>
    <row r="121" spans="1:37" x14ac:dyDescent="0.35">
      <c r="A121" s="2">
        <v>45324</v>
      </c>
      <c r="B121" s="3">
        <v>12.168471693197199</v>
      </c>
      <c r="C121" s="3">
        <v>8.5206275422005007</v>
      </c>
      <c r="D121" s="3">
        <v>14.1857232789242</v>
      </c>
      <c r="E121" s="3">
        <v>10.214309524925</v>
      </c>
      <c r="F121" s="3">
        <v>8.9743558478191794</v>
      </c>
      <c r="G121" s="3">
        <v>14.875982487600099</v>
      </c>
      <c r="H121" s="3">
        <v>15.400643437145799</v>
      </c>
      <c r="I121" s="3">
        <v>18.995755538046001</v>
      </c>
      <c r="J121" s="3">
        <v>14.219505812747601</v>
      </c>
      <c r="K121" s="3">
        <v>15.888703317307099</v>
      </c>
      <c r="L121" s="3">
        <v>8.1168780342530695</v>
      </c>
      <c r="M121" s="3">
        <v>11.192965466295799</v>
      </c>
      <c r="N121" s="3">
        <v>6.6626179072531198</v>
      </c>
      <c r="O121" s="3">
        <v>26.1344246874189</v>
      </c>
      <c r="P121" s="3">
        <v>9.7797145903717908</v>
      </c>
      <c r="Q121" s="3">
        <v>11.215242209329601</v>
      </c>
      <c r="R121" s="3">
        <v>15.979815445024</v>
      </c>
      <c r="S121" s="3">
        <v>6.4133063534707802</v>
      </c>
      <c r="T121" s="3">
        <v>9.8675983192760306</v>
      </c>
      <c r="U121" s="3">
        <v>16.6956531690026</v>
      </c>
      <c r="V121" s="3">
        <v>20.896582786712099</v>
      </c>
    </row>
    <row r="122" spans="1:37" x14ac:dyDescent="0.35">
      <c r="A122" s="2">
        <v>45351</v>
      </c>
      <c r="B122" s="3">
        <v>13.6549531043246</v>
      </c>
      <c r="C122" s="3">
        <v>7.0344436407677904</v>
      </c>
      <c r="D122" s="3">
        <v>14.425741347030399</v>
      </c>
      <c r="E122" s="3">
        <v>10.7792793566275</v>
      </c>
      <c r="F122" s="3">
        <v>8.8419370246379199</v>
      </c>
      <c r="G122" s="3">
        <v>15.637290097665501</v>
      </c>
      <c r="H122" s="3">
        <v>16.147560548848499</v>
      </c>
      <c r="I122" s="3">
        <v>20.206276535207198</v>
      </c>
      <c r="J122" s="3">
        <v>16.7458630014088</v>
      </c>
      <c r="K122" s="3">
        <v>17.396266395618401</v>
      </c>
      <c r="L122" s="3">
        <v>8.70037241315001</v>
      </c>
      <c r="M122" s="3">
        <v>10.834540608819101</v>
      </c>
      <c r="N122" s="3">
        <v>6.6759705307407096</v>
      </c>
      <c r="O122" s="3">
        <v>26.718615632368799</v>
      </c>
      <c r="P122" s="3">
        <v>10.6988742278433</v>
      </c>
      <c r="Q122" s="3">
        <v>11.666959093120299</v>
      </c>
      <c r="R122" s="3">
        <v>16.897960318462101</v>
      </c>
      <c r="S122" s="3">
        <v>6.76916577259031</v>
      </c>
      <c r="T122" s="3">
        <v>9.3670549245567898</v>
      </c>
      <c r="U122" s="3">
        <v>18.9415627187038</v>
      </c>
      <c r="V122" s="3">
        <v>22.339944884248201</v>
      </c>
    </row>
    <row r="124" spans="1:37" x14ac:dyDescent="0.35">
      <c r="A124" s="2" t="s">
        <v>95</v>
      </c>
      <c r="B124" s="3" cm="1">
        <f t="array" ref="B124">MIN(_xlfn._xlws.FILTER(B1:B122, ISNUMBER(B1:B122)))</f>
        <v>10.7098585281728</v>
      </c>
      <c r="C124" s="3" cm="1">
        <f t="array" ref="C124">MIN(_xlfn._xlws.FILTER(C1:C122, ISNUMBER(C1:C122)))</f>
        <v>5.28253496928202</v>
      </c>
      <c r="D124" s="3" cm="1">
        <f t="array" ref="D124">MIN(_xlfn._xlws.FILTER(D1:D122, ISNUMBER(D1:D122)))</f>
        <v>12.0345977684643</v>
      </c>
      <c r="E124" s="3" cm="1">
        <f t="array" ref="E124">MIN(_xlfn._xlws.FILTER(E1:E122, ISNUMBER(E1:E122)))</f>
        <v>10.1098818312012</v>
      </c>
      <c r="F124" s="3" cm="1">
        <f t="array" ref="F124">MIN(_xlfn._xlws.FILTER(F1:F122, ISNUMBER(F1:F122)))</f>
        <v>5.5717441051826304</v>
      </c>
      <c r="G124" s="3" cm="1">
        <f t="array" ref="G124">MIN(_xlfn._xlws.FILTER(G1:G122, ISNUMBER(G1:G122)))</f>
        <v>9.4355361633921895</v>
      </c>
      <c r="H124" s="3" cm="1">
        <f t="array" ref="H124">MIN(_xlfn._xlws.FILTER(H1:H122, ISNUMBER(H1:H122)))</f>
        <v>14.530095940153</v>
      </c>
      <c r="I124" s="3" cm="1">
        <f t="array" ref="I124">MIN(_xlfn._xlws.FILTER(I1:I122, ISNUMBER(I1:I122)))</f>
        <v>9.9620959296045903</v>
      </c>
      <c r="J124" s="3" cm="1">
        <f t="array" ref="J124">MIN(_xlfn._xlws.FILTER(J1:J122, ISNUMBER(J1:J122)))</f>
        <v>12.474197108240499</v>
      </c>
      <c r="K124" s="3" cm="1">
        <f t="array" ref="K124">MIN(_xlfn._xlws.FILTER(K1:K122, ISNUMBER(K1:K122)))</f>
        <v>8.0440237019513496</v>
      </c>
      <c r="L124" s="3" cm="1">
        <f t="array" ref="L124">MIN(_xlfn._xlws.FILTER(L1:L122, ISNUMBER(L1:L122)))</f>
        <v>5.4627172816906198</v>
      </c>
      <c r="M124" s="3" cm="1">
        <f t="array" ref="M124">MIN(_xlfn._xlws.FILTER(M1:M122, ISNUMBER(M1:M122)))</f>
        <v>9.6281944829514092</v>
      </c>
      <c r="N124" s="3" cm="1">
        <f t="array" ref="N124">MIN(_xlfn._xlws.FILTER(N1:N122, ISNUMBER(N1:N122)))</f>
        <v>-119.42437360597501</v>
      </c>
      <c r="O124" s="3" cm="1">
        <f t="array" ref="O124">MIN(_xlfn._xlws.FILTER(O1:O122, ISNUMBER(O1:O122)))</f>
        <v>16.3133268186001</v>
      </c>
      <c r="P124" s="3" cm="1">
        <f t="array" ref="P124">MIN(_xlfn._xlws.FILTER(P1:P122, ISNUMBER(P1:P122)))</f>
        <v>9.1960762726117</v>
      </c>
      <c r="Q124" s="3" cm="1">
        <f t="array" ref="Q124">MIN(_xlfn._xlws.FILTER(Q1:Q122, ISNUMBER(Q1:Q122)))</f>
        <v>11.215242209329601</v>
      </c>
      <c r="R124" s="3" cm="1">
        <f t="array" ref="R124">MIN(_xlfn._xlws.FILTER(R1:R122, ISNUMBER(R1:R122)))</f>
        <v>13.8575936212839</v>
      </c>
      <c r="S124" s="3" cm="1">
        <f t="array" ref="S124">MIN(_xlfn._xlws.FILTER(S1:S122, ISNUMBER(S1:S122)))</f>
        <v>4.7493085058123299</v>
      </c>
      <c r="T124" s="3" cm="1">
        <f t="array" ref="T124">MIN(_xlfn._xlws.FILTER(T1:T122, ISNUMBER(T1:T122)))</f>
        <v>9.3670549245567898</v>
      </c>
      <c r="U124" s="3" cm="1">
        <f t="array" ref="U124">MIN(_xlfn._xlws.FILTER(U1:U122, ISNUMBER(U1:U122)))</f>
        <v>-5.5045831316231002</v>
      </c>
      <c r="V124" s="3" cm="1">
        <f t="array" ref="V124">MIN(_xlfn._xlws.FILTER(V1:V122, ISNUMBER(V1:V122)))</f>
        <v>11.123287620442101</v>
      </c>
    </row>
    <row r="125" spans="1:37" x14ac:dyDescent="0.35">
      <c r="A125" s="2" t="s">
        <v>96</v>
      </c>
      <c r="B125" s="3" cm="1">
        <f t="array" ref="B125">MAX(_xlfn._xlws.FILTER(B1:B122, ISNUMBER(B1:B122)))</f>
        <v>21.110068265102001</v>
      </c>
      <c r="C125" s="3" cm="1">
        <f t="array" ref="C125">MAX(_xlfn._xlws.FILTER(C1:C122, ISNUMBER(C1:C122)))</f>
        <v>32.3082739678593</v>
      </c>
      <c r="D125" s="3" cm="1">
        <f t="array" ref="D125">MAX(_xlfn._xlws.FILTER(D1:D122, ISNUMBER(D1:D122)))</f>
        <v>25.1807503365686</v>
      </c>
      <c r="E125" s="3" cm="1">
        <f t="array" ref="E125">MAX(_xlfn._xlws.FILTER(E1:E122, ISNUMBER(E1:E122)))</f>
        <v>25.553317861793499</v>
      </c>
      <c r="F125" s="3" cm="1">
        <f t="array" ref="F125">MAX(_xlfn._xlws.FILTER(F1:F122, ISNUMBER(F1:F122)))</f>
        <v>22.826325914685299</v>
      </c>
      <c r="G125" s="3" cm="1">
        <f t="array" ref="G125">MAX(_xlfn._xlws.FILTER(G1:G122, ISNUMBER(G1:G122)))</f>
        <v>67.186310644054103</v>
      </c>
      <c r="H125" s="3" cm="1">
        <f t="array" ref="H125">MAX(_xlfn._xlws.FILTER(H1:H122, ISNUMBER(H1:H122)))</f>
        <v>21.485080103422401</v>
      </c>
      <c r="I125" s="3" cm="1">
        <f t="array" ref="I125">MAX(_xlfn._xlws.FILTER(I1:I122, ISNUMBER(I1:I122)))</f>
        <v>20.206276535207198</v>
      </c>
      <c r="J125" s="3" cm="1">
        <f t="array" ref="J125">MAX(_xlfn._xlws.FILTER(J1:J122, ISNUMBER(J1:J122)))</f>
        <v>32.705091043825298</v>
      </c>
      <c r="K125" s="3" cm="1">
        <f t="array" ref="K125">MAX(_xlfn._xlws.FILTER(K1:K122, ISNUMBER(K1:K122)))</f>
        <v>21.176001315796299</v>
      </c>
      <c r="L125" s="3" cm="1">
        <f t="array" ref="L125">MAX(_xlfn._xlws.FILTER(L1:L122, ISNUMBER(L1:L122)))</f>
        <v>36.486850235645903</v>
      </c>
      <c r="M125" s="3" cm="1">
        <f t="array" ref="M125">MAX(_xlfn._xlws.FILTER(M1:M122, ISNUMBER(M1:M122)))</f>
        <v>18.5769705073522</v>
      </c>
      <c r="N125" s="3" cm="1">
        <f t="array" ref="N125">MAX(_xlfn._xlws.FILTER(N1:N122, ISNUMBER(N1:N122)))</f>
        <v>33.878838468625197</v>
      </c>
      <c r="O125" s="3" cm="1">
        <f t="array" ref="O125">MAX(_xlfn._xlws.FILTER(O1:O122, ISNUMBER(O1:O122)))</f>
        <v>34.0858475294378</v>
      </c>
      <c r="P125" s="3" cm="1">
        <f t="array" ref="P125">MAX(_xlfn._xlws.FILTER(P1:P122, ISNUMBER(P1:P122)))</f>
        <v>21.157575960198098</v>
      </c>
      <c r="Q125" s="3" cm="1">
        <f t="array" ref="Q125">MAX(_xlfn._xlws.FILTER(Q1:Q122, ISNUMBER(Q1:Q122)))</f>
        <v>17.9069320540723</v>
      </c>
      <c r="R125" s="3" cm="1">
        <f t="array" ref="R125">MAX(_xlfn._xlws.FILTER(R1:R122, ISNUMBER(R1:R122)))</f>
        <v>27.646443272990702</v>
      </c>
      <c r="S125" s="3" cm="1">
        <f t="array" ref="S125">MAX(_xlfn._xlws.FILTER(S1:S122, ISNUMBER(S1:S122)))</f>
        <v>14.386411280496599</v>
      </c>
      <c r="T125" s="3" cm="1">
        <f t="array" ref="T125">MAX(_xlfn._xlws.FILTER(T1:T122, ISNUMBER(T1:T122)))</f>
        <v>27.3621222266997</v>
      </c>
      <c r="U125" s="3" cm="1">
        <f t="array" ref="U125">MAX(_xlfn._xlws.FILTER(U1:U122, ISNUMBER(U1:U122)))</f>
        <v>27.406661700132101</v>
      </c>
      <c r="V125" s="3" cm="1">
        <f t="array" ref="V125">MAX(_xlfn._xlws.FILTER(V1:V122, ISNUMBER(V1:V122)))</f>
        <v>28.797036916868301</v>
      </c>
    </row>
    <row r="127" spans="1:37" x14ac:dyDescent="0.35">
      <c r="A127" s="2" t="s">
        <v>97</v>
      </c>
      <c r="B127" s="9" cm="1">
        <f t="array" ref="B127">_xlfn.PERCENTRANK.EXC(_xlfn._xlws.FILTER(B1:B122, ISNUMBER(B1:B122)),B121)</f>
        <v>5.6000000000000001E-2</v>
      </c>
      <c r="C127" s="9" cm="1">
        <f t="array" ref="C127">_xlfn.PERCENTRANK.EXC(_xlfn._xlws.FILTER(C1:C122, ISNUMBER(C1:C122)),C121)</f>
        <v>0.17199999999999999</v>
      </c>
      <c r="D127" s="9" cm="1">
        <f t="array" ref="D127">_xlfn.PERCENTRANK.EXC(_xlfn._xlws.FILTER(D1:D122, ISNUMBER(D1:D122)),D121)</f>
        <v>0.13100000000000001</v>
      </c>
      <c r="E127" s="9" cm="1">
        <f t="array" ref="E127">_xlfn.PERCENTRANK.EXC(_xlfn._xlws.FILTER(E1:E122, ISNUMBER(E1:E122)),E121)</f>
        <v>1.6E-2</v>
      </c>
      <c r="F127" s="9" cm="1">
        <f t="array" ref="F127">_xlfn.PERCENTRANK.EXC(_xlfn._xlws.FILTER(F1:F122, ISNUMBER(F1:F122)),F121)</f>
        <v>0.18</v>
      </c>
      <c r="G127" s="9" cm="1">
        <f t="array" ref="G127">_xlfn.PERCENTRANK.EXC(_xlfn._xlws.FILTER(G1:G122, ISNUMBER(G1:G122)),G121)</f>
        <v>0.30299999999999999</v>
      </c>
      <c r="H127" s="9" cm="1">
        <f t="array" ref="H127">_xlfn.PERCENTRANK.EXC(_xlfn._xlws.FILTER(H1:H122, ISNUMBER(H1:H122)),H121)</f>
        <v>0.19600000000000001</v>
      </c>
      <c r="I127" s="9" cm="1">
        <f t="array" ref="I127">_xlfn.PERCENTRANK.EXC(_xlfn._xlws.FILTER(I1:I122, ISNUMBER(I1:I122)),I121)</f>
        <v>0.98299999999999998</v>
      </c>
      <c r="J127" s="9" cm="1">
        <f t="array" ref="J127">_xlfn.PERCENTRANK.EXC(_xlfn._xlws.FILTER(J1:J122, ISNUMBER(J1:J122)),J121)</f>
        <v>0.18</v>
      </c>
      <c r="K127" s="9" cm="1">
        <f t="array" ref="K127">_xlfn.PERCENTRANK.EXC(_xlfn._xlws.FILTER(K1:K122, ISNUMBER(K1:K122)),K121)</f>
        <v>0.89300000000000002</v>
      </c>
      <c r="L127" s="9" cm="1">
        <f t="array" ref="L127">_xlfn.PERCENTRANK.EXC(_xlfn._xlws.FILTER(L1:L122, ISNUMBER(L1:L122)),L121)</f>
        <v>0.20399999999999999</v>
      </c>
      <c r="M127" s="9" cm="1">
        <f t="array" ref="M127">_xlfn.PERCENTRANK.EXC(_xlfn._xlws.FILTER(M1:M122, ISNUMBER(M1:M122)),M121)</f>
        <v>0.23699999999999999</v>
      </c>
      <c r="N127" s="9" cm="1">
        <f t="array" ref="N127">_xlfn.PERCENTRANK.EXC(_xlfn._xlws.FILTER(N1:N122, ISNUMBER(N1:N122)),N121)</f>
        <v>0.19600000000000001</v>
      </c>
      <c r="O127" s="9" cm="1">
        <f t="array" ref="O127">_xlfn.PERCENTRANK.EXC(_xlfn._xlws.FILTER(O1:O122, ISNUMBER(O1:O122)),O121)</f>
        <v>0.83599999999999997</v>
      </c>
      <c r="P127" s="9" cm="1">
        <f t="array" ref="P127">_xlfn.PERCENTRANK.EXC(_xlfn._xlws.FILTER(P1:P122, ISNUMBER(P1:P122)),P121)</f>
        <v>0.114</v>
      </c>
      <c r="Q127" s="9" cm="1">
        <f t="array" ref="Q127">_xlfn.PERCENTRANK.EXC(_xlfn._xlws.FILTER(Q1:Q122, ISNUMBER(Q1:Q122)),Q121)</f>
        <v>8.0000000000000002E-3</v>
      </c>
      <c r="R127" s="9" cm="1">
        <f t="array" ref="R127">_xlfn.PERCENTRANK.EXC(_xlfn._xlws.FILTER(R1:R122, ISNUMBER(R1:R122)),R121)</f>
        <v>9.8000000000000004E-2</v>
      </c>
      <c r="S127" s="9" cm="1">
        <f t="array" ref="S127">_xlfn.PERCENTRANK.EXC(_xlfn._xlws.FILTER(S1:S122, ISNUMBER(S1:S122)),S121)</f>
        <v>0.188</v>
      </c>
      <c r="T127" s="9" cm="1">
        <f t="array" ref="T127">_xlfn.PERCENTRANK.EXC(_xlfn._xlws.FILTER(T1:T122, ISNUMBER(T1:T122)),T121)</f>
        <v>1.7000000000000001E-2</v>
      </c>
      <c r="U127" s="9" cm="1">
        <f t="array" ref="U127">_xlfn.PERCENTRANK.EXC(_xlfn._xlws.FILTER(U1:U122, ISNUMBER(U1:U122)),U121)</f>
        <v>0.5</v>
      </c>
      <c r="V127" s="9" cm="1">
        <f t="array" ref="V127">_xlfn.PERCENTRANK.EXC(_xlfn._xlws.FILTER(V1:V122, ISNUMBER(V1:V122)),V121)</f>
        <v>0.79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AK127"/>
  <sheetViews>
    <sheetView topLeftCell="P1" workbookViewId="0">
      <selection activeCell="AD6" sqref="AD6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A2" s="2" cm="1">
        <f t="array" ref="A2:A122">_xll.FDS(C1,"JULIAN(FMA_DIV_YLD(NTMA,-10AY,0,AM,""PORTAGG"",""MEANR"").dates)")</f>
        <v>41702</v>
      </c>
      <c r="B2" s="3" t="e" cm="1">
        <f t="array" ref="B2:B122">_xll.FDS(B1,"FMA_PE(NTMA,-10AY,0,AM,""PORTAGG"",""MEANR"")")</f>
        <v>#N/A</v>
      </c>
      <c r="C2" s="3" cm="1">
        <f t="array" ref="C2:C122">_xll.FDS(C1,"FMA_PE(NTMA,-10AY,0,AM,""PORTAGG"",""MEANR"")")</f>
        <v>13.021904265030299</v>
      </c>
      <c r="D2" s="3" cm="1">
        <f t="array" ref="D2:D122">_xll.FDS(D1,"FMA_PE(NTMA,-10AY,0,AM,""PORTAGG"",""MEANR"")")</f>
        <v>13.6409847009137</v>
      </c>
      <c r="E2" s="3" cm="1">
        <f t="array" ref="E2:E122">_xll.FDS(E1,"FMA_PE(NTMA,-10AY,0,AM,""PORTAGG"",""MEANR"")")</f>
        <v>17.305481404168699</v>
      </c>
      <c r="F2" s="3" cm="1">
        <f t="array" ref="F2:F122">_xll.FDS(F1,"FMA_PE(NTMA,-10AY,0,AM,""PORTAGG"",""MEANR"")")</f>
        <v>13.722165085032801</v>
      </c>
      <c r="G2" s="3" cm="1">
        <f t="array" ref="G2:G122">_xll.FDS(G1,"FMA_PE(NTMA,-10AY,0,AM,""PORTAGG"",""MEANR"")")</f>
        <v>11.484848509733199</v>
      </c>
      <c r="H2" s="3" cm="1">
        <f t="array" ref="H2:H122">_xll.FDS(H1,"FMA_PE(NTMA,-10AY,0,AM,""PORTAGG"",""MEANR"")")</f>
        <v>15.603768264176701</v>
      </c>
      <c r="I2" s="3" cm="1">
        <f t="array" ref="I2:I122">_xll.FDS(I1,"FMA_PE(NTMA,-10AY,0,AM,""PORTAGG"",""MEANR"")")</f>
        <v>14.0908138170053</v>
      </c>
      <c r="J2" s="3" t="e" cm="1">
        <f t="array" ref="J2:J122">_xll.FDS(J1,"FMA_PE(NTMA,-10AY,0,AM,""PORTAGG"",""MEANR"")")</f>
        <v>#N/A</v>
      </c>
      <c r="K2" s="3" cm="1">
        <f t="array" ref="K2:K122">_xll.FDS(K1,"FMA_PE(NTMA,-10AY,0,AM,""PORTAGG"",""MEANR"")")</f>
        <v>9.1919969270797193</v>
      </c>
      <c r="L2" s="3" cm="1">
        <f t="array" ref="L2:L122">_xll.FDS(L1,"FMA_PE(NTMA,-10AY,0,AM,""PORTAGG"",""MEANR"")")</f>
        <v>9.9316638881176402</v>
      </c>
      <c r="M2" s="3" cm="1">
        <f t="array" ref="M2:M122">_xll.FDS(M1,"FMA_PE(NTMA,-10AY,0,AM,""PORTAGG"",""MEANR"")")</f>
        <v>14.092945932854599</v>
      </c>
      <c r="N2" s="3" cm="1">
        <f t="array" ref="N2:N122">_xll.FDS(N1,"FMA_PE(NTMA,-10AY,0,AM,""PORTAGG"",""MEANR"")")</f>
        <v>15.661063443389001</v>
      </c>
      <c r="O2" s="3" cm="1">
        <f t="array" ref="O2:O122">_xll.FDS(O1,"FMA_PE(NTMA,-10AY,0,AM,""PORTAGG"",""MEANR"")")</f>
        <v>14.3533227395515</v>
      </c>
      <c r="P2" s="3" cm="1">
        <f t="array" ref="P2:P122">_xll.FDS(P1,"FMA_PE(NTMA,-10AY,0,AM,""PORTAGG"",""MEANR"")")</f>
        <v>8.4948570978913605</v>
      </c>
      <c r="Q2" s="3" t="e" cm="1">
        <f t="array" ref="Q2:Q122">_xll.FDS(Q1,"FMA_PE(NTMA,-10AY,0,AM,""PORTAGG"",""MEANR"")")</f>
        <v>#N/A</v>
      </c>
      <c r="R2" s="3" cm="1">
        <f t="array" ref="R2:R122">_xll.FDS(R1,"FMA_PE(NTMA,-10AY,0,AM,""PORTAGG"",""MEANR"")")</f>
        <v>13.512484766789401</v>
      </c>
      <c r="S2" s="3" cm="1">
        <f t="array" ref="S2:S122">_xll.FDS(S1,"FMA_PE(NTMA,-10AY,0,AM,""PORTAGG"",""MEANR"")")</f>
        <v>8.8245785329586308</v>
      </c>
      <c r="T2" s="3" t="e" cm="1">
        <f t="array" ref="T2:T122">_xll.FDS(T1,"FMA_PE(NTMA,-10AY,0,AM,""PORTAGG"",""MEANR"")")</f>
        <v>#N/A</v>
      </c>
      <c r="U2" s="3" cm="1">
        <f t="array" ref="U2:U122">_xll.FDS(U1,"FMA_PE(NTMA,-10AY,0,AM,""PORTAGG"",""MEANR"")")</f>
        <v>11.0745346704403</v>
      </c>
      <c r="V2" s="3" t="e" cm="1">
        <f t="array" ref="V2:V122">_xll.FDS(V1,"FMA_PE(NTMA,-10AY,0,AM,""PORTAGG"",""MEANR"")")</f>
        <v>#N/A</v>
      </c>
    </row>
    <row r="3" spans="1:22" x14ac:dyDescent="0.35">
      <c r="A3" s="2">
        <v>41733</v>
      </c>
      <c r="B3" s="3" t="e">
        <v>#N/A</v>
      </c>
      <c r="C3" s="3">
        <v>13.5829205218821</v>
      </c>
      <c r="D3" s="3">
        <v>14.361939569671501</v>
      </c>
      <c r="E3" s="3">
        <v>17.480526316807701</v>
      </c>
      <c r="F3" s="3">
        <v>14.0932294817603</v>
      </c>
      <c r="G3" s="3">
        <v>11.3828223954353</v>
      </c>
      <c r="H3" s="3">
        <v>15.6376033388966</v>
      </c>
      <c r="I3" s="3">
        <v>14.569430297144899</v>
      </c>
      <c r="J3" s="3" t="e">
        <v>#N/A</v>
      </c>
      <c r="K3" s="3">
        <v>9.3104428354298197</v>
      </c>
      <c r="L3" s="3">
        <v>10.656945512281199</v>
      </c>
      <c r="M3" s="3">
        <v>14.1977739584168</v>
      </c>
      <c r="N3" s="3">
        <v>15.841306304551001</v>
      </c>
      <c r="O3" s="3">
        <v>14.960660635940201</v>
      </c>
      <c r="P3" s="3">
        <v>8.5730047206407693</v>
      </c>
      <c r="Q3" s="3" t="e">
        <v>#N/A</v>
      </c>
      <c r="R3" s="3">
        <v>13.889553027634699</v>
      </c>
      <c r="S3" s="3">
        <v>10.3519120431615</v>
      </c>
      <c r="T3" s="3" t="e">
        <v>#N/A</v>
      </c>
      <c r="U3" s="3">
        <v>12.303921779905799</v>
      </c>
      <c r="V3" s="3" t="e">
        <v>#N/A</v>
      </c>
    </row>
    <row r="4" spans="1:22" x14ac:dyDescent="0.35">
      <c r="A4" s="2">
        <v>41761</v>
      </c>
      <c r="B4" s="3" t="e">
        <v>#N/A</v>
      </c>
      <c r="C4" s="3">
        <v>14.071460744789601</v>
      </c>
      <c r="D4" s="3">
        <v>14.1602704069994</v>
      </c>
      <c r="E4" s="3">
        <v>17.4721962090013</v>
      </c>
      <c r="F4" s="3">
        <v>13.8584505453682</v>
      </c>
      <c r="G4" s="3">
        <v>11.860491875412</v>
      </c>
      <c r="H4" s="3">
        <v>15.687159858864399</v>
      </c>
      <c r="I4" s="3">
        <v>14.081727662821701</v>
      </c>
      <c r="J4" s="3" t="e">
        <v>#N/A</v>
      </c>
      <c r="K4" s="3">
        <v>9.2455968803295701</v>
      </c>
      <c r="L4" s="3">
        <v>11.1093769511407</v>
      </c>
      <c r="M4" s="3">
        <v>14.105229076470501</v>
      </c>
      <c r="N4" s="3">
        <v>17.5751925211726</v>
      </c>
      <c r="O4" s="3">
        <v>14.9042714170293</v>
      </c>
      <c r="P4" s="3">
        <v>8.4178002050617007</v>
      </c>
      <c r="Q4" s="3" t="e">
        <v>#N/A</v>
      </c>
      <c r="R4" s="3">
        <v>14.2508476897551</v>
      </c>
      <c r="S4" s="3">
        <v>10.623155034645</v>
      </c>
      <c r="T4" s="3" t="e">
        <v>#N/A</v>
      </c>
      <c r="U4" s="3">
        <v>11.936510893382501</v>
      </c>
      <c r="V4" s="3" t="e">
        <v>#N/A</v>
      </c>
    </row>
    <row r="5" spans="1:22" x14ac:dyDescent="0.35">
      <c r="A5" s="2">
        <v>41794</v>
      </c>
      <c r="B5" s="3" t="e">
        <v>#N/A</v>
      </c>
      <c r="C5" s="3">
        <v>14.224061639088699</v>
      </c>
      <c r="D5" s="3">
        <v>14.241219672712599</v>
      </c>
      <c r="E5" s="3">
        <v>17.583131129962101</v>
      </c>
      <c r="F5" s="3">
        <v>13.6886460074589</v>
      </c>
      <c r="G5" s="3">
        <v>13.5731178188262</v>
      </c>
      <c r="H5" s="3">
        <v>15.6650283903979</v>
      </c>
      <c r="I5" s="3">
        <v>14.2320460937803</v>
      </c>
      <c r="J5" s="3" t="e">
        <v>#N/A</v>
      </c>
      <c r="K5" s="3">
        <v>9.6202414343230895</v>
      </c>
      <c r="L5" s="3">
        <v>10.861321100004</v>
      </c>
      <c r="M5" s="3">
        <v>14.355481281481399</v>
      </c>
      <c r="N5" s="3">
        <v>10.734776107482199</v>
      </c>
      <c r="O5" s="3">
        <v>16.109665140597599</v>
      </c>
      <c r="P5" s="3">
        <v>8.7376496604953804</v>
      </c>
      <c r="Q5" s="3">
        <v>15.9142521267117</v>
      </c>
      <c r="R5" s="3">
        <v>14.393687902096501</v>
      </c>
      <c r="S5" s="3">
        <v>10.708556777384301</v>
      </c>
      <c r="T5" s="3">
        <v>17.7236078268824</v>
      </c>
      <c r="U5" s="3">
        <v>11.492392913380799</v>
      </c>
      <c r="V5" s="3" t="e">
        <v>#N/A</v>
      </c>
    </row>
    <row r="6" spans="1:22" x14ac:dyDescent="0.35">
      <c r="A6" s="2">
        <v>41823</v>
      </c>
      <c r="B6" s="3" t="e">
        <v>#N/A</v>
      </c>
      <c r="C6" s="3">
        <v>14.5485735408158</v>
      </c>
      <c r="D6" s="3">
        <v>13.8047834024498</v>
      </c>
      <c r="E6" s="3">
        <v>17.472000648221599</v>
      </c>
      <c r="F6" s="3">
        <v>13.101301101664401</v>
      </c>
      <c r="G6" s="3">
        <v>15.0815764710555</v>
      </c>
      <c r="H6" s="3">
        <v>15.8061622305644</v>
      </c>
      <c r="I6" s="3">
        <v>14.7534060192728</v>
      </c>
      <c r="J6" s="3" t="e">
        <v>#N/A</v>
      </c>
      <c r="K6" s="3">
        <v>9.7461562540083904</v>
      </c>
      <c r="L6" s="3">
        <v>11.285417367034301</v>
      </c>
      <c r="M6" s="3">
        <v>14.872233233740699</v>
      </c>
      <c r="N6" s="3">
        <v>9.8182885413445007</v>
      </c>
      <c r="O6" s="3">
        <v>16.7805479748274</v>
      </c>
      <c r="P6" s="3">
        <v>8.96610284164775</v>
      </c>
      <c r="Q6" s="3">
        <v>14.817637162886101</v>
      </c>
      <c r="R6" s="3">
        <v>14.268818930256799</v>
      </c>
      <c r="S6" s="3">
        <v>10.362659055359799</v>
      </c>
      <c r="T6" s="3">
        <v>14.209332533168499</v>
      </c>
      <c r="U6" s="3">
        <v>12.3432403459031</v>
      </c>
      <c r="V6" s="3" t="e">
        <v>#N/A</v>
      </c>
    </row>
    <row r="7" spans="1:22" x14ac:dyDescent="0.35">
      <c r="A7" s="2">
        <v>41855</v>
      </c>
      <c r="B7" s="3" t="e">
        <v>#N/A</v>
      </c>
      <c r="C7" s="3">
        <v>14.530390341033501</v>
      </c>
      <c r="D7" s="3">
        <v>14.671353798874</v>
      </c>
      <c r="E7" s="3">
        <v>17.528285396838498</v>
      </c>
      <c r="F7" s="3">
        <v>12.9911684016722</v>
      </c>
      <c r="G7" s="3">
        <v>14.547759695084</v>
      </c>
      <c r="H7" s="3">
        <v>15.725015307636401</v>
      </c>
      <c r="I7" s="3">
        <v>13.8575801661027</v>
      </c>
      <c r="J7" s="3" t="e">
        <v>#N/A</v>
      </c>
      <c r="K7" s="3">
        <v>10.459216079382101</v>
      </c>
      <c r="L7" s="3">
        <v>11.7091424273467</v>
      </c>
      <c r="M7" s="3">
        <v>15.143536105358599</v>
      </c>
      <c r="N7" s="3">
        <v>8.3133536547874591</v>
      </c>
      <c r="O7" s="3">
        <v>16.4240633245211</v>
      </c>
      <c r="P7" s="3">
        <v>9.3157370424997108</v>
      </c>
      <c r="Q7" s="3">
        <v>15.422642435347401</v>
      </c>
      <c r="R7" s="3">
        <v>14.3638825133665</v>
      </c>
      <c r="S7" s="3">
        <v>10.714793743502501</v>
      </c>
      <c r="T7" s="3">
        <v>14.6252983727288</v>
      </c>
      <c r="U7" s="3">
        <v>12.803492660090701</v>
      </c>
      <c r="V7" s="3" t="e">
        <v>#N/A</v>
      </c>
    </row>
    <row r="8" spans="1:22" x14ac:dyDescent="0.35">
      <c r="A8" s="2">
        <v>41886</v>
      </c>
      <c r="B8" s="3" t="e">
        <v>#N/A</v>
      </c>
      <c r="C8" s="3">
        <v>14.900120569133099</v>
      </c>
      <c r="D8" s="3">
        <v>14.9248742678413</v>
      </c>
      <c r="E8" s="3">
        <v>17.874367331832101</v>
      </c>
      <c r="F8" s="3">
        <v>13.7700856872593</v>
      </c>
      <c r="G8" s="3">
        <v>13.684819234571</v>
      </c>
      <c r="H8" s="3">
        <v>15.841336945534399</v>
      </c>
      <c r="I8" s="3">
        <v>13.838121265884</v>
      </c>
      <c r="J8" s="3" t="e">
        <v>#N/A</v>
      </c>
      <c r="K8" s="3">
        <v>10.2143177108443</v>
      </c>
      <c r="L8" s="3">
        <v>12.5437290912819</v>
      </c>
      <c r="M8" s="3">
        <v>15.5642652708194</v>
      </c>
      <c r="N8" s="3">
        <v>8.2169313736094196</v>
      </c>
      <c r="O8" s="3">
        <v>16.939032621513299</v>
      </c>
      <c r="P8" s="3">
        <v>9.4380456489976403</v>
      </c>
      <c r="Q8" s="3">
        <v>15.8464942183326</v>
      </c>
      <c r="R8" s="3">
        <v>15.965380666435101</v>
      </c>
      <c r="S8" s="3">
        <v>10.5007535228384</v>
      </c>
      <c r="T8" s="3">
        <v>15.5211808667411</v>
      </c>
      <c r="U8" s="3">
        <v>13.701008138317899</v>
      </c>
      <c r="V8" s="3" t="e">
        <v>#N/A</v>
      </c>
    </row>
    <row r="9" spans="1:22" x14ac:dyDescent="0.35">
      <c r="A9" s="2">
        <v>41915</v>
      </c>
      <c r="B9" s="3" t="e">
        <v>#N/A</v>
      </c>
      <c r="C9" s="3">
        <v>14.140680147208</v>
      </c>
      <c r="D9" s="3">
        <v>13.8476998150438</v>
      </c>
      <c r="E9" s="3">
        <v>17.513865951749299</v>
      </c>
      <c r="F9" s="3">
        <v>13.4226201442664</v>
      </c>
      <c r="G9" s="3">
        <v>12.4588109376765</v>
      </c>
      <c r="H9" s="3">
        <v>15.6398239514591</v>
      </c>
      <c r="I9" s="3">
        <v>13.253779108288001</v>
      </c>
      <c r="J9" s="3" t="e">
        <v>#N/A</v>
      </c>
      <c r="K9" s="3">
        <v>9.7670339904499297</v>
      </c>
      <c r="L9" s="3">
        <v>11.349255466862701</v>
      </c>
      <c r="M9" s="3">
        <v>14.4308154733564</v>
      </c>
      <c r="N9" s="3">
        <v>7.0559969726879403</v>
      </c>
      <c r="O9" s="3">
        <v>16.698400786664902</v>
      </c>
      <c r="P9" s="3">
        <v>8.5485548610550293</v>
      </c>
      <c r="Q9" s="3">
        <v>15.559939649760199</v>
      </c>
      <c r="R9" s="3">
        <v>15.628232902693499</v>
      </c>
      <c r="S9" s="3">
        <v>9.3781608699792702</v>
      </c>
      <c r="T9" s="3">
        <v>14.800908632359899</v>
      </c>
      <c r="U9" s="3">
        <v>12.517373768075201</v>
      </c>
      <c r="V9" s="3" t="e">
        <v>#N/A</v>
      </c>
    </row>
    <row r="10" spans="1:22" x14ac:dyDescent="0.35">
      <c r="A10" s="2">
        <v>41947</v>
      </c>
      <c r="B10" s="3" t="e">
        <v>#N/A</v>
      </c>
      <c r="C10" s="3">
        <v>14.0373276366022</v>
      </c>
      <c r="D10" s="3">
        <v>14.3583503217542</v>
      </c>
      <c r="E10" s="3">
        <v>17.6318485592057</v>
      </c>
      <c r="F10" s="3">
        <v>13.5109592742904</v>
      </c>
      <c r="G10" s="3">
        <v>12.0799076164621</v>
      </c>
      <c r="H10" s="3">
        <v>15.509464113165601</v>
      </c>
      <c r="I10" s="3">
        <v>13.0865115625861</v>
      </c>
      <c r="J10" s="3" t="e">
        <v>#N/A</v>
      </c>
      <c r="K10" s="3">
        <v>9.6387044375060604</v>
      </c>
      <c r="L10" s="3">
        <v>11.711152862702299</v>
      </c>
      <c r="M10" s="3">
        <v>15.108159430531099</v>
      </c>
      <c r="N10" s="3">
        <v>6.3639179809804904</v>
      </c>
      <c r="O10" s="3">
        <v>17.129197583696602</v>
      </c>
      <c r="P10" s="3">
        <v>8.8534216963239807</v>
      </c>
      <c r="Q10" s="3">
        <v>15.233104627240101</v>
      </c>
      <c r="R10" s="3">
        <v>15.736819301012201</v>
      </c>
      <c r="S10" s="3">
        <v>10.017148733089</v>
      </c>
      <c r="T10" s="3">
        <v>14.134554315783401</v>
      </c>
      <c r="U10" s="3">
        <v>12.1180943348269</v>
      </c>
      <c r="V10" s="3" t="e">
        <v>#N/A</v>
      </c>
    </row>
    <row r="11" spans="1:22" x14ac:dyDescent="0.35">
      <c r="A11" s="2">
        <v>41977</v>
      </c>
      <c r="B11" s="3" t="e">
        <v>#N/A</v>
      </c>
      <c r="C11" s="3">
        <v>14.0981664051361</v>
      </c>
      <c r="D11" s="3">
        <v>15.091604437118299</v>
      </c>
      <c r="E11" s="3">
        <v>17.490403432029801</v>
      </c>
      <c r="F11" s="3">
        <v>13.870219310516701</v>
      </c>
      <c r="G11" s="3">
        <v>12.612863664085401</v>
      </c>
      <c r="H11" s="3">
        <v>14.981027759801201</v>
      </c>
      <c r="I11" s="3">
        <v>13.2238568616651</v>
      </c>
      <c r="J11" s="3" t="e">
        <v>#N/A</v>
      </c>
      <c r="K11" s="3">
        <v>9.9647919275349803</v>
      </c>
      <c r="L11" s="3">
        <v>11.0397457559871</v>
      </c>
      <c r="M11" s="3">
        <v>14.868456542154799</v>
      </c>
      <c r="N11" s="3">
        <v>6.70633023859485</v>
      </c>
      <c r="O11" s="3">
        <v>17.588560682921599</v>
      </c>
      <c r="P11" s="3">
        <v>9.2228022430484096</v>
      </c>
      <c r="Q11" s="3">
        <v>13.8208673535414</v>
      </c>
      <c r="R11" s="3">
        <v>15.771317600746899</v>
      </c>
      <c r="S11" s="3">
        <v>10.6794615427991</v>
      </c>
      <c r="T11" s="3">
        <v>13.236130162401601</v>
      </c>
      <c r="U11" s="3">
        <v>12.236289769215199</v>
      </c>
      <c r="V11" s="3" t="e">
        <v>#N/A</v>
      </c>
    </row>
    <row r="12" spans="1:22" x14ac:dyDescent="0.35">
      <c r="A12" s="2">
        <v>42006</v>
      </c>
      <c r="B12" s="3" t="e">
        <v>#N/A</v>
      </c>
      <c r="C12" s="3">
        <v>13.642529541578201</v>
      </c>
      <c r="D12" s="3">
        <v>14.9657655111364</v>
      </c>
      <c r="E12" s="3">
        <v>17.240468574036601</v>
      </c>
      <c r="F12" s="3">
        <v>13.3644338400543</v>
      </c>
      <c r="G12" s="3">
        <v>12.378974910875201</v>
      </c>
      <c r="H12" s="3">
        <v>15.045909217790101</v>
      </c>
      <c r="I12" s="3">
        <v>13.125467989566699</v>
      </c>
      <c r="J12" s="3" t="e">
        <v>#N/A</v>
      </c>
      <c r="K12" s="3">
        <v>9.4580519050004099</v>
      </c>
      <c r="L12" s="3">
        <v>10.827694417799099</v>
      </c>
      <c r="M12" s="3">
        <v>15.6864717089941</v>
      </c>
      <c r="N12" s="3">
        <v>4.6434350473843597</v>
      </c>
      <c r="O12" s="3">
        <v>17.052460760434599</v>
      </c>
      <c r="P12" s="3">
        <v>9.5977955079299697</v>
      </c>
      <c r="Q12" s="3">
        <v>13.271021990643799</v>
      </c>
      <c r="R12" s="3">
        <v>14.7082121117559</v>
      </c>
      <c r="S12" s="3">
        <v>10.5104872981954</v>
      </c>
      <c r="T12" s="3">
        <v>12.0228587640456</v>
      </c>
      <c r="U12" s="3">
        <v>12.132749465887199</v>
      </c>
      <c r="V12" s="3" t="e">
        <v>#N/A</v>
      </c>
    </row>
    <row r="13" spans="1:22" x14ac:dyDescent="0.35">
      <c r="A13" s="2">
        <v>42039</v>
      </c>
      <c r="B13" s="3" t="e">
        <v>#N/A</v>
      </c>
      <c r="C13" s="3">
        <v>13.2509899677514</v>
      </c>
      <c r="D13" s="3">
        <v>15.563796023635801</v>
      </c>
      <c r="E13" s="3">
        <v>18.157306075464501</v>
      </c>
      <c r="F13" s="3">
        <v>13.3382788380927</v>
      </c>
      <c r="G13" s="3">
        <v>13.2826705678411</v>
      </c>
      <c r="H13" s="3">
        <v>15.4092505969002</v>
      </c>
      <c r="I13" s="3">
        <v>12.82600308043</v>
      </c>
      <c r="J13" s="3" t="e">
        <v>#N/A</v>
      </c>
      <c r="K13" s="3">
        <v>9.8776689830969904</v>
      </c>
      <c r="L13" s="3">
        <v>11.5434132709414</v>
      </c>
      <c r="M13" s="3">
        <v>17.042919160328001</v>
      </c>
      <c r="N13" s="3">
        <v>4.5521403401797604</v>
      </c>
      <c r="O13" s="3">
        <v>17.920668207512598</v>
      </c>
      <c r="P13" s="3">
        <v>10.086815305534101</v>
      </c>
      <c r="Q13" s="3">
        <v>13.805919599072899</v>
      </c>
      <c r="R13" s="3">
        <v>16.286752457832002</v>
      </c>
      <c r="S13" s="3">
        <v>10.4565751799633</v>
      </c>
      <c r="T13" s="3">
        <v>12.625156211072399</v>
      </c>
      <c r="U13" s="3">
        <v>12.319007457265201</v>
      </c>
      <c r="V13" s="3" t="e">
        <v>#N/A</v>
      </c>
    </row>
    <row r="14" spans="1:22" x14ac:dyDescent="0.35">
      <c r="A14" s="2">
        <v>42067</v>
      </c>
      <c r="B14" s="3" t="e">
        <v>#N/A</v>
      </c>
      <c r="C14" s="3">
        <v>13.459266078909801</v>
      </c>
      <c r="D14" s="3">
        <v>16.083178209982499</v>
      </c>
      <c r="E14" s="3">
        <v>18.4426296734026</v>
      </c>
      <c r="F14" s="3">
        <v>13.4983216544939</v>
      </c>
      <c r="G14" s="3">
        <v>12.9822911233827</v>
      </c>
      <c r="H14" s="3">
        <v>15.92454449203</v>
      </c>
      <c r="I14" s="3">
        <v>12.8379375459958</v>
      </c>
      <c r="J14" s="3" t="e">
        <v>#N/A</v>
      </c>
      <c r="K14" s="3">
        <v>9.96496246307969</v>
      </c>
      <c r="L14" s="3">
        <v>12.1331089409294</v>
      </c>
      <c r="M14" s="3">
        <v>16.7519680837881</v>
      </c>
      <c r="N14" s="3">
        <v>4.9009261543903699</v>
      </c>
      <c r="O14" s="3">
        <v>18.574108201641199</v>
      </c>
      <c r="P14" s="3">
        <v>10.1158202451801</v>
      </c>
      <c r="Q14" s="3">
        <v>13.577005018842399</v>
      </c>
      <c r="R14" s="3">
        <v>15.5214973027458</v>
      </c>
      <c r="S14" s="3">
        <v>10.061882649833899</v>
      </c>
      <c r="T14" s="3">
        <v>12.8807072588032</v>
      </c>
      <c r="U14" s="3">
        <v>12.551257806957899</v>
      </c>
      <c r="V14" s="3" t="e">
        <v>#N/A</v>
      </c>
    </row>
    <row r="15" spans="1:22" x14ac:dyDescent="0.35">
      <c r="A15" s="2">
        <v>42096</v>
      </c>
      <c r="B15" s="3" t="e">
        <v>#N/A</v>
      </c>
      <c r="C15" s="3">
        <v>13.5951187994793</v>
      </c>
      <c r="D15" s="3">
        <v>16.0623472356164</v>
      </c>
      <c r="E15" s="3">
        <v>18.569699027177101</v>
      </c>
      <c r="F15" s="3">
        <v>14.1695526410561</v>
      </c>
      <c r="G15" s="3">
        <v>12.861152858013099</v>
      </c>
      <c r="H15" s="3">
        <v>15.973334277278701</v>
      </c>
      <c r="I15" s="3">
        <v>12.6065540599903</v>
      </c>
      <c r="J15" s="3" t="e">
        <v>#N/A</v>
      </c>
      <c r="K15" s="3">
        <v>9.8780607495453996</v>
      </c>
      <c r="L15" s="3">
        <v>13.2258815903509</v>
      </c>
      <c r="M15" s="3">
        <v>17.145397057489099</v>
      </c>
      <c r="N15" s="3">
        <v>5.1830938938964604</v>
      </c>
      <c r="O15" s="3">
        <v>17.8425793770102</v>
      </c>
      <c r="P15" s="3">
        <v>10.8578491482729</v>
      </c>
      <c r="Q15" s="3">
        <v>13.164607618775401</v>
      </c>
      <c r="R15" s="3">
        <v>15.171758707969399</v>
      </c>
      <c r="S15" s="3">
        <v>9.9679722648855709</v>
      </c>
      <c r="T15" s="3">
        <v>12.283303991779301</v>
      </c>
      <c r="U15" s="3">
        <v>11.6118886618539</v>
      </c>
      <c r="V15" s="3" t="e">
        <v>#N/A</v>
      </c>
    </row>
    <row r="16" spans="1:22" x14ac:dyDescent="0.35">
      <c r="A16" s="2">
        <v>42128</v>
      </c>
      <c r="B16" s="3" t="e">
        <v>#N/A</v>
      </c>
      <c r="C16" s="3">
        <v>14.083745790271999</v>
      </c>
      <c r="D16" s="3">
        <v>14.8400217705749</v>
      </c>
      <c r="E16" s="3">
        <v>17.959176238956498</v>
      </c>
      <c r="F16" s="3">
        <v>14.8814491867151</v>
      </c>
      <c r="G16" s="3">
        <v>13.2842164530177</v>
      </c>
      <c r="H16" s="3">
        <v>15.818988988456599</v>
      </c>
      <c r="I16" s="3">
        <v>13.072686403361001</v>
      </c>
      <c r="J16" s="3" t="e">
        <v>#N/A</v>
      </c>
      <c r="K16" s="3">
        <v>10.1770436463022</v>
      </c>
      <c r="L16" s="3">
        <v>14.6886710504433</v>
      </c>
      <c r="M16" s="3">
        <v>17.456341890573601</v>
      </c>
      <c r="N16" s="3">
        <v>4.9908824020904499</v>
      </c>
      <c r="O16" s="3">
        <v>17.320392905918201</v>
      </c>
      <c r="P16" s="3">
        <v>12.315692145053299</v>
      </c>
      <c r="Q16" s="3">
        <v>13.519920461554101</v>
      </c>
      <c r="R16" s="3">
        <v>15.049577333980601</v>
      </c>
      <c r="S16" s="3">
        <v>10.266602637398901</v>
      </c>
      <c r="T16" s="3">
        <v>13.895806038136399</v>
      </c>
      <c r="U16" s="3">
        <v>13.570639609155201</v>
      </c>
      <c r="V16" s="3" t="e">
        <v>#N/A</v>
      </c>
    </row>
    <row r="17" spans="1:22" x14ac:dyDescent="0.35">
      <c r="A17" s="2">
        <v>42159</v>
      </c>
      <c r="B17" s="3" t="e">
        <v>#N/A</v>
      </c>
      <c r="C17" s="3">
        <v>13.6836860365952</v>
      </c>
      <c r="D17" s="3">
        <v>14.941948836225899</v>
      </c>
      <c r="E17" s="3">
        <v>17.573472672408499</v>
      </c>
      <c r="F17" s="3">
        <v>13.8344384903342</v>
      </c>
      <c r="G17" s="3">
        <v>13.8514328579154</v>
      </c>
      <c r="H17" s="3">
        <v>15.4210885050251</v>
      </c>
      <c r="I17" s="3">
        <v>12.4373267943581</v>
      </c>
      <c r="J17" s="3" t="e">
        <v>#N/A</v>
      </c>
      <c r="K17" s="3">
        <v>9.6141593668360201</v>
      </c>
      <c r="L17" s="3">
        <v>13.4953584838272</v>
      </c>
      <c r="M17" s="3">
        <v>15.826799373981</v>
      </c>
      <c r="N17" s="3">
        <v>5.4758463756408897</v>
      </c>
      <c r="O17" s="3">
        <v>17.186806626498001</v>
      </c>
      <c r="P17" s="3">
        <v>11.666539618719201</v>
      </c>
      <c r="Q17" s="3">
        <v>13.451636666995499</v>
      </c>
      <c r="R17" s="3">
        <v>15.1785810566473</v>
      </c>
      <c r="S17" s="3">
        <v>10.060068613608999</v>
      </c>
      <c r="T17" s="3">
        <v>12.964332514631099</v>
      </c>
      <c r="U17" s="3">
        <v>13.5685950549081</v>
      </c>
      <c r="V17" s="3" t="e">
        <v>#N/A</v>
      </c>
    </row>
    <row r="18" spans="1:22" x14ac:dyDescent="0.35">
      <c r="A18" s="2">
        <v>42187</v>
      </c>
      <c r="B18" s="3" t="e">
        <v>#N/A</v>
      </c>
      <c r="C18" s="3">
        <v>12.8985912635183</v>
      </c>
      <c r="D18" s="3">
        <v>14.5690629196576</v>
      </c>
      <c r="E18" s="3">
        <v>17.555411681217802</v>
      </c>
      <c r="F18" s="3">
        <v>13.182750607970499</v>
      </c>
      <c r="G18" s="3">
        <v>13.316557035889</v>
      </c>
      <c r="H18" s="3">
        <v>15.375940744535599</v>
      </c>
      <c r="I18" s="3">
        <v>12.612996086885699</v>
      </c>
      <c r="J18" s="3" t="e">
        <v>#N/A</v>
      </c>
      <c r="K18" s="3">
        <v>9.68596645485529</v>
      </c>
      <c r="L18" s="3">
        <v>12.917635474484999</v>
      </c>
      <c r="M18" s="3">
        <v>16.465344036613399</v>
      </c>
      <c r="N18" s="3">
        <v>4.7494225682134301</v>
      </c>
      <c r="O18" s="3">
        <v>18.506177478408802</v>
      </c>
      <c r="P18" s="3">
        <v>10.633765125272401</v>
      </c>
      <c r="Q18" s="3">
        <v>13.3621501078623</v>
      </c>
      <c r="R18" s="3">
        <v>15.202218920643601</v>
      </c>
      <c r="S18" s="3">
        <v>9.9359941464392705</v>
      </c>
      <c r="T18" s="3">
        <v>12.901325117511201</v>
      </c>
      <c r="U18" s="3">
        <v>14.2031421376546</v>
      </c>
      <c r="V18" s="3" t="e">
        <v>#N/A</v>
      </c>
    </row>
    <row r="19" spans="1:22" x14ac:dyDescent="0.35">
      <c r="A19" s="2">
        <v>42220</v>
      </c>
      <c r="B19" s="3" t="e">
        <v>#N/A</v>
      </c>
      <c r="C19" s="3">
        <v>12.4822941607561</v>
      </c>
      <c r="D19" s="3">
        <v>14.3818000044744</v>
      </c>
      <c r="E19" s="3">
        <v>17.7349135681402</v>
      </c>
      <c r="F19" s="3">
        <v>12.8302384288633</v>
      </c>
      <c r="G19" s="3">
        <v>12.273560473379</v>
      </c>
      <c r="H19" s="3">
        <v>15.2789605879621</v>
      </c>
      <c r="I19" s="3">
        <v>11.9373736301146</v>
      </c>
      <c r="J19" s="3" t="e">
        <v>#N/A</v>
      </c>
      <c r="K19" s="3">
        <v>9.7775517412574793</v>
      </c>
      <c r="L19" s="3">
        <v>12.039004931264801</v>
      </c>
      <c r="M19" s="3">
        <v>16.047333293869301</v>
      </c>
      <c r="N19" s="3">
        <v>4.4884555267159696</v>
      </c>
      <c r="O19" s="3">
        <v>18.614420826006899</v>
      </c>
      <c r="P19" s="3">
        <v>9.4000316734375104</v>
      </c>
      <c r="Q19" s="3">
        <v>13.192972147730901</v>
      </c>
      <c r="R19" s="3">
        <v>14.6299552844934</v>
      </c>
      <c r="S19" s="3">
        <v>9.3751051864829904</v>
      </c>
      <c r="T19" s="3">
        <v>12.6448610077375</v>
      </c>
      <c r="U19" s="3">
        <v>14.1005131313653</v>
      </c>
      <c r="V19" s="3" t="e">
        <v>#N/A</v>
      </c>
    </row>
    <row r="20" spans="1:22" x14ac:dyDescent="0.35">
      <c r="A20" s="2">
        <v>42251</v>
      </c>
      <c r="B20" s="3" t="e">
        <v>#N/A</v>
      </c>
      <c r="C20" s="3">
        <v>12.677760614480899</v>
      </c>
      <c r="D20" s="3">
        <v>13.516362671523799</v>
      </c>
      <c r="E20" s="3">
        <v>16.464572230537399</v>
      </c>
      <c r="F20" s="3">
        <v>12.3813982497584</v>
      </c>
      <c r="G20" s="3">
        <v>10.709450110937</v>
      </c>
      <c r="H20" s="3">
        <v>14.338948839728699</v>
      </c>
      <c r="I20" s="3">
        <v>11.2495421754546</v>
      </c>
      <c r="J20" s="3" t="e">
        <v>#N/A</v>
      </c>
      <c r="K20" s="3">
        <v>9.18206102175807</v>
      </c>
      <c r="L20" s="3">
        <v>10.947791735324</v>
      </c>
      <c r="M20" s="3">
        <v>14.912764970455701</v>
      </c>
      <c r="N20" s="3">
        <v>3.8006940508321398</v>
      </c>
      <c r="O20" s="3">
        <v>17.232920036946201</v>
      </c>
      <c r="P20" s="3">
        <v>8.3907736459059699</v>
      </c>
      <c r="Q20" s="3">
        <v>12.4258256281496</v>
      </c>
      <c r="R20" s="3">
        <v>14.052855077010101</v>
      </c>
      <c r="S20" s="3">
        <v>8.6640135041295707</v>
      </c>
      <c r="T20" s="3">
        <v>11.818812797622799</v>
      </c>
      <c r="U20" s="3">
        <v>13.3545552955358</v>
      </c>
      <c r="V20" s="3" t="e">
        <v>#N/A</v>
      </c>
    </row>
    <row r="21" spans="1:22" x14ac:dyDescent="0.35">
      <c r="A21" s="2">
        <v>42279</v>
      </c>
      <c r="B21" s="3" t="e">
        <v>#N/A</v>
      </c>
      <c r="C21" s="3">
        <v>12.2979420333579</v>
      </c>
      <c r="D21" s="3">
        <v>12.6297728259526</v>
      </c>
      <c r="E21" s="3">
        <v>16.1091232586245</v>
      </c>
      <c r="F21" s="3">
        <v>11.7574018574626</v>
      </c>
      <c r="G21" s="3">
        <v>11.429679976129</v>
      </c>
      <c r="H21" s="3">
        <v>14.794608710011801</v>
      </c>
      <c r="I21" s="3">
        <v>11.715216201562599</v>
      </c>
      <c r="J21" s="3" t="e">
        <v>#N/A</v>
      </c>
      <c r="K21" s="3">
        <v>9.6839974415138794</v>
      </c>
      <c r="L21" s="3">
        <v>11.1531501629805</v>
      </c>
      <c r="M21" s="3">
        <v>15.3379588777987</v>
      </c>
      <c r="N21" s="3">
        <v>4.4685854164538101</v>
      </c>
      <c r="O21" s="3">
        <v>17.543025672789899</v>
      </c>
      <c r="P21" s="3">
        <v>8.9256204746961494</v>
      </c>
      <c r="Q21" s="3">
        <v>12.6201994972898</v>
      </c>
      <c r="R21" s="3">
        <v>13.7203967600732</v>
      </c>
      <c r="S21" s="3">
        <v>8.8065374211636502</v>
      </c>
      <c r="T21" s="3">
        <v>12.067323782201999</v>
      </c>
      <c r="U21" s="3">
        <v>13.2529205148907</v>
      </c>
      <c r="V21" s="3">
        <v>12.0098768757343</v>
      </c>
    </row>
    <row r="22" spans="1:22" x14ac:dyDescent="0.35">
      <c r="A22" s="2">
        <v>42312</v>
      </c>
      <c r="B22" s="3" t="e">
        <v>#N/A</v>
      </c>
      <c r="C22" s="3">
        <v>13.797170355490501</v>
      </c>
      <c r="D22" s="3">
        <v>14.475664153819199</v>
      </c>
      <c r="E22" s="3">
        <v>16.957719714537198</v>
      </c>
      <c r="F22" s="3">
        <v>12.0555710666974</v>
      </c>
      <c r="G22" s="3">
        <v>8.0330262285942293</v>
      </c>
      <c r="H22" s="3">
        <v>15.3426401768858</v>
      </c>
      <c r="I22" s="3">
        <v>12.631347964922201</v>
      </c>
      <c r="J22" s="3" t="e">
        <v>#N/A</v>
      </c>
      <c r="K22" s="3">
        <v>10.500724125705601</v>
      </c>
      <c r="L22" s="3">
        <v>11.1189117206495</v>
      </c>
      <c r="M22" s="3">
        <v>15.967971979083901</v>
      </c>
      <c r="N22" s="3">
        <v>3.9209828408544798</v>
      </c>
      <c r="O22" s="3">
        <v>17.677536090204899</v>
      </c>
      <c r="P22" s="3">
        <v>9.7182788961051596</v>
      </c>
      <c r="Q22" s="3">
        <v>12.666583152280101</v>
      </c>
      <c r="R22" s="3">
        <v>14.521848472682599</v>
      </c>
      <c r="S22" s="3">
        <v>9.8488345416289995</v>
      </c>
      <c r="T22" s="3">
        <v>11.2683119175943</v>
      </c>
      <c r="U22" s="3">
        <v>15.2878788141425</v>
      </c>
      <c r="V22" s="3">
        <v>12.1684158565124</v>
      </c>
    </row>
    <row r="23" spans="1:22" x14ac:dyDescent="0.35">
      <c r="A23" s="2">
        <v>42342</v>
      </c>
      <c r="B23" s="3" t="e">
        <v>#N/A</v>
      </c>
      <c r="C23" s="3">
        <v>12.888052497153801</v>
      </c>
      <c r="D23" s="3">
        <v>14.458515154487801</v>
      </c>
      <c r="E23" s="3">
        <v>16.127284046568398</v>
      </c>
      <c r="F23" s="3">
        <v>11.656763013940401</v>
      </c>
      <c r="G23" s="3">
        <v>7.70119008791655</v>
      </c>
      <c r="H23" s="3">
        <v>15.3584177904402</v>
      </c>
      <c r="I23" s="3">
        <v>11.871168118925899</v>
      </c>
      <c r="J23" s="3" t="e">
        <v>#N/A</v>
      </c>
      <c r="K23" s="3">
        <v>10.012875362301299</v>
      </c>
      <c r="L23" s="3">
        <v>10.779599241515999</v>
      </c>
      <c r="M23" s="3">
        <v>14.4093635290841</v>
      </c>
      <c r="N23" s="3">
        <v>3.9825592129299201</v>
      </c>
      <c r="O23" s="3">
        <v>17.039794590726</v>
      </c>
      <c r="P23" s="3">
        <v>9.3445963593266299</v>
      </c>
      <c r="Q23" s="3">
        <v>11.3836549654447</v>
      </c>
      <c r="R23" s="3">
        <v>13.082902854944599</v>
      </c>
      <c r="S23" s="3">
        <v>8.5222099002338396</v>
      </c>
      <c r="T23" s="3">
        <v>10.5444173313492</v>
      </c>
      <c r="U23" s="3">
        <v>12.662781563918699</v>
      </c>
      <c r="V23" s="3">
        <v>12.7709842543211</v>
      </c>
    </row>
    <row r="24" spans="1:22" x14ac:dyDescent="0.35">
      <c r="A24" s="2">
        <v>42373</v>
      </c>
      <c r="B24" s="3" t="e">
        <v>#N/A</v>
      </c>
      <c r="C24" s="3">
        <v>12.014982672994</v>
      </c>
      <c r="D24" s="3">
        <v>14.243157072032201</v>
      </c>
      <c r="E24" s="3">
        <v>15.7436580298496</v>
      </c>
      <c r="F24" s="3">
        <v>12.142745725845201</v>
      </c>
      <c r="G24" s="3">
        <v>11.5150535418401</v>
      </c>
      <c r="H24" s="3">
        <v>15.1457933168304</v>
      </c>
      <c r="I24" s="3">
        <v>11.467074339801499</v>
      </c>
      <c r="J24" s="3">
        <v>16.7915038465012</v>
      </c>
      <c r="K24" s="3">
        <v>9.8721933413449605</v>
      </c>
      <c r="L24" s="3">
        <v>9.96753161544782</v>
      </c>
      <c r="M24" s="3">
        <v>14.076384659176799</v>
      </c>
      <c r="N24" s="3">
        <v>7.9394481626209004</v>
      </c>
      <c r="O24" s="3">
        <v>17.0119332718448</v>
      </c>
      <c r="P24" s="3">
        <v>9.8121900217058808</v>
      </c>
      <c r="Q24" s="3">
        <v>11.212229131884801</v>
      </c>
      <c r="R24" s="3">
        <v>12.3442360838464</v>
      </c>
      <c r="S24" s="3">
        <v>7.9316640103228799</v>
      </c>
      <c r="T24" s="3">
        <v>11.5330885154171</v>
      </c>
      <c r="U24" s="3">
        <v>11.285106928241801</v>
      </c>
      <c r="V24" s="3">
        <v>12.238857205824001</v>
      </c>
    </row>
    <row r="25" spans="1:22" x14ac:dyDescent="0.35">
      <c r="A25" s="2">
        <v>42404</v>
      </c>
      <c r="B25" s="3" t="e">
        <v>#N/A</v>
      </c>
      <c r="C25" s="3">
        <v>12.150750773771099</v>
      </c>
      <c r="D25" s="3">
        <v>14.7030757719034</v>
      </c>
      <c r="E25" s="3">
        <v>15.285688155216899</v>
      </c>
      <c r="F25" s="3">
        <v>12.445268382744899</v>
      </c>
      <c r="G25" s="3">
        <v>13.1160362429274</v>
      </c>
      <c r="H25" s="3">
        <v>15.337874189400599</v>
      </c>
      <c r="I25" s="3">
        <v>11.7761088865477</v>
      </c>
      <c r="J25" s="3">
        <v>17.356160244385801</v>
      </c>
      <c r="K25" s="3">
        <v>10.2477039685478</v>
      </c>
      <c r="L25" s="3">
        <v>10.4262005811891</v>
      </c>
      <c r="M25" s="3">
        <v>14.267613164400901</v>
      </c>
      <c r="N25" s="3">
        <v>9.1920145499014794</v>
      </c>
      <c r="O25" s="3">
        <v>16.656842162331898</v>
      </c>
      <c r="P25" s="3">
        <v>8.9448503699329294</v>
      </c>
      <c r="Q25" s="3">
        <v>10.973242639309399</v>
      </c>
      <c r="R25" s="3">
        <v>13.2983266633764</v>
      </c>
      <c r="S25" s="3">
        <v>8.4067244802925707</v>
      </c>
      <c r="T25" s="3">
        <v>10.9670476885469</v>
      </c>
      <c r="U25" s="3">
        <v>13.522159134995601</v>
      </c>
      <c r="V25" s="3">
        <v>11.5670442099937</v>
      </c>
    </row>
    <row r="26" spans="1:22" x14ac:dyDescent="0.35">
      <c r="A26" s="2">
        <v>42433</v>
      </c>
      <c r="B26" s="3" t="e">
        <v>#N/A</v>
      </c>
      <c r="C26" s="3">
        <v>12.833940293382</v>
      </c>
      <c r="D26" s="3">
        <v>15.2749304747562</v>
      </c>
      <c r="E26" s="3">
        <v>15.712319490211501</v>
      </c>
      <c r="F26" s="3">
        <v>13.235242833665399</v>
      </c>
      <c r="G26" s="3">
        <v>14.646211181665199</v>
      </c>
      <c r="H26" s="3">
        <v>15.910842978003499</v>
      </c>
      <c r="I26" s="3">
        <v>12.5459501304551</v>
      </c>
      <c r="J26" s="3">
        <v>18.165245056228901</v>
      </c>
      <c r="K26" s="3">
        <v>10.4824048926796</v>
      </c>
      <c r="L26" s="3">
        <v>12.9534479527359</v>
      </c>
      <c r="M26" s="3">
        <v>14.6145376825024</v>
      </c>
      <c r="N26" s="3">
        <v>9.0368405839364101</v>
      </c>
      <c r="O26" s="3">
        <v>17.024412182846099</v>
      </c>
      <c r="P26" s="3">
        <v>9.4576072985929507</v>
      </c>
      <c r="Q26" s="3">
        <v>11.698711315352501</v>
      </c>
      <c r="R26" s="3">
        <v>14.3063344671232</v>
      </c>
      <c r="S26" s="3">
        <v>8.6416297833437703</v>
      </c>
      <c r="T26" s="3">
        <v>12.2808567996963</v>
      </c>
      <c r="U26" s="3">
        <v>15.716899709849899</v>
      </c>
      <c r="V26" s="3">
        <v>12.2801641664177</v>
      </c>
    </row>
    <row r="27" spans="1:22" x14ac:dyDescent="0.35">
      <c r="A27" s="2">
        <v>42464</v>
      </c>
      <c r="B27" s="3" t="e">
        <v>#N/A</v>
      </c>
      <c r="C27" s="3">
        <v>13.384135974902801</v>
      </c>
      <c r="D27" s="3">
        <v>15.2498610444873</v>
      </c>
      <c r="E27" s="3">
        <v>16.878524702221899</v>
      </c>
      <c r="F27" s="3">
        <v>13.695771668815199</v>
      </c>
      <c r="G27" s="3">
        <v>14.615595199116701</v>
      </c>
      <c r="H27" s="3">
        <v>16.331018812947502</v>
      </c>
      <c r="I27" s="3">
        <v>12.7298301771367</v>
      </c>
      <c r="J27" s="3">
        <v>18.512008480635</v>
      </c>
      <c r="K27" s="3">
        <v>10.5392257983983</v>
      </c>
      <c r="L27" s="3">
        <v>12.9910489017748</v>
      </c>
      <c r="M27" s="3">
        <v>14.872062128830899</v>
      </c>
      <c r="N27" s="3">
        <v>8.7858122566821404</v>
      </c>
      <c r="O27" s="3">
        <v>17.286038831414199</v>
      </c>
      <c r="P27" s="3">
        <v>10.028887980958</v>
      </c>
      <c r="Q27" s="3">
        <v>11.927726967970999</v>
      </c>
      <c r="R27" s="3">
        <v>14.4845852272723</v>
      </c>
      <c r="S27" s="3">
        <v>9.2280602622052204</v>
      </c>
      <c r="T27" s="3">
        <v>12.409852062774499</v>
      </c>
      <c r="U27" s="3">
        <v>12.6284657345588</v>
      </c>
      <c r="V27" s="3">
        <v>12.537373870679399</v>
      </c>
    </row>
    <row r="28" spans="1:22" x14ac:dyDescent="0.35">
      <c r="A28" s="2">
        <v>42494</v>
      </c>
      <c r="B28" s="3" t="e">
        <v>#N/A</v>
      </c>
      <c r="C28" s="3">
        <v>13.833915958055</v>
      </c>
      <c r="D28" s="3">
        <v>14.670960742102899</v>
      </c>
      <c r="E28" s="3">
        <v>16.079767912952999</v>
      </c>
      <c r="F28" s="3">
        <v>12.5292499369948</v>
      </c>
      <c r="G28" s="3">
        <v>15.2562029996447</v>
      </c>
      <c r="H28" s="3">
        <v>15.6195884419013</v>
      </c>
      <c r="I28" s="3">
        <v>11.971496016642501</v>
      </c>
      <c r="J28" s="3">
        <v>19.588075531574901</v>
      </c>
      <c r="K28" s="3">
        <v>10.072426837662</v>
      </c>
      <c r="L28" s="3">
        <v>12.895798946997401</v>
      </c>
      <c r="M28" s="3">
        <v>14.473704537983799</v>
      </c>
      <c r="N28" s="3">
        <v>9.7758534180848198</v>
      </c>
      <c r="O28" s="3">
        <v>17.131872152913701</v>
      </c>
      <c r="P28" s="3">
        <v>9.8862316675017095</v>
      </c>
      <c r="Q28" s="3">
        <v>11.848524159445599</v>
      </c>
      <c r="R28" s="3">
        <v>14.268868526032399</v>
      </c>
      <c r="S28" s="3">
        <v>8.6789863446746907</v>
      </c>
      <c r="T28" s="3">
        <v>12.6656795435833</v>
      </c>
      <c r="U28" s="3">
        <v>12.365978831991701</v>
      </c>
      <c r="V28" s="3">
        <v>13.2650188784293</v>
      </c>
    </row>
    <row r="29" spans="1:22" x14ac:dyDescent="0.35">
      <c r="A29" s="2">
        <v>42524</v>
      </c>
      <c r="B29" s="3" t="e">
        <v>#N/A</v>
      </c>
      <c r="C29" s="3">
        <v>13.7392052771142</v>
      </c>
      <c r="D29" s="3">
        <v>14.878491681277</v>
      </c>
      <c r="E29" s="3">
        <v>16.7315005629906</v>
      </c>
      <c r="F29" s="3">
        <v>11.798940927247701</v>
      </c>
      <c r="G29" s="3">
        <v>14.675103963600201</v>
      </c>
      <c r="H29" s="3">
        <v>16.039448583096402</v>
      </c>
      <c r="I29" s="3">
        <v>12.990209389544299</v>
      </c>
      <c r="J29" s="3">
        <v>18.5202352604345</v>
      </c>
      <c r="K29" s="3">
        <v>10.048313696712601</v>
      </c>
      <c r="L29" s="3">
        <v>12.4152741584341</v>
      </c>
      <c r="M29" s="3">
        <v>15.229660857394601</v>
      </c>
      <c r="N29" s="3">
        <v>10.6925284336569</v>
      </c>
      <c r="O29" s="3">
        <v>17.828329361457399</v>
      </c>
      <c r="P29" s="3">
        <v>10.9147790831758</v>
      </c>
      <c r="Q29" s="3">
        <v>11.4219032290315</v>
      </c>
      <c r="R29" s="3">
        <v>14.697794427046</v>
      </c>
      <c r="S29" s="3">
        <v>8.4747551634381306</v>
      </c>
      <c r="T29" s="3">
        <v>12.387891335428099</v>
      </c>
      <c r="U29" s="3">
        <v>12.280527701822299</v>
      </c>
      <c r="V29" s="3">
        <v>13.718636094986</v>
      </c>
    </row>
    <row r="30" spans="1:22" x14ac:dyDescent="0.35">
      <c r="A30" s="2">
        <v>42552</v>
      </c>
      <c r="B30" s="3">
        <v>13.1781824564606</v>
      </c>
      <c r="C30" s="3">
        <v>14.684456058995099</v>
      </c>
      <c r="D30" s="3">
        <v>15.497629317460101</v>
      </c>
      <c r="E30" s="3">
        <v>17.5621597393515</v>
      </c>
      <c r="F30" s="3">
        <v>11.382131967876999</v>
      </c>
      <c r="G30" s="3">
        <v>14.295905878349499</v>
      </c>
      <c r="H30" s="3">
        <v>16.213493407559</v>
      </c>
      <c r="I30" s="3">
        <v>13.2171437499916</v>
      </c>
      <c r="J30" s="3">
        <v>18.633171259921099</v>
      </c>
      <c r="K30" s="3">
        <v>10.006824226896599</v>
      </c>
      <c r="L30" s="3">
        <v>12.625072427570499</v>
      </c>
      <c r="M30" s="3">
        <v>14.9553923306025</v>
      </c>
      <c r="N30" s="3">
        <v>8.2417478606372505</v>
      </c>
      <c r="O30" s="3">
        <v>17.7845737354383</v>
      </c>
      <c r="P30" s="3">
        <v>10.905302555105701</v>
      </c>
      <c r="Q30" s="3">
        <v>11.872529710553501</v>
      </c>
      <c r="R30" s="3">
        <v>14.8272297988212</v>
      </c>
      <c r="S30" s="3">
        <v>8.4225063023310298</v>
      </c>
      <c r="T30" s="3">
        <v>12.5410289126565</v>
      </c>
      <c r="U30" s="3">
        <v>12.011355636629</v>
      </c>
      <c r="V30" s="3">
        <v>13.3150054564946</v>
      </c>
    </row>
    <row r="31" spans="1:22" x14ac:dyDescent="0.35">
      <c r="A31" s="2">
        <v>42586</v>
      </c>
      <c r="B31" s="3">
        <v>13.4954628886743</v>
      </c>
      <c r="C31" s="3">
        <v>15.598780850423999</v>
      </c>
      <c r="D31" s="3">
        <v>16.831516084773298</v>
      </c>
      <c r="E31" s="3">
        <v>17.7929026280618</v>
      </c>
      <c r="F31" s="3">
        <v>12.0468222012439</v>
      </c>
      <c r="G31" s="3">
        <v>14.6663559837788</v>
      </c>
      <c r="H31" s="3">
        <v>16.358463622151199</v>
      </c>
      <c r="I31" s="3">
        <v>13.589398724523599</v>
      </c>
      <c r="J31" s="3">
        <v>18.532659020453501</v>
      </c>
      <c r="K31" s="3">
        <v>9.8509409793959293</v>
      </c>
      <c r="L31" s="3">
        <v>13.7923050375783</v>
      </c>
      <c r="M31" s="3">
        <v>15.3797256808197</v>
      </c>
      <c r="N31" s="3">
        <v>8.7196362496476691</v>
      </c>
      <c r="O31" s="3">
        <v>18.127169554233301</v>
      </c>
      <c r="P31" s="3">
        <v>11.3466104572802</v>
      </c>
      <c r="Q31" s="3">
        <v>12.736045074785199</v>
      </c>
      <c r="R31" s="3">
        <v>15.1748621338548</v>
      </c>
      <c r="S31" s="3">
        <v>8.1285512496634809</v>
      </c>
      <c r="T31" s="3">
        <v>12.4202149955983</v>
      </c>
      <c r="U31" s="3">
        <v>11.7060415591134</v>
      </c>
      <c r="V31" s="3">
        <v>13.046530686733201</v>
      </c>
    </row>
    <row r="32" spans="1:22" x14ac:dyDescent="0.35">
      <c r="A32" s="2">
        <v>42615</v>
      </c>
      <c r="B32" s="3">
        <v>13.964608784324399</v>
      </c>
      <c r="C32" s="3">
        <v>15.6038822646544</v>
      </c>
      <c r="D32" s="3">
        <v>16.353135021021799</v>
      </c>
      <c r="E32" s="3">
        <v>18.294883425806098</v>
      </c>
      <c r="F32" s="3">
        <v>11.8050757054271</v>
      </c>
      <c r="G32" s="3">
        <v>13.9926382045407</v>
      </c>
      <c r="H32" s="3">
        <v>16.7771564830914</v>
      </c>
      <c r="I32" s="3">
        <v>13.4102865476984</v>
      </c>
      <c r="J32" s="3">
        <v>18.3508253972159</v>
      </c>
      <c r="K32" s="3">
        <v>10.146531964270199</v>
      </c>
      <c r="L32" s="3">
        <v>14.1285946193795</v>
      </c>
      <c r="M32" s="3">
        <v>15.167105952641901</v>
      </c>
      <c r="N32" s="3">
        <v>8.7943862477631605</v>
      </c>
      <c r="O32" s="3">
        <v>18.125354264789198</v>
      </c>
      <c r="P32" s="3">
        <v>12.2625733256678</v>
      </c>
      <c r="Q32" s="3">
        <v>13.202687198871001</v>
      </c>
      <c r="R32" s="3">
        <v>15.0043683622727</v>
      </c>
      <c r="S32" s="3">
        <v>8.3974651670187797</v>
      </c>
      <c r="T32" s="3">
        <v>12.265901723062299</v>
      </c>
      <c r="U32" s="3">
        <v>11.6777633710124</v>
      </c>
      <c r="V32" s="3">
        <v>12.273527760675901</v>
      </c>
    </row>
    <row r="33" spans="1:22" x14ac:dyDescent="0.35">
      <c r="A33" s="2">
        <v>42647</v>
      </c>
      <c r="B33" s="3">
        <v>13.558336526282099</v>
      </c>
      <c r="C33" s="3">
        <v>15.4273399307238</v>
      </c>
      <c r="D33" s="3">
        <v>16.924999405279799</v>
      </c>
      <c r="E33" s="3">
        <v>17.2103576141654</v>
      </c>
      <c r="F33" s="3">
        <v>11.680002542462701</v>
      </c>
      <c r="G33" s="3">
        <v>13.0059673029777</v>
      </c>
      <c r="H33" s="3">
        <v>16.667935043004402</v>
      </c>
      <c r="I33" s="3">
        <v>13.7811057820595</v>
      </c>
      <c r="J33" s="3">
        <v>18.002682958152299</v>
      </c>
      <c r="K33" s="3">
        <v>10.0642224545883</v>
      </c>
      <c r="L33" s="3">
        <v>13.836494310960401</v>
      </c>
      <c r="M33" s="3">
        <v>14.9881547256077</v>
      </c>
      <c r="N33" s="3">
        <v>8.9927784592550406</v>
      </c>
      <c r="O33" s="3">
        <v>17.9644441186216</v>
      </c>
      <c r="P33" s="3">
        <v>12.4456578792068</v>
      </c>
      <c r="Q33" s="3">
        <v>12.6194484991899</v>
      </c>
      <c r="R33" s="3">
        <v>14.765795011120099</v>
      </c>
      <c r="S33" s="3">
        <v>8.2238745234628201</v>
      </c>
      <c r="T33" s="3">
        <v>12.671202455635299</v>
      </c>
      <c r="U33" s="3">
        <v>13.6545775533942</v>
      </c>
      <c r="V33" s="3">
        <v>11.4677656432729</v>
      </c>
    </row>
    <row r="34" spans="1:22" x14ac:dyDescent="0.35">
      <c r="A34" s="2">
        <v>42678</v>
      </c>
      <c r="B34" s="3">
        <v>13.801493280749</v>
      </c>
      <c r="C34" s="3">
        <v>16.467614018265099</v>
      </c>
      <c r="D34" s="3">
        <v>15.9136599759787</v>
      </c>
      <c r="E34" s="3">
        <v>16.0508590434764</v>
      </c>
      <c r="F34" s="3">
        <v>11.5133121463489</v>
      </c>
      <c r="G34" s="3">
        <v>11.8184945620419</v>
      </c>
      <c r="H34" s="3">
        <v>16.521704499218799</v>
      </c>
      <c r="I34" s="3">
        <v>13.184295977033001</v>
      </c>
      <c r="J34" s="3">
        <v>17.6061650998688</v>
      </c>
      <c r="K34" s="3">
        <v>9.7557599046049397</v>
      </c>
      <c r="L34" s="3">
        <v>14.0283452984168</v>
      </c>
      <c r="M34" s="3">
        <v>14.196012998827699</v>
      </c>
      <c r="N34" s="3">
        <v>8.3697383551635607</v>
      </c>
      <c r="O34" s="3">
        <v>17.019133495311898</v>
      </c>
      <c r="P34" s="3">
        <v>11.7863427026273</v>
      </c>
      <c r="Q34" s="3">
        <v>12.544908913896601</v>
      </c>
      <c r="R34" s="3">
        <v>14.5047138869341</v>
      </c>
      <c r="S34" s="3">
        <v>7.6638382151814701</v>
      </c>
      <c r="T34" s="3">
        <v>11.720949386575001</v>
      </c>
      <c r="U34" s="3">
        <v>12.415216647823</v>
      </c>
      <c r="V34" s="3">
        <v>12.2673236995503</v>
      </c>
    </row>
    <row r="35" spans="1:22" x14ac:dyDescent="0.35">
      <c r="A35" s="2">
        <v>42706</v>
      </c>
      <c r="B35" s="3">
        <v>14.357397918090999</v>
      </c>
      <c r="C35" s="3">
        <v>15.807097781365799</v>
      </c>
      <c r="D35" s="3">
        <v>15.276506614772901</v>
      </c>
      <c r="E35" s="3">
        <v>15.4341778061413</v>
      </c>
      <c r="F35" s="3">
        <v>11.439053933482899</v>
      </c>
      <c r="G35" s="3">
        <v>11.678417212071899</v>
      </c>
      <c r="H35" s="3">
        <v>16.3067639619041</v>
      </c>
      <c r="I35" s="3">
        <v>12.9707625808825</v>
      </c>
      <c r="J35" s="3">
        <v>16.159467172904701</v>
      </c>
      <c r="K35" s="3">
        <v>9.6632711106666491</v>
      </c>
      <c r="L35" s="3">
        <v>13.0681667066687</v>
      </c>
      <c r="M35" s="3">
        <v>13.698862057148</v>
      </c>
      <c r="N35" s="3">
        <v>9.2460732497104594</v>
      </c>
      <c r="O35" s="3">
        <v>16.186918659614498</v>
      </c>
      <c r="P35" s="3">
        <v>11.7832916889356</v>
      </c>
      <c r="Q35" s="3">
        <v>12.173085022456</v>
      </c>
      <c r="R35" s="3">
        <v>14.6501293611528</v>
      </c>
      <c r="S35" s="3">
        <v>7.3696437367199401</v>
      </c>
      <c r="T35" s="3">
        <v>11.274840103974199</v>
      </c>
      <c r="U35" s="3">
        <v>12.6111782601419</v>
      </c>
      <c r="V35" s="3">
        <v>14.328431399868</v>
      </c>
    </row>
    <row r="36" spans="1:22" x14ac:dyDescent="0.35">
      <c r="A36" s="2">
        <v>42739</v>
      </c>
      <c r="B36" s="3">
        <v>13.2844078906021</v>
      </c>
      <c r="C36" s="3">
        <v>15.8777344284227</v>
      </c>
      <c r="D36" s="3">
        <v>15.3724748309254</v>
      </c>
      <c r="E36" s="3">
        <v>15.9897188119897</v>
      </c>
      <c r="F36" s="3">
        <v>12.085635496574501</v>
      </c>
      <c r="G36" s="3">
        <v>11.8740032740809</v>
      </c>
      <c r="H36" s="3">
        <v>16.466441337282099</v>
      </c>
      <c r="I36" s="3">
        <v>12.9483873488442</v>
      </c>
      <c r="J36" s="3">
        <v>16.3810020477219</v>
      </c>
      <c r="K36" s="3">
        <v>9.7540360246634794</v>
      </c>
      <c r="L36" s="3">
        <v>12.995062226356399</v>
      </c>
      <c r="M36" s="3">
        <v>14.709832399615101</v>
      </c>
      <c r="N36" s="3">
        <v>9.1318644106529607</v>
      </c>
      <c r="O36" s="3">
        <v>16.263162197298801</v>
      </c>
      <c r="P36" s="3">
        <v>11.4507933150915</v>
      </c>
      <c r="Q36" s="3">
        <v>13.575131392079699</v>
      </c>
      <c r="R36" s="3">
        <v>15.0605709674573</v>
      </c>
      <c r="S36" s="3">
        <v>7.5151168070008003</v>
      </c>
      <c r="T36" s="3">
        <v>11.9926311289989</v>
      </c>
      <c r="U36" s="3">
        <v>12.7567446103512</v>
      </c>
      <c r="V36" s="3">
        <v>14.417545169318201</v>
      </c>
    </row>
    <row r="37" spans="1:22" x14ac:dyDescent="0.35">
      <c r="A37" s="2">
        <v>42769</v>
      </c>
      <c r="B37" s="3">
        <v>13.0548804856184</v>
      </c>
      <c r="C37" s="3">
        <v>15.865594283383301</v>
      </c>
      <c r="D37" s="3">
        <v>15.296986493450101</v>
      </c>
      <c r="E37" s="3">
        <v>16.524372276313901</v>
      </c>
      <c r="F37" s="3">
        <v>12.345338868825801</v>
      </c>
      <c r="G37" s="3">
        <v>13.197956864106301</v>
      </c>
      <c r="H37" s="3">
        <v>16.650091599677101</v>
      </c>
      <c r="I37" s="3">
        <v>13.0028639434866</v>
      </c>
      <c r="J37" s="3">
        <v>16.555907197100801</v>
      </c>
      <c r="K37" s="3">
        <v>9.5000738938331803</v>
      </c>
      <c r="L37" s="3">
        <v>13.245281940327899</v>
      </c>
      <c r="M37" s="3">
        <v>14.957120254348901</v>
      </c>
      <c r="N37" s="3">
        <v>8.7632695693259794</v>
      </c>
      <c r="O37" s="3">
        <v>17.214559949686901</v>
      </c>
      <c r="P37" s="3">
        <v>11.9226161104338</v>
      </c>
      <c r="Q37" s="3">
        <v>13.206916065568</v>
      </c>
      <c r="R37" s="3">
        <v>15.1616619011563</v>
      </c>
      <c r="S37" s="3">
        <v>8.6193407821022205</v>
      </c>
      <c r="T37" s="3">
        <v>11.919506300938099</v>
      </c>
      <c r="U37" s="3">
        <v>12.968723428916901</v>
      </c>
      <c r="V37" s="3">
        <v>14.5177240122157</v>
      </c>
    </row>
    <row r="38" spans="1:22" x14ac:dyDescent="0.35">
      <c r="A38" s="2">
        <v>42797</v>
      </c>
      <c r="B38" s="3">
        <v>13.185011488174901</v>
      </c>
      <c r="C38" s="3">
        <v>16.141342676153801</v>
      </c>
      <c r="D38" s="3">
        <v>15.072725277023199</v>
      </c>
      <c r="E38" s="3">
        <v>16.2784103434489</v>
      </c>
      <c r="F38" s="3">
        <v>12.790259154886501</v>
      </c>
      <c r="G38" s="3">
        <v>12.9348828751772</v>
      </c>
      <c r="H38" s="3">
        <v>16.753737773838399</v>
      </c>
      <c r="I38" s="3">
        <v>12.9000372702394</v>
      </c>
      <c r="J38" s="3">
        <v>16.493397697043999</v>
      </c>
      <c r="K38" s="3">
        <v>9.4493929667333703</v>
      </c>
      <c r="L38" s="3">
        <v>13.439020922106099</v>
      </c>
      <c r="M38" s="3">
        <v>15.610487977019901</v>
      </c>
      <c r="N38" s="3">
        <v>9.2477384294156106</v>
      </c>
      <c r="O38" s="3">
        <v>17.605697502582601</v>
      </c>
      <c r="P38" s="3">
        <v>12.229911879981801</v>
      </c>
      <c r="Q38" s="3">
        <v>13.2514114203048</v>
      </c>
      <c r="R38" s="3">
        <v>15.0454425891933</v>
      </c>
      <c r="S38" s="3">
        <v>8.5677139809670599</v>
      </c>
      <c r="T38" s="3">
        <v>12.0860175197882</v>
      </c>
      <c r="U38" s="3">
        <v>13.3151672379297</v>
      </c>
      <c r="V38" s="3">
        <v>14.0393322260316</v>
      </c>
    </row>
    <row r="39" spans="1:22" x14ac:dyDescent="0.35">
      <c r="A39" s="2">
        <v>42829</v>
      </c>
      <c r="B39" s="3">
        <v>13.2853389737055</v>
      </c>
      <c r="C39" s="3">
        <v>17.153848990653199</v>
      </c>
      <c r="D39" s="3">
        <v>15.684803662886599</v>
      </c>
      <c r="E39" s="3">
        <v>17.009337847668899</v>
      </c>
      <c r="F39" s="3">
        <v>12.3804850461852</v>
      </c>
      <c r="G39" s="3">
        <v>12.435617205455999</v>
      </c>
      <c r="H39" s="3">
        <v>16.933735569741401</v>
      </c>
      <c r="I39" s="3">
        <v>12.9915132517849</v>
      </c>
      <c r="J39" s="3">
        <v>17.117420475979301</v>
      </c>
      <c r="K39" s="3">
        <v>9.4090287186404495</v>
      </c>
      <c r="L39" s="3">
        <v>12.868229477402</v>
      </c>
      <c r="M39" s="3">
        <v>15.7047869903187</v>
      </c>
      <c r="N39" s="3">
        <v>9.4503989252777405</v>
      </c>
      <c r="O39" s="3">
        <v>18.069199911173399</v>
      </c>
      <c r="P39" s="3">
        <v>12.438757543541</v>
      </c>
      <c r="Q39" s="3">
        <v>12.7176228712034</v>
      </c>
      <c r="R39" s="3">
        <v>15.0570688112615</v>
      </c>
      <c r="S39" s="3">
        <v>8.2647654909715893</v>
      </c>
      <c r="T39" s="3">
        <v>12.1148365489311</v>
      </c>
      <c r="U39" s="3">
        <v>14.267203770816399</v>
      </c>
      <c r="V39" s="3">
        <v>13.9333843693076</v>
      </c>
    </row>
    <row r="40" spans="1:22" x14ac:dyDescent="0.35">
      <c r="A40" s="2">
        <v>42859</v>
      </c>
      <c r="B40" s="3">
        <v>13.3007436072378</v>
      </c>
      <c r="C40" s="3">
        <v>17.1997644328628</v>
      </c>
      <c r="D40" s="3">
        <v>15.745533988797501</v>
      </c>
      <c r="E40" s="3">
        <v>17.6640682900737</v>
      </c>
      <c r="F40" s="3">
        <v>12.824646064709199</v>
      </c>
      <c r="G40" s="3">
        <v>10.700276405012801</v>
      </c>
      <c r="H40" s="3">
        <v>16.956817512520001</v>
      </c>
      <c r="I40" s="3">
        <v>13.3500041244467</v>
      </c>
      <c r="J40" s="3">
        <v>16.489920524196201</v>
      </c>
      <c r="K40" s="3">
        <v>9.1947701725107809</v>
      </c>
      <c r="L40" s="3">
        <v>12.5432164044974</v>
      </c>
      <c r="M40" s="3">
        <v>16.061125960471799</v>
      </c>
      <c r="N40" s="3">
        <v>12.374565352470301</v>
      </c>
      <c r="O40" s="3">
        <v>18.2141003609702</v>
      </c>
      <c r="P40" s="3">
        <v>12.490194591503</v>
      </c>
      <c r="Q40" s="3">
        <v>12.862789544208001</v>
      </c>
      <c r="R40" s="3">
        <v>14.7811867222674</v>
      </c>
      <c r="S40" s="3">
        <v>8.4924751855118892</v>
      </c>
      <c r="T40" s="3">
        <v>12.0544266557871</v>
      </c>
      <c r="U40" s="3">
        <v>14.76120818843</v>
      </c>
      <c r="V40" s="3">
        <v>13.364576210279001</v>
      </c>
    </row>
    <row r="41" spans="1:22" x14ac:dyDescent="0.35">
      <c r="A41" s="2">
        <v>42888</v>
      </c>
      <c r="B41" s="3">
        <v>13.637109983049699</v>
      </c>
      <c r="C41" s="3">
        <v>17.096242013373399</v>
      </c>
      <c r="D41" s="3">
        <v>15.6434833925987</v>
      </c>
      <c r="E41" s="3">
        <v>17.750171710158401</v>
      </c>
      <c r="F41" s="3">
        <v>12.465471741389299</v>
      </c>
      <c r="G41" s="3">
        <v>11.8179991470875</v>
      </c>
      <c r="H41" s="3">
        <v>16.662589000053799</v>
      </c>
      <c r="I41" s="3">
        <v>13.5806430829211</v>
      </c>
      <c r="J41" s="3">
        <v>16.591111482252899</v>
      </c>
      <c r="K41" s="3">
        <v>9.6847839506101305</v>
      </c>
      <c r="L41" s="3">
        <v>11.951737167842399</v>
      </c>
      <c r="M41" s="3">
        <v>15.5552116712227</v>
      </c>
      <c r="N41" s="3">
        <v>13.6886285876452</v>
      </c>
      <c r="O41" s="3">
        <v>18.345910276725501</v>
      </c>
      <c r="P41" s="3">
        <v>13.012981899518</v>
      </c>
      <c r="Q41" s="3">
        <v>13.0047584553925</v>
      </c>
      <c r="R41" s="3">
        <v>14.6918166051467</v>
      </c>
      <c r="S41" s="3">
        <v>8.7987817293779003</v>
      </c>
      <c r="T41" s="3">
        <v>11.092852730853201</v>
      </c>
      <c r="U41" s="3">
        <v>14.473523768479399</v>
      </c>
      <c r="V41" s="3">
        <v>13.693208058446601</v>
      </c>
    </row>
    <row r="42" spans="1:22" x14ac:dyDescent="0.35">
      <c r="A42" s="2">
        <v>42919</v>
      </c>
      <c r="B42" s="3">
        <v>14.2162894648609</v>
      </c>
      <c r="C42" s="3">
        <v>17.042877812328701</v>
      </c>
      <c r="D42" s="3">
        <v>16.057602116568599</v>
      </c>
      <c r="E42" s="3">
        <v>17.1564364161441</v>
      </c>
      <c r="F42" s="3">
        <v>12.618462604031199</v>
      </c>
      <c r="G42" s="3">
        <v>11.930387012616899</v>
      </c>
      <c r="H42" s="3">
        <v>16.520527069488399</v>
      </c>
      <c r="I42" s="3">
        <v>13.9564714038353</v>
      </c>
      <c r="J42" s="3">
        <v>16.768811885448098</v>
      </c>
      <c r="K42" s="3">
        <v>9.5625924291583999</v>
      </c>
      <c r="L42" s="3">
        <v>11.9589176955177</v>
      </c>
      <c r="M42" s="3">
        <v>15.167553112265299</v>
      </c>
      <c r="N42" s="3">
        <v>13.0673287245972</v>
      </c>
      <c r="O42" s="3">
        <v>18.046525475756098</v>
      </c>
      <c r="P42" s="3">
        <v>12.933681604307299</v>
      </c>
      <c r="Q42" s="3">
        <v>11.798185253675801</v>
      </c>
      <c r="R42" s="3">
        <v>14.697230514711499</v>
      </c>
      <c r="S42" s="3">
        <v>8.6008535058638191</v>
      </c>
      <c r="T42" s="3">
        <v>11.1215941280298</v>
      </c>
      <c r="U42" s="3">
        <v>16.174763711542202</v>
      </c>
      <c r="V42" s="3">
        <v>15.101032343174801</v>
      </c>
    </row>
    <row r="43" spans="1:22" x14ac:dyDescent="0.35">
      <c r="A43" s="2">
        <v>42951</v>
      </c>
      <c r="B43" s="3">
        <v>13.9747978665205</v>
      </c>
      <c r="C43" s="3">
        <v>17.856395858021202</v>
      </c>
      <c r="D43" s="3">
        <v>15.465883210164799</v>
      </c>
      <c r="E43" s="3">
        <v>16.499011789146198</v>
      </c>
      <c r="F43" s="3">
        <v>12.7162068572175</v>
      </c>
      <c r="G43" s="3">
        <v>12.5076729987533</v>
      </c>
      <c r="H43" s="3">
        <v>16.372288268341901</v>
      </c>
      <c r="I43" s="3">
        <v>14.098519259618101</v>
      </c>
      <c r="J43" s="3">
        <v>17.319518596594701</v>
      </c>
      <c r="K43" s="3">
        <v>9.3298074676906193</v>
      </c>
      <c r="L43" s="3">
        <v>12.7975959331699</v>
      </c>
      <c r="M43" s="3">
        <v>15.831238606034001</v>
      </c>
      <c r="N43" s="3">
        <v>12.6480615774794</v>
      </c>
      <c r="O43" s="3">
        <v>18.9913119234003</v>
      </c>
      <c r="P43" s="3">
        <v>13.598918586520499</v>
      </c>
      <c r="Q43" s="3">
        <v>12.297830068850301</v>
      </c>
      <c r="R43" s="3">
        <v>14.756537773415699</v>
      </c>
      <c r="S43" s="3">
        <v>8.8086805818690408</v>
      </c>
      <c r="T43" s="3">
        <v>11.955522125636501</v>
      </c>
      <c r="U43" s="3">
        <v>15.289204804681599</v>
      </c>
      <c r="V43" s="3">
        <v>14.0725730769046</v>
      </c>
    </row>
    <row r="44" spans="1:22" x14ac:dyDescent="0.35">
      <c r="A44" s="2">
        <v>42979</v>
      </c>
      <c r="B44" s="3">
        <v>14.366767585341099</v>
      </c>
      <c r="C44" s="3">
        <v>18.9969561066947</v>
      </c>
      <c r="D44" s="3">
        <v>15.670646065200801</v>
      </c>
      <c r="E44" s="3">
        <v>16.686354922201598</v>
      </c>
      <c r="F44" s="3">
        <v>12.9738647194501</v>
      </c>
      <c r="G44" s="3">
        <v>12.5183585248119</v>
      </c>
      <c r="H44" s="3">
        <v>16.409697965824598</v>
      </c>
      <c r="I44" s="3">
        <v>13.975803613734699</v>
      </c>
      <c r="J44" s="3">
        <v>17.092563244150501</v>
      </c>
      <c r="K44" s="3">
        <v>9.0881687616361404</v>
      </c>
      <c r="L44" s="3">
        <v>13.467372194978299</v>
      </c>
      <c r="M44" s="3">
        <v>15.6366160071662</v>
      </c>
      <c r="N44" s="3">
        <v>11.615724998690901</v>
      </c>
      <c r="O44" s="3">
        <v>18.830522100573599</v>
      </c>
      <c r="P44" s="3">
        <v>13.412681363165399</v>
      </c>
      <c r="Q44" s="3">
        <v>11.5320585772148</v>
      </c>
      <c r="R44" s="3">
        <v>15.082899093562901</v>
      </c>
      <c r="S44" s="3">
        <v>8.6979712777740996</v>
      </c>
      <c r="T44" s="3">
        <v>11.404510203833</v>
      </c>
      <c r="U44" s="3">
        <v>15.967640302634701</v>
      </c>
      <c r="V44" s="3">
        <v>13.974154501944501</v>
      </c>
    </row>
    <row r="45" spans="1:22" x14ac:dyDescent="0.35">
      <c r="A45" s="2">
        <v>43012</v>
      </c>
      <c r="B45" s="3">
        <v>14.206657649961301</v>
      </c>
      <c r="C45" s="3">
        <v>12.758375437928301</v>
      </c>
      <c r="D45" s="3">
        <v>15.7011544549903</v>
      </c>
      <c r="E45" s="3">
        <v>17.691203407497401</v>
      </c>
      <c r="F45" s="3">
        <v>12.036063346698301</v>
      </c>
      <c r="G45" s="3">
        <v>13.121235356461</v>
      </c>
      <c r="H45" s="3">
        <v>16.193984651478601</v>
      </c>
      <c r="I45" s="3">
        <v>13.4113253813012</v>
      </c>
      <c r="J45" s="3">
        <v>16.6905537555065</v>
      </c>
      <c r="K45" s="3">
        <v>9.1859886755767004</v>
      </c>
      <c r="L45" s="3">
        <v>14.1309377048904</v>
      </c>
      <c r="M45" s="3">
        <v>15.0567675766035</v>
      </c>
      <c r="N45" s="3">
        <v>11.2186631972467</v>
      </c>
      <c r="O45" s="3">
        <v>18.422985127593201</v>
      </c>
      <c r="P45" s="3">
        <v>13.8538696352086</v>
      </c>
      <c r="Q45" s="3">
        <v>10.6790592825555</v>
      </c>
      <c r="R45" s="3">
        <v>15.5459437846981</v>
      </c>
      <c r="S45" s="3">
        <v>8.0852646615986892</v>
      </c>
      <c r="T45" s="3">
        <v>11.1392687926325</v>
      </c>
      <c r="U45" s="3">
        <v>15.835609484019299</v>
      </c>
      <c r="V45" s="3">
        <v>13.659379211678701</v>
      </c>
    </row>
    <row r="46" spans="1:22" x14ac:dyDescent="0.35">
      <c r="A46" s="2">
        <v>43042</v>
      </c>
      <c r="B46" s="3">
        <v>14.464950160943699</v>
      </c>
      <c r="C46" s="3">
        <v>14.8443348068945</v>
      </c>
      <c r="D46" s="3">
        <v>15.606500418326799</v>
      </c>
      <c r="E46" s="3">
        <v>17.787392206739302</v>
      </c>
      <c r="F46" s="3">
        <v>12.078991787241099</v>
      </c>
      <c r="G46" s="3">
        <v>13.3693217370623</v>
      </c>
      <c r="H46" s="3">
        <v>15.8819865010396</v>
      </c>
      <c r="I46" s="3">
        <v>13.879986916827701</v>
      </c>
      <c r="J46" s="3">
        <v>15.871379883670199</v>
      </c>
      <c r="K46" s="3">
        <v>9.50994948307501</v>
      </c>
      <c r="L46" s="3">
        <v>13.2877405742011</v>
      </c>
      <c r="M46" s="3">
        <v>15.5073818715271</v>
      </c>
      <c r="N46" s="3">
        <v>12.180581046912501</v>
      </c>
      <c r="O46" s="3">
        <v>19.136353658376301</v>
      </c>
      <c r="P46" s="3">
        <v>13.7171406841987</v>
      </c>
      <c r="Q46" s="3">
        <v>11.076450406698401</v>
      </c>
      <c r="R46" s="3">
        <v>15.624421756866701</v>
      </c>
      <c r="S46" s="3">
        <v>8.4587670984277494</v>
      </c>
      <c r="T46" s="3">
        <v>11.3464688947697</v>
      </c>
      <c r="U46" s="3">
        <v>16.095212010806701</v>
      </c>
      <c r="V46" s="3">
        <v>13.0463439001977</v>
      </c>
    </row>
    <row r="47" spans="1:22" x14ac:dyDescent="0.35">
      <c r="A47" s="2">
        <v>43073</v>
      </c>
      <c r="B47" s="3">
        <v>13.934009465634499</v>
      </c>
      <c r="C47" s="3">
        <v>12.9170445493116</v>
      </c>
      <c r="D47" s="3">
        <v>15.053147617600199</v>
      </c>
      <c r="E47" s="3">
        <v>16.705760297325501</v>
      </c>
      <c r="F47" s="3">
        <v>11.5105765877235</v>
      </c>
      <c r="G47" s="3">
        <v>12.4436051615774</v>
      </c>
      <c r="H47" s="3">
        <v>15.8423657113985</v>
      </c>
      <c r="I47" s="3">
        <v>13.48506762719</v>
      </c>
      <c r="J47" s="3">
        <v>15.4234715662539</v>
      </c>
      <c r="K47" s="3">
        <v>9.2682906957509203</v>
      </c>
      <c r="L47" s="3">
        <v>13.089968209259901</v>
      </c>
      <c r="M47" s="3">
        <v>15.202975425965001</v>
      </c>
      <c r="N47" s="3">
        <v>12.159496273306001</v>
      </c>
      <c r="O47" s="3">
        <v>18.4162060950806</v>
      </c>
      <c r="P47" s="3">
        <v>13.2726066000871</v>
      </c>
      <c r="Q47" s="3">
        <v>10.8730515579787</v>
      </c>
      <c r="R47" s="3">
        <v>15.4602505126247</v>
      </c>
      <c r="S47" s="3">
        <v>7.8379105157241096</v>
      </c>
      <c r="T47" s="3">
        <v>10.8721008448869</v>
      </c>
      <c r="U47" s="3">
        <v>18.531091220506401</v>
      </c>
      <c r="V47" s="3">
        <v>13.2779978491194</v>
      </c>
    </row>
    <row r="48" spans="1:22" x14ac:dyDescent="0.35">
      <c r="A48" s="2">
        <v>43104</v>
      </c>
      <c r="B48" s="3">
        <v>14.102965385323801</v>
      </c>
      <c r="C48" s="3">
        <v>14.3825176847129</v>
      </c>
      <c r="D48" s="3">
        <v>15.788133771327001</v>
      </c>
      <c r="E48" s="3">
        <v>17.886972809359001</v>
      </c>
      <c r="F48" s="3">
        <v>12.2380654081276</v>
      </c>
      <c r="G48" s="3">
        <v>13.795035251346199</v>
      </c>
      <c r="H48" s="3">
        <v>16.5071143624968</v>
      </c>
      <c r="I48" s="3">
        <v>13.4644508937113</v>
      </c>
      <c r="J48" s="3">
        <v>16.110859242338101</v>
      </c>
      <c r="K48" s="3">
        <v>9.0244672546411895</v>
      </c>
      <c r="L48" s="3">
        <v>13.760850035550799</v>
      </c>
      <c r="M48" s="3">
        <v>14.9187703592678</v>
      </c>
      <c r="N48" s="3">
        <v>13.8501690337594</v>
      </c>
      <c r="O48" s="3">
        <v>18.9701251381357</v>
      </c>
      <c r="P48" s="3">
        <v>13.892273957089699</v>
      </c>
      <c r="Q48" s="3">
        <v>11.835731275417899</v>
      </c>
      <c r="R48" s="3">
        <v>16.298939469563301</v>
      </c>
      <c r="S48" s="3">
        <v>8.1821411671757396</v>
      </c>
      <c r="T48" s="3">
        <v>11.3040495484397</v>
      </c>
      <c r="U48" s="3">
        <v>19.705913512805999</v>
      </c>
      <c r="V48" s="3">
        <v>13.493407141324001</v>
      </c>
    </row>
    <row r="49" spans="1:22" x14ac:dyDescent="0.35">
      <c r="A49" s="2">
        <v>43133</v>
      </c>
      <c r="B49" s="3">
        <v>14.1958692880357</v>
      </c>
      <c r="C49" s="3">
        <v>14.769350505578901</v>
      </c>
      <c r="D49" s="3">
        <v>15.8523218341257</v>
      </c>
      <c r="E49" s="3">
        <v>17.693943678253099</v>
      </c>
      <c r="F49" s="3">
        <v>12.226571998409501</v>
      </c>
      <c r="G49" s="3">
        <v>14.0173466410939</v>
      </c>
      <c r="H49" s="3">
        <v>17.037806540783301</v>
      </c>
      <c r="I49" s="3">
        <v>13.8662396619782</v>
      </c>
      <c r="J49" s="3">
        <v>16.117340281607301</v>
      </c>
      <c r="K49" s="3">
        <v>9.2713949794222899</v>
      </c>
      <c r="L49" s="3">
        <v>13.8087048915183</v>
      </c>
      <c r="M49" s="3">
        <v>14.734548728403899</v>
      </c>
      <c r="N49" s="3">
        <v>14.9090678930461</v>
      </c>
      <c r="O49" s="3">
        <v>18.7433473145432</v>
      </c>
      <c r="P49" s="3">
        <v>13.900759512696499</v>
      </c>
      <c r="Q49" s="3">
        <v>11.963888675649599</v>
      </c>
      <c r="R49" s="3">
        <v>16.359008267483599</v>
      </c>
      <c r="S49" s="3">
        <v>8.2175626327528501</v>
      </c>
      <c r="T49" s="3">
        <v>11.496695703564299</v>
      </c>
      <c r="U49" s="3">
        <v>21.156715758723902</v>
      </c>
      <c r="V49" s="3">
        <v>14.040289119381001</v>
      </c>
    </row>
    <row r="50" spans="1:22" x14ac:dyDescent="0.35">
      <c r="A50" s="2">
        <v>43161</v>
      </c>
      <c r="B50" s="3">
        <v>13.1508579817732</v>
      </c>
      <c r="C50" s="3">
        <v>14.027516434975899</v>
      </c>
      <c r="D50" s="3">
        <v>15.382920875959</v>
      </c>
      <c r="E50" s="3">
        <v>17.1654557802892</v>
      </c>
      <c r="F50" s="3">
        <v>11.1627896729696</v>
      </c>
      <c r="G50" s="3">
        <v>13.8776301672572</v>
      </c>
      <c r="H50" s="3">
        <v>16.520898328404499</v>
      </c>
      <c r="I50" s="3">
        <v>13.2306237226533</v>
      </c>
      <c r="J50" s="3">
        <v>15.2943401621829</v>
      </c>
      <c r="K50" s="3">
        <v>8.7637493782098002</v>
      </c>
      <c r="L50" s="3">
        <v>13.205176494712299</v>
      </c>
      <c r="M50" s="3">
        <v>15.1307119428837</v>
      </c>
      <c r="N50" s="3">
        <v>14.1382485060325</v>
      </c>
      <c r="O50" s="3">
        <v>18.4451860049505</v>
      </c>
      <c r="P50" s="3">
        <v>13.074250696477501</v>
      </c>
      <c r="Q50" s="3">
        <v>10.973362571075601</v>
      </c>
      <c r="R50" s="3">
        <v>16.059657328129799</v>
      </c>
      <c r="S50" s="3">
        <v>8.0033227423280806</v>
      </c>
      <c r="T50" s="3">
        <v>11.285510004086399</v>
      </c>
      <c r="U50" s="3">
        <v>20.756015829216501</v>
      </c>
      <c r="V50" s="3">
        <v>13.6919267260882</v>
      </c>
    </row>
    <row r="51" spans="1:22" x14ac:dyDescent="0.35">
      <c r="A51" s="2">
        <v>43194</v>
      </c>
      <c r="B51" s="3">
        <v>12.5973590190788</v>
      </c>
      <c r="C51" s="3">
        <v>13.5973416711292</v>
      </c>
      <c r="D51" s="3">
        <v>14.3563341701705</v>
      </c>
      <c r="E51" s="3">
        <v>16.033183565246802</v>
      </c>
      <c r="F51" s="3">
        <v>10.8801824738521</v>
      </c>
      <c r="G51" s="3">
        <v>13.8155413041872</v>
      </c>
      <c r="H51" s="3">
        <v>16.0350168240934</v>
      </c>
      <c r="I51" s="3">
        <v>13.3695857608728</v>
      </c>
      <c r="J51" s="3">
        <v>15.413820419074201</v>
      </c>
      <c r="K51" s="3">
        <v>8.7732623293582108</v>
      </c>
      <c r="L51" s="3">
        <v>12.7690603586767</v>
      </c>
      <c r="M51" s="3">
        <v>14.7498763783627</v>
      </c>
      <c r="N51" s="3">
        <v>13.363804111700199</v>
      </c>
      <c r="O51" s="3">
        <v>17.730233997939798</v>
      </c>
      <c r="P51" s="3">
        <v>12.226526328043199</v>
      </c>
      <c r="Q51" s="3">
        <v>11.1550470243746</v>
      </c>
      <c r="R51" s="3">
        <v>14.831490502751199</v>
      </c>
      <c r="S51" s="3">
        <v>7.6182517426362901</v>
      </c>
      <c r="T51" s="3">
        <v>10.9888296089633</v>
      </c>
      <c r="U51" s="3">
        <v>22.104477079789401</v>
      </c>
      <c r="V51" s="3">
        <v>14.715883466501401</v>
      </c>
    </row>
    <row r="52" spans="1:22" x14ac:dyDescent="0.35">
      <c r="A52" s="2">
        <v>43224</v>
      </c>
      <c r="B52" s="3">
        <v>11.627464615045501</v>
      </c>
      <c r="C52" s="3">
        <v>13.6112868136095</v>
      </c>
      <c r="D52" s="3">
        <v>13.3619386319456</v>
      </c>
      <c r="E52" s="3">
        <v>15.499669358543301</v>
      </c>
      <c r="F52" s="3">
        <v>11.1223450946983</v>
      </c>
      <c r="G52" s="3">
        <v>13.433690394788201</v>
      </c>
      <c r="H52" s="3">
        <v>16.164338842488501</v>
      </c>
      <c r="I52" s="3">
        <v>13.063289253021001</v>
      </c>
      <c r="J52" s="3">
        <v>15.089472711613899</v>
      </c>
      <c r="K52" s="3">
        <v>8.8471409502238298</v>
      </c>
      <c r="L52" s="3">
        <v>12.289379369667801</v>
      </c>
      <c r="M52" s="3">
        <v>15.059939334898999</v>
      </c>
      <c r="N52" s="3">
        <v>14.771924565990799</v>
      </c>
      <c r="O52" s="3">
        <v>18.367746086403301</v>
      </c>
      <c r="P52" s="3">
        <v>12.323836669473099</v>
      </c>
      <c r="Q52" s="3">
        <v>11.113548392792399</v>
      </c>
      <c r="R52" s="3">
        <v>15.3527350200222</v>
      </c>
      <c r="S52" s="3">
        <v>6.7773822557882504</v>
      </c>
      <c r="T52" s="3">
        <v>10.812451653621199</v>
      </c>
      <c r="U52" s="3">
        <v>19.946633270766</v>
      </c>
      <c r="V52" s="3">
        <v>14.770175552576999</v>
      </c>
    </row>
    <row r="53" spans="1:22" x14ac:dyDescent="0.35">
      <c r="A53" s="2">
        <v>43255</v>
      </c>
      <c r="B53" s="3">
        <v>11.827086797917501</v>
      </c>
      <c r="C53" s="3">
        <v>12.4395379413269</v>
      </c>
      <c r="D53" s="3">
        <v>13.5776967261456</v>
      </c>
      <c r="E53" s="3">
        <v>15.905737471404899</v>
      </c>
      <c r="F53" s="3">
        <v>10.8294682665205</v>
      </c>
      <c r="G53" s="3">
        <v>13.092335360363201</v>
      </c>
      <c r="H53" s="3">
        <v>15.9502111613893</v>
      </c>
      <c r="I53" s="3">
        <v>13.759416317778699</v>
      </c>
      <c r="J53" s="3">
        <v>14.357810225857801</v>
      </c>
      <c r="K53" s="3">
        <v>8.8553008783259006</v>
      </c>
      <c r="L53" s="3">
        <v>11.566737744709901</v>
      </c>
      <c r="M53" s="3">
        <v>14.795722145470201</v>
      </c>
      <c r="N53" s="3">
        <v>14.8203021479288</v>
      </c>
      <c r="O53" s="3">
        <v>18.4350431102458</v>
      </c>
      <c r="P53" s="3">
        <v>12.775706808611501</v>
      </c>
      <c r="Q53" s="3">
        <v>11.378990608169801</v>
      </c>
      <c r="R53" s="3">
        <v>15.001331951710799</v>
      </c>
      <c r="S53" s="3">
        <v>6.4672224880462998</v>
      </c>
      <c r="T53" s="3">
        <v>10.791332209189701</v>
      </c>
      <c r="U53" s="3">
        <v>20.704461984449502</v>
      </c>
      <c r="V53" s="3">
        <v>15.488413537224</v>
      </c>
    </row>
    <row r="54" spans="1:22" x14ac:dyDescent="0.35">
      <c r="A54" s="2">
        <v>43284</v>
      </c>
      <c r="B54" s="3">
        <v>10.5320711398005</v>
      </c>
      <c r="C54" s="3">
        <v>11.595876424563899</v>
      </c>
      <c r="D54" s="3">
        <v>12.139234929511201</v>
      </c>
      <c r="E54" s="3">
        <v>14.949126286431801</v>
      </c>
      <c r="F54" s="3">
        <v>10.4633115837654</v>
      </c>
      <c r="G54" s="3">
        <v>13.3573248908266</v>
      </c>
      <c r="H54" s="3">
        <v>15.3779945620972</v>
      </c>
      <c r="I54" s="3">
        <v>13.0948988725777</v>
      </c>
      <c r="J54" s="3">
        <v>14.921452211506001</v>
      </c>
      <c r="K54" s="3">
        <v>8.2095073110167398</v>
      </c>
      <c r="L54" s="3">
        <v>10.5683824727424</v>
      </c>
      <c r="M54" s="3">
        <v>14.3252361770826</v>
      </c>
      <c r="N54" s="3">
        <v>14.6787721807466</v>
      </c>
      <c r="O54" s="3">
        <v>18.355044016960299</v>
      </c>
      <c r="P54" s="3">
        <v>11.827383543712701</v>
      </c>
      <c r="Q54" s="3">
        <v>11.3407165727068</v>
      </c>
      <c r="R54" s="3">
        <v>14.169332095056401</v>
      </c>
      <c r="S54" s="3">
        <v>6.2871384645877502</v>
      </c>
      <c r="T54" s="3">
        <v>10.7447326493558</v>
      </c>
      <c r="U54" s="3">
        <v>16.608938136130501</v>
      </c>
      <c r="V54" s="3">
        <v>14.8086674212784</v>
      </c>
    </row>
    <row r="55" spans="1:22" x14ac:dyDescent="0.35">
      <c r="A55" s="2">
        <v>43315</v>
      </c>
      <c r="B55" s="3">
        <v>10.0041663701384</v>
      </c>
      <c r="C55" s="3">
        <v>12.0473668647443</v>
      </c>
      <c r="D55" s="3">
        <v>13.3368362097605</v>
      </c>
      <c r="E55" s="3">
        <v>15.8582521841321</v>
      </c>
      <c r="F55" s="3">
        <v>11.044055662723</v>
      </c>
      <c r="G55" s="3">
        <v>14.1351205155825</v>
      </c>
      <c r="H55" s="3">
        <v>16.269703476198501</v>
      </c>
      <c r="I55" s="3">
        <v>13.594763852509599</v>
      </c>
      <c r="J55" s="3">
        <v>15.3814680736225</v>
      </c>
      <c r="K55" s="3">
        <v>8.2816840943357501</v>
      </c>
      <c r="L55" s="3">
        <v>11.4959642026169</v>
      </c>
      <c r="M55" s="3">
        <v>13.9023459122605</v>
      </c>
      <c r="N55" s="3">
        <v>14.5509157184601</v>
      </c>
      <c r="O55" s="3">
        <v>19.7415087829154</v>
      </c>
      <c r="P55" s="3">
        <v>11.459525313402899</v>
      </c>
      <c r="Q55" s="3">
        <v>12.3153510987601</v>
      </c>
      <c r="R55" s="3">
        <v>14.80464815463</v>
      </c>
      <c r="S55" s="3">
        <v>6.1529481552935597</v>
      </c>
      <c r="T55" s="3">
        <v>11.307459787993</v>
      </c>
      <c r="U55" s="3">
        <v>17.796653830762999</v>
      </c>
      <c r="V55" s="3">
        <v>14.637327068236299</v>
      </c>
    </row>
    <row r="56" spans="1:22" x14ac:dyDescent="0.35">
      <c r="A56" s="2">
        <v>43347</v>
      </c>
      <c r="B56" s="3">
        <v>10.359472697851499</v>
      </c>
      <c r="C56" s="3">
        <v>11.5516829231403</v>
      </c>
      <c r="D56" s="3">
        <v>13.349515070663101</v>
      </c>
      <c r="E56" s="3">
        <v>15.248622951376401</v>
      </c>
      <c r="F56" s="3">
        <v>11.0048394633705</v>
      </c>
      <c r="G56" s="3">
        <v>12.5798545946133</v>
      </c>
      <c r="H56" s="3">
        <v>16.631813822520101</v>
      </c>
      <c r="I56" s="3">
        <v>13.3492680393149</v>
      </c>
      <c r="J56" s="3">
        <v>14.9602221339381</v>
      </c>
      <c r="K56" s="3">
        <v>8.3512457245901608</v>
      </c>
      <c r="L56" s="3">
        <v>10.335833600192499</v>
      </c>
      <c r="M56" s="3">
        <v>13.291957023919201</v>
      </c>
      <c r="N56" s="3">
        <v>13.7753709727057</v>
      </c>
      <c r="O56" s="3">
        <v>19.7763877899108</v>
      </c>
      <c r="P56" s="3">
        <v>11.3037795898663</v>
      </c>
      <c r="Q56" s="3">
        <v>12.509395795583099</v>
      </c>
      <c r="R56" s="3">
        <v>14.8540216808615</v>
      </c>
      <c r="S56" s="3">
        <v>5.9303388040955403</v>
      </c>
      <c r="T56" s="3">
        <v>12.2983446854885</v>
      </c>
      <c r="U56" s="3">
        <v>17.4623450816554</v>
      </c>
      <c r="V56" s="3">
        <v>14.2204756496445</v>
      </c>
    </row>
    <row r="57" spans="1:22" x14ac:dyDescent="0.35">
      <c r="A57" s="2">
        <v>43377</v>
      </c>
      <c r="B57" s="3">
        <v>10.585473606485399</v>
      </c>
      <c r="C57" s="3">
        <v>12.374687076102401</v>
      </c>
      <c r="D57" s="3">
        <v>12.839815112028701</v>
      </c>
      <c r="E57" s="3">
        <v>13.580464262943799</v>
      </c>
      <c r="F57" s="3">
        <v>10.8302983689325</v>
      </c>
      <c r="G57" s="3">
        <v>13.015094205655201</v>
      </c>
      <c r="H57" s="3">
        <v>16.319433960343201</v>
      </c>
      <c r="I57" s="3">
        <v>12.878059584775</v>
      </c>
      <c r="J57" s="3">
        <v>14.7326198577541</v>
      </c>
      <c r="K57" s="3">
        <v>8.2124720402918499</v>
      </c>
      <c r="L57" s="3">
        <v>10.978622668625301</v>
      </c>
      <c r="M57" s="3">
        <v>12.5032287239128</v>
      </c>
      <c r="N57" s="3">
        <v>13.9058341138835</v>
      </c>
      <c r="O57" s="3">
        <v>17.728936525619801</v>
      </c>
      <c r="P57" s="3">
        <v>10.6658134564188</v>
      </c>
      <c r="Q57" s="3">
        <v>12.496403169975</v>
      </c>
      <c r="R57" s="3">
        <v>14.782794858205699</v>
      </c>
      <c r="S57" s="3">
        <v>5.8235858204808499</v>
      </c>
      <c r="T57" s="3">
        <v>11.913001548602701</v>
      </c>
      <c r="U57" s="3">
        <v>16.4393382901705</v>
      </c>
      <c r="V57" s="3">
        <v>14.148273399654499</v>
      </c>
    </row>
    <row r="58" spans="1:22" x14ac:dyDescent="0.35">
      <c r="A58" s="2">
        <v>43406</v>
      </c>
      <c r="B58" s="3">
        <v>10.172069672389499</v>
      </c>
      <c r="C58" s="3">
        <v>14.900685038438301</v>
      </c>
      <c r="D58" s="3">
        <v>13.4646151412379</v>
      </c>
      <c r="E58" s="3">
        <v>13.8066296264897</v>
      </c>
      <c r="F58" s="3">
        <v>10.3411716448321</v>
      </c>
      <c r="G58" s="3">
        <v>13.1971746101392</v>
      </c>
      <c r="H58" s="3">
        <v>15.7663897059986</v>
      </c>
      <c r="I58" s="3">
        <v>12.261562102801999</v>
      </c>
      <c r="J58" s="3">
        <v>13.6280974059752</v>
      </c>
      <c r="K58" s="3">
        <v>7.9651847112388499</v>
      </c>
      <c r="L58" s="3">
        <v>11.6470351669834</v>
      </c>
      <c r="M58" s="3">
        <v>12.502543716395</v>
      </c>
      <c r="N58" s="3">
        <v>11.8920343015053</v>
      </c>
      <c r="O58" s="3">
        <v>17.892483141173901</v>
      </c>
      <c r="P58" s="3">
        <v>10.612691495920499</v>
      </c>
      <c r="Q58" s="3">
        <v>12.939402274052</v>
      </c>
      <c r="R58" s="3">
        <v>14.411770172683999</v>
      </c>
      <c r="S58" s="3">
        <v>5.8098605110767298</v>
      </c>
      <c r="T58" s="3">
        <v>11.5498275554137</v>
      </c>
      <c r="U58" s="3">
        <v>14.878603478066101</v>
      </c>
      <c r="V58" s="3">
        <v>13.916656696974499</v>
      </c>
    </row>
    <row r="59" spans="1:22" x14ac:dyDescent="0.35">
      <c r="A59" s="2">
        <v>43438</v>
      </c>
      <c r="B59" s="3">
        <v>10.1895503411421</v>
      </c>
      <c r="C59" s="3">
        <v>14.973197734804801</v>
      </c>
      <c r="D59" s="3">
        <v>14.1335301227437</v>
      </c>
      <c r="E59" s="3">
        <v>15.0037834485071</v>
      </c>
      <c r="F59" s="3">
        <v>11.076668829720401</v>
      </c>
      <c r="G59" s="3">
        <v>13.0959346286892</v>
      </c>
      <c r="H59" s="3">
        <v>16.0220911767601</v>
      </c>
      <c r="I59" s="3">
        <v>12.695672518311801</v>
      </c>
      <c r="J59" s="3">
        <v>12.406043984354399</v>
      </c>
      <c r="K59" s="3">
        <v>8.0811629061345798</v>
      </c>
      <c r="L59" s="3">
        <v>11.696550706348701</v>
      </c>
      <c r="M59" s="3">
        <v>12.8837233834973</v>
      </c>
      <c r="N59" s="3">
        <v>12.275052427450801</v>
      </c>
      <c r="O59" s="3">
        <v>18.233735071798399</v>
      </c>
      <c r="P59" s="3">
        <v>10.9262642592921</v>
      </c>
      <c r="Q59" s="3">
        <v>13.219712283760099</v>
      </c>
      <c r="R59" s="3">
        <v>14.4284184111462</v>
      </c>
      <c r="S59" s="3">
        <v>6.0974172756740996</v>
      </c>
      <c r="T59" s="3">
        <v>11.3520886872742</v>
      </c>
      <c r="U59" s="3">
        <v>15.970356211331699</v>
      </c>
      <c r="V59" s="3">
        <v>14.2536714057537</v>
      </c>
    </row>
    <row r="60" spans="1:22" x14ac:dyDescent="0.35">
      <c r="A60" s="2">
        <v>43469</v>
      </c>
      <c r="B60" s="3">
        <v>9.5330290565589095</v>
      </c>
      <c r="C60" s="3">
        <v>14.830010055628</v>
      </c>
      <c r="D60" s="3">
        <v>14.238811077292601</v>
      </c>
      <c r="E60" s="3">
        <v>15.586504474391701</v>
      </c>
      <c r="F60" s="3">
        <v>10.570192314009599</v>
      </c>
      <c r="G60" s="3">
        <v>13.515271994644699</v>
      </c>
      <c r="H60" s="3">
        <v>15.8139695910341</v>
      </c>
      <c r="I60" s="3">
        <v>12.0427364416449</v>
      </c>
      <c r="J60" s="3">
        <v>12.7076997549204</v>
      </c>
      <c r="K60" s="3">
        <v>8.1741127232989506</v>
      </c>
      <c r="L60" s="3">
        <v>12.2333380951812</v>
      </c>
      <c r="M60" s="3">
        <v>12.617220650773501</v>
      </c>
      <c r="N60" s="3">
        <v>10.9058370773039</v>
      </c>
      <c r="O60" s="3">
        <v>17.723281340147501</v>
      </c>
      <c r="P60" s="3">
        <v>10.0939063769319</v>
      </c>
      <c r="Q60" s="3">
        <v>12.889558890990999</v>
      </c>
      <c r="R60" s="3">
        <v>13.642722211532</v>
      </c>
      <c r="S60" s="3">
        <v>5.8975976650860904</v>
      </c>
      <c r="T60" s="3">
        <v>10.909295281479</v>
      </c>
      <c r="U60" s="3">
        <v>14.499675608590699</v>
      </c>
      <c r="V60" s="3">
        <v>14.393469504629399</v>
      </c>
    </row>
    <row r="61" spans="1:22" x14ac:dyDescent="0.35">
      <c r="A61" s="2">
        <v>43500</v>
      </c>
      <c r="B61" s="3">
        <v>10.2263470680679</v>
      </c>
      <c r="C61" s="3">
        <v>16.025716416186999</v>
      </c>
      <c r="D61" s="3">
        <v>14.6509953268834</v>
      </c>
      <c r="E61" s="3">
        <v>15.6792051883608</v>
      </c>
      <c r="F61" s="3">
        <v>10.997611937000499</v>
      </c>
      <c r="G61" s="3">
        <v>15.8429259104545</v>
      </c>
      <c r="H61" s="3">
        <v>16.151797490485801</v>
      </c>
      <c r="I61" s="3">
        <v>13.529144235987101</v>
      </c>
      <c r="J61" s="3">
        <v>13.1893771490766</v>
      </c>
      <c r="K61" s="3">
        <v>10.202389472272399</v>
      </c>
      <c r="L61" s="3">
        <v>13.155501189909</v>
      </c>
      <c r="M61" s="3">
        <v>12.911980377696301</v>
      </c>
      <c r="N61" s="3">
        <v>11.244800342131599</v>
      </c>
      <c r="O61" s="3">
        <v>18.309597574503901</v>
      </c>
      <c r="P61" s="3">
        <v>11.154380355963401</v>
      </c>
      <c r="Q61" s="3">
        <v>13.3765266395047</v>
      </c>
      <c r="R61" s="3">
        <v>14.618199463719201</v>
      </c>
      <c r="S61" s="3">
        <v>7.1148315054119298</v>
      </c>
      <c r="T61" s="3">
        <v>11.0987783609591</v>
      </c>
      <c r="U61" s="3">
        <v>15.373454533274399</v>
      </c>
      <c r="V61" s="3">
        <v>15.8532790446713</v>
      </c>
    </row>
    <row r="62" spans="1:22" x14ac:dyDescent="0.35">
      <c r="A62" s="2">
        <v>43528</v>
      </c>
      <c r="B62" s="3">
        <v>11.7142373655975</v>
      </c>
      <c r="C62" s="3">
        <v>15.051854179372199</v>
      </c>
      <c r="D62" s="3">
        <v>14.440919320877001</v>
      </c>
      <c r="E62" s="3">
        <v>14.962114826784299</v>
      </c>
      <c r="F62" s="3">
        <v>10.699844310671001</v>
      </c>
      <c r="G62" s="3">
        <v>15.3510294177822</v>
      </c>
      <c r="H62" s="3">
        <v>16.499481949116699</v>
      </c>
      <c r="I62" s="3">
        <v>14.2079844204282</v>
      </c>
      <c r="J62" s="3">
        <v>12.759665442753001</v>
      </c>
      <c r="K62" s="3">
        <v>10.328383957704601</v>
      </c>
      <c r="L62" s="3">
        <v>12.191815716446699</v>
      </c>
      <c r="M62" s="3">
        <v>12.9714459633395</v>
      </c>
      <c r="N62" s="3">
        <v>12.7608760589954</v>
      </c>
      <c r="O62" s="3">
        <v>18.251834707136801</v>
      </c>
      <c r="P62" s="3">
        <v>11.784047992967601</v>
      </c>
      <c r="Q62" s="3">
        <v>12.6345095176651</v>
      </c>
      <c r="R62" s="3">
        <v>14.8168970388242</v>
      </c>
      <c r="S62" s="3">
        <v>7.33664591177223</v>
      </c>
      <c r="T62" s="3">
        <v>12.043926958330299</v>
      </c>
      <c r="U62" s="3">
        <v>17.278384166140501</v>
      </c>
      <c r="V62" s="3">
        <v>16.065118840547701</v>
      </c>
    </row>
    <row r="63" spans="1:22" x14ac:dyDescent="0.35">
      <c r="A63" s="2">
        <v>43559</v>
      </c>
      <c r="B63" s="3">
        <v>12.2552738471047</v>
      </c>
      <c r="C63" s="3">
        <v>14.945571168971</v>
      </c>
      <c r="D63" s="3">
        <v>14.215663346675999</v>
      </c>
      <c r="E63" s="3">
        <v>15.167056632782399</v>
      </c>
      <c r="F63" s="3">
        <v>11.3856711199813</v>
      </c>
      <c r="G63" s="3">
        <v>15.6563751597311</v>
      </c>
      <c r="H63" s="3">
        <v>16.140591372111199</v>
      </c>
      <c r="I63" s="3">
        <v>14.828690660383501</v>
      </c>
      <c r="J63" s="3">
        <v>13.2457236417308</v>
      </c>
      <c r="K63" s="3">
        <v>11.1220583787581</v>
      </c>
      <c r="L63" s="3">
        <v>12.091690417894</v>
      </c>
      <c r="M63" s="3">
        <v>13.2648762210535</v>
      </c>
      <c r="N63" s="3">
        <v>13.8905172567232</v>
      </c>
      <c r="O63" s="3">
        <v>18.920621089106799</v>
      </c>
      <c r="P63" s="3">
        <v>12.170883527624101</v>
      </c>
      <c r="Q63" s="3">
        <v>12.7211899410862</v>
      </c>
      <c r="R63" s="3">
        <v>14.829509700041701</v>
      </c>
      <c r="S63" s="3">
        <v>6.7623113059183302</v>
      </c>
      <c r="T63" s="3">
        <v>11.7039687360685</v>
      </c>
      <c r="U63" s="3">
        <v>17.319694231133301</v>
      </c>
      <c r="V63" s="3">
        <v>17.031729244243699</v>
      </c>
    </row>
    <row r="64" spans="1:22" x14ac:dyDescent="0.35">
      <c r="A64" s="2">
        <v>43588</v>
      </c>
      <c r="B64" s="3">
        <v>11.8487600172177</v>
      </c>
      <c r="C64" s="3">
        <v>15.084677343845801</v>
      </c>
      <c r="D64" s="3">
        <v>13.878981561570701</v>
      </c>
      <c r="E64" s="3">
        <v>15.594322047752099</v>
      </c>
      <c r="F64" s="3">
        <v>11.0855272218636</v>
      </c>
      <c r="G64" s="3">
        <v>13.977393598794301</v>
      </c>
      <c r="H64" s="3">
        <v>16.037709978981699</v>
      </c>
      <c r="I64" s="3">
        <v>15.457926594307001</v>
      </c>
      <c r="J64" s="3">
        <v>13.434159849139199</v>
      </c>
      <c r="K64" s="3">
        <v>11.303602971613801</v>
      </c>
      <c r="L64" s="3">
        <v>11.6511656158787</v>
      </c>
      <c r="M64" s="3">
        <v>13.8947363035959</v>
      </c>
      <c r="N64" s="3">
        <v>13.9981641446923</v>
      </c>
      <c r="O64" s="3">
        <v>19.025556738404799</v>
      </c>
      <c r="P64" s="3">
        <v>12.1832501331457</v>
      </c>
      <c r="Q64" s="3">
        <v>13.3245768199872</v>
      </c>
      <c r="R64" s="3">
        <v>15.153410367663501</v>
      </c>
      <c r="S64" s="3">
        <v>6.3020907417260297</v>
      </c>
      <c r="T64" s="3">
        <v>12.092807811536099</v>
      </c>
      <c r="U64" s="3">
        <v>17.789631222141999</v>
      </c>
      <c r="V64" s="3">
        <v>17.3817040493362</v>
      </c>
    </row>
    <row r="65" spans="1:22" x14ac:dyDescent="0.35">
      <c r="A65" s="2">
        <v>43620</v>
      </c>
      <c r="B65" s="3">
        <v>11.164754160615299</v>
      </c>
      <c r="C65" s="3">
        <v>14.5232282014539</v>
      </c>
      <c r="D65" s="3">
        <v>13.673918113259001</v>
      </c>
      <c r="E65" s="3">
        <v>15.395246690857901</v>
      </c>
      <c r="F65" s="3">
        <v>10.352474571344001</v>
      </c>
      <c r="G65" s="3">
        <v>13.1408525882661</v>
      </c>
      <c r="H65" s="3">
        <v>16.4818080370652</v>
      </c>
      <c r="I65" s="3">
        <v>14.4114025833321</v>
      </c>
      <c r="J65" s="3">
        <v>12.9740737844983</v>
      </c>
      <c r="K65" s="3">
        <v>10.7930401864785</v>
      </c>
      <c r="L65" s="3">
        <v>12.003092978865499</v>
      </c>
      <c r="M65" s="3">
        <v>12.971699003450601</v>
      </c>
      <c r="N65" s="3">
        <v>14.088730973445101</v>
      </c>
      <c r="O65" s="3">
        <v>19.4619114612365</v>
      </c>
      <c r="P65" s="3">
        <v>10.848318187131399</v>
      </c>
      <c r="Q65" s="3">
        <v>12.917573322582699</v>
      </c>
      <c r="R65" s="3">
        <v>14.8938133700488</v>
      </c>
      <c r="S65" s="3">
        <v>6.1475245768243196</v>
      </c>
      <c r="T65" s="3">
        <v>11.5797959863917</v>
      </c>
      <c r="U65" s="3">
        <v>16.8869343721714</v>
      </c>
      <c r="V65" s="3">
        <v>15.973086750140901</v>
      </c>
    </row>
    <row r="66" spans="1:22" x14ac:dyDescent="0.35">
      <c r="A66" s="2">
        <v>43649</v>
      </c>
      <c r="B66" s="3">
        <v>12.0128615316137</v>
      </c>
      <c r="C66" s="3">
        <v>15.0145216255296</v>
      </c>
      <c r="D66" s="3">
        <v>14.2411955534382</v>
      </c>
      <c r="E66" s="3">
        <v>15.5885440702822</v>
      </c>
      <c r="F66" s="3">
        <v>10.938896963025099</v>
      </c>
      <c r="G66" s="3">
        <v>13.7291995044238</v>
      </c>
      <c r="H66" s="3">
        <v>16.831229650489799</v>
      </c>
      <c r="I66" s="3">
        <v>14.972931714413701</v>
      </c>
      <c r="J66" s="3">
        <v>13.041220762372101</v>
      </c>
      <c r="K66" s="3">
        <v>11.150600937042</v>
      </c>
      <c r="L66" s="3">
        <v>12.5102550459745</v>
      </c>
      <c r="M66" s="3">
        <v>13.0936828891506</v>
      </c>
      <c r="N66" s="3">
        <v>14.9919736698298</v>
      </c>
      <c r="O66" s="3">
        <v>18.961305820898598</v>
      </c>
      <c r="P66" s="3">
        <v>11.667175575908701</v>
      </c>
      <c r="Q66" s="3">
        <v>13.423537706995299</v>
      </c>
      <c r="R66" s="3">
        <v>15.7539670981665</v>
      </c>
      <c r="S66" s="3">
        <v>6.6691771748305797</v>
      </c>
      <c r="T66" s="3">
        <v>11.981933917252301</v>
      </c>
      <c r="U66" s="3">
        <v>16.5744647070977</v>
      </c>
      <c r="V66" s="3">
        <v>16.889388487331601</v>
      </c>
    </row>
    <row r="67" spans="1:22" x14ac:dyDescent="0.35">
      <c r="A67" s="2">
        <v>43679</v>
      </c>
      <c r="B67" s="3">
        <v>11.3245379345648</v>
      </c>
      <c r="C67" s="3">
        <v>14.282516344655599</v>
      </c>
      <c r="D67" s="3">
        <v>14.766941798841</v>
      </c>
      <c r="E67" s="3">
        <v>15.4121608048201</v>
      </c>
      <c r="F67" s="3">
        <v>10.177675182171001</v>
      </c>
      <c r="G67" s="3">
        <v>14.497394160403999</v>
      </c>
      <c r="H67" s="3">
        <v>16.2078058628354</v>
      </c>
      <c r="I67" s="3">
        <v>14.6668118685441</v>
      </c>
      <c r="J67" s="3">
        <v>12.2408233436568</v>
      </c>
      <c r="K67" s="3">
        <v>10.8204579266329</v>
      </c>
      <c r="L67" s="3">
        <v>12.789103260586799</v>
      </c>
      <c r="M67" s="3">
        <v>12.6117089218342</v>
      </c>
      <c r="N67" s="3">
        <v>13.8463433349827</v>
      </c>
      <c r="O67" s="3">
        <v>17.937854639622401</v>
      </c>
      <c r="P67" s="3">
        <v>10.9788127074644</v>
      </c>
      <c r="Q67" s="3">
        <v>13.279873861164599</v>
      </c>
      <c r="R67" s="3">
        <v>15.341146836643</v>
      </c>
      <c r="S67" s="3">
        <v>6.5993877634485099</v>
      </c>
      <c r="T67" s="3">
        <v>12.7726312015148</v>
      </c>
      <c r="U67" s="3">
        <v>15.664742294249701</v>
      </c>
      <c r="V67" s="3">
        <v>16.661363774215101</v>
      </c>
    </row>
    <row r="68" spans="1:22" x14ac:dyDescent="0.35">
      <c r="A68" s="2">
        <v>43712</v>
      </c>
      <c r="B68" s="3">
        <v>11.8414605489038</v>
      </c>
      <c r="C68" s="3">
        <v>13.9884392246544</v>
      </c>
      <c r="D68" s="3">
        <v>14.5912016813585</v>
      </c>
      <c r="E68" s="3">
        <v>13.869485228942199</v>
      </c>
      <c r="F68" s="3">
        <v>9.6978369555981008</v>
      </c>
      <c r="G68" s="3">
        <v>14.456352759385901</v>
      </c>
      <c r="H68" s="3">
        <v>16.094767405784399</v>
      </c>
      <c r="I68" s="3">
        <v>14.8069929737701</v>
      </c>
      <c r="J68" s="3">
        <v>13.0402875015041</v>
      </c>
      <c r="K68" s="3">
        <v>10.735907564108199</v>
      </c>
      <c r="L68" s="3">
        <v>12.6150381261373</v>
      </c>
      <c r="M68" s="3">
        <v>12.074643793732999</v>
      </c>
      <c r="N68" s="3">
        <v>13.718887338619099</v>
      </c>
      <c r="O68" s="3">
        <v>17.938147491596698</v>
      </c>
      <c r="P68" s="3">
        <v>11.3199662483855</v>
      </c>
      <c r="Q68" s="3">
        <v>13.267098316807401</v>
      </c>
      <c r="R68" s="3">
        <v>15.481245753544</v>
      </c>
      <c r="S68" s="3">
        <v>6.5994293135607496</v>
      </c>
      <c r="T68" s="3">
        <v>12.759243552350201</v>
      </c>
      <c r="U68" s="3">
        <v>14.0604347904319</v>
      </c>
      <c r="V68" s="3">
        <v>17.091811397612201</v>
      </c>
    </row>
    <row r="69" spans="1:22" x14ac:dyDescent="0.35">
      <c r="A69" s="2">
        <v>43742</v>
      </c>
      <c r="B69" s="3">
        <v>11.5133368799466</v>
      </c>
      <c r="C69" s="3">
        <v>15.224147422931299</v>
      </c>
      <c r="D69" s="3">
        <v>14.096708304212999</v>
      </c>
      <c r="E69" s="3">
        <v>13.612005850937001</v>
      </c>
      <c r="F69" s="3">
        <v>9.6053371076694791</v>
      </c>
      <c r="G69" s="3">
        <v>13.5742129834765</v>
      </c>
      <c r="H69" s="3">
        <v>15.644245861026301</v>
      </c>
      <c r="I69" s="3">
        <v>15.1501228101161</v>
      </c>
      <c r="J69" s="3">
        <v>13.574917296265401</v>
      </c>
      <c r="K69" s="3">
        <v>10.7503059491429</v>
      </c>
      <c r="L69" s="3">
        <v>12.752356926698999</v>
      </c>
      <c r="M69" s="3">
        <v>11.5124867704597</v>
      </c>
      <c r="N69" s="3">
        <v>12.044781088285699</v>
      </c>
      <c r="O69" s="3">
        <v>17.910911216997501</v>
      </c>
      <c r="P69" s="3">
        <v>11.0173296783094</v>
      </c>
      <c r="Q69" s="3">
        <v>13.462671880775799</v>
      </c>
      <c r="R69" s="3">
        <v>14.994495352910899</v>
      </c>
      <c r="S69" s="3">
        <v>6.6357057273523097</v>
      </c>
      <c r="T69" s="3">
        <v>12.7276719373767</v>
      </c>
      <c r="U69" s="3">
        <v>14.203281529152299</v>
      </c>
      <c r="V69" s="3">
        <v>16.736315492844799</v>
      </c>
    </row>
    <row r="70" spans="1:22" x14ac:dyDescent="0.35">
      <c r="A70" s="2">
        <v>43773</v>
      </c>
      <c r="B70" s="3">
        <v>11.854249264141799</v>
      </c>
      <c r="C70" s="3">
        <v>14.2158506444819</v>
      </c>
      <c r="D70" s="3">
        <v>14.5473853600505</v>
      </c>
      <c r="E70" s="3">
        <v>14.214764479428601</v>
      </c>
      <c r="F70" s="3">
        <v>10.334652018858501</v>
      </c>
      <c r="G70" s="3">
        <v>14.2364472187194</v>
      </c>
      <c r="H70" s="3">
        <v>16.056547303293801</v>
      </c>
      <c r="I70" s="3">
        <v>15.9118356222925</v>
      </c>
      <c r="J70" s="3">
        <v>13.886149865672699</v>
      </c>
      <c r="K70" s="3">
        <v>11.450735634153199</v>
      </c>
      <c r="L70" s="3">
        <v>13.577177060694799</v>
      </c>
      <c r="M70" s="3">
        <v>11.843340467219701</v>
      </c>
      <c r="N70" s="3">
        <v>11.9253338248751</v>
      </c>
      <c r="O70" s="3">
        <v>19.364625040219899</v>
      </c>
      <c r="P70" s="3">
        <v>11.446431908107</v>
      </c>
      <c r="Q70" s="3">
        <v>13.197127016042799</v>
      </c>
      <c r="R70" s="3">
        <v>15.6033564571536</v>
      </c>
      <c r="S70" s="3">
        <v>6.3274893522359301</v>
      </c>
      <c r="T70" s="3">
        <v>13.240745705577901</v>
      </c>
      <c r="U70" s="3">
        <v>14.4342222428385</v>
      </c>
      <c r="V70" s="3">
        <v>16.230390654996299</v>
      </c>
    </row>
    <row r="71" spans="1:22" x14ac:dyDescent="0.35">
      <c r="A71" s="2">
        <v>43803</v>
      </c>
      <c r="B71" s="3">
        <v>12.0487243207745</v>
      </c>
      <c r="C71" s="3">
        <v>13.284311824838801</v>
      </c>
      <c r="D71" s="3">
        <v>14.7971896765001</v>
      </c>
      <c r="E71" s="3">
        <v>13.709803279021299</v>
      </c>
      <c r="F71" s="3">
        <v>9.7263198318809092</v>
      </c>
      <c r="G71" s="3">
        <v>13.009729153359601</v>
      </c>
      <c r="H71" s="3">
        <v>15.79349336464</v>
      </c>
      <c r="I71" s="3">
        <v>15.2285758582396</v>
      </c>
      <c r="J71" s="3">
        <v>13.450558214943699</v>
      </c>
      <c r="K71" s="3">
        <v>10.891510648491099</v>
      </c>
      <c r="L71" s="3">
        <v>13.6207286367175</v>
      </c>
      <c r="M71" s="3">
        <v>11.9365306080628</v>
      </c>
      <c r="N71" s="3">
        <v>11.4135888169524</v>
      </c>
      <c r="O71" s="3">
        <v>19.274837074589801</v>
      </c>
      <c r="P71" s="3">
        <v>11.4535902952969</v>
      </c>
      <c r="Q71" s="3">
        <v>13.148882588960699</v>
      </c>
      <c r="R71" s="3">
        <v>15.2390358849447</v>
      </c>
      <c r="S71" s="3">
        <v>6.4747888893179502</v>
      </c>
      <c r="T71" s="3">
        <v>12.833161160344201</v>
      </c>
      <c r="U71" s="3">
        <v>14.5932294407685</v>
      </c>
      <c r="V71" s="3">
        <v>16.263865454652102</v>
      </c>
    </row>
    <row r="72" spans="1:22" x14ac:dyDescent="0.35">
      <c r="A72" s="2">
        <v>43833</v>
      </c>
      <c r="B72" s="3">
        <v>12.8670676243085</v>
      </c>
      <c r="C72" s="3">
        <v>13.799648506335799</v>
      </c>
      <c r="D72" s="3">
        <v>15.136458529462899</v>
      </c>
      <c r="E72" s="3">
        <v>14.145350277333799</v>
      </c>
      <c r="F72" s="3">
        <v>10.494153929278401</v>
      </c>
      <c r="G72" s="3">
        <v>14.7743725004278</v>
      </c>
      <c r="H72" s="3">
        <v>16.254543371755599</v>
      </c>
      <c r="I72" s="3">
        <v>15.770241348206101</v>
      </c>
      <c r="J72" s="3">
        <v>14.1282272371992</v>
      </c>
      <c r="K72" s="3">
        <v>11.2416794592374</v>
      </c>
      <c r="L72" s="3">
        <v>14.6145744669941</v>
      </c>
      <c r="M72" s="3">
        <v>12.4800115496499</v>
      </c>
      <c r="N72" s="3">
        <v>11.3707790679188</v>
      </c>
      <c r="O72" s="3">
        <v>19.196672833934301</v>
      </c>
      <c r="P72" s="3">
        <v>12.4817542652005</v>
      </c>
      <c r="Q72" s="3">
        <v>13.877193810712701</v>
      </c>
      <c r="R72" s="3">
        <v>15.507590249056699</v>
      </c>
      <c r="S72" s="3">
        <v>6.6176979104517102</v>
      </c>
      <c r="T72" s="3">
        <v>13.675897117617801</v>
      </c>
      <c r="U72" s="3">
        <v>14.341771119578199</v>
      </c>
      <c r="V72" s="3">
        <v>17.0630306625157</v>
      </c>
    </row>
    <row r="73" spans="1:22" x14ac:dyDescent="0.35">
      <c r="A73" s="2">
        <v>43865</v>
      </c>
      <c r="B73" s="3">
        <v>11.785448925388801</v>
      </c>
      <c r="C73" s="3">
        <v>13.3709832874895</v>
      </c>
      <c r="D73" s="3">
        <v>14.714905141448501</v>
      </c>
      <c r="E73" s="3">
        <v>12.951569549473099</v>
      </c>
      <c r="F73" s="3">
        <v>10.357086846622201</v>
      </c>
      <c r="G73" s="3">
        <v>14.586868568447599</v>
      </c>
      <c r="H73" s="3">
        <v>15.424509122183</v>
      </c>
      <c r="I73" s="3">
        <v>14.893441883710301</v>
      </c>
      <c r="J73" s="3">
        <v>14.420524105208401</v>
      </c>
      <c r="K73" s="3">
        <v>11.0676811855908</v>
      </c>
      <c r="L73" s="3">
        <v>14.167712818095101</v>
      </c>
      <c r="M73" s="3">
        <v>11.846960944305099</v>
      </c>
      <c r="N73" s="3">
        <v>10.8259620942521</v>
      </c>
      <c r="O73" s="3">
        <v>18.894267000573102</v>
      </c>
      <c r="P73" s="3">
        <v>11.958884861042</v>
      </c>
      <c r="Q73" s="3">
        <v>13.6418770864636</v>
      </c>
      <c r="R73" s="3">
        <v>15.1015428448463</v>
      </c>
      <c r="S73" s="3">
        <v>6.9987944637036303</v>
      </c>
      <c r="T73" s="3">
        <v>12.824845994808101</v>
      </c>
      <c r="U73" s="3">
        <v>13.086521711572299</v>
      </c>
      <c r="V73" s="3">
        <v>16.325667735908802</v>
      </c>
    </row>
    <row r="74" spans="1:22" x14ac:dyDescent="0.35">
      <c r="A74" s="2">
        <v>43894</v>
      </c>
      <c r="B74" s="3">
        <v>12.9610929951688</v>
      </c>
      <c r="C74" s="3">
        <v>12.368777182485699</v>
      </c>
      <c r="D74" s="3">
        <v>14.095764713636701</v>
      </c>
      <c r="E74" s="3">
        <v>12.392644286586</v>
      </c>
      <c r="F74" s="3">
        <v>9.7305419432219704</v>
      </c>
      <c r="G74" s="3">
        <v>13.7969668286656</v>
      </c>
      <c r="H74" s="3">
        <v>15.679979503353501</v>
      </c>
      <c r="I74" s="3">
        <v>14.6283116827206</v>
      </c>
      <c r="J74" s="3">
        <v>13.7716449463892</v>
      </c>
      <c r="K74" s="3">
        <v>10.514427172781399</v>
      </c>
      <c r="L74" s="3">
        <v>13.2372255736499</v>
      </c>
      <c r="M74" s="3">
        <v>10.472469444501201</v>
      </c>
      <c r="N74" s="3">
        <v>9.2589947411898308</v>
      </c>
      <c r="O74" s="3">
        <v>17.856575123009002</v>
      </c>
      <c r="P74" s="3">
        <v>12.186941877604401</v>
      </c>
      <c r="Q74" s="3">
        <v>12.511520865769899</v>
      </c>
      <c r="R74" s="3">
        <v>14.3699587838647</v>
      </c>
      <c r="S74" s="3">
        <v>6.3366021056751904</v>
      </c>
      <c r="T74" s="3">
        <v>11.918419746681399</v>
      </c>
      <c r="U74" s="3">
        <v>12.8629546828064</v>
      </c>
      <c r="V74" s="3">
        <v>15.6229596657332</v>
      </c>
    </row>
    <row r="75" spans="1:22" x14ac:dyDescent="0.35">
      <c r="A75" s="2">
        <v>43924</v>
      </c>
      <c r="B75" s="3">
        <v>11.957921148655201</v>
      </c>
      <c r="C75" s="3">
        <v>10.5474076036794</v>
      </c>
      <c r="D75" s="3">
        <v>10.8447059936948</v>
      </c>
      <c r="E75" s="3">
        <v>9.9194121949370899</v>
      </c>
      <c r="F75" s="3">
        <v>9.0432585977714393</v>
      </c>
      <c r="G75" s="3">
        <v>9.9656412383518305</v>
      </c>
      <c r="H75" s="3">
        <v>14.738925136123999</v>
      </c>
      <c r="I75" s="3">
        <v>13.377822260338</v>
      </c>
      <c r="J75" s="3">
        <v>10.4205614105389</v>
      </c>
      <c r="K75" s="3">
        <v>9.4300486593665003</v>
      </c>
      <c r="L75" s="3">
        <v>10.402592484595599</v>
      </c>
      <c r="M75" s="3">
        <v>8.3372628659739494</v>
      </c>
      <c r="N75" s="3">
        <v>6.7607666990163597</v>
      </c>
      <c r="O75" s="3">
        <v>13.6727813913714</v>
      </c>
      <c r="P75" s="3">
        <v>11.610177849893001</v>
      </c>
      <c r="Q75" s="3">
        <v>11.6893055328072</v>
      </c>
      <c r="R75" s="3">
        <v>13.275556976181701</v>
      </c>
      <c r="S75" s="3">
        <v>5.4122052968787697</v>
      </c>
      <c r="T75" s="3">
        <v>10.1334081074023</v>
      </c>
      <c r="U75" s="3">
        <v>11.264054122497599</v>
      </c>
      <c r="V75" s="3">
        <v>15.1001735864194</v>
      </c>
    </row>
    <row r="76" spans="1:22" x14ac:dyDescent="0.35">
      <c r="A76" s="2">
        <v>43955</v>
      </c>
      <c r="B76" s="3">
        <v>13.1016436332262</v>
      </c>
      <c r="C76" s="3">
        <v>11.877523454403899</v>
      </c>
      <c r="D76" s="3">
        <v>11.8750968928122</v>
      </c>
      <c r="E76" s="3">
        <v>11.7897485448698</v>
      </c>
      <c r="F76" s="3">
        <v>11.5838299736807</v>
      </c>
      <c r="G76" s="3">
        <v>13.764331574539501</v>
      </c>
      <c r="H76" s="3">
        <v>15.9720783099195</v>
      </c>
      <c r="I76" s="3">
        <v>14.9466869257847</v>
      </c>
      <c r="J76" s="3">
        <v>14.181371128638901</v>
      </c>
      <c r="K76" s="3">
        <v>11.174853889155999</v>
      </c>
      <c r="L76" s="3">
        <v>13.312686148192199</v>
      </c>
      <c r="M76" s="3">
        <v>10.310167196844301</v>
      </c>
      <c r="N76" s="3">
        <v>9.8126429910158706</v>
      </c>
      <c r="O76" s="3">
        <v>17.8094948445565</v>
      </c>
      <c r="P76" s="3">
        <v>12.0586590696618</v>
      </c>
      <c r="Q76" s="3">
        <v>13.301037940078</v>
      </c>
      <c r="R76" s="3">
        <v>16.248695803331199</v>
      </c>
      <c r="S76" s="3">
        <v>6.45847118008008</v>
      </c>
      <c r="T76" s="3">
        <v>14.9296381975581</v>
      </c>
      <c r="U76" s="3">
        <v>14.042700150377099</v>
      </c>
      <c r="V76" s="3">
        <v>16.6358230173688</v>
      </c>
    </row>
    <row r="77" spans="1:22" x14ac:dyDescent="0.35">
      <c r="A77" s="2">
        <v>43986</v>
      </c>
      <c r="B77" s="3">
        <v>13.673687805195501</v>
      </c>
      <c r="C77" s="3">
        <v>13.7839993330785</v>
      </c>
      <c r="D77" s="3">
        <v>14.9168611887475</v>
      </c>
      <c r="E77" s="3">
        <v>16.102846043759701</v>
      </c>
      <c r="F77" s="3">
        <v>13.2256116689612</v>
      </c>
      <c r="G77" s="3">
        <v>17.197053859980201</v>
      </c>
      <c r="H77" s="3">
        <v>19.8356467611782</v>
      </c>
      <c r="I77" s="3">
        <v>16.164509703012701</v>
      </c>
      <c r="J77" s="3">
        <v>16.516223441522101</v>
      </c>
      <c r="K77" s="3">
        <v>12.926403480497999</v>
      </c>
      <c r="L77" s="3">
        <v>17.6125584724454</v>
      </c>
      <c r="M77" s="3">
        <v>11.182580403825201</v>
      </c>
      <c r="N77" s="3">
        <v>11.711599502187999</v>
      </c>
      <c r="O77" s="3">
        <v>20.785674579904601</v>
      </c>
      <c r="P77" s="3">
        <v>13.736073731272199</v>
      </c>
      <c r="Q77" s="3">
        <v>14.3637069689065</v>
      </c>
      <c r="R77" s="3">
        <v>19.804348375339099</v>
      </c>
      <c r="S77" s="3">
        <v>8.4033408336252595</v>
      </c>
      <c r="T77" s="3">
        <v>14.8297708333644</v>
      </c>
      <c r="U77" s="3">
        <v>15.950893965653901</v>
      </c>
      <c r="V77" s="3">
        <v>19.462710259000598</v>
      </c>
    </row>
    <row r="78" spans="1:22" x14ac:dyDescent="0.35">
      <c r="A78" s="2">
        <v>44014</v>
      </c>
      <c r="B78" s="3">
        <v>14.8227220340857</v>
      </c>
      <c r="C78" s="3">
        <v>15.391149967505299</v>
      </c>
      <c r="D78" s="3">
        <v>16.1739388785901</v>
      </c>
      <c r="E78" s="3">
        <v>15.916272558858299</v>
      </c>
      <c r="F78" s="3">
        <v>12.2063932884467</v>
      </c>
      <c r="G78" s="3">
        <v>19.686719387708699</v>
      </c>
      <c r="H78" s="3">
        <v>19.547138722043901</v>
      </c>
      <c r="I78" s="3">
        <v>16.497124504197298</v>
      </c>
      <c r="J78" s="3">
        <v>16.984463649535599</v>
      </c>
      <c r="K78" s="3">
        <v>12.5976657170972</v>
      </c>
      <c r="L78" s="3">
        <v>26.558794956121901</v>
      </c>
      <c r="M78" s="3">
        <v>11.4014364608554</v>
      </c>
      <c r="N78" s="3">
        <v>13.8777951085259</v>
      </c>
      <c r="O78" s="3">
        <v>22.751575236846399</v>
      </c>
      <c r="P78" s="3">
        <v>14.4628418668138</v>
      </c>
      <c r="Q78" s="3">
        <v>14.843575362977001</v>
      </c>
      <c r="R78" s="3">
        <v>19.841702083163501</v>
      </c>
      <c r="S78" s="3">
        <v>8.8606449694207292</v>
      </c>
      <c r="T78" s="3">
        <v>16.859282197398201</v>
      </c>
      <c r="U78" s="3">
        <v>14.735112309624499</v>
      </c>
      <c r="V78" s="3">
        <v>19.196723330486002</v>
      </c>
    </row>
    <row r="79" spans="1:22" x14ac:dyDescent="0.35">
      <c r="A79" s="2">
        <v>44047</v>
      </c>
      <c r="B79" s="3">
        <v>16.250510321055799</v>
      </c>
      <c r="C79" s="3">
        <v>15.633167490287899</v>
      </c>
      <c r="D79" s="3">
        <v>16.244299460745001</v>
      </c>
      <c r="E79" s="3">
        <v>14.6859110340038</v>
      </c>
      <c r="F79" s="3">
        <v>12.3424693269499</v>
      </c>
      <c r="G79" s="3">
        <v>20.4414257396209</v>
      </c>
      <c r="H79" s="3">
        <v>19.0717986165415</v>
      </c>
      <c r="I79" s="3">
        <v>17.008353221206999</v>
      </c>
      <c r="J79" s="3">
        <v>16.882914348078501</v>
      </c>
      <c r="K79" s="3">
        <v>12.8427660118847</v>
      </c>
      <c r="L79" s="3">
        <v>25.485308115347301</v>
      </c>
      <c r="M79" s="3">
        <v>11.4966498822782</v>
      </c>
      <c r="N79" s="3">
        <v>12.960906740712201</v>
      </c>
      <c r="O79" s="3">
        <v>23.639444744136998</v>
      </c>
      <c r="P79" s="3">
        <v>15.3324425467793</v>
      </c>
      <c r="Q79" s="3">
        <v>15.2949611047238</v>
      </c>
      <c r="R79" s="3">
        <v>19.370920114037901</v>
      </c>
      <c r="S79" s="3">
        <v>7.9552272560123498</v>
      </c>
      <c r="T79" s="3">
        <v>13.016653879762099</v>
      </c>
      <c r="U79" s="3">
        <v>14.656732324340201</v>
      </c>
      <c r="V79" s="3">
        <v>19.500883342623801</v>
      </c>
    </row>
    <row r="80" spans="1:22" x14ac:dyDescent="0.35">
      <c r="A80" s="2">
        <v>44078</v>
      </c>
      <c r="B80" s="3">
        <v>16.490948421916698</v>
      </c>
      <c r="C80" s="3">
        <v>15.1247468476863</v>
      </c>
      <c r="D80" s="3">
        <v>16.887632282367299</v>
      </c>
      <c r="E80" s="3">
        <v>15.3838471045089</v>
      </c>
      <c r="F80" s="3">
        <v>12.117998893256599</v>
      </c>
      <c r="G80" s="3">
        <v>23.273842153395702</v>
      </c>
      <c r="H80" s="3">
        <v>18.558820141146601</v>
      </c>
      <c r="I80" s="3">
        <v>15.5768444481835</v>
      </c>
      <c r="J80" s="3">
        <v>15.574557641645599</v>
      </c>
      <c r="K80" s="3">
        <v>12.8431050953384</v>
      </c>
      <c r="L80" s="3">
        <v>22.610451174022</v>
      </c>
      <c r="M80" s="3">
        <v>10.705981708595999</v>
      </c>
      <c r="N80" s="3">
        <v>12.7197932880698</v>
      </c>
      <c r="O80" s="3">
        <v>22.760007446341501</v>
      </c>
      <c r="P80" s="3">
        <v>15.2797379483392</v>
      </c>
      <c r="Q80" s="3">
        <v>15.1490337068608</v>
      </c>
      <c r="R80" s="3">
        <v>19.155392769494998</v>
      </c>
      <c r="S80" s="3">
        <v>7.8829419268077903</v>
      </c>
      <c r="T80" s="3">
        <v>13.6066823985597</v>
      </c>
      <c r="U80" s="3">
        <v>15.705818876596901</v>
      </c>
      <c r="V80" s="3">
        <v>20.622459628250901</v>
      </c>
    </row>
    <row r="81" spans="1:22" x14ac:dyDescent="0.35">
      <c r="A81" s="2">
        <v>44106</v>
      </c>
      <c r="B81" s="3">
        <v>15.6934349794852</v>
      </c>
      <c r="C81" s="3">
        <v>14.0914866982682</v>
      </c>
      <c r="D81" s="3">
        <v>15.0942799669298</v>
      </c>
      <c r="E81" s="3">
        <v>16.007423833880701</v>
      </c>
      <c r="F81" s="3">
        <v>11.753893387726899</v>
      </c>
      <c r="G81" s="3">
        <v>20.983063036134698</v>
      </c>
      <c r="H81" s="3">
        <v>17.360944808131201</v>
      </c>
      <c r="I81" s="3">
        <v>15.194562237866</v>
      </c>
      <c r="J81" s="3">
        <v>15.036351610477499</v>
      </c>
      <c r="K81" s="3">
        <v>12.303984407377101</v>
      </c>
      <c r="L81" s="3">
        <v>16.3998989595935</v>
      </c>
      <c r="M81" s="3">
        <v>10.394456033849799</v>
      </c>
      <c r="N81" s="3">
        <v>11.525887065337299</v>
      </c>
      <c r="O81" s="3">
        <v>22.724822351458599</v>
      </c>
      <c r="P81" s="3">
        <v>14.8223611915978</v>
      </c>
      <c r="Q81" s="3">
        <v>15.2819020625261</v>
      </c>
      <c r="R81" s="3">
        <v>17.998753913275198</v>
      </c>
      <c r="S81" s="3">
        <v>7.8498103242364401</v>
      </c>
      <c r="T81" s="3">
        <v>12.6728799903031</v>
      </c>
      <c r="U81" s="3">
        <v>15.5212664433624</v>
      </c>
      <c r="V81" s="3">
        <v>21.243607962510399</v>
      </c>
    </row>
    <row r="82" spans="1:22" x14ac:dyDescent="0.35">
      <c r="A82" s="2">
        <v>44139</v>
      </c>
      <c r="B82" s="3">
        <v>15.9940518687965</v>
      </c>
      <c r="C82" s="3">
        <v>13.1874822264109</v>
      </c>
      <c r="D82" s="3">
        <v>15.464957294167201</v>
      </c>
      <c r="E82" s="3">
        <v>16.645424187400199</v>
      </c>
      <c r="F82" s="3">
        <v>12.3529867039781</v>
      </c>
      <c r="G82" s="3">
        <v>17.688056688973798</v>
      </c>
      <c r="H82" s="3">
        <v>15.8588793103048</v>
      </c>
      <c r="I82" s="3">
        <v>14.855307706789</v>
      </c>
      <c r="J82" s="3">
        <v>14.2623046483923</v>
      </c>
      <c r="K82" s="3">
        <v>11.8185845913811</v>
      </c>
      <c r="L82" s="3">
        <v>14.393155955096599</v>
      </c>
      <c r="M82" s="3">
        <v>10.1299345848571</v>
      </c>
      <c r="N82" s="3">
        <v>9.3886899946603801</v>
      </c>
      <c r="O82" s="3">
        <v>21.9515014266747</v>
      </c>
      <c r="P82" s="3">
        <v>15.6471546394841</v>
      </c>
      <c r="Q82" s="3">
        <v>14.680889232052101</v>
      </c>
      <c r="R82" s="3">
        <v>16.7096483512105</v>
      </c>
      <c r="S82" s="3">
        <v>7.9112069086918497</v>
      </c>
      <c r="T82" s="3">
        <v>14.589398079411</v>
      </c>
      <c r="U82" s="3">
        <v>15.1181781478296</v>
      </c>
      <c r="V82" s="3">
        <v>20.2834763384285</v>
      </c>
    </row>
    <row r="83" spans="1:22" x14ac:dyDescent="0.35">
      <c r="A83" s="2">
        <v>44169</v>
      </c>
      <c r="B83" s="3">
        <v>16.751762377485299</v>
      </c>
      <c r="C83" s="3">
        <v>14.954955516458201</v>
      </c>
      <c r="D83" s="3">
        <v>17.792238012771701</v>
      </c>
      <c r="E83" s="3">
        <v>17.174054808819601</v>
      </c>
      <c r="F83" s="3">
        <v>14.0252900453312</v>
      </c>
      <c r="G83" s="3">
        <v>17.0756424409321</v>
      </c>
      <c r="H83" s="3">
        <v>16.0244519991179</v>
      </c>
      <c r="I83" s="3">
        <v>15.66908268763</v>
      </c>
      <c r="J83" s="3">
        <v>15.743414478256</v>
      </c>
      <c r="K83" s="3">
        <v>13.394184527711699</v>
      </c>
      <c r="L83" s="3">
        <v>14.0165137533599</v>
      </c>
      <c r="M83" s="3">
        <v>9.9125081011947795</v>
      </c>
      <c r="N83" s="3">
        <v>12.572952921828101</v>
      </c>
      <c r="O83" s="3">
        <v>23.806356379606001</v>
      </c>
      <c r="P83" s="3">
        <v>15.527946152561301</v>
      </c>
      <c r="Q83" s="3">
        <v>15.478927620353501</v>
      </c>
      <c r="R83" s="3">
        <v>19.456759195071999</v>
      </c>
      <c r="S83" s="3">
        <v>7.9853470663827304</v>
      </c>
      <c r="T83" s="3">
        <v>15.691869107822001</v>
      </c>
      <c r="U83" s="3">
        <v>15.473676103775601</v>
      </c>
      <c r="V83" s="3">
        <v>20.022963744973801</v>
      </c>
    </row>
    <row r="84" spans="1:22" x14ac:dyDescent="0.35">
      <c r="A84" s="2">
        <v>44200</v>
      </c>
      <c r="B84" s="3">
        <v>17.454329514760101</v>
      </c>
      <c r="C84" s="3">
        <v>14.1585450972839</v>
      </c>
      <c r="D84" s="3">
        <v>17.738890593320299</v>
      </c>
      <c r="E84" s="3">
        <v>16.595199845238501</v>
      </c>
      <c r="F84" s="3">
        <v>13.3345815350797</v>
      </c>
      <c r="G84" s="3">
        <v>14.104112738377401</v>
      </c>
      <c r="H84" s="3">
        <v>14.566553951397101</v>
      </c>
      <c r="I84" s="3">
        <v>16.1268250945106</v>
      </c>
      <c r="J84" s="3">
        <v>15.1090504335071</v>
      </c>
      <c r="K84" s="3">
        <v>13.7488342514955</v>
      </c>
      <c r="L84" s="3">
        <v>12.724633459185201</v>
      </c>
      <c r="M84" s="3">
        <v>9.9073637345982295</v>
      </c>
      <c r="N84" s="3">
        <v>12.4784079370976</v>
      </c>
      <c r="O84" s="3">
        <v>24.4777307115078</v>
      </c>
      <c r="P84" s="3">
        <v>15.564239388902999</v>
      </c>
      <c r="Q84" s="3">
        <v>14.149741724856399</v>
      </c>
      <c r="R84" s="3">
        <v>19.630128280975399</v>
      </c>
      <c r="S84" s="3">
        <v>8.1813967467120001</v>
      </c>
      <c r="T84" s="3">
        <v>14.997720628828301</v>
      </c>
      <c r="U84" s="3">
        <v>16.7700512726855</v>
      </c>
      <c r="V84" s="3">
        <v>19.097045870531002</v>
      </c>
    </row>
    <row r="85" spans="1:22" x14ac:dyDescent="0.35">
      <c r="A85" s="2">
        <v>44231</v>
      </c>
      <c r="B85" s="3">
        <v>18.0171640233688</v>
      </c>
      <c r="C85" s="3">
        <v>14.0970640669905</v>
      </c>
      <c r="D85" s="3">
        <v>17.3548993795165</v>
      </c>
      <c r="E85" s="3">
        <v>15.955333898117599</v>
      </c>
      <c r="F85" s="3">
        <v>11.0282857444158</v>
      </c>
      <c r="G85" s="3">
        <v>14.479869600790501</v>
      </c>
      <c r="H85" s="3">
        <v>14.2367331749073</v>
      </c>
      <c r="I85" s="3">
        <v>15.784441198662501</v>
      </c>
      <c r="J85" s="3">
        <v>14.4189675715027</v>
      </c>
      <c r="K85" s="3">
        <v>14.000424123431101</v>
      </c>
      <c r="L85" s="3">
        <v>11.2428887489644</v>
      </c>
      <c r="M85" s="3">
        <v>10.129130449050001</v>
      </c>
      <c r="N85" s="3">
        <v>11.1797149268388</v>
      </c>
      <c r="O85" s="3">
        <v>23.781079484768</v>
      </c>
      <c r="P85" s="3">
        <v>18.054832431265901</v>
      </c>
      <c r="Q85" s="3">
        <v>13.835000475864099</v>
      </c>
      <c r="R85" s="3">
        <v>19.0524724332695</v>
      </c>
      <c r="S85" s="3">
        <v>7.7801265663613499</v>
      </c>
      <c r="T85" s="3">
        <v>15.477876858790401</v>
      </c>
      <c r="U85" s="3">
        <v>16.835145762406</v>
      </c>
      <c r="V85" s="3">
        <v>18.317694550791</v>
      </c>
    </row>
    <row r="86" spans="1:22" x14ac:dyDescent="0.35">
      <c r="A86" s="2">
        <v>44259</v>
      </c>
      <c r="B86" s="3">
        <v>17.0015300786024</v>
      </c>
      <c r="C86" s="3">
        <v>14.679949720064901</v>
      </c>
      <c r="D86" s="3">
        <v>16.830041802139601</v>
      </c>
      <c r="E86" s="3">
        <v>15.8540755331467</v>
      </c>
      <c r="F86" s="3">
        <v>11.520114206497199</v>
      </c>
      <c r="G86" s="3">
        <v>15.1857870858955</v>
      </c>
      <c r="H86" s="3">
        <v>14.165861068110701</v>
      </c>
      <c r="I86" s="3">
        <v>15.3514429357773</v>
      </c>
      <c r="J86" s="3">
        <v>14.536210847649</v>
      </c>
      <c r="K86" s="3">
        <v>13.431912050498401</v>
      </c>
      <c r="L86" s="3">
        <v>9.9864014279151796</v>
      </c>
      <c r="M86" s="3">
        <v>10.217252436879299</v>
      </c>
      <c r="N86" s="3">
        <v>12.217765814443</v>
      </c>
      <c r="O86" s="3">
        <v>23.8568805456507</v>
      </c>
      <c r="P86" s="3">
        <v>16.875617172163501</v>
      </c>
      <c r="Q86" s="3">
        <v>13.079710105965701</v>
      </c>
      <c r="R86" s="3">
        <v>19.349942174585699</v>
      </c>
      <c r="S86" s="3">
        <v>7.4313300914674203</v>
      </c>
      <c r="T86" s="3">
        <v>14.886824549416099</v>
      </c>
      <c r="U86" s="3">
        <v>16.624710457090998</v>
      </c>
      <c r="V86" s="3">
        <v>18.527480384440999</v>
      </c>
    </row>
    <row r="87" spans="1:22" x14ac:dyDescent="0.35">
      <c r="A87" s="2">
        <v>44287</v>
      </c>
      <c r="B87" s="3">
        <v>16.266043807194698</v>
      </c>
      <c r="C87" s="3">
        <v>14.227658838571701</v>
      </c>
      <c r="D87" s="3">
        <v>15.6499380840994</v>
      </c>
      <c r="E87" s="3">
        <v>14.7878198147702</v>
      </c>
      <c r="F87" s="3">
        <v>11.930280192996801</v>
      </c>
      <c r="G87" s="3">
        <v>13.4179578409746</v>
      </c>
      <c r="H87" s="3">
        <v>14.060167332132201</v>
      </c>
      <c r="I87" s="3">
        <v>15.4461670955149</v>
      </c>
      <c r="J87" s="3">
        <v>14.7572324650823</v>
      </c>
      <c r="K87" s="3">
        <v>13.106845245317601</v>
      </c>
      <c r="L87" s="3">
        <v>9.25812503877866</v>
      </c>
      <c r="M87" s="3">
        <v>10.1508388508471</v>
      </c>
      <c r="N87" s="3">
        <v>12.1514454535887</v>
      </c>
      <c r="O87" s="3">
        <v>23.046070217592899</v>
      </c>
      <c r="P87" s="3">
        <v>16.381581307958601</v>
      </c>
      <c r="Q87" s="3">
        <v>13.7854614579384</v>
      </c>
      <c r="R87" s="3">
        <v>19.552945541722899</v>
      </c>
      <c r="S87" s="3">
        <v>6.7832128090202497</v>
      </c>
      <c r="T87" s="3">
        <v>14.265366842976601</v>
      </c>
      <c r="U87" s="3">
        <v>16.769102802252601</v>
      </c>
      <c r="V87" s="3">
        <v>19.2712575242202</v>
      </c>
    </row>
    <row r="88" spans="1:22" x14ac:dyDescent="0.35">
      <c r="A88" s="2">
        <v>44320</v>
      </c>
      <c r="B88" s="3">
        <v>16.152857393226999</v>
      </c>
      <c r="C88" s="3">
        <v>12.961564764316099</v>
      </c>
      <c r="D88" s="3">
        <v>15.789308134511</v>
      </c>
      <c r="E88" s="3">
        <v>14.5613938387253</v>
      </c>
      <c r="F88" s="3">
        <v>12.1755002924347</v>
      </c>
      <c r="G88" s="3">
        <v>10.8659457857575</v>
      </c>
      <c r="H88" s="3">
        <v>14.0757827323705</v>
      </c>
      <c r="I88" s="3">
        <v>14.3388250722841</v>
      </c>
      <c r="J88" s="3">
        <v>14.6570602943167</v>
      </c>
      <c r="K88" s="3">
        <v>11.277874510840901</v>
      </c>
      <c r="L88" s="3">
        <v>8.7075544058352001</v>
      </c>
      <c r="M88" s="3">
        <v>9.3601161037377594</v>
      </c>
      <c r="N88" s="3">
        <v>13.0438026897202</v>
      </c>
      <c r="O88" s="3">
        <v>22.189989503974001</v>
      </c>
      <c r="P88" s="3">
        <v>15.679496674561101</v>
      </c>
      <c r="Q88" s="3">
        <v>13.968557294742499</v>
      </c>
      <c r="R88" s="3">
        <v>18.701732164929201</v>
      </c>
      <c r="S88" s="3">
        <v>6.4186330243645697</v>
      </c>
      <c r="T88" s="3">
        <v>14.047043042330699</v>
      </c>
      <c r="U88" s="3">
        <v>16.408725432358899</v>
      </c>
      <c r="V88" s="3">
        <v>19.3363196471993</v>
      </c>
    </row>
    <row r="89" spans="1:22" x14ac:dyDescent="0.35">
      <c r="A89" s="2">
        <v>44351</v>
      </c>
      <c r="B89" s="3">
        <v>16.840604504275301</v>
      </c>
      <c r="C89" s="3">
        <v>11.2745752300522</v>
      </c>
      <c r="D89" s="3">
        <v>16.2172785439503</v>
      </c>
      <c r="E89" s="3">
        <v>16.383871770175698</v>
      </c>
      <c r="F89" s="3">
        <v>13.118065569960599</v>
      </c>
      <c r="G89" s="3">
        <v>10.4525633935854</v>
      </c>
      <c r="H89" s="3">
        <v>13.8601812079414</v>
      </c>
      <c r="I89" s="3">
        <v>13.844410181097899</v>
      </c>
      <c r="J89" s="3">
        <v>15.112509848782</v>
      </c>
      <c r="K89" s="3">
        <v>11.2881606944841</v>
      </c>
      <c r="L89" s="3">
        <v>9.5167641289732003</v>
      </c>
      <c r="M89" s="3">
        <v>9.9489755664537896</v>
      </c>
      <c r="N89" s="3">
        <v>12.700238498367099</v>
      </c>
      <c r="O89" s="3">
        <v>23.3095992432416</v>
      </c>
      <c r="P89" s="3">
        <v>16.133176272254701</v>
      </c>
      <c r="Q89" s="3">
        <v>13.703245845799801</v>
      </c>
      <c r="R89" s="3">
        <v>17.960804895984399</v>
      </c>
      <c r="S89" s="3">
        <v>6.2863324328099504</v>
      </c>
      <c r="T89" s="3">
        <v>15.0821303078179</v>
      </c>
      <c r="U89" s="3">
        <v>18.04094076889</v>
      </c>
      <c r="V89" s="3">
        <v>19.366883494442099</v>
      </c>
    </row>
    <row r="90" spans="1:22" x14ac:dyDescent="0.35">
      <c r="A90" s="2">
        <v>44379</v>
      </c>
      <c r="B90" s="3">
        <v>16.279904796595901</v>
      </c>
      <c r="C90" s="3">
        <v>11.2180512623548</v>
      </c>
      <c r="D90" s="3">
        <v>14.939130147612399</v>
      </c>
      <c r="E90" s="3">
        <v>16.4447168934053</v>
      </c>
      <c r="F90" s="3">
        <v>12.5128959199169</v>
      </c>
      <c r="G90" s="3">
        <v>8.9003516303896504</v>
      </c>
      <c r="H90" s="3">
        <v>13.543260821896901</v>
      </c>
      <c r="I90" s="3">
        <v>13.8883423723967</v>
      </c>
      <c r="J90" s="3">
        <v>14.8202950378832</v>
      </c>
      <c r="K90" s="3">
        <v>11.226477733566799</v>
      </c>
      <c r="L90" s="3">
        <v>9.1358819982411799</v>
      </c>
      <c r="M90" s="3">
        <v>9.4007221797387697</v>
      </c>
      <c r="N90" s="3">
        <v>11.964935508902499</v>
      </c>
      <c r="O90" s="3">
        <v>23.079292469476901</v>
      </c>
      <c r="P90" s="3">
        <v>15.775109684691399</v>
      </c>
      <c r="Q90" s="3">
        <v>13.5048735938246</v>
      </c>
      <c r="R90" s="3">
        <v>17.2480921142797</v>
      </c>
      <c r="S90" s="3">
        <v>5.8775249143183004</v>
      </c>
      <c r="T90" s="3">
        <v>14.5894081486075</v>
      </c>
      <c r="U90" s="3">
        <v>17.994800789055599</v>
      </c>
      <c r="V90" s="3">
        <v>19.578637301447301</v>
      </c>
    </row>
    <row r="91" spans="1:22" x14ac:dyDescent="0.35">
      <c r="A91" s="2">
        <v>44412</v>
      </c>
      <c r="B91" s="3">
        <v>15.58555694731</v>
      </c>
      <c r="C91" s="3">
        <v>10.2000996080411</v>
      </c>
      <c r="D91" s="3">
        <v>14.8196569542635</v>
      </c>
      <c r="E91" s="3">
        <v>15.229444361188801</v>
      </c>
      <c r="F91" s="3">
        <v>11.9552044526337</v>
      </c>
      <c r="G91" s="3">
        <v>8.6313387612387302</v>
      </c>
      <c r="H91" s="3">
        <v>13.2770931698273</v>
      </c>
      <c r="I91" s="3">
        <v>13.531133558273799</v>
      </c>
      <c r="J91" s="3">
        <v>14.536674909028401</v>
      </c>
      <c r="K91" s="3">
        <v>10.7910369206626</v>
      </c>
      <c r="L91" s="3">
        <v>8.2662175468391599</v>
      </c>
      <c r="M91" s="3">
        <v>9.5483074851050898</v>
      </c>
      <c r="N91" s="3">
        <v>11.138440307287899</v>
      </c>
      <c r="O91" s="3">
        <v>23.675924840479301</v>
      </c>
      <c r="P91" s="3">
        <v>14.1226964728558</v>
      </c>
      <c r="Q91" s="3">
        <v>13.1858473069545</v>
      </c>
      <c r="R91" s="3">
        <v>16.816838154209002</v>
      </c>
      <c r="S91" s="3">
        <v>5.78835369898247</v>
      </c>
      <c r="T91" s="3">
        <v>14.4961705007977</v>
      </c>
      <c r="U91" s="3">
        <v>16.935924153393302</v>
      </c>
      <c r="V91" s="3">
        <v>19.040243909815501</v>
      </c>
    </row>
    <row r="92" spans="1:22" x14ac:dyDescent="0.35">
      <c r="A92" s="2">
        <v>44442</v>
      </c>
      <c r="B92" s="3">
        <v>15.3282757238486</v>
      </c>
      <c r="C92" s="3">
        <v>10.2492414331318</v>
      </c>
      <c r="D92" s="3">
        <v>15.096912566064599</v>
      </c>
      <c r="E92" s="3">
        <v>15.920714268953001</v>
      </c>
      <c r="F92" s="3">
        <v>11.994772567977501</v>
      </c>
      <c r="G92" s="3">
        <v>9.1081053095148494</v>
      </c>
      <c r="H92" s="3">
        <v>14.116211099952601</v>
      </c>
      <c r="I92" s="3">
        <v>13.2991406750771</v>
      </c>
      <c r="J92" s="3">
        <v>14.3895123392596</v>
      </c>
      <c r="K92" s="3">
        <v>10.494305279132</v>
      </c>
      <c r="L92" s="3">
        <v>7.9654515331464797</v>
      </c>
      <c r="M92" s="3">
        <v>9.1895834256778706</v>
      </c>
      <c r="N92" s="3">
        <v>11.1110996823916</v>
      </c>
      <c r="O92" s="3">
        <v>24.6765928656535</v>
      </c>
      <c r="P92" s="3">
        <v>14.0601858739223</v>
      </c>
      <c r="Q92" s="3">
        <v>13.414748333459</v>
      </c>
      <c r="R92" s="3">
        <v>18.037587017251699</v>
      </c>
      <c r="S92" s="3">
        <v>5.6517817072967302</v>
      </c>
      <c r="T92" s="3">
        <v>14.569951171778699</v>
      </c>
      <c r="U92" s="3">
        <v>16.334712023971498</v>
      </c>
      <c r="V92" s="3">
        <v>19.046244539212299</v>
      </c>
    </row>
    <row r="93" spans="1:22" x14ac:dyDescent="0.35">
      <c r="A93" s="2">
        <v>44473</v>
      </c>
      <c r="B93" s="3">
        <v>15.2117611740718</v>
      </c>
      <c r="C93" s="3">
        <v>9.6512355996765304</v>
      </c>
      <c r="D93" s="3">
        <v>15.134696379413301</v>
      </c>
      <c r="E93" s="3">
        <v>15.822398723512499</v>
      </c>
      <c r="F93" s="3">
        <v>11.7468553027454</v>
      </c>
      <c r="G93" s="3">
        <v>9.1170986621527899</v>
      </c>
      <c r="H93" s="3">
        <v>13.983967977140001</v>
      </c>
      <c r="I93" s="3">
        <v>12.4618597897413</v>
      </c>
      <c r="J93" s="3">
        <v>13.750065480413101</v>
      </c>
      <c r="K93" s="3">
        <v>9.8978932028842106</v>
      </c>
      <c r="L93" s="3">
        <v>7.5546843591401203</v>
      </c>
      <c r="M93" s="3">
        <v>9.2773892717849407</v>
      </c>
      <c r="N93" s="3">
        <v>10.1747293776915</v>
      </c>
      <c r="O93" s="3">
        <v>24.444745296433499</v>
      </c>
      <c r="P93" s="3">
        <v>12.8080766483546</v>
      </c>
      <c r="Q93" s="3">
        <v>13.3904283623336</v>
      </c>
      <c r="R93" s="3">
        <v>17.2100311069849</v>
      </c>
      <c r="S93" s="3">
        <v>5.2806480541754803</v>
      </c>
      <c r="T93" s="3">
        <v>14.5077510420157</v>
      </c>
      <c r="U93" s="3">
        <v>15.911963577599099</v>
      </c>
      <c r="V93" s="3">
        <v>18.755029338236898</v>
      </c>
    </row>
    <row r="94" spans="1:22" x14ac:dyDescent="0.35">
      <c r="A94" s="2">
        <v>44503</v>
      </c>
      <c r="B94" s="3">
        <v>15.2255920216618</v>
      </c>
      <c r="C94" s="3">
        <v>9.5142813140421794</v>
      </c>
      <c r="D94" s="3">
        <v>15.1469892647377</v>
      </c>
      <c r="E94" s="3">
        <v>16.236817476272901</v>
      </c>
      <c r="F94" s="3">
        <v>12.161634197333001</v>
      </c>
      <c r="G94" s="3">
        <v>9.7971338904694392</v>
      </c>
      <c r="H94" s="3">
        <v>14.3266215448279</v>
      </c>
      <c r="I94" s="3">
        <v>12.935175369728</v>
      </c>
      <c r="J94" s="3">
        <v>13.8839674489081</v>
      </c>
      <c r="K94" s="3">
        <v>10.026773524759999</v>
      </c>
      <c r="L94" s="3">
        <v>7.4920322917570497</v>
      </c>
      <c r="M94" s="3">
        <v>9.6946167519194208</v>
      </c>
      <c r="N94" s="3">
        <v>11.0228352507281</v>
      </c>
      <c r="O94" s="3">
        <v>23.977400960678299</v>
      </c>
      <c r="P94" s="3">
        <v>16.0384447173216</v>
      </c>
      <c r="Q94" s="3">
        <v>13.702033170333699</v>
      </c>
      <c r="R94" s="3">
        <v>17.261730049323099</v>
      </c>
      <c r="S94" s="3">
        <v>5.6040236413068198</v>
      </c>
      <c r="T94" s="3">
        <v>15.137120927796699</v>
      </c>
      <c r="U94" s="3">
        <v>16.1001612846642</v>
      </c>
      <c r="V94" s="3">
        <v>18.6952531888065</v>
      </c>
    </row>
    <row r="95" spans="1:22" x14ac:dyDescent="0.35">
      <c r="A95" s="2">
        <v>44533</v>
      </c>
      <c r="B95" s="3">
        <v>15.5179310499705</v>
      </c>
      <c r="C95" s="3">
        <v>9.5521255828953393</v>
      </c>
      <c r="D95" s="3">
        <v>14.7273977048101</v>
      </c>
      <c r="E95" s="3">
        <v>15.249212885036201</v>
      </c>
      <c r="F95" s="3">
        <v>10.2370740781904</v>
      </c>
      <c r="G95" s="3">
        <v>9.7198785368316791</v>
      </c>
      <c r="H95" s="3">
        <v>14.819624783746599</v>
      </c>
      <c r="I95" s="3">
        <v>13.340427958014001</v>
      </c>
      <c r="J95" s="3">
        <v>13.1257247819747</v>
      </c>
      <c r="K95" s="3">
        <v>10.1577097729269</v>
      </c>
      <c r="L95" s="3">
        <v>7.70259565513879</v>
      </c>
      <c r="M95" s="3">
        <v>9.6529054505202492</v>
      </c>
      <c r="N95" s="3">
        <v>9.7346039195880305</v>
      </c>
      <c r="O95" s="3">
        <v>23.2615565654386</v>
      </c>
      <c r="P95" s="3">
        <v>12.5243149063625</v>
      </c>
      <c r="Q95" s="3">
        <v>13.0613314822613</v>
      </c>
      <c r="R95" s="3">
        <v>16.700228439374001</v>
      </c>
      <c r="S95" s="3">
        <v>6.3700655681421798</v>
      </c>
      <c r="T95" s="3">
        <v>15.8256683257224</v>
      </c>
      <c r="U95" s="3">
        <v>16.360323812277201</v>
      </c>
      <c r="V95" s="3">
        <v>17.266958309845599</v>
      </c>
    </row>
    <row r="96" spans="1:22" x14ac:dyDescent="0.35">
      <c r="A96" s="2">
        <v>44565</v>
      </c>
      <c r="B96" s="3">
        <v>15.176782458471401</v>
      </c>
      <c r="C96" s="3">
        <v>9.2265580938796106</v>
      </c>
      <c r="D96" s="3">
        <v>14.716047342425099</v>
      </c>
      <c r="E96" s="3">
        <v>14.9011920278336</v>
      </c>
      <c r="F96" s="3">
        <v>10.8713513386065</v>
      </c>
      <c r="G96" s="3">
        <v>10.1714432587048</v>
      </c>
      <c r="H96" s="3">
        <v>15.5337537519096</v>
      </c>
      <c r="I96" s="3">
        <v>13.948265924654599</v>
      </c>
      <c r="J96" s="3">
        <v>13.8613088592581</v>
      </c>
      <c r="K96" s="3">
        <v>10.158378843167901</v>
      </c>
      <c r="L96" s="3">
        <v>7.6556827338810702</v>
      </c>
      <c r="M96" s="3">
        <v>9.9136679584418506</v>
      </c>
      <c r="N96" s="3">
        <v>9.6625245869552998</v>
      </c>
      <c r="O96" s="3">
        <v>23.588785102930402</v>
      </c>
      <c r="P96" s="3">
        <v>12.2146588713277</v>
      </c>
      <c r="Q96" s="3">
        <v>13.088854526181001</v>
      </c>
      <c r="R96" s="3">
        <v>17.397590832866701</v>
      </c>
      <c r="S96" s="3">
        <v>5.9852208248138599</v>
      </c>
      <c r="T96" s="3">
        <v>15.4817329338323</v>
      </c>
      <c r="U96" s="3">
        <v>16.707871141221201</v>
      </c>
      <c r="V96" s="3">
        <v>17.8643688670528</v>
      </c>
    </row>
    <row r="97" spans="1:22" x14ac:dyDescent="0.35">
      <c r="A97" s="2">
        <v>44596</v>
      </c>
      <c r="B97" s="3">
        <v>13.7273718126461</v>
      </c>
      <c r="C97" s="3">
        <v>9.5415453705615807</v>
      </c>
      <c r="D97" s="3">
        <v>14.876853177559299</v>
      </c>
      <c r="E97" s="3">
        <v>15.506712079358101</v>
      </c>
      <c r="F97" s="3">
        <v>9.9144278075776704</v>
      </c>
      <c r="G97" s="3">
        <v>10.546188071412599</v>
      </c>
      <c r="H97" s="3">
        <v>15.1561089932349</v>
      </c>
      <c r="I97" s="3">
        <v>12.5768885942864</v>
      </c>
      <c r="J97" s="3">
        <v>13.384064322890699</v>
      </c>
      <c r="K97" s="3">
        <v>9.30049009026947</v>
      </c>
      <c r="L97" s="3">
        <v>8.0702943386674697</v>
      </c>
      <c r="M97" s="3">
        <v>9.7648691618629009</v>
      </c>
      <c r="N97" s="3">
        <v>10.0501368266708</v>
      </c>
      <c r="O97" s="3">
        <v>22.661207078721201</v>
      </c>
      <c r="P97" s="3">
        <v>12.268901038987501</v>
      </c>
      <c r="Q97" s="3">
        <v>13.5659516132372</v>
      </c>
      <c r="R97" s="3">
        <v>17.169675301719298</v>
      </c>
      <c r="S97" s="3">
        <v>4.6229437384054801</v>
      </c>
      <c r="T97" s="3">
        <v>15.7764928602393</v>
      </c>
      <c r="U97" s="3">
        <v>15.0417981494535</v>
      </c>
      <c r="V97" s="3">
        <v>18.815551122121899</v>
      </c>
    </row>
    <row r="98" spans="1:22" x14ac:dyDescent="0.35">
      <c r="A98" s="2">
        <v>44624</v>
      </c>
      <c r="B98" s="3">
        <v>13.603262127780701</v>
      </c>
      <c r="C98" s="3">
        <v>9.6474871740635209</v>
      </c>
      <c r="D98" s="3">
        <v>15.0753706083451</v>
      </c>
      <c r="E98" s="3">
        <v>15.0354454610452</v>
      </c>
      <c r="F98" s="3">
        <v>8.9575067473308394</v>
      </c>
      <c r="G98" s="3">
        <v>11.564662739115001</v>
      </c>
      <c r="H98" s="3">
        <v>15.4033636725602</v>
      </c>
      <c r="I98" s="3">
        <v>12.5267784982686</v>
      </c>
      <c r="J98" s="3">
        <v>13.5290480896501</v>
      </c>
      <c r="K98" s="3">
        <v>9.3794621225714998</v>
      </c>
      <c r="L98" s="3">
        <v>8.2232013992225195</v>
      </c>
      <c r="M98" s="3">
        <v>10.0869859944035</v>
      </c>
      <c r="N98" s="3">
        <v>8.9739110683710201</v>
      </c>
      <c r="O98" s="3">
        <v>20.7593849024849</v>
      </c>
      <c r="P98" s="3">
        <v>10.8912519755887</v>
      </c>
      <c r="Q98" s="3">
        <v>14.225406911906999</v>
      </c>
      <c r="R98" s="3">
        <v>17.043713170492101</v>
      </c>
      <c r="S98" s="3">
        <v>4.4988640556205501</v>
      </c>
      <c r="T98" s="3">
        <v>16.510533128963399</v>
      </c>
      <c r="U98" s="3">
        <v>15.0125697713968</v>
      </c>
      <c r="V98" s="3">
        <v>19.423302542686599</v>
      </c>
    </row>
    <row r="99" spans="1:22" x14ac:dyDescent="0.35">
      <c r="A99" s="2">
        <v>44655</v>
      </c>
      <c r="B99" s="3">
        <v>12.987436891014999</v>
      </c>
      <c r="C99" s="3">
        <v>9.6674408602934694</v>
      </c>
      <c r="D99" s="3">
        <v>14.959414789119901</v>
      </c>
      <c r="E99" s="3">
        <v>14.729093312987301</v>
      </c>
      <c r="F99" s="3">
        <v>9.5410364682653306</v>
      </c>
      <c r="G99" s="3">
        <v>11.051008825029401</v>
      </c>
      <c r="H99" s="3">
        <v>15.330522875830001</v>
      </c>
      <c r="I99" s="3">
        <v>12.2673926623655</v>
      </c>
      <c r="J99" s="3">
        <v>14.281764520509199</v>
      </c>
      <c r="K99" s="3">
        <v>9.4126394332385992</v>
      </c>
      <c r="L99" s="3">
        <v>7.8212068170756401</v>
      </c>
      <c r="M99" s="3">
        <v>9.9382715608410006</v>
      </c>
      <c r="N99" s="3">
        <v>10.0952297398055</v>
      </c>
      <c r="O99" s="3">
        <v>22.607548503823399</v>
      </c>
      <c r="P99" s="3">
        <v>11.23847967665</v>
      </c>
      <c r="Q99" s="3">
        <v>13.979614835333299</v>
      </c>
      <c r="R99" s="3">
        <v>17.3592906497203</v>
      </c>
      <c r="S99" s="3">
        <v>5.0614718945598502</v>
      </c>
      <c r="T99" s="3">
        <v>16.663453599435002</v>
      </c>
      <c r="U99" s="3">
        <v>14.705443455149201</v>
      </c>
      <c r="V99" s="3">
        <v>19.031965973795899</v>
      </c>
    </row>
    <row r="100" spans="1:22" x14ac:dyDescent="0.35">
      <c r="A100" s="2">
        <v>44685</v>
      </c>
      <c r="B100" s="3">
        <v>12.4847956783951</v>
      </c>
      <c r="C100" s="3">
        <v>8.8780910780068094</v>
      </c>
      <c r="D100" s="3">
        <v>14.6639848582523</v>
      </c>
      <c r="E100" s="3">
        <v>13.6666794541126</v>
      </c>
      <c r="F100" s="3">
        <v>7.4848696478641799</v>
      </c>
      <c r="G100" s="3">
        <v>9.0862088992078807</v>
      </c>
      <c r="H100" s="3">
        <v>15.0391307368798</v>
      </c>
      <c r="I100" s="3">
        <v>11.5871341566632</v>
      </c>
      <c r="J100" s="3">
        <v>12.8308196620807</v>
      </c>
      <c r="K100" s="3">
        <v>8.8698391989211203</v>
      </c>
      <c r="L100" s="3">
        <v>6.6295690079069001</v>
      </c>
      <c r="M100" s="3">
        <v>9.0902526474141396</v>
      </c>
      <c r="N100" s="3">
        <v>9.6747772699380992</v>
      </c>
      <c r="O100" s="3">
        <v>20.991407323462202</v>
      </c>
      <c r="P100" s="3">
        <v>10.7364587949611</v>
      </c>
      <c r="Q100" s="3">
        <v>13.7135505952914</v>
      </c>
      <c r="R100" s="3">
        <v>16.390818669314601</v>
      </c>
      <c r="S100" s="3">
        <v>4.7084964291675702</v>
      </c>
      <c r="T100" s="3">
        <v>16.1702935371815</v>
      </c>
      <c r="U100" s="3">
        <v>13.152770110575799</v>
      </c>
      <c r="V100" s="3">
        <v>19.2539513206418</v>
      </c>
    </row>
    <row r="101" spans="1:22" x14ac:dyDescent="0.35">
      <c r="A101" s="2">
        <v>44715</v>
      </c>
      <c r="B101" s="3">
        <v>12.7330320328358</v>
      </c>
      <c r="C101" s="3">
        <v>7.2837448849612603</v>
      </c>
      <c r="D101" s="3">
        <v>13.6904702700869</v>
      </c>
      <c r="E101" s="3">
        <v>13.6549832236333</v>
      </c>
      <c r="F101" s="3">
        <v>6.8382946693209004</v>
      </c>
      <c r="G101" s="3">
        <v>8.3967793255054399</v>
      </c>
      <c r="H101" s="3">
        <v>14.3628513440706</v>
      </c>
      <c r="I101" s="3">
        <v>11.5626943190475</v>
      </c>
      <c r="J101" s="3">
        <v>12.415931996217401</v>
      </c>
      <c r="K101" s="3">
        <v>8.9368978152257501</v>
      </c>
      <c r="L101" s="3">
        <v>6.7055485701345203</v>
      </c>
      <c r="M101" s="3">
        <v>9.0000963517906296</v>
      </c>
      <c r="N101" s="3">
        <v>9.5538675814672693</v>
      </c>
      <c r="O101" s="3">
        <v>20.9372095359446</v>
      </c>
      <c r="P101" s="3">
        <v>11.167880756695601</v>
      </c>
      <c r="Q101" s="3">
        <v>12.4769945811365</v>
      </c>
      <c r="R101" s="3">
        <v>16.193868959957999</v>
      </c>
      <c r="S101" s="3">
        <v>5.1660813052093904</v>
      </c>
      <c r="T101" s="3">
        <v>14.5115283192813</v>
      </c>
      <c r="U101" s="3">
        <v>12.4818004052596</v>
      </c>
      <c r="V101" s="3">
        <v>16.952055283169599</v>
      </c>
    </row>
    <row r="102" spans="1:22" x14ac:dyDescent="0.35">
      <c r="A102" s="2">
        <v>44743</v>
      </c>
      <c r="B102" s="3">
        <v>13.803780955695901</v>
      </c>
      <c r="C102" s="3">
        <v>6.3132750094042498</v>
      </c>
      <c r="D102" s="3">
        <v>12.288038345171801</v>
      </c>
      <c r="E102" s="3">
        <v>12.4965659497527</v>
      </c>
      <c r="F102" s="3">
        <v>6.5871822669250504</v>
      </c>
      <c r="G102" s="3">
        <v>6.9795208294860096</v>
      </c>
      <c r="H102" s="3">
        <v>13.519100096139701</v>
      </c>
      <c r="I102" s="3">
        <v>10.1088662647697</v>
      </c>
      <c r="J102" s="3">
        <v>11.577949307044101</v>
      </c>
      <c r="K102" s="3">
        <v>8.01666559151165</v>
      </c>
      <c r="L102" s="3">
        <v>5.8711295309234197</v>
      </c>
      <c r="M102" s="3">
        <v>8.4915532785186407</v>
      </c>
      <c r="N102" s="3">
        <v>7.8461034153443601</v>
      </c>
      <c r="O102" s="3">
        <v>19.892884408074998</v>
      </c>
      <c r="P102" s="3">
        <v>11.9975169338251</v>
      </c>
      <c r="Q102" s="3">
        <v>12.1979786138966</v>
      </c>
      <c r="R102" s="3">
        <v>15.0737039188932</v>
      </c>
      <c r="S102" s="3">
        <v>4.5187640367085997</v>
      </c>
      <c r="T102" s="3">
        <v>12.857020697049601</v>
      </c>
      <c r="U102" s="3">
        <v>10.8035876353271</v>
      </c>
      <c r="V102" s="3">
        <v>15.3656168222653</v>
      </c>
    </row>
    <row r="103" spans="1:22" x14ac:dyDescent="0.35">
      <c r="A103" s="2">
        <v>44777</v>
      </c>
      <c r="B103" s="3">
        <v>12.555413657554499</v>
      </c>
      <c r="C103" s="3">
        <v>6.4232832121228602</v>
      </c>
      <c r="D103" s="3">
        <v>12.831355507942</v>
      </c>
      <c r="E103" s="3">
        <v>12.990089398247701</v>
      </c>
      <c r="F103" s="3">
        <v>6.1494465254000001</v>
      </c>
      <c r="G103" s="3">
        <v>7.2405474577457598</v>
      </c>
      <c r="H103" s="3">
        <v>13.976363438039501</v>
      </c>
      <c r="I103" s="3">
        <v>10.5458385171366</v>
      </c>
      <c r="J103" s="3">
        <v>11.5856516794338</v>
      </c>
      <c r="K103" s="3">
        <v>8.7325271123679205</v>
      </c>
      <c r="L103" s="3">
        <v>6.3490235559214803</v>
      </c>
      <c r="M103" s="3">
        <v>8.6996837253100292</v>
      </c>
      <c r="N103" s="3">
        <v>8.2049878674986001</v>
      </c>
      <c r="O103" s="3">
        <v>22.199419022605301</v>
      </c>
      <c r="P103" s="3">
        <v>10.861008168702201</v>
      </c>
      <c r="Q103" s="3">
        <v>13.5067048602452</v>
      </c>
      <c r="R103" s="3">
        <v>15.268385618748701</v>
      </c>
      <c r="S103" s="3">
        <v>4.5203159217103401</v>
      </c>
      <c r="T103" s="3">
        <v>13.3599590918903</v>
      </c>
      <c r="U103" s="3">
        <v>11.3586382278825</v>
      </c>
      <c r="V103" s="3">
        <v>16.252719536334101</v>
      </c>
    </row>
    <row r="104" spans="1:22" x14ac:dyDescent="0.35">
      <c r="A104" s="2">
        <v>44806</v>
      </c>
      <c r="B104" s="3">
        <v>12.392453424453301</v>
      </c>
      <c r="C104" s="3">
        <v>6.9016152616092104</v>
      </c>
      <c r="D104" s="3">
        <v>12.925741877556501</v>
      </c>
      <c r="E104" s="3">
        <v>13.0411350981614</v>
      </c>
      <c r="F104" s="3">
        <v>5.9876459989451902</v>
      </c>
      <c r="G104" s="3">
        <v>7.5613335233072698</v>
      </c>
      <c r="H104" s="3">
        <v>13.765486429541401</v>
      </c>
      <c r="I104" s="3">
        <v>10.7721630049745</v>
      </c>
      <c r="J104" s="3">
        <v>11.1172619441789</v>
      </c>
      <c r="K104" s="3">
        <v>8.5227396450117698</v>
      </c>
      <c r="L104" s="3">
        <v>6.3850852952841803</v>
      </c>
      <c r="M104" s="3">
        <v>8.4395986418919602</v>
      </c>
      <c r="N104" s="3">
        <v>7.1211222877999596</v>
      </c>
      <c r="O104" s="3">
        <v>22.426233097809899</v>
      </c>
      <c r="P104" s="3">
        <v>10.865298838927499</v>
      </c>
      <c r="Q104" s="3">
        <v>12.968090029521001</v>
      </c>
      <c r="R104" s="3">
        <v>15.3150604055113</v>
      </c>
      <c r="S104" s="3">
        <v>4.7425105097549496</v>
      </c>
      <c r="T104" s="3">
        <v>13.026620925282</v>
      </c>
      <c r="U104" s="3">
        <v>11.1821912633584</v>
      </c>
      <c r="V104" s="3">
        <v>15.833097940208001</v>
      </c>
    </row>
    <row r="105" spans="1:22" x14ac:dyDescent="0.35">
      <c r="A105" s="2">
        <v>44838</v>
      </c>
      <c r="B105" s="3">
        <v>11.626165422173999</v>
      </c>
      <c r="C105" s="3">
        <v>7.3830896696520396</v>
      </c>
      <c r="D105" s="3">
        <v>12.804989046651</v>
      </c>
      <c r="E105" s="3">
        <v>11.5775851366158</v>
      </c>
      <c r="F105" s="3">
        <v>5.7467384116132498</v>
      </c>
      <c r="G105" s="3">
        <v>8.3739341186919098</v>
      </c>
      <c r="H105" s="3">
        <v>12.918715743994101</v>
      </c>
      <c r="I105" s="3">
        <v>10.239767072667799</v>
      </c>
      <c r="J105" s="3">
        <v>11.364768428888199</v>
      </c>
      <c r="K105" s="3">
        <v>8.4504752449730507</v>
      </c>
      <c r="L105" s="3">
        <v>6.9607272253968704</v>
      </c>
      <c r="M105" s="3">
        <v>8.0921268433845501</v>
      </c>
      <c r="N105" s="3">
        <v>6.7377191092250701</v>
      </c>
      <c r="O105" s="3">
        <v>21.664283891331799</v>
      </c>
      <c r="P105" s="3">
        <v>9.7301981446427597</v>
      </c>
      <c r="Q105" s="3">
        <v>12.9551276056372</v>
      </c>
      <c r="R105" s="3">
        <v>14.9488996842819</v>
      </c>
      <c r="S105" s="3">
        <v>4.82612179570775</v>
      </c>
      <c r="T105" s="3">
        <v>12.726015817304701</v>
      </c>
      <c r="U105" s="3">
        <v>10.5784264194849</v>
      </c>
      <c r="V105" s="3">
        <v>15.3028788273171</v>
      </c>
    </row>
    <row r="106" spans="1:22" x14ac:dyDescent="0.35">
      <c r="A106" s="2">
        <v>44869</v>
      </c>
      <c r="B106" s="3">
        <v>11.795427508327601</v>
      </c>
      <c r="C106" s="3">
        <v>7.5131635803580101</v>
      </c>
      <c r="D106" s="3">
        <v>12.727977712653299</v>
      </c>
      <c r="E106" s="3">
        <v>11.804610301981301</v>
      </c>
      <c r="F106" s="3">
        <v>6.9648113123367503</v>
      </c>
      <c r="G106" s="3">
        <v>9.4213866598084195</v>
      </c>
      <c r="H106" s="3">
        <v>13.0348057304188</v>
      </c>
      <c r="I106" s="3">
        <v>10.8056217774564</v>
      </c>
      <c r="J106" s="3">
        <v>12.509969456028699</v>
      </c>
      <c r="K106" s="3">
        <v>9.9111680490054006</v>
      </c>
      <c r="L106" s="3">
        <v>7.1984955788974796</v>
      </c>
      <c r="M106" s="3">
        <v>8.6342392919912108</v>
      </c>
      <c r="N106" s="3">
        <v>6.8676166283266697</v>
      </c>
      <c r="O106" s="3">
        <v>22.470422058930801</v>
      </c>
      <c r="P106" s="3">
        <v>9.2834372373105101</v>
      </c>
      <c r="Q106" s="3">
        <v>12.545558328471801</v>
      </c>
      <c r="R106" s="3">
        <v>15.4241103464842</v>
      </c>
      <c r="S106" s="3">
        <v>5.4141999535032799</v>
      </c>
      <c r="T106" s="3">
        <v>12.505862248669899</v>
      </c>
      <c r="U106" s="3">
        <v>9.9256077690039</v>
      </c>
      <c r="V106" s="3">
        <v>15.0639824735453</v>
      </c>
    </row>
    <row r="107" spans="1:22" x14ac:dyDescent="0.35">
      <c r="A107" s="2">
        <v>44897</v>
      </c>
      <c r="B107" s="3">
        <v>12.022714596173399</v>
      </c>
      <c r="C107" s="3">
        <v>7.2934057094940101</v>
      </c>
      <c r="D107" s="3">
        <v>12.7832483169064</v>
      </c>
      <c r="E107" s="3">
        <v>12.4191156662776</v>
      </c>
      <c r="F107" s="3">
        <v>7.3957845302945397</v>
      </c>
      <c r="G107" s="3">
        <v>9.6812200858733206</v>
      </c>
      <c r="H107" s="3">
        <v>13.514792612730201</v>
      </c>
      <c r="I107" s="3">
        <v>13.012161636202</v>
      </c>
      <c r="J107" s="3">
        <v>12.505581825310299</v>
      </c>
      <c r="K107" s="3">
        <v>10.8088873146319</v>
      </c>
      <c r="L107" s="3">
        <v>6.8585558066352696</v>
      </c>
      <c r="M107" s="3">
        <v>9.00683512751427</v>
      </c>
      <c r="N107" s="3">
        <v>6.80934592185484</v>
      </c>
      <c r="O107" s="3">
        <v>23.090798611403201</v>
      </c>
      <c r="P107" s="3">
        <v>10.536069339948799</v>
      </c>
      <c r="Q107" s="3">
        <v>12.5568375148202</v>
      </c>
      <c r="R107" s="3">
        <v>15.764297952964</v>
      </c>
      <c r="S107" s="3">
        <v>5.7505946855189203</v>
      </c>
      <c r="T107" s="3">
        <v>12.434171417124</v>
      </c>
      <c r="U107" s="3">
        <v>12.2361384459451</v>
      </c>
      <c r="V107" s="3">
        <v>14.611166232535499</v>
      </c>
    </row>
    <row r="108" spans="1:22" x14ac:dyDescent="0.35">
      <c r="A108" s="2">
        <v>44930</v>
      </c>
      <c r="B108" s="3">
        <v>11.807171177506</v>
      </c>
      <c r="C108" s="3">
        <v>7.0799907841713301</v>
      </c>
      <c r="D108" s="3">
        <v>12.065725577887701</v>
      </c>
      <c r="E108" s="3">
        <v>12.851186249725</v>
      </c>
      <c r="F108" s="3">
        <v>7.8477795942820299</v>
      </c>
      <c r="G108" s="3">
        <v>9.4948833093932503</v>
      </c>
      <c r="H108" s="3">
        <v>13.317730587933299</v>
      </c>
      <c r="I108" s="3">
        <v>12.616926319795001</v>
      </c>
      <c r="J108" s="3">
        <v>12.141506895005101</v>
      </c>
      <c r="K108" s="3">
        <v>10.5223941381436</v>
      </c>
      <c r="L108" s="3">
        <v>6.7294956645783497</v>
      </c>
      <c r="M108" s="3">
        <v>9.0577296774154892</v>
      </c>
      <c r="N108" s="3">
        <v>6.7358379311356096</v>
      </c>
      <c r="O108" s="3">
        <v>21.8513820738312</v>
      </c>
      <c r="P108" s="3">
        <v>11.3152373184734</v>
      </c>
      <c r="Q108" s="3">
        <v>11.218674970171699</v>
      </c>
      <c r="R108" s="3">
        <v>16.015506715961202</v>
      </c>
      <c r="S108" s="3">
        <v>6.4533080817679904</v>
      </c>
      <c r="T108" s="3">
        <v>12.119876057672</v>
      </c>
      <c r="U108" s="3">
        <v>10.974989645809099</v>
      </c>
      <c r="V108" s="3">
        <v>14.495318320008201</v>
      </c>
    </row>
    <row r="109" spans="1:22" x14ac:dyDescent="0.35">
      <c r="A109" s="2">
        <v>44960</v>
      </c>
      <c r="B109" s="3">
        <v>12.532845268315301</v>
      </c>
      <c r="C109" s="3">
        <v>7.85560850430661</v>
      </c>
      <c r="D109" s="3">
        <v>12.3075024322624</v>
      </c>
      <c r="E109" s="3">
        <v>13.1549262157973</v>
      </c>
      <c r="F109" s="3">
        <v>7.9218466188747696</v>
      </c>
      <c r="G109" s="3">
        <v>10.142932043001201</v>
      </c>
      <c r="H109" s="3">
        <v>13.5194730239414</v>
      </c>
      <c r="I109" s="3">
        <v>14.422445167713899</v>
      </c>
      <c r="J109" s="3">
        <v>12.896624413864901</v>
      </c>
      <c r="K109" s="3">
        <v>12.7138806511631</v>
      </c>
      <c r="L109" s="3">
        <v>6.9925168768574402</v>
      </c>
      <c r="M109" s="3">
        <v>9.4442412806809806</v>
      </c>
      <c r="N109" s="3">
        <v>7.4812947606250697</v>
      </c>
      <c r="O109" s="3">
        <v>20.964316797315199</v>
      </c>
      <c r="P109" s="3">
        <v>11.661565803349699</v>
      </c>
      <c r="Q109" s="3">
        <v>11.3162756313515</v>
      </c>
      <c r="R109" s="3">
        <v>16.099592115565599</v>
      </c>
      <c r="S109" s="3">
        <v>5.2528234200457398</v>
      </c>
      <c r="T109" s="3">
        <v>12.1073635039878</v>
      </c>
      <c r="U109" s="3">
        <v>11.3387830210859</v>
      </c>
      <c r="V109" s="3">
        <v>14.784806222201</v>
      </c>
    </row>
    <row r="110" spans="1:22" x14ac:dyDescent="0.35">
      <c r="A110" s="2">
        <v>44988</v>
      </c>
      <c r="B110" s="3">
        <v>12.3951754632823</v>
      </c>
      <c r="C110" s="3">
        <v>7.9295750510874798</v>
      </c>
      <c r="D110" s="3">
        <v>11.8432514648297</v>
      </c>
      <c r="E110" s="3">
        <v>11.989494545388199</v>
      </c>
      <c r="F110" s="3">
        <v>7.4096393238842602</v>
      </c>
      <c r="G110" s="3">
        <v>9.7225280233625</v>
      </c>
      <c r="H110" s="3">
        <v>13.245999917155601</v>
      </c>
      <c r="I110" s="3">
        <v>14.5100104567214</v>
      </c>
      <c r="J110" s="3">
        <v>12.949630526165601</v>
      </c>
      <c r="K110" s="3">
        <v>12.9056791135535</v>
      </c>
      <c r="L110" s="3">
        <v>6.7506193807358201</v>
      </c>
      <c r="M110" s="3">
        <v>8.96274187278126</v>
      </c>
      <c r="N110" s="3">
        <v>7.8632946509680304</v>
      </c>
      <c r="O110" s="3">
        <v>20.373776025302998</v>
      </c>
      <c r="P110" s="3">
        <v>11.1944339037359</v>
      </c>
      <c r="Q110" s="3">
        <v>11.1303906853662</v>
      </c>
      <c r="R110" s="3">
        <v>15.7735293691786</v>
      </c>
      <c r="S110" s="3">
        <v>5.2677006577208996</v>
      </c>
      <c r="T110" s="3">
        <v>11.322545769624501</v>
      </c>
      <c r="U110" s="3">
        <v>11.920685010874999</v>
      </c>
      <c r="V110" s="3">
        <v>14.529048670683</v>
      </c>
    </row>
    <row r="111" spans="1:22" x14ac:dyDescent="0.35">
      <c r="A111" s="2">
        <v>45020</v>
      </c>
      <c r="B111" s="3">
        <v>12.4020638994538</v>
      </c>
      <c r="C111" s="3">
        <v>7.2540874578816297</v>
      </c>
      <c r="D111" s="3">
        <v>11.967821537344999</v>
      </c>
      <c r="E111" s="3">
        <v>11.739914918281601</v>
      </c>
      <c r="F111" s="3">
        <v>6.8946969232471904</v>
      </c>
      <c r="G111" s="3">
        <v>9.8057824453049101</v>
      </c>
      <c r="H111" s="3">
        <v>13.112793976489</v>
      </c>
      <c r="I111" s="3">
        <v>15.060149394203</v>
      </c>
      <c r="J111" s="3">
        <v>12.678039479915901</v>
      </c>
      <c r="K111" s="3">
        <v>13.5826424423713</v>
      </c>
      <c r="L111" s="3">
        <v>6.5520006043216696</v>
      </c>
      <c r="M111" s="3">
        <v>9.1820190225917599</v>
      </c>
      <c r="N111" s="3">
        <v>7.1335358373732998</v>
      </c>
      <c r="O111" s="3">
        <v>19.969205168286202</v>
      </c>
      <c r="P111" s="3">
        <v>10.9889257620324</v>
      </c>
      <c r="Q111" s="3">
        <v>11.151437955138</v>
      </c>
      <c r="R111" s="3">
        <v>15.678613786481799</v>
      </c>
      <c r="S111" s="3">
        <v>5.0433430703561699</v>
      </c>
      <c r="T111" s="3">
        <v>10.9503719079511</v>
      </c>
      <c r="U111" s="3">
        <v>13.9692302409064</v>
      </c>
      <c r="V111" s="3">
        <v>15.851208242214399</v>
      </c>
    </row>
    <row r="112" spans="1:22" x14ac:dyDescent="0.35">
      <c r="A112" s="2">
        <v>45050</v>
      </c>
      <c r="B112" s="3">
        <v>12.296155020655799</v>
      </c>
      <c r="C112" s="3">
        <v>7.7099379273852202</v>
      </c>
      <c r="D112" s="3">
        <v>12.113124061339899</v>
      </c>
      <c r="E112" s="3">
        <v>11.6545537432568</v>
      </c>
      <c r="F112" s="3">
        <v>7.0303018575267204</v>
      </c>
      <c r="G112" s="3">
        <v>9.5252730919541193</v>
      </c>
      <c r="H112" s="3">
        <v>13.085530049514</v>
      </c>
      <c r="I112" s="3">
        <v>15.146427455698101</v>
      </c>
      <c r="J112" s="3">
        <v>12.3361670723208</v>
      </c>
      <c r="K112" s="3">
        <v>13.247892849597701</v>
      </c>
      <c r="L112" s="3">
        <v>6.6037798993486101</v>
      </c>
      <c r="M112" s="3">
        <v>9.0817125689421694</v>
      </c>
      <c r="N112" s="3">
        <v>6.9530184423193404</v>
      </c>
      <c r="O112" s="3">
        <v>20.856867930517101</v>
      </c>
      <c r="P112" s="3">
        <v>10.5041811424977</v>
      </c>
      <c r="Q112" s="3">
        <v>11.315069305325601</v>
      </c>
      <c r="R112" s="3">
        <v>15.265848446292299</v>
      </c>
      <c r="S112" s="3">
        <v>4.2837094254280697</v>
      </c>
      <c r="T112" s="3">
        <v>11.3827965383296</v>
      </c>
      <c r="U112" s="3">
        <v>13.518975801758</v>
      </c>
      <c r="V112" s="3">
        <v>16.234246826077001</v>
      </c>
    </row>
    <row r="113" spans="1:37" x14ac:dyDescent="0.35">
      <c r="A113" s="2">
        <v>45079</v>
      </c>
      <c r="B113" s="3">
        <v>11.9509459401564</v>
      </c>
      <c r="C113" s="3">
        <v>8.2122602640342102</v>
      </c>
      <c r="D113" s="3">
        <v>13.328434733284301</v>
      </c>
      <c r="E113" s="3">
        <v>10.2776667708955</v>
      </c>
      <c r="F113" s="3">
        <v>7.6573187948791901</v>
      </c>
      <c r="G113" s="3">
        <v>9.6022941687348098</v>
      </c>
      <c r="H113" s="3">
        <v>13.214069600197099</v>
      </c>
      <c r="I113" s="3">
        <v>16.2756187418086</v>
      </c>
      <c r="J113" s="3">
        <v>11.724488867606199</v>
      </c>
      <c r="K113" s="3">
        <v>12.9582206292317</v>
      </c>
      <c r="L113" s="3">
        <v>7.3393920158561698</v>
      </c>
      <c r="M113" s="3">
        <v>8.7910868373297202</v>
      </c>
      <c r="N113" s="3">
        <v>7.4991430896143196</v>
      </c>
      <c r="O113" s="3">
        <v>21.359403617463201</v>
      </c>
      <c r="P113" s="3">
        <v>10.1633638936749</v>
      </c>
      <c r="Q113" s="3">
        <v>10.9938666049164</v>
      </c>
      <c r="R113" s="3">
        <v>15.5434784362267</v>
      </c>
      <c r="S113" s="3">
        <v>4.7109730016881697</v>
      </c>
      <c r="T113" s="3">
        <v>11.030921737040099</v>
      </c>
      <c r="U113" s="3">
        <v>14.1768923816157</v>
      </c>
      <c r="V113" s="3">
        <v>16.4130403532135</v>
      </c>
    </row>
    <row r="114" spans="1:37" x14ac:dyDescent="0.35">
      <c r="A114" s="2">
        <v>45110</v>
      </c>
      <c r="B114" s="3">
        <v>11.9016876183669</v>
      </c>
      <c r="C114" s="3">
        <v>8.6511165730829003</v>
      </c>
      <c r="D114" s="3">
        <v>13.359709991075</v>
      </c>
      <c r="E114" s="3">
        <v>10.188753695947099</v>
      </c>
      <c r="F114" s="3">
        <v>8.2128964308958405</v>
      </c>
      <c r="G114" s="3">
        <v>9.9801313185094394</v>
      </c>
      <c r="H114" s="3">
        <v>13.3893041706967</v>
      </c>
      <c r="I114" s="3">
        <v>16.2967913213988</v>
      </c>
      <c r="J114" s="3">
        <v>11.945983932580001</v>
      </c>
      <c r="K114" s="3">
        <v>12.227744293027399</v>
      </c>
      <c r="L114" s="3">
        <v>8.0080986805193799</v>
      </c>
      <c r="M114" s="3">
        <v>9.4608102541835102</v>
      </c>
      <c r="N114" s="3">
        <v>7.98727198059101</v>
      </c>
      <c r="O114" s="3">
        <v>21.944982390055401</v>
      </c>
      <c r="P114" s="3">
        <v>10.384848860835501</v>
      </c>
      <c r="Q114" s="3">
        <v>11.0695943729741</v>
      </c>
      <c r="R114" s="3">
        <v>15.489910756525701</v>
      </c>
      <c r="S114" s="3">
        <v>5.5148409328179504</v>
      </c>
      <c r="T114" s="3">
        <v>11.3245711412492</v>
      </c>
      <c r="U114" s="3">
        <v>13.3671358978344</v>
      </c>
      <c r="V114" s="3">
        <v>17.210421742810301</v>
      </c>
    </row>
    <row r="115" spans="1:37" x14ac:dyDescent="0.35">
      <c r="A115" s="2">
        <v>45142</v>
      </c>
      <c r="B115" s="3">
        <v>12.2189622847587</v>
      </c>
      <c r="C115" s="3">
        <v>9.24366355027475</v>
      </c>
      <c r="D115" s="3">
        <v>13.440582948572899</v>
      </c>
      <c r="E115" s="3">
        <v>9.9854130994383592</v>
      </c>
      <c r="F115" s="3">
        <v>8.1797503071646904</v>
      </c>
      <c r="G115" s="3">
        <v>10.865251885826799</v>
      </c>
      <c r="H115" s="3">
        <v>13.729770926693099</v>
      </c>
      <c r="I115" s="3">
        <v>16.368297041581901</v>
      </c>
      <c r="J115" s="3">
        <v>11.9594099452276</v>
      </c>
      <c r="K115" s="3">
        <v>11.7375933917032</v>
      </c>
      <c r="L115" s="3">
        <v>8.0191534081949403</v>
      </c>
      <c r="M115" s="3">
        <v>9.88690116790176</v>
      </c>
      <c r="N115" s="3">
        <v>7.9411383594501004</v>
      </c>
      <c r="O115" s="3">
        <v>21.114198018135799</v>
      </c>
      <c r="P115" s="3">
        <v>10.880802309843</v>
      </c>
      <c r="Q115" s="3">
        <v>11.7952641484898</v>
      </c>
      <c r="R115" s="3">
        <v>15.747645132024999</v>
      </c>
      <c r="S115" s="3">
        <v>6.1696814929178103</v>
      </c>
      <c r="T115" s="3">
        <v>11.6429418407374</v>
      </c>
      <c r="U115" s="3">
        <v>14.5487179061076</v>
      </c>
      <c r="V115" s="3">
        <v>17.029577576017601</v>
      </c>
    </row>
    <row r="116" spans="1:37" x14ac:dyDescent="0.35">
      <c r="A116" s="2">
        <v>45170</v>
      </c>
      <c r="B116" s="3">
        <v>12.0635231455117</v>
      </c>
      <c r="C116" s="3">
        <v>8.9567238085082206</v>
      </c>
      <c r="D116" s="3">
        <v>13.6842699972067</v>
      </c>
      <c r="E116" s="3">
        <v>9.3811467547048206</v>
      </c>
      <c r="F116" s="3">
        <v>8.3519696394647092</v>
      </c>
      <c r="G116" s="3">
        <v>10.380235775249901</v>
      </c>
      <c r="H116" s="3">
        <v>13.9368001025816</v>
      </c>
      <c r="I116" s="3">
        <v>15.7229279854811</v>
      </c>
      <c r="J116" s="3">
        <v>11.773911235192401</v>
      </c>
      <c r="K116" s="3">
        <v>11.431427428325501</v>
      </c>
      <c r="L116" s="3">
        <v>7.9587589091323201</v>
      </c>
      <c r="M116" s="3">
        <v>9.6221905609335501</v>
      </c>
      <c r="N116" s="3">
        <v>7.2789748596792299</v>
      </c>
      <c r="O116" s="3">
        <v>20.523925314605201</v>
      </c>
      <c r="P116" s="3">
        <v>10.387070822474</v>
      </c>
      <c r="Q116" s="3">
        <v>10.944356291269701</v>
      </c>
      <c r="R116" s="3">
        <v>15.9636708640761</v>
      </c>
      <c r="S116" s="3">
        <v>6.4253766203986897</v>
      </c>
      <c r="T116" s="3">
        <v>11.028230228660099</v>
      </c>
      <c r="U116" s="3">
        <v>15.00021991551</v>
      </c>
      <c r="V116" s="3">
        <v>17.147944902932799</v>
      </c>
    </row>
    <row r="117" spans="1:37" x14ac:dyDescent="0.35">
      <c r="A117" s="2">
        <v>45203</v>
      </c>
      <c r="B117" s="3">
        <v>11.641513877748</v>
      </c>
      <c r="C117" s="3">
        <v>8.4640590130936602</v>
      </c>
      <c r="D117" s="3">
        <v>13.076405326114401</v>
      </c>
      <c r="E117" s="3">
        <v>9.9442637077420102</v>
      </c>
      <c r="F117" s="3">
        <v>7.6249838343542997</v>
      </c>
      <c r="G117" s="3">
        <v>9.2985052169794695</v>
      </c>
      <c r="H117" s="3">
        <v>13.4200553588646</v>
      </c>
      <c r="I117" s="3">
        <v>15.1429521619187</v>
      </c>
      <c r="J117" s="3">
        <v>11.2500565731474</v>
      </c>
      <c r="K117" s="3">
        <v>10.2554985888932</v>
      </c>
      <c r="L117" s="3">
        <v>7.5137133592589498</v>
      </c>
      <c r="M117" s="3">
        <v>9.0651797381991308</v>
      </c>
      <c r="N117" s="3">
        <v>6.5556934243866696</v>
      </c>
      <c r="O117" s="3">
        <v>20.327707519213199</v>
      </c>
      <c r="P117" s="3">
        <v>9.6370238051224604</v>
      </c>
      <c r="Q117" s="3">
        <v>10.6959093441621</v>
      </c>
      <c r="R117" s="3">
        <v>14.8493673945159</v>
      </c>
      <c r="S117" s="3">
        <v>6.2252082111209202</v>
      </c>
      <c r="T117" s="3">
        <v>11.1710190920128</v>
      </c>
      <c r="U117" s="3">
        <v>12.7835981089712</v>
      </c>
      <c r="V117" s="3">
        <v>15.8910953802403</v>
      </c>
    </row>
    <row r="118" spans="1:37" x14ac:dyDescent="0.35">
      <c r="A118" s="2">
        <v>45233</v>
      </c>
      <c r="B118" s="3">
        <v>11.5976222462723</v>
      </c>
      <c r="C118" s="3">
        <v>8.4927728769294006</v>
      </c>
      <c r="D118" s="3">
        <v>12.2953206066663</v>
      </c>
      <c r="E118" s="3">
        <v>9.3574649617646006</v>
      </c>
      <c r="F118" s="3">
        <v>8.6419154089253407</v>
      </c>
      <c r="G118" s="3">
        <v>9.5867603643013997</v>
      </c>
      <c r="H118" s="3">
        <v>13.642322364344199</v>
      </c>
      <c r="I118" s="3">
        <v>15.172105803291901</v>
      </c>
      <c r="J118" s="3">
        <v>11.6120153514428</v>
      </c>
      <c r="K118" s="3">
        <v>9.9054381768669408</v>
      </c>
      <c r="L118" s="3">
        <v>7.4749551860026999</v>
      </c>
      <c r="M118" s="3">
        <v>9.6326670641219501</v>
      </c>
      <c r="N118" s="3">
        <v>6.7029257933195003</v>
      </c>
      <c r="O118" s="3">
        <v>19.952124155449699</v>
      </c>
      <c r="P118" s="3">
        <v>9.8735965200964895</v>
      </c>
      <c r="Q118" s="3">
        <v>10.301221428946601</v>
      </c>
      <c r="R118" s="3">
        <v>14.564737202910599</v>
      </c>
      <c r="S118" s="3">
        <v>5.0933963638665398</v>
      </c>
      <c r="T118" s="3">
        <v>10.198077915887101</v>
      </c>
      <c r="U118" s="3">
        <v>13.2542983780115</v>
      </c>
      <c r="V118" s="3">
        <v>15.9442614478646</v>
      </c>
    </row>
    <row r="119" spans="1:37" x14ac:dyDescent="0.35">
      <c r="A119" s="2">
        <v>45264</v>
      </c>
      <c r="B119" s="3">
        <v>11.4023290162888</v>
      </c>
      <c r="C119" s="3">
        <v>7.5485180593154304</v>
      </c>
      <c r="D119" s="3">
        <v>12.506314968555101</v>
      </c>
      <c r="E119" s="3">
        <v>9.4961518138258505</v>
      </c>
      <c r="F119" s="3">
        <v>8.66127787092503</v>
      </c>
      <c r="G119" s="3">
        <v>10.405468336026701</v>
      </c>
      <c r="H119" s="3">
        <v>13.6446854724642</v>
      </c>
      <c r="I119" s="3">
        <v>15.768167272465</v>
      </c>
      <c r="J119" s="3">
        <v>12.2196911876838</v>
      </c>
      <c r="K119" s="3">
        <v>10.1862224463431</v>
      </c>
      <c r="L119" s="3">
        <v>7.65075818478791</v>
      </c>
      <c r="M119" s="3">
        <v>9.7761361540736509</v>
      </c>
      <c r="N119" s="3">
        <v>6.6670756782766203</v>
      </c>
      <c r="O119" s="3">
        <v>21.1544895382705</v>
      </c>
      <c r="P119" s="3">
        <v>9.3239069290526793</v>
      </c>
      <c r="Q119" s="3">
        <v>10.418144822226999</v>
      </c>
      <c r="R119" s="3">
        <v>14.296332075371399</v>
      </c>
      <c r="S119" s="3">
        <v>5.02820464587528</v>
      </c>
      <c r="T119" s="3">
        <v>10.390092188489399</v>
      </c>
      <c r="U119" s="3">
        <v>14.6146026174883</v>
      </c>
      <c r="V119" s="3">
        <v>16.453311923226799</v>
      </c>
    </row>
    <row r="120" spans="1:37" x14ac:dyDescent="0.35">
      <c r="A120" s="2">
        <v>45295</v>
      </c>
      <c r="B120" s="3">
        <v>11.0250888970963</v>
      </c>
      <c r="C120" s="3">
        <v>7.4067952916613597</v>
      </c>
      <c r="D120" s="3">
        <v>12.9630383097664</v>
      </c>
      <c r="E120" s="3">
        <v>9.6022918122817806</v>
      </c>
      <c r="F120" s="3">
        <v>8.3512878323208302</v>
      </c>
      <c r="G120" s="3">
        <v>11.610903090233499</v>
      </c>
      <c r="H120" s="3">
        <v>13.743885213401599</v>
      </c>
      <c r="I120" s="3">
        <v>15.8200832051545</v>
      </c>
      <c r="J120" s="3">
        <v>12.5054192568115</v>
      </c>
      <c r="K120" s="3">
        <v>10.0463815287497</v>
      </c>
      <c r="L120" s="3">
        <v>7.8431653155685401</v>
      </c>
      <c r="M120" s="3">
        <v>9.6025970485972305</v>
      </c>
      <c r="N120" s="3">
        <v>6.7159990223827704</v>
      </c>
      <c r="O120" s="3">
        <v>22.007114643430501</v>
      </c>
      <c r="P120" s="3">
        <v>9.24395144287673</v>
      </c>
      <c r="Q120" s="3">
        <v>10.748073057632601</v>
      </c>
      <c r="R120" s="3">
        <v>14.7387353006851</v>
      </c>
      <c r="S120" s="3">
        <v>4.6291652944719903</v>
      </c>
      <c r="T120" s="3">
        <v>10.474224498637501</v>
      </c>
      <c r="U120" s="3">
        <v>14.6051818574187</v>
      </c>
      <c r="V120" s="3">
        <v>18.456226648971001</v>
      </c>
    </row>
    <row r="121" spans="1:37" x14ac:dyDescent="0.35">
      <c r="A121" s="2">
        <v>45324</v>
      </c>
      <c r="B121" s="3">
        <v>10.3164241874496</v>
      </c>
      <c r="C121" s="3">
        <v>7.96115774302391</v>
      </c>
      <c r="D121" s="3">
        <v>12.925994880985799</v>
      </c>
      <c r="E121" s="3">
        <v>9.6274098727047601</v>
      </c>
      <c r="F121" s="3">
        <v>8.6735090083356905</v>
      </c>
      <c r="G121" s="3">
        <v>11.4931252575737</v>
      </c>
      <c r="H121" s="3">
        <v>13.8977523407337</v>
      </c>
      <c r="I121" s="3">
        <v>15.993445889658499</v>
      </c>
      <c r="J121" s="3">
        <v>13.1191122696811</v>
      </c>
      <c r="K121" s="3">
        <v>10.420060145827501</v>
      </c>
      <c r="L121" s="3">
        <v>7.6986122841671696</v>
      </c>
      <c r="M121" s="3">
        <v>9.5800131071571908</v>
      </c>
      <c r="N121" s="3">
        <v>6.9643865939492198</v>
      </c>
      <c r="O121" s="3">
        <v>22.374178193947401</v>
      </c>
      <c r="P121" s="3">
        <v>8.4485677493043596</v>
      </c>
      <c r="Q121" s="3">
        <v>10.381012703128301</v>
      </c>
      <c r="R121" s="3">
        <v>14.3140183985172</v>
      </c>
      <c r="S121" s="3">
        <v>5.2911185114784303</v>
      </c>
      <c r="T121" s="3">
        <v>10.3583086875839</v>
      </c>
      <c r="U121" s="3">
        <v>14.314732317761001</v>
      </c>
      <c r="V121" s="3">
        <v>18.168480158023499</v>
      </c>
    </row>
    <row r="122" spans="1:37" x14ac:dyDescent="0.35">
      <c r="A122" s="2">
        <v>45351</v>
      </c>
      <c r="B122" s="3">
        <v>13.3195767224934</v>
      </c>
      <c r="C122" s="3">
        <v>7.1110567025657101</v>
      </c>
      <c r="D122" s="3">
        <v>14.238272895742501</v>
      </c>
      <c r="E122" s="3">
        <v>10.6826859921152</v>
      </c>
      <c r="F122" s="3">
        <v>8.9647049313944898</v>
      </c>
      <c r="G122" s="3">
        <v>15.0043884321815</v>
      </c>
      <c r="H122" s="3">
        <v>15.8657406208458</v>
      </c>
      <c r="I122" s="3">
        <v>19.6608504675566</v>
      </c>
      <c r="J122" s="3">
        <v>16.092148898922101</v>
      </c>
      <c r="K122" s="3">
        <v>16.320410620351101</v>
      </c>
      <c r="L122" s="3">
        <v>8.5910316321580709</v>
      </c>
      <c r="M122" s="3">
        <v>10.6071607470119</v>
      </c>
      <c r="N122" s="3">
        <v>6.7463277917442896</v>
      </c>
      <c r="O122" s="3">
        <v>26.096391188501102</v>
      </c>
      <c r="P122" s="3">
        <v>10.4707216811937</v>
      </c>
      <c r="Q122" s="3">
        <v>11.516983931849101</v>
      </c>
      <c r="R122" s="3">
        <v>14.1758308117199</v>
      </c>
      <c r="S122" s="3">
        <v>6.5233975846422299</v>
      </c>
      <c r="T122" s="3">
        <v>9.5001099501744104</v>
      </c>
      <c r="U122" s="3">
        <v>18.7078003029592</v>
      </c>
      <c r="V122" s="3">
        <v>21.8695965204228</v>
      </c>
    </row>
    <row r="124" spans="1:37" x14ac:dyDescent="0.35">
      <c r="A124" s="2" t="s">
        <v>95</v>
      </c>
      <c r="B124" s="3" cm="1">
        <f t="array" ref="B124">MIN(_xlfn._xlws.FILTER(B1:B122, ISNUMBER(B1:B122)))</f>
        <v>9.5330290565589095</v>
      </c>
      <c r="C124" s="3" cm="1">
        <f t="array" ref="C124">MIN(_xlfn._xlws.FILTER(C1:C122, ISNUMBER(C1:C122)))</f>
        <v>6.3132750094042498</v>
      </c>
      <c r="D124" s="3" cm="1">
        <f t="array" ref="D124">MIN(_xlfn._xlws.FILTER(D1:D122, ISNUMBER(D1:D122)))</f>
        <v>10.8447059936948</v>
      </c>
      <c r="E124" s="3" cm="1">
        <f t="array" ref="E124">MIN(_xlfn._xlws.FILTER(E1:E122, ISNUMBER(E1:E122)))</f>
        <v>9.3574649617646006</v>
      </c>
      <c r="F124" s="3" cm="1">
        <f t="array" ref="F124">MIN(_xlfn._xlws.FILTER(F1:F122, ISNUMBER(F1:F122)))</f>
        <v>5.7467384116132498</v>
      </c>
      <c r="G124" s="3" cm="1">
        <f t="array" ref="G124">MIN(_xlfn._xlws.FILTER(G1:G122, ISNUMBER(G1:G122)))</f>
        <v>6.9795208294860096</v>
      </c>
      <c r="H124" s="3" cm="1">
        <f t="array" ref="H124">MIN(_xlfn._xlws.FILTER(H1:H122, ISNUMBER(H1:H122)))</f>
        <v>12.918715743994101</v>
      </c>
      <c r="I124" s="3" cm="1">
        <f t="array" ref="I124">MIN(_xlfn._xlws.FILTER(I1:I122, ISNUMBER(I1:I122)))</f>
        <v>10.1088662647697</v>
      </c>
      <c r="J124" s="3" cm="1">
        <f t="array" ref="J124">MIN(_xlfn._xlws.FILTER(J1:J122, ISNUMBER(J1:J122)))</f>
        <v>10.4205614105389</v>
      </c>
      <c r="K124" s="3" cm="1">
        <f t="array" ref="K124">MIN(_xlfn._xlws.FILTER(K1:K122, ISNUMBER(K1:K122)))</f>
        <v>7.9651847112388499</v>
      </c>
      <c r="L124" s="3" cm="1">
        <f t="array" ref="L124">MIN(_xlfn._xlws.FILTER(L1:L122, ISNUMBER(L1:L122)))</f>
        <v>5.8711295309234197</v>
      </c>
      <c r="M124" s="3" cm="1">
        <f t="array" ref="M124">MIN(_xlfn._xlws.FILTER(M1:M122, ISNUMBER(M1:M122)))</f>
        <v>8.0921268433845501</v>
      </c>
      <c r="N124" s="3" cm="1">
        <f t="array" ref="N124">MIN(_xlfn._xlws.FILTER(N1:N122, ISNUMBER(N1:N122)))</f>
        <v>3.8006940508321398</v>
      </c>
      <c r="O124" s="3" cm="1">
        <f t="array" ref="O124">MIN(_xlfn._xlws.FILTER(O1:O122, ISNUMBER(O1:O122)))</f>
        <v>13.6727813913714</v>
      </c>
      <c r="P124" s="3" cm="1">
        <f t="array" ref="P124">MIN(_xlfn._xlws.FILTER(P1:P122, ISNUMBER(P1:P122)))</f>
        <v>8.3907736459059699</v>
      </c>
      <c r="Q124" s="3" cm="1">
        <f t="array" ref="Q124">MIN(_xlfn._xlws.FILTER(Q1:Q122, ISNUMBER(Q1:Q122)))</f>
        <v>10.301221428946601</v>
      </c>
      <c r="R124" s="3" cm="1">
        <f t="array" ref="R124">MIN(_xlfn._xlws.FILTER(R1:R122, ISNUMBER(R1:R122)))</f>
        <v>12.3442360838464</v>
      </c>
      <c r="S124" s="3" cm="1">
        <f t="array" ref="S124">MIN(_xlfn._xlws.FILTER(S1:S122, ISNUMBER(S1:S122)))</f>
        <v>4.2837094254280697</v>
      </c>
      <c r="T124" s="3" cm="1">
        <f t="array" ref="T124">MIN(_xlfn._xlws.FILTER(T1:T122, ISNUMBER(T1:T122)))</f>
        <v>9.5001099501744104</v>
      </c>
      <c r="U124" s="3" cm="1">
        <f t="array" ref="U124">MIN(_xlfn._xlws.FILTER(U1:U122, ISNUMBER(U1:U122)))</f>
        <v>9.9256077690039</v>
      </c>
      <c r="V124" s="3" cm="1">
        <f t="array" ref="V124">MIN(_xlfn._xlws.FILTER(V1:V122, ISNUMBER(V1:V122)))</f>
        <v>11.4677656432729</v>
      </c>
    </row>
    <row r="125" spans="1:37" x14ac:dyDescent="0.35">
      <c r="A125" s="2" t="s">
        <v>96</v>
      </c>
      <c r="B125" s="3" cm="1">
        <f t="array" ref="B125">MAX(_xlfn._xlws.FILTER(B1:B122, ISNUMBER(B1:B122)))</f>
        <v>18.0171640233688</v>
      </c>
      <c r="C125" s="3" cm="1">
        <f t="array" ref="C125">MAX(_xlfn._xlws.FILTER(C1:C122, ISNUMBER(C1:C122)))</f>
        <v>18.9969561066947</v>
      </c>
      <c r="D125" s="3" cm="1">
        <f t="array" ref="D125">MAX(_xlfn._xlws.FILTER(D1:D122, ISNUMBER(D1:D122)))</f>
        <v>17.792238012771701</v>
      </c>
      <c r="E125" s="3" cm="1">
        <f t="array" ref="E125">MAX(_xlfn._xlws.FILTER(E1:E122, ISNUMBER(E1:E122)))</f>
        <v>18.569699027177101</v>
      </c>
      <c r="F125" s="3" cm="1">
        <f t="array" ref="F125">MAX(_xlfn._xlws.FILTER(F1:F122, ISNUMBER(F1:F122)))</f>
        <v>14.8814491867151</v>
      </c>
      <c r="G125" s="3" cm="1">
        <f t="array" ref="G125">MAX(_xlfn._xlws.FILTER(G1:G122, ISNUMBER(G1:G122)))</f>
        <v>23.273842153395702</v>
      </c>
      <c r="H125" s="3" cm="1">
        <f t="array" ref="H125">MAX(_xlfn._xlws.FILTER(H1:H122, ISNUMBER(H1:H122)))</f>
        <v>19.8356467611782</v>
      </c>
      <c r="I125" s="3" cm="1">
        <f t="array" ref="I125">MAX(_xlfn._xlws.FILTER(I1:I122, ISNUMBER(I1:I122)))</f>
        <v>19.6608504675566</v>
      </c>
      <c r="J125" s="3" cm="1">
        <f t="array" ref="J125">MAX(_xlfn._xlws.FILTER(J1:J122, ISNUMBER(J1:J122)))</f>
        <v>19.588075531574901</v>
      </c>
      <c r="K125" s="3" cm="1">
        <f t="array" ref="K125">MAX(_xlfn._xlws.FILTER(K1:K122, ISNUMBER(K1:K122)))</f>
        <v>16.320410620351101</v>
      </c>
      <c r="L125" s="3" cm="1">
        <f t="array" ref="L125">MAX(_xlfn._xlws.FILTER(L1:L122, ISNUMBER(L1:L122)))</f>
        <v>26.558794956121901</v>
      </c>
      <c r="M125" s="3" cm="1">
        <f t="array" ref="M125">MAX(_xlfn._xlws.FILTER(M1:M122, ISNUMBER(M1:M122)))</f>
        <v>17.456341890573601</v>
      </c>
      <c r="N125" s="3" cm="1">
        <f t="array" ref="N125">MAX(_xlfn._xlws.FILTER(N1:N122, ISNUMBER(N1:N122)))</f>
        <v>17.5751925211726</v>
      </c>
      <c r="O125" s="3" cm="1">
        <f t="array" ref="O125">MAX(_xlfn._xlws.FILTER(O1:O122, ISNUMBER(O1:O122)))</f>
        <v>26.096391188501102</v>
      </c>
      <c r="P125" s="3" cm="1">
        <f t="array" ref="P125">MAX(_xlfn._xlws.FILTER(P1:P122, ISNUMBER(P1:P122)))</f>
        <v>18.054832431265901</v>
      </c>
      <c r="Q125" s="3" cm="1">
        <f t="array" ref="Q125">MAX(_xlfn._xlws.FILTER(Q1:Q122, ISNUMBER(Q1:Q122)))</f>
        <v>15.9142521267117</v>
      </c>
      <c r="R125" s="3" cm="1">
        <f t="array" ref="R125">MAX(_xlfn._xlws.FILTER(R1:R122, ISNUMBER(R1:R122)))</f>
        <v>19.841702083163501</v>
      </c>
      <c r="S125" s="3" cm="1">
        <f t="array" ref="S125">MAX(_xlfn._xlws.FILTER(S1:S122, ISNUMBER(S1:S122)))</f>
        <v>10.714793743502501</v>
      </c>
      <c r="T125" s="3" cm="1">
        <f t="array" ref="T125">MAX(_xlfn._xlws.FILTER(T1:T122, ISNUMBER(T1:T122)))</f>
        <v>17.7236078268824</v>
      </c>
      <c r="U125" s="3" cm="1">
        <f t="array" ref="U125">MAX(_xlfn._xlws.FILTER(U1:U122, ISNUMBER(U1:U122)))</f>
        <v>22.104477079789401</v>
      </c>
      <c r="V125" s="3" cm="1">
        <f t="array" ref="V125">MAX(_xlfn._xlws.FILTER(V1:V122, ISNUMBER(V1:V122)))</f>
        <v>21.8695965204228</v>
      </c>
    </row>
    <row r="127" spans="1:37" x14ac:dyDescent="0.35">
      <c r="A127" s="2" t="s">
        <v>97</v>
      </c>
      <c r="B127" s="9" cm="1">
        <f t="array" ref="B127">_xlfn.PERCENTRANK.EXC(_xlfn._xlws.FILTER(B1:B122, ISNUMBER(B1:B122)),B122)</f>
        <v>0.59499999999999997</v>
      </c>
      <c r="C127" s="9" cm="1">
        <f t="array" ref="C127">_xlfn.PERCENTRANK.EXC(_xlfn._xlws.FILTER(C1:C122, ISNUMBER(C1:C122)),C122)</f>
        <v>0.04</v>
      </c>
      <c r="D127" s="9" cm="1">
        <f t="array" ref="D127">_xlfn.PERCENTRANK.EXC(_xlfn._xlws.FILTER(D1:D122, ISNUMBER(D1:D122)),D122)</f>
        <v>0.35199999999999998</v>
      </c>
      <c r="E127" s="9" cm="1">
        <f t="array" ref="E127">_xlfn.PERCENTRANK.EXC(_xlfn._xlws.FILTER(E1:E122, ISNUMBER(E1:E122)),E122)</f>
        <v>0.09</v>
      </c>
      <c r="F127" s="9" cm="1">
        <f t="array" ref="F127">_xlfn.PERCENTRANK.EXC(_xlfn._xlws.FILTER(F1:F122, ISNUMBER(F1:F122)),F122)</f>
        <v>0.19600000000000001</v>
      </c>
      <c r="G127" s="9" cm="1">
        <f t="array" ref="G127">_xlfn.PERCENTRANK.EXC(_xlfn._xlws.FILTER(G1:G122, ISNUMBER(G1:G122)),G122)</f>
        <v>0.88500000000000001</v>
      </c>
      <c r="H127" s="9" cm="1">
        <f t="array" ref="H127">_xlfn.PERCENTRANK.EXC(_xlfn._xlws.FILTER(H1:H122, ISNUMBER(H1:H122)),H122)</f>
        <v>0.59</v>
      </c>
      <c r="I127" s="9" cm="1">
        <f t="array" ref="I127">_xlfn.PERCENTRANK.EXC(_xlfn._xlws.FILTER(I1:I122, ISNUMBER(I1:I122)),I122)</f>
        <v>0.99099999999999999</v>
      </c>
      <c r="J127" s="9" cm="1">
        <f t="array" ref="J127">_xlfn.PERCENTRANK.EXC(_xlfn._xlws.FILTER(J1:J122, ISNUMBER(J1:J122)),J122)</f>
        <v>0.72</v>
      </c>
      <c r="K127" s="9" cm="1">
        <f t="array" ref="K127">_xlfn.PERCENTRANK.EXC(_xlfn._xlws.FILTER(K1:K122, ISNUMBER(K1:K122)),K122)</f>
        <v>0.99099999999999999</v>
      </c>
      <c r="L127" s="9" cm="1">
        <f t="array" ref="L127">_xlfn.PERCENTRANK.EXC(_xlfn._xlws.FILTER(L1:L122, ISNUMBER(L1:L122)),L122)</f>
        <v>0.26200000000000001</v>
      </c>
      <c r="M127" s="9" cm="1">
        <f t="array" ref="M127">_xlfn.PERCENTRANK.EXC(_xlfn._xlws.FILTER(M1:M122, ISNUMBER(M1:M122)),M122)</f>
        <v>0.36799999999999999</v>
      </c>
      <c r="N127" s="9" cm="1">
        <f t="array" ref="N127">_xlfn.PERCENTRANK.EXC(_xlfn._xlws.FILTER(N1:N122, ISNUMBER(N1:N122)),N122)</f>
        <v>0.17199999999999999</v>
      </c>
      <c r="O127" s="9" cm="1">
        <f t="array" ref="O127">_xlfn.PERCENTRANK.EXC(_xlfn._xlws.FILTER(O1:O122, ISNUMBER(O1:O122)),O122)</f>
        <v>0.99099999999999999</v>
      </c>
      <c r="P127" s="9" cm="1">
        <f t="array" ref="P127">_xlfn.PERCENTRANK.EXC(_xlfn._xlws.FILTER(P1:P122, ISNUMBER(P1:P122)),P122)</f>
        <v>0.28599999999999998</v>
      </c>
      <c r="Q127" s="9" cm="1">
        <f t="array" ref="Q127">_xlfn.PERCENTRANK.EXC(_xlfn._xlws.FILTER(Q1:Q122, ISNUMBER(Q1:Q122)),Q122)</f>
        <v>0.218</v>
      </c>
      <c r="R127" s="9" cm="1">
        <f t="array" ref="R127">_xlfn.PERCENTRANK.EXC(_xlfn._xlws.FILTER(R1:R122, ISNUMBER(R1:R122)),R122)</f>
        <v>0.09</v>
      </c>
      <c r="S127" s="9" cm="1">
        <f t="array" ref="S127">_xlfn.PERCENTRANK.EXC(_xlfn._xlws.FILTER(S1:S122, ISNUMBER(S1:S122)),S122)</f>
        <v>0.40899999999999997</v>
      </c>
      <c r="T127" s="9" cm="1">
        <f t="array" ref="T127">_xlfn.PERCENTRANK.EXC(_xlfn._xlws.FILTER(T1:T122, ISNUMBER(T1:T122)),T122)</f>
        <v>8.0000000000000002E-3</v>
      </c>
      <c r="U127" s="9" cm="1">
        <f t="array" ref="U127">_xlfn.PERCENTRANK.EXC(_xlfn._xlws.FILTER(U1:U122, ISNUMBER(U1:U122)),U122)</f>
        <v>0.94199999999999995</v>
      </c>
      <c r="V127" s="9" cm="1">
        <f t="array" ref="V127">_xlfn.PERCENTRANK.EXC(_xlfn._xlws.FILTER(V1:V122, ISNUMBER(V1:V122)),V122)</f>
        <v>0.99</v>
      </c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8"/>
  <sheetViews>
    <sheetView topLeftCell="P1" workbookViewId="0">
      <selection activeCell="W1" sqref="W1:AE1048576"/>
    </sheetView>
  </sheetViews>
  <sheetFormatPr defaultColWidth="9.08984375" defaultRowHeight="14.5" x14ac:dyDescent="0.35"/>
  <cols>
    <col min="1" max="1" width="17.54296875" style="2" bestFit="1" customWidth="1"/>
    <col min="2" max="16384" width="9.08984375" style="3"/>
  </cols>
  <sheetData>
    <row r="1" spans="1:22" x14ac:dyDescent="0.35">
      <c r="B1" s="3" t="s">
        <v>437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764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22" x14ac:dyDescent="0.35">
      <c r="A2" s="2" cm="1">
        <f t="array" ref="A2:A122">_xll.FDS(C1,"JULIAN(FMA_DIV_YLD(NTMA,-10AY,0,AM,""PORTAGG"",""MEANR"").dates)")</f>
        <v>41702</v>
      </c>
      <c r="B2" s="3" t="e" cm="1">
        <f t="array" ref="B2:B122">_xll.FDS(B1,"FMA_DIV_YLD(NTMA,-10AY,0,AM,""PORTAGG"",""MEANR"")")</f>
        <v>#N/A</v>
      </c>
      <c r="C2" s="3" cm="1">
        <f t="array" ref="C2:C122">_xll.FDS(C1,"FMA_DIV_YLD(NTMA,-10AY,0,AM,""PORTAGG"",""MEANR"")")</f>
        <v>3.4635572515015798</v>
      </c>
      <c r="D2" s="3" cm="1">
        <f t="array" ref="D2:D122">_xll.FDS(D1,"FMA_DIV_YLD(NTMA,-10AY,0,AM,""PORTAGG"",""MEANR"")")</f>
        <v>2.7280200682036</v>
      </c>
      <c r="E2" s="3" cm="1">
        <f t="array" ref="E2:E122">_xll.FDS(E1,"FMA_DIV_YLD(NTMA,-10AY,0,AM,""PORTAGG"",""MEANR"")")</f>
        <v>2.1037291275129699</v>
      </c>
      <c r="F2" s="3" cm="1">
        <f t="array" ref="F2:F122">_xll.FDS(F1,"FMA_DIV_YLD(NTMA,-10AY,0,AM,""PORTAGG"",""MEANR"")")</f>
        <v>3.95713770566377</v>
      </c>
      <c r="G2" s="3" cm="1">
        <f t="array" ref="G2:G122">_xll.FDS(G1,"FMA_DIV_YLD(NTMA,-10AY,0,AM,""PORTAGG"",""MEANR"")")</f>
        <v>2.6570312340595801</v>
      </c>
      <c r="H2" s="3" cm="1">
        <f t="array" ref="H2:H122">_xll.FDS(H1,"FMA_DIV_YLD(NTMA,-10AY,0,AM,""PORTAGG"",""MEANR"")")</f>
        <v>3.1340283144594201</v>
      </c>
      <c r="I2" s="3" cm="1">
        <f t="array" ref="I2:I122">_xll.FDS(I1,"FMA_DIV_YLD(NTMA,-10AY,0,AM,""PORTAGG"",""MEANR"")")</f>
        <v>3.3863592302893499</v>
      </c>
      <c r="J2" s="3" t="e" cm="1">
        <f t="array" ref="J2:J122">_xll.FDS(J1,"FMA_DIV_YLD(NTMA,-10AY,0,AM,""PORTAGG"",""MEANR"")")</f>
        <v>#N/A</v>
      </c>
      <c r="K2" s="3" cm="1">
        <f t="array" ref="K2:K122">_xll.FDS(K1,"FMA_DIV_YLD(NTMA,-10AY,0,AM,""PORTAGG"",""MEANR"")")</f>
        <v>1.2941291642689201</v>
      </c>
      <c r="L2" s="3" cm="1">
        <f t="array" ref="L2:L122">_xll.FDS(L1,"FMA_DIV_YLD(NTMA,-10AY,0,AM,""PORTAGG"",""MEANR"")")</f>
        <v>4.4237802508828397</v>
      </c>
      <c r="M2" s="3" cm="1">
        <f t="array" ref="M2:M122">_xll.FDS(M1,"FMA_DIV_YLD(NTMA,-10AY,0,AM,""PORTAGG"",""MEANR"")")</f>
        <v>3.39819931997613</v>
      </c>
      <c r="N2" s="3" cm="1">
        <f t="array" ref="N2:N122">_xll.FDS(N1,"FMA_DIV_YLD(NTMA,-10AY,0,AM,""PORTAGG"",""MEANR"")")</f>
        <v>2.0687237915017498</v>
      </c>
      <c r="O2" s="3" cm="1">
        <f t="array" ref="O2:O122">_xll.FDS(O1,"FMA_DIV_YLD(NTMA,-10AY,0,AM,""PORTAGG"",""MEANR"")")</f>
        <v>1.69102810629932</v>
      </c>
      <c r="P2" s="3" cm="1">
        <f t="array" ref="P2:P122">_xll.FDS(P1,"FMA_DIV_YLD(NTMA,-10AY,0,AM,""PORTAGG"",""MEANR"")")</f>
        <v>3.7581873484484598</v>
      </c>
      <c r="Q2" s="3" t="e" cm="1">
        <f t="array" ref="Q2:Q122">_xll.FDS(Q1,"FMA_DIV_YLD(NTMA,-10AY,0,AM,""PORTAGG"",""MEANR"")")</f>
        <v>#N/A</v>
      </c>
      <c r="R2" s="3" cm="1">
        <f t="array" ref="R2:R122">_xll.FDS(R1,"FMA_DIV_YLD(NTMA,-10AY,0,AM,""PORTAGG"",""MEANR"")")</f>
        <v>3.94749427651641</v>
      </c>
      <c r="S2" s="3" cm="1">
        <f t="array" ref="S2:S122">_xll.FDS(S1,"FMA_DIV_YLD(NTMA,-10AY,0,AM,""PORTAGG"",""MEANR"")")</f>
        <v>3.5259307809269802</v>
      </c>
      <c r="T2" s="3" t="e" cm="1">
        <f t="array" ref="T2:T122">_xll.FDS(T1,"FMA_DIV_YLD(NTMA,-10AY,0,AM,""PORTAGG"",""MEANR"")")</f>
        <v>#N/A</v>
      </c>
      <c r="U2" s="3" t="e" cm="1">
        <f t="array" ref="U2:U122">_xll.FDS(U1,"FMA_DIV_YLD(NTMA,-10AY,0,AM,""PORTAGG"",""MEANR"")")</f>
        <v>#N/A</v>
      </c>
      <c r="V2" s="3" t="e" cm="1">
        <f t="array" ref="V2:V122">_xll.FDS(V1,"FMA_DIV_YLD(NTMA,-10AY,0,AM,""PORTAGG"",""MEANR"")")</f>
        <v>#N/A</v>
      </c>
    </row>
    <row r="3" spans="1:22" x14ac:dyDescent="0.35">
      <c r="A3" s="2">
        <v>41733</v>
      </c>
      <c r="B3" s="3" t="e">
        <v>#N/A</v>
      </c>
      <c r="C3" s="3">
        <v>3.1721309909716999</v>
      </c>
      <c r="D3" s="3">
        <v>2.5006896602372501</v>
      </c>
      <c r="E3" s="3">
        <v>2.1552956527254601</v>
      </c>
      <c r="F3" s="3">
        <v>3.7630744981971098</v>
      </c>
      <c r="G3" s="3">
        <v>2.6191327143194898</v>
      </c>
      <c r="H3" s="3">
        <v>3.1199530418330599</v>
      </c>
      <c r="I3" s="3">
        <v>3.24235337537054</v>
      </c>
      <c r="J3" s="3" t="e">
        <v>#N/A</v>
      </c>
      <c r="K3" s="3">
        <v>1.27450149868068</v>
      </c>
      <c r="L3" s="3">
        <v>4.2082196193247103</v>
      </c>
      <c r="M3" s="3">
        <v>3.43661257044826</v>
      </c>
      <c r="N3" s="3">
        <v>2.2497769555610798</v>
      </c>
      <c r="O3" s="3">
        <v>1.6366710173971499</v>
      </c>
      <c r="P3" s="3">
        <v>3.7554198354363102</v>
      </c>
      <c r="Q3" s="3" t="e">
        <v>#N/A</v>
      </c>
      <c r="R3" s="3">
        <v>3.7997868572940701</v>
      </c>
      <c r="S3" s="3">
        <v>2.9767580036201</v>
      </c>
      <c r="T3" s="3" t="e">
        <v>#N/A</v>
      </c>
      <c r="U3" s="3">
        <v>3.42145655322294</v>
      </c>
      <c r="V3" s="3" t="e">
        <v>#N/A</v>
      </c>
    </row>
    <row r="4" spans="1:22" x14ac:dyDescent="0.35">
      <c r="A4" s="2">
        <v>41761</v>
      </c>
      <c r="B4" s="3" t="e">
        <v>#N/A</v>
      </c>
      <c r="C4" s="3">
        <v>3.1149930056716801</v>
      </c>
      <c r="D4" s="3">
        <v>2.5628162032676101</v>
      </c>
      <c r="E4" s="3">
        <v>2.1155688987486401</v>
      </c>
      <c r="F4" s="3">
        <v>3.8632714543410498</v>
      </c>
      <c r="G4" s="3">
        <v>2.5275391146666002</v>
      </c>
      <c r="H4" s="3">
        <v>3.1071264267405101</v>
      </c>
      <c r="I4" s="3">
        <v>3.2572084926320102</v>
      </c>
      <c r="J4" s="3" t="e">
        <v>#N/A</v>
      </c>
      <c r="K4" s="3">
        <v>1.3017343875556899</v>
      </c>
      <c r="L4" s="3">
        <v>4.1412876922438704</v>
      </c>
      <c r="M4" s="3">
        <v>3.4294116646354902</v>
      </c>
      <c r="N4" s="3">
        <v>2.1357903946068602</v>
      </c>
      <c r="O4" s="3">
        <v>1.7008215048965001</v>
      </c>
      <c r="P4" s="3">
        <v>3.8189670359936998</v>
      </c>
      <c r="Q4" s="3" t="e">
        <v>#N/A</v>
      </c>
      <c r="R4" s="3">
        <v>3.7382938368398801</v>
      </c>
      <c r="S4" s="3">
        <v>2.7977002223562102</v>
      </c>
      <c r="T4" s="3" t="e">
        <v>#N/A</v>
      </c>
      <c r="U4" s="3">
        <v>3.4932988014677999</v>
      </c>
      <c r="V4" s="3" t="e">
        <v>#N/A</v>
      </c>
    </row>
    <row r="5" spans="1:22" x14ac:dyDescent="0.35">
      <c r="A5" s="2">
        <v>41794</v>
      </c>
      <c r="B5" s="3" t="e">
        <v>#N/A</v>
      </c>
      <c r="C5" s="3">
        <v>3.0377744161810201</v>
      </c>
      <c r="D5" s="3">
        <v>2.5743862764366399</v>
      </c>
      <c r="E5" s="3">
        <v>2.1179159255858302</v>
      </c>
      <c r="F5" s="3">
        <v>3.8995750628619499</v>
      </c>
      <c r="G5" s="3">
        <v>2.33679635501887</v>
      </c>
      <c r="H5" s="3">
        <v>3.1231870070308099</v>
      </c>
      <c r="I5" s="3">
        <v>3.2103745377659401</v>
      </c>
      <c r="J5" s="3" t="e">
        <v>#N/A</v>
      </c>
      <c r="K5" s="3">
        <v>1.2545935793573799</v>
      </c>
      <c r="L5" s="3">
        <v>4.1868569226647701</v>
      </c>
      <c r="M5" s="3">
        <v>3.39408252707186</v>
      </c>
      <c r="N5" s="3">
        <v>1.89023472802029</v>
      </c>
      <c r="O5" s="3">
        <v>1.58990791958375</v>
      </c>
      <c r="P5" s="3">
        <v>3.6946367453626401</v>
      </c>
      <c r="Q5" s="3">
        <v>3.7944752824551902</v>
      </c>
      <c r="R5" s="3">
        <v>3.6706024834647999</v>
      </c>
      <c r="S5" s="3">
        <v>2.8241001564657702</v>
      </c>
      <c r="T5" s="3">
        <v>2.3240039385421798</v>
      </c>
      <c r="U5" s="3">
        <v>3.5462451301054601</v>
      </c>
      <c r="V5" s="3" t="e">
        <v>#N/A</v>
      </c>
    </row>
    <row r="6" spans="1:22" x14ac:dyDescent="0.35">
      <c r="A6" s="2">
        <v>41823</v>
      </c>
      <c r="B6" s="3" t="e">
        <v>#N/A</v>
      </c>
      <c r="C6" s="3">
        <v>2.9892059708221201</v>
      </c>
      <c r="D6" s="3">
        <v>2.6694825586597899</v>
      </c>
      <c r="E6" s="3">
        <v>2.0585366458937</v>
      </c>
      <c r="F6" s="3">
        <v>4.2239815055455399</v>
      </c>
      <c r="G6" s="3">
        <v>2.1664630772911599</v>
      </c>
      <c r="H6" s="3">
        <v>3.1226238854452402</v>
      </c>
      <c r="I6" s="3">
        <v>3.0397697534335499</v>
      </c>
      <c r="J6" s="3" t="e">
        <v>#N/A</v>
      </c>
      <c r="K6" s="3">
        <v>1.2664224480320601</v>
      </c>
      <c r="L6" s="3">
        <v>3.9053524564745201</v>
      </c>
      <c r="M6" s="3">
        <v>3.2932768100070602</v>
      </c>
      <c r="N6" s="3">
        <v>1.8029076785829701</v>
      </c>
      <c r="O6" s="3">
        <v>1.53243978078847</v>
      </c>
      <c r="P6" s="3">
        <v>3.5965927717503101</v>
      </c>
      <c r="Q6" s="3">
        <v>4.23302241089978</v>
      </c>
      <c r="R6" s="3">
        <v>5.5289739337534396</v>
      </c>
      <c r="S6" s="3">
        <v>3.1688480307521099</v>
      </c>
      <c r="T6" s="3">
        <v>2.6425574171755302</v>
      </c>
      <c r="U6" s="3">
        <v>3.2222198244574898</v>
      </c>
      <c r="V6" s="3" t="e">
        <v>#N/A</v>
      </c>
    </row>
    <row r="7" spans="1:22" x14ac:dyDescent="0.35">
      <c r="A7" s="2">
        <v>41855</v>
      </c>
      <c r="B7" s="3" t="e">
        <v>#N/A</v>
      </c>
      <c r="C7" s="3">
        <v>3.0519222963305199</v>
      </c>
      <c r="D7" s="3">
        <v>2.5183933086610701</v>
      </c>
      <c r="E7" s="3">
        <v>2.06896037676692</v>
      </c>
      <c r="F7" s="3">
        <v>4.1829272697130397</v>
      </c>
      <c r="G7" s="3">
        <v>2.12390650808908</v>
      </c>
      <c r="H7" s="3">
        <v>3.15695965179843</v>
      </c>
      <c r="I7" s="3">
        <v>3.22120159763743</v>
      </c>
      <c r="J7" s="3" t="e">
        <v>#N/A</v>
      </c>
      <c r="K7" s="3">
        <v>1.24977712436445</v>
      </c>
      <c r="L7" s="3">
        <v>3.8563450425133499</v>
      </c>
      <c r="M7" s="3">
        <v>3.2269924672802301</v>
      </c>
      <c r="N7" s="3">
        <v>2.0790881622906401</v>
      </c>
      <c r="O7" s="3">
        <v>1.6235285588225301</v>
      </c>
      <c r="P7" s="3">
        <v>3.4648935181428899</v>
      </c>
      <c r="Q7" s="3">
        <v>4.0947078383392199</v>
      </c>
      <c r="R7" s="3">
        <v>5.7646113235983698</v>
      </c>
      <c r="S7" s="3">
        <v>2.7265362286678001</v>
      </c>
      <c r="T7" s="3">
        <v>2.6332780056316598</v>
      </c>
      <c r="U7" s="3">
        <v>3.4712133691432201</v>
      </c>
      <c r="V7" s="3" t="e">
        <v>#N/A</v>
      </c>
    </row>
    <row r="8" spans="1:22" x14ac:dyDescent="0.35">
      <c r="A8" s="2">
        <v>41886</v>
      </c>
      <c r="B8" s="3" t="e">
        <v>#N/A</v>
      </c>
      <c r="C8" s="3">
        <v>3.0303080300074501</v>
      </c>
      <c r="D8" s="3">
        <v>2.4810699018956401</v>
      </c>
      <c r="E8" s="3">
        <v>1.9559142150297699</v>
      </c>
      <c r="F8" s="3">
        <v>4.1039982530710404</v>
      </c>
      <c r="G8" s="3">
        <v>2.1138820495942499</v>
      </c>
      <c r="H8" s="3">
        <v>3.1207730106667801</v>
      </c>
      <c r="I8" s="3">
        <v>3.22544135215011</v>
      </c>
      <c r="J8" s="3" t="e">
        <v>#N/A</v>
      </c>
      <c r="K8" s="3">
        <v>1.29812159973108</v>
      </c>
      <c r="L8" s="3">
        <v>3.5531585632849598</v>
      </c>
      <c r="M8" s="3">
        <v>3.1696811657253798</v>
      </c>
      <c r="N8" s="3">
        <v>1.9889687261026701</v>
      </c>
      <c r="O8" s="3">
        <v>1.5343326490728</v>
      </c>
      <c r="P8" s="3">
        <v>3.4194986170774602</v>
      </c>
      <c r="Q8" s="3">
        <v>3.97635312792247</v>
      </c>
      <c r="R8" s="3">
        <v>3.3665221017291298</v>
      </c>
      <c r="S8" s="3">
        <v>2.94345571624328</v>
      </c>
      <c r="T8" s="3">
        <v>2.4410974639726799</v>
      </c>
      <c r="U8" s="3">
        <v>2.9577987548176399</v>
      </c>
      <c r="V8" s="3" t="e">
        <v>#N/A</v>
      </c>
    </row>
    <row r="9" spans="1:22" x14ac:dyDescent="0.35">
      <c r="A9" s="2">
        <v>41915</v>
      </c>
      <c r="B9" s="3" t="e">
        <v>#N/A</v>
      </c>
      <c r="C9" s="3">
        <v>3.1868797759318599</v>
      </c>
      <c r="D9" s="3">
        <v>2.64584908914965</v>
      </c>
      <c r="E9" s="3">
        <v>2.2139952639349301</v>
      </c>
      <c r="F9" s="3">
        <v>4.0432303439435904</v>
      </c>
      <c r="G9" s="3">
        <v>2.27479972547513</v>
      </c>
      <c r="H9" s="3">
        <v>3.2085672010938402</v>
      </c>
      <c r="I9" s="3">
        <v>3.4321231206703602</v>
      </c>
      <c r="J9" s="3" t="e">
        <v>#N/A</v>
      </c>
      <c r="K9" s="3">
        <v>1.4058736308866699</v>
      </c>
      <c r="L9" s="3">
        <v>3.89601460232443</v>
      </c>
      <c r="M9" s="3">
        <v>3.4793795203217401</v>
      </c>
      <c r="N9" s="3">
        <v>2.3225463274882898</v>
      </c>
      <c r="O9" s="3">
        <v>1.5709433335824601</v>
      </c>
      <c r="P9" s="3">
        <v>3.7653575880084298</v>
      </c>
      <c r="Q9" s="3">
        <v>4.0139264986129204</v>
      </c>
      <c r="R9" s="3">
        <v>3.3874915208006202</v>
      </c>
      <c r="S9" s="3">
        <v>3.2254309164601001</v>
      </c>
      <c r="T9" s="3">
        <v>2.6074527250355701</v>
      </c>
      <c r="U9" s="3">
        <v>2.9021212048559799</v>
      </c>
      <c r="V9" s="3" t="e">
        <v>#N/A</v>
      </c>
    </row>
    <row r="10" spans="1:22" x14ac:dyDescent="0.35">
      <c r="A10" s="2">
        <v>41947</v>
      </c>
      <c r="B10" s="3" t="e">
        <v>#N/A</v>
      </c>
      <c r="C10" s="3">
        <v>3.0475939286203801</v>
      </c>
      <c r="D10" s="3">
        <v>2.59766474183676</v>
      </c>
      <c r="E10" s="3">
        <v>2.1753044419523802</v>
      </c>
      <c r="F10" s="3">
        <v>3.9614920741622099</v>
      </c>
      <c r="G10" s="3">
        <v>2.2532558422727198</v>
      </c>
      <c r="H10" s="3">
        <v>3.2092120588526201</v>
      </c>
      <c r="I10" s="3">
        <v>3.47149432314766</v>
      </c>
      <c r="J10" s="3" t="e">
        <v>#N/A</v>
      </c>
      <c r="K10" s="3">
        <v>1.4399267501011199</v>
      </c>
      <c r="L10" s="3">
        <v>3.75127121161281</v>
      </c>
      <c r="M10" s="3">
        <v>3.32744707260425</v>
      </c>
      <c r="N10" s="3">
        <v>2.6024134935455701</v>
      </c>
      <c r="O10" s="3">
        <v>1.54952037918063</v>
      </c>
      <c r="P10" s="3">
        <v>3.6429681308177502</v>
      </c>
      <c r="Q10" s="3">
        <v>4.02998536938229</v>
      </c>
      <c r="R10" s="3">
        <v>3.3416793700867098</v>
      </c>
      <c r="S10" s="3">
        <v>2.94196046125513</v>
      </c>
      <c r="T10" s="3">
        <v>2.78211159955459</v>
      </c>
      <c r="U10" s="3">
        <v>2.87200395663863</v>
      </c>
      <c r="V10" s="3" t="e">
        <v>#N/A</v>
      </c>
    </row>
    <row r="11" spans="1:22" x14ac:dyDescent="0.35">
      <c r="A11" s="2">
        <v>41977</v>
      </c>
      <c r="B11" s="3" t="e">
        <v>#N/A</v>
      </c>
      <c r="C11" s="3">
        <v>3.0787296845154701</v>
      </c>
      <c r="D11" s="3">
        <v>2.4736611401615498</v>
      </c>
      <c r="E11" s="3">
        <v>2.1290942427453001</v>
      </c>
      <c r="F11" s="3">
        <v>3.8985344780506801</v>
      </c>
      <c r="G11" s="3">
        <v>2.0282227572102398</v>
      </c>
      <c r="H11" s="3">
        <v>3.3435063837618202</v>
      </c>
      <c r="I11" s="3">
        <v>3.38520497414904</v>
      </c>
      <c r="J11" s="3" t="e">
        <v>#N/A</v>
      </c>
      <c r="K11" s="3">
        <v>1.3687868415592199</v>
      </c>
      <c r="L11" s="3">
        <v>3.9391157751397698</v>
      </c>
      <c r="M11" s="3">
        <v>3.3970571876424902</v>
      </c>
      <c r="N11" s="3">
        <v>2.4641557626881898</v>
      </c>
      <c r="O11" s="3">
        <v>1.5173081953146501</v>
      </c>
      <c r="P11" s="3">
        <v>3.4908701073524702</v>
      </c>
      <c r="Q11" s="3">
        <v>4.3032250761545399</v>
      </c>
      <c r="R11" s="3">
        <v>3.3070462097136599</v>
      </c>
      <c r="S11" s="3">
        <v>2.71412117759288</v>
      </c>
      <c r="T11" s="3">
        <v>3.1428119534400598</v>
      </c>
      <c r="U11" s="3">
        <v>3.1294958476996402</v>
      </c>
      <c r="V11" s="3" t="e">
        <v>#N/A</v>
      </c>
    </row>
    <row r="12" spans="1:22" x14ac:dyDescent="0.35">
      <c r="A12" s="2">
        <v>42006</v>
      </c>
      <c r="B12" s="3" t="e">
        <v>#N/A</v>
      </c>
      <c r="C12" s="3">
        <v>3.1532594037606598</v>
      </c>
      <c r="D12" s="3">
        <v>2.4657082593453099</v>
      </c>
      <c r="E12" s="3">
        <v>2.1505900409677299</v>
      </c>
      <c r="F12" s="3">
        <v>4.0472864899573304</v>
      </c>
      <c r="G12" s="3">
        <v>2.1362845338949001</v>
      </c>
      <c r="H12" s="3">
        <v>3.3143315380278402</v>
      </c>
      <c r="I12" s="3">
        <v>3.4177332804340499</v>
      </c>
      <c r="J12" s="3" t="e">
        <v>#N/A</v>
      </c>
      <c r="K12" s="3">
        <v>1.4574651601280799</v>
      </c>
      <c r="L12" s="3">
        <v>4.2424384548945104</v>
      </c>
      <c r="M12" s="3">
        <v>3.3353730438090401</v>
      </c>
      <c r="N12" s="3">
        <v>3.37966910399081</v>
      </c>
      <c r="O12" s="3">
        <v>1.5601385006475099</v>
      </c>
      <c r="P12" s="3">
        <v>3.3142329621891702</v>
      </c>
      <c r="Q12" s="3">
        <v>4.4478774477711998</v>
      </c>
      <c r="R12" s="3">
        <v>3.4978923102795498</v>
      </c>
      <c r="S12" s="3">
        <v>2.7613663286970498</v>
      </c>
      <c r="T12" s="3">
        <v>3.4367824259496098</v>
      </c>
      <c r="U12" s="3">
        <v>3.12925811135504</v>
      </c>
      <c r="V12" s="3" t="e">
        <v>#N/A</v>
      </c>
    </row>
    <row r="13" spans="1:22" x14ac:dyDescent="0.35">
      <c r="A13" s="2">
        <v>42039</v>
      </c>
      <c r="B13" s="3" t="e">
        <v>#N/A</v>
      </c>
      <c r="C13" s="3">
        <v>3.1776090076926402</v>
      </c>
      <c r="D13" s="3">
        <v>2.4017586566928601</v>
      </c>
      <c r="E13" s="3">
        <v>2.0574395040865099</v>
      </c>
      <c r="F13" s="3">
        <v>3.8284664652637002</v>
      </c>
      <c r="G13" s="3">
        <v>2.1897312801542599</v>
      </c>
      <c r="H13" s="3">
        <v>3.2295821778074698</v>
      </c>
      <c r="I13" s="3">
        <v>3.40615992718089</v>
      </c>
      <c r="J13" s="3" t="e">
        <v>#N/A</v>
      </c>
      <c r="K13" s="3">
        <v>1.5730759471587401</v>
      </c>
      <c r="L13" s="3">
        <v>4.0553090245908896</v>
      </c>
      <c r="M13" s="3">
        <v>3.1229129501892299</v>
      </c>
      <c r="N13" s="3">
        <v>3.2083318025972298</v>
      </c>
      <c r="O13" s="3">
        <v>1.4978854340960499</v>
      </c>
      <c r="P13" s="3">
        <v>3.1416158299534298</v>
      </c>
      <c r="Q13" s="3">
        <v>4.2324348159227103</v>
      </c>
      <c r="R13" s="3">
        <v>3.17797731968925</v>
      </c>
      <c r="S13" s="3">
        <v>2.8612908789359199</v>
      </c>
      <c r="T13" s="3">
        <v>3.4063125433720902</v>
      </c>
      <c r="U13" s="3">
        <v>3.02279122078422</v>
      </c>
      <c r="V13" s="3" t="e">
        <v>#N/A</v>
      </c>
    </row>
    <row r="14" spans="1:22" x14ac:dyDescent="0.35">
      <c r="A14" s="2">
        <v>42067</v>
      </c>
      <c r="B14" s="3" t="e">
        <v>#N/A</v>
      </c>
      <c r="C14" s="3">
        <v>3.1999110066261802</v>
      </c>
      <c r="D14" s="3">
        <v>2.2991478901834599</v>
      </c>
      <c r="E14" s="3">
        <v>1.90163273707151</v>
      </c>
      <c r="F14" s="3">
        <v>3.7314770257930299</v>
      </c>
      <c r="G14" s="3">
        <v>2.2285569878179601</v>
      </c>
      <c r="H14" s="3">
        <v>3.1399014697039598</v>
      </c>
      <c r="I14" s="3">
        <v>3.3854505065086098</v>
      </c>
      <c r="J14" s="3" t="e">
        <v>#N/A</v>
      </c>
      <c r="K14" s="3">
        <v>1.5642886976371699</v>
      </c>
      <c r="L14" s="3">
        <v>3.9988263597140699</v>
      </c>
      <c r="M14" s="3">
        <v>3.0925170910281499</v>
      </c>
      <c r="N14" s="3">
        <v>3.2767089955603099</v>
      </c>
      <c r="O14" s="3">
        <v>1.4593627340736099</v>
      </c>
      <c r="P14" s="3">
        <v>3.1339730951486899</v>
      </c>
      <c r="Q14" s="3">
        <v>4.2726934374518404</v>
      </c>
      <c r="R14" s="3">
        <v>3.2747754662136002</v>
      </c>
      <c r="S14" s="3">
        <v>2.9522843738</v>
      </c>
      <c r="T14" s="3">
        <v>3.45999795550253</v>
      </c>
      <c r="U14" s="3">
        <v>3.0747616963877098</v>
      </c>
      <c r="V14" s="3" t="e">
        <v>#N/A</v>
      </c>
    </row>
    <row r="15" spans="1:22" x14ac:dyDescent="0.35">
      <c r="A15" s="2">
        <v>42096</v>
      </c>
      <c r="B15" s="3" t="e">
        <v>#N/A</v>
      </c>
      <c r="C15" s="3">
        <v>3.2166468071951999</v>
      </c>
      <c r="D15" s="3">
        <v>2.3046566806843001</v>
      </c>
      <c r="E15" s="3">
        <v>1.8684857433159501</v>
      </c>
      <c r="F15" s="3">
        <v>3.4756114137799101</v>
      </c>
      <c r="G15" s="3">
        <v>2.3726353734773298</v>
      </c>
      <c r="H15" s="3">
        <v>3.1539287298374301</v>
      </c>
      <c r="I15" s="3">
        <v>3.5391769688927299</v>
      </c>
      <c r="J15" s="3" t="e">
        <v>#N/A</v>
      </c>
      <c r="K15" s="3">
        <v>1.55605808384862</v>
      </c>
      <c r="L15" s="3">
        <v>3.7308171470664799</v>
      </c>
      <c r="M15" s="3">
        <v>3.0169152750530399</v>
      </c>
      <c r="N15" s="3">
        <v>3.3934620617001099</v>
      </c>
      <c r="O15" s="3">
        <v>1.5447622529270599</v>
      </c>
      <c r="P15" s="3">
        <v>2.8558910589319901</v>
      </c>
      <c r="Q15" s="3">
        <v>4.5888263872417703</v>
      </c>
      <c r="R15" s="3">
        <v>3.3923883675153101</v>
      </c>
      <c r="S15" s="3">
        <v>2.99202226664555</v>
      </c>
      <c r="T15" s="3">
        <v>3.5345801881336798</v>
      </c>
      <c r="U15" s="3">
        <v>3.0347531101886598</v>
      </c>
      <c r="V15" s="3" t="e">
        <v>#N/A</v>
      </c>
    </row>
    <row r="16" spans="1:22" x14ac:dyDescent="0.35">
      <c r="A16" s="2">
        <v>42128</v>
      </c>
      <c r="B16" s="3" t="e">
        <v>#N/A</v>
      </c>
      <c r="C16" s="3">
        <v>3.2105651744360801</v>
      </c>
      <c r="D16" s="3">
        <v>2.4467644387362699</v>
      </c>
      <c r="E16" s="3">
        <v>1.9188699960195701</v>
      </c>
      <c r="F16" s="3">
        <v>3.3077585056716101</v>
      </c>
      <c r="G16" s="3">
        <v>1.86831297716611</v>
      </c>
      <c r="H16" s="3">
        <v>3.1493660898767</v>
      </c>
      <c r="I16" s="3">
        <v>3.4822528195010398</v>
      </c>
      <c r="J16" s="3" t="e">
        <v>#N/A</v>
      </c>
      <c r="K16" s="3">
        <v>1.5324017605901401</v>
      </c>
      <c r="L16" s="3">
        <v>3.5447134652329599</v>
      </c>
      <c r="M16" s="3">
        <v>3.0039912726640301</v>
      </c>
      <c r="N16" s="3">
        <v>3.20333765305082</v>
      </c>
      <c r="O16" s="3">
        <v>1.65236206734465</v>
      </c>
      <c r="P16" s="3">
        <v>2.4834461844761102</v>
      </c>
      <c r="Q16" s="3">
        <v>4.5129396214785302</v>
      </c>
      <c r="R16" s="3">
        <v>3.3999442675239102</v>
      </c>
      <c r="S16" s="3">
        <v>2.89982571757242</v>
      </c>
      <c r="T16" s="3">
        <v>3.2095960513260602</v>
      </c>
      <c r="U16" s="3">
        <v>3.0162524155554</v>
      </c>
      <c r="V16" s="3" t="e">
        <v>#N/A</v>
      </c>
    </row>
    <row r="17" spans="1:22" x14ac:dyDescent="0.35">
      <c r="A17" s="2">
        <v>42159</v>
      </c>
      <c r="B17" s="3" t="e">
        <v>#N/A</v>
      </c>
      <c r="C17" s="3">
        <v>3.4971069683196001</v>
      </c>
      <c r="D17" s="3">
        <v>2.4064016417494201</v>
      </c>
      <c r="E17" s="3">
        <v>1.9967906647395699</v>
      </c>
      <c r="F17" s="3">
        <v>3.5014651808072901</v>
      </c>
      <c r="G17" s="3">
        <v>1.8921713842314301</v>
      </c>
      <c r="H17" s="3">
        <v>3.2438569923412</v>
      </c>
      <c r="I17" s="3">
        <v>3.8427959927272202</v>
      </c>
      <c r="J17" s="3" t="e">
        <v>#N/A</v>
      </c>
      <c r="K17" s="3">
        <v>1.62468664506958</v>
      </c>
      <c r="L17" s="3">
        <v>3.8598430286683199</v>
      </c>
      <c r="M17" s="3">
        <v>3.3057202182807499</v>
      </c>
      <c r="N17" s="3">
        <v>3.29833795773011</v>
      </c>
      <c r="O17" s="3">
        <v>1.6937050010265799</v>
      </c>
      <c r="P17" s="3">
        <v>2.63028435179511</v>
      </c>
      <c r="Q17" s="3">
        <v>4.5752403972996802</v>
      </c>
      <c r="R17" s="3">
        <v>3.4641385164634801</v>
      </c>
      <c r="S17" s="3">
        <v>2.9732054945980901</v>
      </c>
      <c r="T17" s="3">
        <v>3.4786822048643602</v>
      </c>
      <c r="U17" s="3">
        <v>2.7488591524018999</v>
      </c>
      <c r="V17" s="3" t="e">
        <v>#N/A</v>
      </c>
    </row>
    <row r="18" spans="1:22" x14ac:dyDescent="0.35">
      <c r="A18" s="2">
        <v>42187</v>
      </c>
      <c r="B18" s="3" t="e">
        <v>#N/A</v>
      </c>
      <c r="C18" s="3">
        <v>3.6394719861399101</v>
      </c>
      <c r="D18" s="3">
        <v>2.44327562076101</v>
      </c>
      <c r="E18" s="3">
        <v>1.9075665609458301</v>
      </c>
      <c r="F18" s="3">
        <v>3.6463448714103501</v>
      </c>
      <c r="G18" s="3">
        <v>1.99453272198696</v>
      </c>
      <c r="H18" s="3">
        <v>3.2594032098575001</v>
      </c>
      <c r="I18" s="3">
        <v>3.8460515044346102</v>
      </c>
      <c r="J18" s="3" t="e">
        <v>#N/A</v>
      </c>
      <c r="K18" s="3">
        <v>1.6390180954792899</v>
      </c>
      <c r="L18" s="3">
        <v>3.8225975138755701</v>
      </c>
      <c r="M18" s="3">
        <v>3.1249625612426399</v>
      </c>
      <c r="N18" s="3">
        <v>3.2894828649753798</v>
      </c>
      <c r="O18" s="3">
        <v>1.5560039116189199</v>
      </c>
      <c r="P18" s="3">
        <v>2.88602010857243</v>
      </c>
      <c r="Q18" s="3">
        <v>4.6077244445987402</v>
      </c>
      <c r="R18" s="3">
        <v>3.46184241893181</v>
      </c>
      <c r="S18" s="3">
        <v>3.04302444072222</v>
      </c>
      <c r="T18" s="3">
        <v>3.4803319484002402</v>
      </c>
      <c r="U18" s="3">
        <v>3.25016290207303</v>
      </c>
      <c r="V18" s="3" t="e">
        <v>#N/A</v>
      </c>
    </row>
    <row r="19" spans="1:22" x14ac:dyDescent="0.35">
      <c r="A19" s="2">
        <v>42220</v>
      </c>
      <c r="B19" s="3" t="e">
        <v>#N/A</v>
      </c>
      <c r="C19" s="3">
        <v>3.5868994029236001</v>
      </c>
      <c r="D19" s="3">
        <v>2.4959068700176101</v>
      </c>
      <c r="E19" s="3">
        <v>1.88112551784934</v>
      </c>
      <c r="F19" s="3">
        <v>3.6477548808894</v>
      </c>
      <c r="G19" s="3">
        <v>2.0956408572149301</v>
      </c>
      <c r="H19" s="3">
        <v>3.2733129958884599</v>
      </c>
      <c r="I19" s="3">
        <v>4.1551581691043804</v>
      </c>
      <c r="J19" s="3" t="e">
        <v>#N/A</v>
      </c>
      <c r="K19" s="3">
        <v>1.74645095305986</v>
      </c>
      <c r="L19" s="3">
        <v>3.8840459280839701</v>
      </c>
      <c r="M19" s="3">
        <v>3.1993797496813201</v>
      </c>
      <c r="N19" s="3">
        <v>4.13386997787459</v>
      </c>
      <c r="O19" s="3">
        <v>1.54719934270099</v>
      </c>
      <c r="P19" s="3">
        <v>3.2574389908122301</v>
      </c>
      <c r="Q19" s="3">
        <v>4.7588089164606302</v>
      </c>
      <c r="R19" s="3">
        <v>3.5484845727882601</v>
      </c>
      <c r="S19" s="3">
        <v>3.1361713208611302</v>
      </c>
      <c r="T19" s="3">
        <v>3.5257362863420201</v>
      </c>
      <c r="U19" s="3">
        <v>4.1713981424278304</v>
      </c>
      <c r="V19" s="3" t="e">
        <v>#N/A</v>
      </c>
    </row>
    <row r="20" spans="1:22" x14ac:dyDescent="0.35">
      <c r="A20" s="2">
        <v>42251</v>
      </c>
      <c r="B20" s="3" t="e">
        <v>#N/A</v>
      </c>
      <c r="C20" s="3">
        <v>3.6054600813613602</v>
      </c>
      <c r="D20" s="3">
        <v>2.7183587051044502</v>
      </c>
      <c r="E20" s="3">
        <v>2.0616710352475001</v>
      </c>
      <c r="F20" s="3">
        <v>3.72861278105034</v>
      </c>
      <c r="G20" s="3">
        <v>2.4045093359933198</v>
      </c>
      <c r="H20" s="3">
        <v>3.5201224317369499</v>
      </c>
      <c r="I20" s="3">
        <v>4.4501603711200097</v>
      </c>
      <c r="J20" s="3" t="e">
        <v>#N/A</v>
      </c>
      <c r="K20" s="3">
        <v>1.8783028326147</v>
      </c>
      <c r="L20" s="3">
        <v>4.2966334610592698</v>
      </c>
      <c r="M20" s="3">
        <v>3.4314087666344699</v>
      </c>
      <c r="N20" s="3">
        <v>3.7775970278969599</v>
      </c>
      <c r="O20" s="3">
        <v>1.70162504673475</v>
      </c>
      <c r="P20" s="3">
        <v>3.6724645837935199</v>
      </c>
      <c r="Q20" s="3">
        <v>5.0198826589123602</v>
      </c>
      <c r="R20" s="3">
        <v>3.66896167729805</v>
      </c>
      <c r="S20" s="3">
        <v>3.4088565156809101</v>
      </c>
      <c r="T20" s="3">
        <v>4.0617957887599596</v>
      </c>
      <c r="U20" s="3">
        <v>3.6207400913401302</v>
      </c>
      <c r="V20" s="3" t="e">
        <v>#N/A</v>
      </c>
    </row>
    <row r="21" spans="1:22" x14ac:dyDescent="0.35">
      <c r="A21" s="2">
        <v>42279</v>
      </c>
      <c r="B21" s="3" t="e">
        <v>#N/A</v>
      </c>
      <c r="C21" s="3">
        <v>3.8204556473079299</v>
      </c>
      <c r="D21" s="3">
        <v>2.9225730579804199</v>
      </c>
      <c r="E21" s="3">
        <v>2.0985291637299199</v>
      </c>
      <c r="F21" s="3">
        <v>3.87133944062899</v>
      </c>
      <c r="G21" s="3">
        <v>2.5066616693072699</v>
      </c>
      <c r="H21" s="3">
        <v>3.3981744865651899</v>
      </c>
      <c r="I21" s="3">
        <v>4.3079281181377098</v>
      </c>
      <c r="J21" s="3" t="e">
        <v>#N/A</v>
      </c>
      <c r="K21" s="3">
        <v>1.79908719145489</v>
      </c>
      <c r="L21" s="3">
        <v>4.0610712067454697</v>
      </c>
      <c r="M21" s="3">
        <v>3.3621389618983102</v>
      </c>
      <c r="N21" s="3">
        <v>3.2864858597481699</v>
      </c>
      <c r="O21" s="3">
        <v>1.6741787913183901</v>
      </c>
      <c r="P21" s="3">
        <v>3.4217234847187701</v>
      </c>
      <c r="Q21" s="3">
        <v>4.9419099881394297</v>
      </c>
      <c r="R21" s="3">
        <v>3.7591529915842701</v>
      </c>
      <c r="S21" s="3">
        <v>3.4250069635294</v>
      </c>
      <c r="T21" s="3">
        <v>3.91227949880285</v>
      </c>
      <c r="U21" s="3">
        <v>3.4881497650374</v>
      </c>
      <c r="V21" s="3">
        <v>4.5499271026454897</v>
      </c>
    </row>
    <row r="22" spans="1:22" x14ac:dyDescent="0.35">
      <c r="A22" s="2">
        <v>42312</v>
      </c>
      <c r="B22" s="3" t="e">
        <v>#N/A</v>
      </c>
      <c r="C22" s="3">
        <v>3.4657770852735199</v>
      </c>
      <c r="D22" s="3">
        <v>2.51141570097891</v>
      </c>
      <c r="E22" s="3">
        <v>1.9599051305839199</v>
      </c>
      <c r="F22" s="3">
        <v>3.70560446508135</v>
      </c>
      <c r="G22" s="3">
        <v>2.30824313872436</v>
      </c>
      <c r="H22" s="3">
        <v>3.2678818498227402</v>
      </c>
      <c r="I22" s="3">
        <v>3.9386446311150598</v>
      </c>
      <c r="J22" s="3" t="e">
        <v>#N/A</v>
      </c>
      <c r="K22" s="3">
        <v>1.7824762127020399</v>
      </c>
      <c r="L22" s="3">
        <v>3.8772840537865401</v>
      </c>
      <c r="M22" s="3">
        <v>3.2001072355275499</v>
      </c>
      <c r="N22" s="3">
        <v>2.9012135098428899</v>
      </c>
      <c r="O22" s="3">
        <v>1.6764030858355801</v>
      </c>
      <c r="P22" s="3">
        <v>3.15158947956512</v>
      </c>
      <c r="Q22" s="3">
        <v>4.8522997394017002</v>
      </c>
      <c r="R22" s="3">
        <v>3.5702479394164</v>
      </c>
      <c r="S22" s="3">
        <v>3.0150428740417001</v>
      </c>
      <c r="T22" s="3">
        <v>4.1327330797514401</v>
      </c>
      <c r="U22" s="3">
        <v>3.1750697326462798</v>
      </c>
      <c r="V22" s="3">
        <v>4.6959200545444997</v>
      </c>
    </row>
    <row r="23" spans="1:22" x14ac:dyDescent="0.35">
      <c r="A23" s="2">
        <v>42342</v>
      </c>
      <c r="B23" s="3" t="e">
        <v>#N/A</v>
      </c>
      <c r="C23" s="3">
        <v>3.73539122676145</v>
      </c>
      <c r="D23" s="3">
        <v>2.5310364568457899</v>
      </c>
      <c r="E23" s="3">
        <v>1.9668800845071399</v>
      </c>
      <c r="F23" s="3">
        <v>4.1413128568113597</v>
      </c>
      <c r="G23" s="3">
        <v>2.3832039046996698</v>
      </c>
      <c r="H23" s="3">
        <v>3.2831493306349602</v>
      </c>
      <c r="I23" s="3">
        <v>4.18351519242003</v>
      </c>
      <c r="J23" s="3" t="e">
        <v>#N/A</v>
      </c>
      <c r="K23" s="3">
        <v>1.9020810393679199</v>
      </c>
      <c r="L23" s="3">
        <v>4.0442292653890703</v>
      </c>
      <c r="M23" s="3">
        <v>3.54593013855329</v>
      </c>
      <c r="N23" s="3">
        <v>2.9443659162429299</v>
      </c>
      <c r="O23" s="3">
        <v>1.7400802228596399</v>
      </c>
      <c r="P23" s="3">
        <v>3.2682451892048001</v>
      </c>
      <c r="Q23" s="3">
        <v>5.4452379190078597</v>
      </c>
      <c r="R23" s="3">
        <v>3.7877473686809102</v>
      </c>
      <c r="S23" s="3">
        <v>3.4771474579861099</v>
      </c>
      <c r="T23" s="3">
        <v>4.3904190192410404</v>
      </c>
      <c r="U23" s="3">
        <v>2.4007115020182299</v>
      </c>
      <c r="V23" s="3">
        <v>4.5194390639336097</v>
      </c>
    </row>
    <row r="24" spans="1:22" x14ac:dyDescent="0.35">
      <c r="A24" s="2">
        <v>42373</v>
      </c>
      <c r="B24" s="3" t="e">
        <v>#N/A</v>
      </c>
      <c r="C24" s="3">
        <v>3.8828580987530401</v>
      </c>
      <c r="D24" s="3">
        <v>2.5305129074193098</v>
      </c>
      <c r="E24" s="3">
        <v>1.9962117516814899</v>
      </c>
      <c r="F24" s="3">
        <v>4.2155529069284601</v>
      </c>
      <c r="G24" s="3">
        <v>2.66347140746372</v>
      </c>
      <c r="H24" s="3">
        <v>3.32015960187959</v>
      </c>
      <c r="I24" s="3">
        <v>4.3981206580457801</v>
      </c>
      <c r="J24" s="3">
        <v>2.1180787579901899</v>
      </c>
      <c r="K24" s="3">
        <v>1.99806118445332</v>
      </c>
      <c r="L24" s="3">
        <v>4.2972811756296601</v>
      </c>
      <c r="M24" s="3">
        <v>3.58973654261791</v>
      </c>
      <c r="N24" s="3">
        <v>2.6702160654604099</v>
      </c>
      <c r="O24" s="3">
        <v>1.7107942325132599</v>
      </c>
      <c r="P24" s="3">
        <v>2.9939749679103498</v>
      </c>
      <c r="Q24" s="3">
        <v>5.5431271682044096</v>
      </c>
      <c r="R24" s="3">
        <v>3.9214112033356598</v>
      </c>
      <c r="S24" s="3">
        <v>3.68427722281529</v>
      </c>
      <c r="T24" s="3">
        <v>4.2884182549099599</v>
      </c>
      <c r="U24" s="3" t="e">
        <v>#N/A</v>
      </c>
      <c r="V24" s="3">
        <v>4.7670179541237196</v>
      </c>
    </row>
    <row r="25" spans="1:22" x14ac:dyDescent="0.35">
      <c r="A25" s="2">
        <v>42404</v>
      </c>
      <c r="B25" s="3" t="e">
        <v>#N/A</v>
      </c>
      <c r="C25" s="3">
        <v>3.71981577465638</v>
      </c>
      <c r="D25" s="3">
        <v>2.4691270084649002</v>
      </c>
      <c r="E25" s="3">
        <v>2.0354479117699902</v>
      </c>
      <c r="F25" s="3">
        <v>4.1285291457308304</v>
      </c>
      <c r="G25" s="3">
        <v>2.6125957436656799</v>
      </c>
      <c r="H25" s="3">
        <v>3.2604648328589501</v>
      </c>
      <c r="I25" s="3">
        <v>4.4133065148361696</v>
      </c>
      <c r="J25" s="3">
        <v>2.0881168543572302</v>
      </c>
      <c r="K25" s="3">
        <v>1.9619654196134799</v>
      </c>
      <c r="L25" s="3">
        <v>4.3159134607980603</v>
      </c>
      <c r="M25" s="3">
        <v>3.5032253358940202</v>
      </c>
      <c r="N25" s="3">
        <v>2.9593487820911699</v>
      </c>
      <c r="O25" s="3">
        <v>1.79322701463524</v>
      </c>
      <c r="P25" s="3">
        <v>3.2820894511471601</v>
      </c>
      <c r="Q25" s="3">
        <v>5.69188641052755</v>
      </c>
      <c r="R25" s="3">
        <v>3.67355288233736</v>
      </c>
      <c r="S25" s="3">
        <v>3.4835543833131002</v>
      </c>
      <c r="T25" s="3">
        <v>4.4282340563767404</v>
      </c>
      <c r="U25" s="3" t="e">
        <v>#N/A</v>
      </c>
      <c r="V25" s="3">
        <v>5.1521613291402302</v>
      </c>
    </row>
    <row r="26" spans="1:22" x14ac:dyDescent="0.35">
      <c r="A26" s="2">
        <v>42433</v>
      </c>
      <c r="B26" s="3" t="e">
        <v>#N/A</v>
      </c>
      <c r="C26" s="3">
        <v>3.5570107861970799</v>
      </c>
      <c r="D26" s="3">
        <v>2.3731324804316301</v>
      </c>
      <c r="E26" s="3">
        <v>1.9584864504798201</v>
      </c>
      <c r="F26" s="3">
        <v>3.9321519143677501</v>
      </c>
      <c r="G26" s="3">
        <v>2.1743868196839702</v>
      </c>
      <c r="H26" s="3">
        <v>3.1048116720668402</v>
      </c>
      <c r="I26" s="3">
        <v>4.2040820159135102</v>
      </c>
      <c r="J26" s="3">
        <v>2.0550238040033699</v>
      </c>
      <c r="K26" s="3">
        <v>1.9296290368857201</v>
      </c>
      <c r="L26" s="3">
        <v>3.5946753044823101</v>
      </c>
      <c r="M26" s="3">
        <v>3.34780948665184</v>
      </c>
      <c r="N26" s="3">
        <v>2.7976915577761301</v>
      </c>
      <c r="O26" s="3">
        <v>1.7591084551202201</v>
      </c>
      <c r="P26" s="3">
        <v>3.1167437987966098</v>
      </c>
      <c r="Q26" s="3">
        <v>4.7550331398131602</v>
      </c>
      <c r="R26" s="3">
        <v>3.4196572141653201</v>
      </c>
      <c r="S26" s="3">
        <v>3.2803423607768298</v>
      </c>
      <c r="T26" s="3">
        <v>4.02498502493766</v>
      </c>
      <c r="U26" s="3">
        <v>2.6790361383758601</v>
      </c>
      <c r="V26" s="3">
        <v>4.79845570081548</v>
      </c>
    </row>
    <row r="27" spans="1:22" x14ac:dyDescent="0.35">
      <c r="A27" s="2">
        <v>42464</v>
      </c>
      <c r="B27" s="3" t="e">
        <v>#N/A</v>
      </c>
      <c r="C27" s="3">
        <v>3.4387921247558402</v>
      </c>
      <c r="D27" s="3">
        <v>2.3813997054413498</v>
      </c>
      <c r="E27" s="3">
        <v>1.7822684900729699</v>
      </c>
      <c r="F27" s="3">
        <v>3.6119151006668302</v>
      </c>
      <c r="G27" s="3">
        <v>2.1624751692411901</v>
      </c>
      <c r="H27" s="3">
        <v>3.03153800615455</v>
      </c>
      <c r="I27" s="3">
        <v>4.1768722074189402</v>
      </c>
      <c r="J27" s="3">
        <v>2.0360952659071301</v>
      </c>
      <c r="K27" s="3">
        <v>1.93666777476755</v>
      </c>
      <c r="L27" s="3">
        <v>3.3217184666401298</v>
      </c>
      <c r="M27" s="3">
        <v>3.25235608194654</v>
      </c>
      <c r="N27" s="3">
        <v>3.4032124299410098</v>
      </c>
      <c r="O27" s="3">
        <v>1.7334075212101001</v>
      </c>
      <c r="P27" s="3">
        <v>2.9503516771874301</v>
      </c>
      <c r="Q27" s="3">
        <v>4.2750357586973298</v>
      </c>
      <c r="R27" s="3">
        <v>3.3824740066221102</v>
      </c>
      <c r="S27" s="3">
        <v>3.1168883826850502</v>
      </c>
      <c r="T27" s="3">
        <v>3.9407554448711699</v>
      </c>
      <c r="U27" s="3">
        <v>3.1435952991712202</v>
      </c>
      <c r="V27" s="3">
        <v>4.6846409987589297</v>
      </c>
    </row>
    <row r="28" spans="1:22" x14ac:dyDescent="0.35">
      <c r="A28" s="2">
        <v>42494</v>
      </c>
      <c r="B28" s="3" t="e">
        <v>#N/A</v>
      </c>
      <c r="C28" s="3">
        <v>3.2830006751909102</v>
      </c>
      <c r="D28" s="3">
        <v>2.4391685995435499</v>
      </c>
      <c r="E28" s="3">
        <v>1.8456219680186201</v>
      </c>
      <c r="F28" s="3">
        <v>3.7561318071736398</v>
      </c>
      <c r="G28" s="3">
        <v>1.78863517622462</v>
      </c>
      <c r="H28" s="3">
        <v>3.1693245098603602</v>
      </c>
      <c r="I28" s="3">
        <v>4.5446104954778503</v>
      </c>
      <c r="J28" s="3">
        <v>2.0755127275395102</v>
      </c>
      <c r="K28" s="3">
        <v>1.9595992143941501</v>
      </c>
      <c r="L28" s="3">
        <v>3.3216664291290998</v>
      </c>
      <c r="M28" s="3">
        <v>3.3640131111563401</v>
      </c>
      <c r="N28" s="3">
        <v>3.0273168506695698</v>
      </c>
      <c r="O28" s="3">
        <v>1.7238388528500901</v>
      </c>
      <c r="P28" s="3">
        <v>2.9713531361196499</v>
      </c>
      <c r="Q28" s="3">
        <v>4.4564720709633496</v>
      </c>
      <c r="R28" s="3">
        <v>3.4267875031845301</v>
      </c>
      <c r="S28" s="3">
        <v>3.4249876421150902</v>
      </c>
      <c r="T28" s="3">
        <v>4.1371702538234896</v>
      </c>
      <c r="U28" s="3">
        <v>3.12851748742073</v>
      </c>
      <c r="V28" s="3">
        <v>4.2508437110793196</v>
      </c>
    </row>
    <row r="29" spans="1:22" x14ac:dyDescent="0.35">
      <c r="A29" s="2">
        <v>42524</v>
      </c>
      <c r="B29" s="3" t="e">
        <v>#N/A</v>
      </c>
      <c r="C29" s="3">
        <v>3.26816291909631</v>
      </c>
      <c r="D29" s="3">
        <v>2.3742016967439601</v>
      </c>
      <c r="E29" s="3">
        <v>1.7025938397343501</v>
      </c>
      <c r="F29" s="3">
        <v>3.8583554712838399</v>
      </c>
      <c r="G29" s="3">
        <v>1.8837229571698799</v>
      </c>
      <c r="H29" s="3">
        <v>3.0799669041715201</v>
      </c>
      <c r="I29" s="3">
        <v>4.22304342834836</v>
      </c>
      <c r="J29" s="3">
        <v>2.09499204406732</v>
      </c>
      <c r="K29" s="3">
        <v>1.9639789997475201</v>
      </c>
      <c r="L29" s="3">
        <v>3.38560871868073</v>
      </c>
      <c r="M29" s="3">
        <v>3.0935317241331899</v>
      </c>
      <c r="N29" s="3">
        <v>2.38267825655244</v>
      </c>
      <c r="O29" s="3">
        <v>1.59225982199575</v>
      </c>
      <c r="P29" s="3">
        <v>2.5889123698649801</v>
      </c>
      <c r="Q29" s="3">
        <v>4.4008078026233699</v>
      </c>
      <c r="R29" s="3">
        <v>3.2987574998198701</v>
      </c>
      <c r="S29" s="3">
        <v>3.5053034383282702</v>
      </c>
      <c r="T29" s="3">
        <v>4.0049096324475997</v>
      </c>
      <c r="U29" s="3">
        <v>3.0996404798611099</v>
      </c>
      <c r="V29" s="3">
        <v>4.0663674556255396</v>
      </c>
    </row>
    <row r="30" spans="1:22" x14ac:dyDescent="0.35">
      <c r="A30" s="2">
        <v>42552</v>
      </c>
      <c r="B30" s="3">
        <v>2.2753728585889501</v>
      </c>
      <c r="C30" s="3">
        <v>3.0715602487480602</v>
      </c>
      <c r="D30" s="3">
        <v>2.2887038452070101</v>
      </c>
      <c r="E30" s="3">
        <v>1.6661411003020099</v>
      </c>
      <c r="F30" s="3">
        <v>3.8717510702603399</v>
      </c>
      <c r="G30" s="3">
        <v>1.7839518204168401</v>
      </c>
      <c r="H30" s="3">
        <v>3.0577501382466998</v>
      </c>
      <c r="I30" s="3">
        <v>4.1462086573054</v>
      </c>
      <c r="J30" s="3">
        <v>2.0901246331729602</v>
      </c>
      <c r="K30" s="3">
        <v>1.94872055256937</v>
      </c>
      <c r="L30" s="3">
        <v>3.2695221937319299</v>
      </c>
      <c r="M30" s="3">
        <v>3.1270987618630799</v>
      </c>
      <c r="N30" s="3">
        <v>3.0587567095366501</v>
      </c>
      <c r="O30" s="3">
        <v>1.58503288594082</v>
      </c>
      <c r="P30" s="3">
        <v>2.57807331184569</v>
      </c>
      <c r="Q30" s="3">
        <v>4.2559829885096701</v>
      </c>
      <c r="R30" s="3">
        <v>3.28492608483857</v>
      </c>
      <c r="S30" s="3">
        <v>3.5139530588093901</v>
      </c>
      <c r="T30" s="3">
        <v>3.90349713956885</v>
      </c>
      <c r="U30" s="3">
        <v>3.26693633321482</v>
      </c>
      <c r="V30" s="3">
        <v>4.2553855066189801</v>
      </c>
    </row>
    <row r="31" spans="1:22" x14ac:dyDescent="0.35">
      <c r="A31" s="2">
        <v>42586</v>
      </c>
      <c r="B31" s="3">
        <v>2.2806532511069499</v>
      </c>
      <c r="C31" s="3">
        <v>2.9436514409536501</v>
      </c>
      <c r="D31" s="3">
        <v>2.1347559499736799</v>
      </c>
      <c r="E31" s="3">
        <v>1.59613379904802</v>
      </c>
      <c r="F31" s="3">
        <v>3.5467698949395898</v>
      </c>
      <c r="G31" s="3">
        <v>1.60319212744836</v>
      </c>
      <c r="H31" s="3">
        <v>3.0108128020645202</v>
      </c>
      <c r="I31" s="3">
        <v>4.0607944205825701</v>
      </c>
      <c r="J31" s="3">
        <v>2.07984231231918</v>
      </c>
      <c r="K31" s="3">
        <v>1.93091209822343</v>
      </c>
      <c r="L31" s="3">
        <v>2.8660080735695601</v>
      </c>
      <c r="M31" s="3">
        <v>2.98692694199078</v>
      </c>
      <c r="N31" s="3">
        <v>3.0113087732854802</v>
      </c>
      <c r="O31" s="3">
        <v>1.54917813942692</v>
      </c>
      <c r="P31" s="3">
        <v>2.48648404660223</v>
      </c>
      <c r="Q31" s="3">
        <v>3.9194191872780801</v>
      </c>
      <c r="R31" s="3">
        <v>3.1789093357740099</v>
      </c>
      <c r="S31" s="3">
        <v>3.62472024206643</v>
      </c>
      <c r="T31" s="3">
        <v>3.8210230931618998</v>
      </c>
      <c r="U31" s="3">
        <v>3.22179316447076</v>
      </c>
      <c r="V31" s="3">
        <v>4.43934946823597</v>
      </c>
    </row>
    <row r="32" spans="1:22" x14ac:dyDescent="0.35">
      <c r="A32" s="2">
        <v>42615</v>
      </c>
      <c r="B32" s="3">
        <v>2.1973728184805701</v>
      </c>
      <c r="C32" s="3">
        <v>2.9593218317466299</v>
      </c>
      <c r="D32" s="3">
        <v>2.21829151187021</v>
      </c>
      <c r="E32" s="3">
        <v>1.6356788755513301</v>
      </c>
      <c r="F32" s="3">
        <v>3.5938709218489899</v>
      </c>
      <c r="G32" s="3">
        <v>1.4400715239377999</v>
      </c>
      <c r="H32" s="3">
        <v>2.9439631854401598</v>
      </c>
      <c r="I32" s="3">
        <v>4.1191923679930698</v>
      </c>
      <c r="J32" s="3">
        <v>2.0565917560633502</v>
      </c>
      <c r="K32" s="3">
        <v>1.8805395316395399</v>
      </c>
      <c r="L32" s="3">
        <v>3.0585194159361699</v>
      </c>
      <c r="M32" s="3">
        <v>3.0603238299348501</v>
      </c>
      <c r="N32" s="3">
        <v>2.99073484229522</v>
      </c>
      <c r="O32" s="3">
        <v>1.5134549163772699</v>
      </c>
      <c r="P32" s="3">
        <v>2.2818757526389799</v>
      </c>
      <c r="Q32" s="3">
        <v>3.74610742160267</v>
      </c>
      <c r="R32" s="3">
        <v>3.1949516979684001</v>
      </c>
      <c r="S32" s="3">
        <v>3.5601679551010301</v>
      </c>
      <c r="T32" s="3">
        <v>3.7668906614274502</v>
      </c>
      <c r="U32" s="3">
        <v>3.15138864984038</v>
      </c>
      <c r="V32" s="3">
        <v>4.7772117885020497</v>
      </c>
    </row>
    <row r="33" spans="1:22" x14ac:dyDescent="0.35">
      <c r="A33" s="2">
        <v>42647</v>
      </c>
      <c r="B33" s="3">
        <v>2.30380342777205</v>
      </c>
      <c r="C33" s="3">
        <v>3.0795224019403298</v>
      </c>
      <c r="D33" s="3">
        <v>2.1756991470878702</v>
      </c>
      <c r="E33" s="3">
        <v>1.6434604460344999</v>
      </c>
      <c r="F33" s="3">
        <v>3.5365171768024801</v>
      </c>
      <c r="G33" s="3">
        <v>1.5990723518536201</v>
      </c>
      <c r="H33" s="3">
        <v>2.9691579380997499</v>
      </c>
      <c r="I33" s="3">
        <v>3.9784262211631698</v>
      </c>
      <c r="J33" s="3">
        <v>2.0806200369163999</v>
      </c>
      <c r="K33" s="3">
        <v>1.88549684968276</v>
      </c>
      <c r="L33" s="3">
        <v>3.1247885435687399</v>
      </c>
      <c r="M33" s="3">
        <v>3.1580987058689098</v>
      </c>
      <c r="N33" s="3">
        <v>3.1621001451370301</v>
      </c>
      <c r="O33" s="3">
        <v>1.5208000351795801</v>
      </c>
      <c r="P33" s="3">
        <v>2.24799829781049</v>
      </c>
      <c r="Q33" s="3">
        <v>3.9476763646756901</v>
      </c>
      <c r="R33" s="3">
        <v>3.2453457823594598</v>
      </c>
      <c r="S33" s="3">
        <v>3.68549359356276</v>
      </c>
      <c r="T33" s="3">
        <v>3.6942129231474898</v>
      </c>
      <c r="U33" s="3">
        <v>2.47696340812591</v>
      </c>
      <c r="V33" s="3">
        <v>4.9939871521714903</v>
      </c>
    </row>
    <row r="34" spans="1:22" x14ac:dyDescent="0.35">
      <c r="A34" s="2">
        <v>42678</v>
      </c>
      <c r="B34" s="3">
        <v>2.2609758575416299</v>
      </c>
      <c r="C34" s="3">
        <v>2.72896644342454</v>
      </c>
      <c r="D34" s="3">
        <v>2.29997209734604</v>
      </c>
      <c r="E34" s="3">
        <v>1.71922581043384</v>
      </c>
      <c r="F34" s="3">
        <v>3.4064245978190999</v>
      </c>
      <c r="G34" s="3">
        <v>1.8171014112683901</v>
      </c>
      <c r="H34" s="3">
        <v>2.9873959217736998</v>
      </c>
      <c r="I34" s="3">
        <v>4.1188086332351501</v>
      </c>
      <c r="J34" s="3">
        <v>2.1644484522206899</v>
      </c>
      <c r="K34" s="3">
        <v>1.9796432968645701</v>
      </c>
      <c r="L34" s="3">
        <v>3.0340235633259001</v>
      </c>
      <c r="M34" s="3">
        <v>3.3457021631253498</v>
      </c>
      <c r="N34" s="3">
        <v>3.1298066117935499</v>
      </c>
      <c r="O34" s="3">
        <v>1.6164990858547601</v>
      </c>
      <c r="P34" s="3">
        <v>2.3503527390390002</v>
      </c>
      <c r="Q34" s="3">
        <v>4.0309702373032597</v>
      </c>
      <c r="R34" s="3">
        <v>3.3180030389078601</v>
      </c>
      <c r="S34" s="3">
        <v>3.7433860541060699</v>
      </c>
      <c r="T34" s="3">
        <v>3.7858350883098302</v>
      </c>
      <c r="U34" s="3">
        <v>2.6913811214312902</v>
      </c>
      <c r="V34" s="3">
        <v>4.5831559382907798</v>
      </c>
    </row>
    <row r="35" spans="1:22" x14ac:dyDescent="0.35">
      <c r="A35" s="2">
        <v>42706</v>
      </c>
      <c r="B35" s="3">
        <v>2.12594290543817</v>
      </c>
      <c r="C35" s="3">
        <v>2.89917645235482</v>
      </c>
      <c r="D35" s="3">
        <v>2.42924822436279</v>
      </c>
      <c r="E35" s="3">
        <v>1.7560166016083401</v>
      </c>
      <c r="F35" s="3">
        <v>3.27213747130107</v>
      </c>
      <c r="G35" s="3">
        <v>1.98121855254127</v>
      </c>
      <c r="H35" s="3">
        <v>3.00194337582839</v>
      </c>
      <c r="I35" s="3">
        <v>4.2327269714418598</v>
      </c>
      <c r="J35" s="3">
        <v>2.3621254634692699</v>
      </c>
      <c r="K35" s="3">
        <v>2.0031302568303802</v>
      </c>
      <c r="L35" s="3">
        <v>3.4367081900416898</v>
      </c>
      <c r="M35" s="3">
        <v>3.4297015680332801</v>
      </c>
      <c r="N35" s="3">
        <v>2.8182926084825</v>
      </c>
      <c r="O35" s="3">
        <v>1.6897252698966001</v>
      </c>
      <c r="P35" s="3">
        <v>2.34255932866192</v>
      </c>
      <c r="Q35" s="3">
        <v>4.2327640390253896</v>
      </c>
      <c r="R35" s="3">
        <v>3.2780387911252902</v>
      </c>
      <c r="S35" s="3">
        <v>3.8964506677516799</v>
      </c>
      <c r="T35" s="3">
        <v>4.2872246429458798</v>
      </c>
      <c r="U35" s="3" t="e">
        <v>#N/A</v>
      </c>
      <c r="V35" s="3">
        <v>3.7629489896418402</v>
      </c>
    </row>
    <row r="36" spans="1:22" x14ac:dyDescent="0.35">
      <c r="A36" s="2">
        <v>42739</v>
      </c>
      <c r="B36" s="3">
        <v>2.2884657331451099</v>
      </c>
      <c r="C36" s="3">
        <v>2.9619938970424902</v>
      </c>
      <c r="D36" s="3">
        <v>2.41086264473789</v>
      </c>
      <c r="E36" s="3">
        <v>1.6793405874545</v>
      </c>
      <c r="F36" s="3">
        <v>2.96904582669266</v>
      </c>
      <c r="G36" s="3">
        <v>2.2384415226569701</v>
      </c>
      <c r="H36" s="3">
        <v>3.0166962580082899</v>
      </c>
      <c r="I36" s="3">
        <v>4.19923773156005</v>
      </c>
      <c r="J36" s="3">
        <v>2.3561315902061799</v>
      </c>
      <c r="K36" s="3">
        <v>1.9470492987555199</v>
      </c>
      <c r="L36" s="3">
        <v>3.4465465057631901</v>
      </c>
      <c r="M36" s="3">
        <v>3.1814829669251701</v>
      </c>
      <c r="N36" s="3">
        <v>2.8450872685494901</v>
      </c>
      <c r="O36" s="3">
        <v>1.6868095664783</v>
      </c>
      <c r="P36" s="3">
        <v>2.3962627118295199</v>
      </c>
      <c r="Q36" s="3">
        <v>3.7081784083152698</v>
      </c>
      <c r="R36" s="3">
        <v>3.1833827965246102</v>
      </c>
      <c r="S36" s="3">
        <v>3.8999953394703799</v>
      </c>
      <c r="T36" s="3">
        <v>4.0266433221073399</v>
      </c>
      <c r="U36" s="3">
        <v>2.8159716964651502</v>
      </c>
      <c r="V36" s="3">
        <v>3.7634372751565199</v>
      </c>
    </row>
    <row r="37" spans="1:22" x14ac:dyDescent="0.35">
      <c r="A37" s="2">
        <v>42769</v>
      </c>
      <c r="B37" s="3">
        <v>2.3014871257987801</v>
      </c>
      <c r="C37" s="3">
        <v>2.8355727662331298</v>
      </c>
      <c r="D37" s="3">
        <v>2.4141838025278202</v>
      </c>
      <c r="E37" s="3">
        <v>1.6559523493900901</v>
      </c>
      <c r="F37" s="3">
        <v>2.7214846643536901</v>
      </c>
      <c r="G37" s="3">
        <v>1.96553199715112</v>
      </c>
      <c r="H37" s="3">
        <v>2.9888693498759098</v>
      </c>
      <c r="I37" s="3">
        <v>4.1605386688964403</v>
      </c>
      <c r="J37" s="3">
        <v>2.3674601376592501</v>
      </c>
      <c r="K37" s="3">
        <v>1.92893572833299</v>
      </c>
      <c r="L37" s="3">
        <v>3.3880530929542698</v>
      </c>
      <c r="M37" s="3">
        <v>3.1858877614162902</v>
      </c>
      <c r="N37" s="3">
        <v>2.96556885798049</v>
      </c>
      <c r="O37" s="3">
        <v>1.610615662511</v>
      </c>
      <c r="P37" s="3">
        <v>2.3263202013333601</v>
      </c>
      <c r="Q37" s="3">
        <v>3.79397686393883</v>
      </c>
      <c r="R37" s="3">
        <v>3.1159574481541301</v>
      </c>
      <c r="S37" s="3">
        <v>3.4550383821105499</v>
      </c>
      <c r="T37" s="3">
        <v>4.1876622070789198</v>
      </c>
      <c r="U37" s="3">
        <v>3.12749564184525</v>
      </c>
      <c r="V37" s="3">
        <v>3.77489653012546</v>
      </c>
    </row>
    <row r="38" spans="1:22" x14ac:dyDescent="0.35">
      <c r="A38" s="2">
        <v>42797</v>
      </c>
      <c r="B38" s="3">
        <v>2.3081571259978699</v>
      </c>
      <c r="C38" s="3">
        <v>2.7522008824184598</v>
      </c>
      <c r="D38" s="3">
        <v>2.45757674465042</v>
      </c>
      <c r="E38" s="3">
        <v>1.64121672336929</v>
      </c>
      <c r="F38" s="3">
        <v>2.3984901618757801</v>
      </c>
      <c r="G38" s="3">
        <v>1.9910664109668099</v>
      </c>
      <c r="H38" s="3">
        <v>3.00024777388668</v>
      </c>
      <c r="I38" s="3">
        <v>4.1907460753835899</v>
      </c>
      <c r="J38" s="3">
        <v>2.3652939953560899</v>
      </c>
      <c r="K38" s="3">
        <v>1.9358653213785599</v>
      </c>
      <c r="L38" s="3">
        <v>3.4736645938897102</v>
      </c>
      <c r="M38" s="3">
        <v>3.19361840433527</v>
      </c>
      <c r="N38" s="3">
        <v>2.9037278534156998</v>
      </c>
      <c r="O38" s="3">
        <v>1.5805875112697201</v>
      </c>
      <c r="P38" s="3">
        <v>2.2785897222269398</v>
      </c>
      <c r="Q38" s="3">
        <v>3.7858511042340899</v>
      </c>
      <c r="R38" s="3">
        <v>3.1322155855896101</v>
      </c>
      <c r="S38" s="3">
        <v>3.5288189443928601</v>
      </c>
      <c r="T38" s="3">
        <v>4.0093070585032002</v>
      </c>
      <c r="U38" s="3">
        <v>3.5714381909412398</v>
      </c>
      <c r="V38" s="3">
        <v>3.8604758479144201</v>
      </c>
    </row>
    <row r="39" spans="1:22" x14ac:dyDescent="0.35">
      <c r="A39" s="2">
        <v>42829</v>
      </c>
      <c r="B39" s="3">
        <v>2.3011378510707101</v>
      </c>
      <c r="C39" s="3">
        <v>2.4476581669639601</v>
      </c>
      <c r="D39" s="3">
        <v>2.3757472429166899</v>
      </c>
      <c r="E39" s="3">
        <v>1.6357423081321301</v>
      </c>
      <c r="F39" s="3">
        <v>2.5434799305823601</v>
      </c>
      <c r="G39" s="3">
        <v>1.9921355998494601</v>
      </c>
      <c r="H39" s="3">
        <v>2.9639625414987401</v>
      </c>
      <c r="I39" s="3">
        <v>4.1530522225987703</v>
      </c>
      <c r="J39" s="3">
        <v>2.3514746966849098</v>
      </c>
      <c r="K39" s="3">
        <v>1.8979340404052101</v>
      </c>
      <c r="L39" s="3">
        <v>3.60121720121928</v>
      </c>
      <c r="M39" s="3">
        <v>3.1840877868184601</v>
      </c>
      <c r="N39" s="3">
        <v>2.9228275629573099</v>
      </c>
      <c r="O39" s="3">
        <v>1.5446726472272101</v>
      </c>
      <c r="P39" s="3">
        <v>2.2778688072036202</v>
      </c>
      <c r="Q39" s="3">
        <v>3.9279444513207298</v>
      </c>
      <c r="R39" s="3">
        <v>3.1088946366898602</v>
      </c>
      <c r="S39" s="3">
        <v>3.6534869036519</v>
      </c>
      <c r="T39" s="3">
        <v>3.9954247270375598</v>
      </c>
      <c r="U39" s="3">
        <v>2.6427234429218101</v>
      </c>
      <c r="V39" s="3">
        <v>4.0140941370185104</v>
      </c>
    </row>
    <row r="40" spans="1:22" x14ac:dyDescent="0.35">
      <c r="A40" s="2">
        <v>42859</v>
      </c>
      <c r="B40" s="3">
        <v>2.2607062628015702</v>
      </c>
      <c r="C40" s="3">
        <v>2.4943189541737198</v>
      </c>
      <c r="D40" s="3">
        <v>2.4291274340580302</v>
      </c>
      <c r="E40" s="3">
        <v>1.5557727820852301</v>
      </c>
      <c r="F40" s="3">
        <v>2.4686507644261</v>
      </c>
      <c r="G40" s="3">
        <v>2.0631807216415399</v>
      </c>
      <c r="H40" s="3">
        <v>2.96025710489655</v>
      </c>
      <c r="I40" s="3">
        <v>4.0519997474322</v>
      </c>
      <c r="J40" s="3">
        <v>2.4545623180368801</v>
      </c>
      <c r="K40" s="3">
        <v>1.8687579849932201</v>
      </c>
      <c r="L40" s="3">
        <v>3.6518280397360199</v>
      </c>
      <c r="M40" s="3">
        <v>3.1075846349918201</v>
      </c>
      <c r="N40" s="3">
        <v>2.4111192896831302</v>
      </c>
      <c r="O40" s="3">
        <v>1.5611811723822999</v>
      </c>
      <c r="P40" s="3">
        <v>2.2829889980651799</v>
      </c>
      <c r="Q40" s="3">
        <v>3.9638955521097499</v>
      </c>
      <c r="R40" s="3">
        <v>3.16999225840883</v>
      </c>
      <c r="S40" s="3">
        <v>3.7356615504209398</v>
      </c>
      <c r="T40" s="3">
        <v>3.94808149398881</v>
      </c>
      <c r="U40" s="3">
        <v>2.4957168048352498</v>
      </c>
      <c r="V40" s="3">
        <v>4.0965835037842497</v>
      </c>
    </row>
    <row r="41" spans="1:22" x14ac:dyDescent="0.35">
      <c r="A41" s="2">
        <v>42888</v>
      </c>
      <c r="B41" s="3">
        <v>2.1724038495224098</v>
      </c>
      <c r="C41" s="3">
        <v>2.4584785487800902</v>
      </c>
      <c r="D41" s="3">
        <v>2.5073855771112998</v>
      </c>
      <c r="E41" s="3">
        <v>1.5285293103591</v>
      </c>
      <c r="F41" s="3">
        <v>2.4681484916908998</v>
      </c>
      <c r="G41" s="3">
        <v>2.2818954937554201</v>
      </c>
      <c r="H41" s="3">
        <v>3.0114243699571901</v>
      </c>
      <c r="I41" s="3">
        <v>4.04317918906606</v>
      </c>
      <c r="J41" s="3">
        <v>2.4427907287838102</v>
      </c>
      <c r="K41" s="3">
        <v>1.76321313394379</v>
      </c>
      <c r="L41" s="3">
        <v>3.6976266055962501</v>
      </c>
      <c r="M41" s="3">
        <v>3.2569428220456298</v>
      </c>
      <c r="N41" s="3">
        <v>2.7642887804954199</v>
      </c>
      <c r="O41" s="3">
        <v>1.59920354794413</v>
      </c>
      <c r="P41" s="3">
        <v>2.1750228324975902</v>
      </c>
      <c r="Q41" s="3">
        <v>4.0796959410562401</v>
      </c>
      <c r="R41" s="3">
        <v>3.19765912041529</v>
      </c>
      <c r="S41" s="3">
        <v>3.5119689944300299</v>
      </c>
      <c r="T41" s="3">
        <v>4.1211991887555204</v>
      </c>
      <c r="U41" s="3">
        <v>2.3791688396825998</v>
      </c>
      <c r="V41" s="3">
        <v>3.9846546726761698</v>
      </c>
    </row>
    <row r="42" spans="1:22" x14ac:dyDescent="0.35">
      <c r="A42" s="2">
        <v>42919</v>
      </c>
      <c r="B42" s="3">
        <v>2.0975837420261199</v>
      </c>
      <c r="C42" s="3">
        <v>2.74491180638798</v>
      </c>
      <c r="D42" s="3">
        <v>2.4921674561720999</v>
      </c>
      <c r="E42" s="3">
        <v>1.56484487324527</v>
      </c>
      <c r="F42" s="3">
        <v>2.393220540857</v>
      </c>
      <c r="G42" s="3">
        <v>2.2817663036835198</v>
      </c>
      <c r="H42" s="3">
        <v>3.0279326123135299</v>
      </c>
      <c r="I42" s="3">
        <v>3.9817722341157999</v>
      </c>
      <c r="J42" s="3">
        <v>2.4314482328268001</v>
      </c>
      <c r="K42" s="3">
        <v>1.7551374283507799</v>
      </c>
      <c r="L42" s="3">
        <v>3.6204990927068099</v>
      </c>
      <c r="M42" s="3">
        <v>3.33505335689456</v>
      </c>
      <c r="N42" s="3">
        <v>2.4714361140601202</v>
      </c>
      <c r="O42" s="3">
        <v>1.6220124421941799</v>
      </c>
      <c r="P42" s="3">
        <v>2.1830702870954299</v>
      </c>
      <c r="Q42" s="3">
        <v>4.5330272409710197</v>
      </c>
      <c r="R42" s="3">
        <v>3.22341507599945</v>
      </c>
      <c r="S42" s="3">
        <v>3.5832343526245198</v>
      </c>
      <c r="T42" s="3">
        <v>4.0807863492598999</v>
      </c>
      <c r="U42" s="3">
        <v>1.83846611338415</v>
      </c>
      <c r="V42" s="3">
        <v>3.5944533793316702</v>
      </c>
    </row>
    <row r="43" spans="1:22" x14ac:dyDescent="0.35">
      <c r="A43" s="2">
        <v>42951</v>
      </c>
      <c r="B43" s="3">
        <v>2.1793786587831701</v>
      </c>
      <c r="C43" s="3">
        <v>2.5895948890071399</v>
      </c>
      <c r="D43" s="3">
        <v>2.5814861640943501</v>
      </c>
      <c r="E43" s="3">
        <v>1.57147397054395</v>
      </c>
      <c r="F43" s="3">
        <v>2.3342026824601301</v>
      </c>
      <c r="G43" s="3">
        <v>2.30819387227052</v>
      </c>
      <c r="H43" s="3">
        <v>3.0285157357905801</v>
      </c>
      <c r="I43" s="3">
        <v>3.9524015584113199</v>
      </c>
      <c r="J43" s="3">
        <v>2.3950611418134402</v>
      </c>
      <c r="K43" s="3">
        <v>1.7997994988361199</v>
      </c>
      <c r="L43" s="3">
        <v>3.4362314442984898</v>
      </c>
      <c r="M43" s="3">
        <v>3.17614970602598</v>
      </c>
      <c r="N43" s="3">
        <v>2.5425627384380598</v>
      </c>
      <c r="O43" s="3">
        <v>1.51567674211271</v>
      </c>
      <c r="P43" s="3">
        <v>2.06367552386918</v>
      </c>
      <c r="Q43" s="3">
        <v>4.1775805820490701</v>
      </c>
      <c r="R43" s="3">
        <v>3.2376794465717</v>
      </c>
      <c r="S43" s="3">
        <v>3.6740538312100202</v>
      </c>
      <c r="T43" s="3">
        <v>3.8698591267725</v>
      </c>
      <c r="U43" s="3">
        <v>1.5338024985402301</v>
      </c>
      <c r="V43" s="3">
        <v>3.8669367427304602</v>
      </c>
    </row>
    <row r="44" spans="1:22" x14ac:dyDescent="0.35">
      <c r="A44" s="2">
        <v>42979</v>
      </c>
      <c r="B44" s="3">
        <v>2.1315366537011</v>
      </c>
      <c r="C44" s="3">
        <v>2.4496266724986802</v>
      </c>
      <c r="D44" s="3">
        <v>2.5653760622195101</v>
      </c>
      <c r="E44" s="3">
        <v>1.5675181620012899</v>
      </c>
      <c r="F44" s="3">
        <v>2.3344965476574</v>
      </c>
      <c r="G44" s="3">
        <v>2.0263395843168501</v>
      </c>
      <c r="H44" s="3">
        <v>3.0221469780192902</v>
      </c>
      <c r="I44" s="3">
        <v>4.0075323462568297</v>
      </c>
      <c r="J44" s="3">
        <v>2.3995030814510301</v>
      </c>
      <c r="K44" s="3">
        <v>1.8374179200845799</v>
      </c>
      <c r="L44" s="3">
        <v>3.2474580194112499</v>
      </c>
      <c r="M44" s="3">
        <v>3.25551733498554</v>
      </c>
      <c r="N44" s="3">
        <v>2.5950331446528399</v>
      </c>
      <c r="O44" s="3">
        <v>1.52777470617748</v>
      </c>
      <c r="P44" s="3">
        <v>2.1214047442622901</v>
      </c>
      <c r="Q44" s="3">
        <v>4.5043321885372301</v>
      </c>
      <c r="R44" s="3">
        <v>3.1246279619894701</v>
      </c>
      <c r="S44" s="3">
        <v>3.7755874542571801</v>
      </c>
      <c r="T44" s="3">
        <v>4.03140580829636</v>
      </c>
      <c r="U44" s="3">
        <v>1.7424004956197301</v>
      </c>
      <c r="V44" s="3">
        <v>4.0716199406614102</v>
      </c>
    </row>
    <row r="45" spans="1:22" x14ac:dyDescent="0.35">
      <c r="A45" s="2">
        <v>43012</v>
      </c>
      <c r="B45" s="3">
        <v>2.1641483018033099</v>
      </c>
      <c r="C45" s="3">
        <v>3.09251716025899</v>
      </c>
      <c r="D45" s="3">
        <v>2.5475221753058399</v>
      </c>
      <c r="E45" s="3">
        <v>1.44869945661585</v>
      </c>
      <c r="F45" s="3">
        <v>2.5043441003832299</v>
      </c>
      <c r="G45" s="3">
        <v>2.2361731929661399</v>
      </c>
      <c r="H45" s="3">
        <v>3.0803618636470498</v>
      </c>
      <c r="I45" s="3">
        <v>4.1109594906596199</v>
      </c>
      <c r="J45" s="3">
        <v>2.4646586499113101</v>
      </c>
      <c r="K45" s="3">
        <v>1.7956995935909099</v>
      </c>
      <c r="L45" s="3">
        <v>3.1292248970424899</v>
      </c>
      <c r="M45" s="3">
        <v>3.3154455848863602</v>
      </c>
      <c r="N45" s="3">
        <v>2.95026286884629</v>
      </c>
      <c r="O45" s="3">
        <v>1.5622771340661401</v>
      </c>
      <c r="P45" s="3">
        <v>2.0576231247833801</v>
      </c>
      <c r="Q45" s="3">
        <v>4.7242573778395203</v>
      </c>
      <c r="R45" s="3">
        <v>3.01540999863726</v>
      </c>
      <c r="S45" s="3">
        <v>4.1650769263059404</v>
      </c>
      <c r="T45" s="3">
        <v>4.24722873746326</v>
      </c>
      <c r="U45" s="3">
        <v>1.87577681649689</v>
      </c>
      <c r="V45" s="3">
        <v>4.2324909267763298</v>
      </c>
    </row>
    <row r="46" spans="1:22" x14ac:dyDescent="0.35">
      <c r="A46" s="2">
        <v>43042</v>
      </c>
      <c r="B46" s="3">
        <v>2.1257835026586198</v>
      </c>
      <c r="C46" s="3">
        <v>2.8704696189548802</v>
      </c>
      <c r="D46" s="3">
        <v>2.5409565675069099</v>
      </c>
      <c r="E46" s="3">
        <v>1.4607615351226499</v>
      </c>
      <c r="F46" s="3">
        <v>2.41080752080995</v>
      </c>
      <c r="G46" s="3">
        <v>2.2550229087359299</v>
      </c>
      <c r="H46" s="3">
        <v>3.2109272330004401</v>
      </c>
      <c r="I46" s="3">
        <v>4.0430896055072401</v>
      </c>
      <c r="J46" s="3">
        <v>2.5516098495864799</v>
      </c>
      <c r="K46" s="3">
        <v>1.9297467200520599</v>
      </c>
      <c r="L46" s="3">
        <v>3.37105061476398</v>
      </c>
      <c r="M46" s="3">
        <v>3.2139951401164</v>
      </c>
      <c r="N46" s="3">
        <v>2.8161497865045</v>
      </c>
      <c r="O46" s="3">
        <v>1.49430970879299</v>
      </c>
      <c r="P46" s="3">
        <v>2.05250310158431</v>
      </c>
      <c r="Q46" s="3">
        <v>4.5002601482831901</v>
      </c>
      <c r="R46" s="3">
        <v>3.027558409744</v>
      </c>
      <c r="S46" s="3">
        <v>4.0705456172871104</v>
      </c>
      <c r="T46" s="3">
        <v>4.2282446969392904</v>
      </c>
      <c r="U46" s="3">
        <v>2.0763080351651002</v>
      </c>
      <c r="V46" s="3">
        <v>4.4057334668704096</v>
      </c>
    </row>
    <row r="47" spans="1:22" x14ac:dyDescent="0.35">
      <c r="A47" s="2">
        <v>43073</v>
      </c>
      <c r="B47" s="3">
        <v>2.19143550558009</v>
      </c>
      <c r="C47" s="3">
        <v>3.2235146038093601</v>
      </c>
      <c r="D47" s="3">
        <v>2.6612708992549399</v>
      </c>
      <c r="E47" s="3">
        <v>1.63602745450526</v>
      </c>
      <c r="F47" s="3">
        <v>2.7353160595769501</v>
      </c>
      <c r="G47" s="3">
        <v>2.8124174504050101</v>
      </c>
      <c r="H47" s="3">
        <v>3.29279852714413</v>
      </c>
      <c r="I47" s="3">
        <v>4.0892637769832501</v>
      </c>
      <c r="J47" s="3">
        <v>2.6001691609246702</v>
      </c>
      <c r="K47" s="3">
        <v>2.00242303470697</v>
      </c>
      <c r="L47" s="3">
        <v>3.5710927899021199</v>
      </c>
      <c r="M47" s="3">
        <v>3.3218286228073999</v>
      </c>
      <c r="N47" s="3">
        <v>2.9692248096693201</v>
      </c>
      <c r="O47" s="3">
        <v>1.5496002928528401</v>
      </c>
      <c r="P47" s="3">
        <v>2.0924757287053399</v>
      </c>
      <c r="Q47" s="3">
        <v>4.7248476566772197</v>
      </c>
      <c r="R47" s="3">
        <v>3.0694466095309498</v>
      </c>
      <c r="S47" s="3">
        <v>4.3434341413948703</v>
      </c>
      <c r="T47" s="3">
        <v>4.4802132478716503</v>
      </c>
      <c r="U47" s="3">
        <v>1.7336638005527401</v>
      </c>
      <c r="V47" s="3">
        <v>4.3038926436076101</v>
      </c>
    </row>
    <row r="48" spans="1:22" x14ac:dyDescent="0.35">
      <c r="A48" s="2">
        <v>43104</v>
      </c>
      <c r="B48" s="3">
        <v>2.14216030924177</v>
      </c>
      <c r="C48" s="3">
        <v>2.8672008359411798</v>
      </c>
      <c r="D48" s="3">
        <v>2.52584844187143</v>
      </c>
      <c r="E48" s="3">
        <v>1.51998852741836</v>
      </c>
      <c r="F48" s="3">
        <v>2.78325061049516</v>
      </c>
      <c r="G48" s="3">
        <v>2.63789888392769</v>
      </c>
      <c r="H48" s="3">
        <v>3.1387736837034699</v>
      </c>
      <c r="I48" s="3">
        <v>4.12732357008165</v>
      </c>
      <c r="J48" s="3">
        <v>2.4622346427826902</v>
      </c>
      <c r="K48" s="3">
        <v>2.0676897611832001</v>
      </c>
      <c r="L48" s="3">
        <v>3.3466174808059499</v>
      </c>
      <c r="M48" s="3">
        <v>3.3566343838835202</v>
      </c>
      <c r="N48" s="3">
        <v>2.5917982963092401</v>
      </c>
      <c r="O48" s="3">
        <v>1.506780689185</v>
      </c>
      <c r="P48" s="3">
        <v>2.0034194142961099</v>
      </c>
      <c r="Q48" s="3">
        <v>4.2926937392746396</v>
      </c>
      <c r="R48" s="3">
        <v>2.92982962729383</v>
      </c>
      <c r="S48" s="3">
        <v>4.0671381344910804</v>
      </c>
      <c r="T48" s="3">
        <v>4.3654272815503399</v>
      </c>
      <c r="U48" s="3">
        <v>1.40210533349914</v>
      </c>
      <c r="V48" s="3">
        <v>4.2663460167370202</v>
      </c>
    </row>
    <row r="49" spans="1:22" x14ac:dyDescent="0.35">
      <c r="A49" s="2">
        <v>43133</v>
      </c>
      <c r="B49" s="3">
        <v>2.1461245526743302</v>
      </c>
      <c r="C49" s="3">
        <v>2.7226744014961599</v>
      </c>
      <c r="D49" s="3">
        <v>2.4462191532214699</v>
      </c>
      <c r="E49" s="3">
        <v>1.51257421273406</v>
      </c>
      <c r="F49" s="3">
        <v>2.8489347681830202</v>
      </c>
      <c r="G49" s="3">
        <v>2.5055411540433199</v>
      </c>
      <c r="H49" s="3">
        <v>3.0656688284165501</v>
      </c>
      <c r="I49" s="3">
        <v>4.03478658675344</v>
      </c>
      <c r="J49" s="3">
        <v>2.4834873482534099</v>
      </c>
      <c r="K49" s="3">
        <v>2.0599995887940499</v>
      </c>
      <c r="L49" s="3">
        <v>3.2109306975204999</v>
      </c>
      <c r="M49" s="3">
        <v>3.4111390387239</v>
      </c>
      <c r="N49" s="3">
        <v>2.5835526500629298</v>
      </c>
      <c r="O49" s="3">
        <v>1.50605762289811</v>
      </c>
      <c r="P49" s="3">
        <v>2.0133486434629702</v>
      </c>
      <c r="Q49" s="3">
        <v>4.3388047807730699</v>
      </c>
      <c r="R49" s="3">
        <v>2.8889230135628301</v>
      </c>
      <c r="S49" s="3">
        <v>4.0260782582305898</v>
      </c>
      <c r="T49" s="3">
        <v>4.3027665142060396</v>
      </c>
      <c r="U49" s="3">
        <v>1.7444174444229501</v>
      </c>
      <c r="V49" s="3">
        <v>4.13408236869018</v>
      </c>
    </row>
    <row r="50" spans="1:22" x14ac:dyDescent="0.35">
      <c r="A50" s="2">
        <v>43161</v>
      </c>
      <c r="B50" s="3">
        <v>2.3109605954223298</v>
      </c>
      <c r="C50" s="3">
        <v>3.0502308372975802</v>
      </c>
      <c r="D50" s="3">
        <v>2.49954274395889</v>
      </c>
      <c r="E50" s="3">
        <v>1.5663192643646899</v>
      </c>
      <c r="F50" s="3">
        <v>3.1057881695413498</v>
      </c>
      <c r="G50" s="3">
        <v>2.3279920318656702</v>
      </c>
      <c r="H50" s="3">
        <v>3.1690763024193398</v>
      </c>
      <c r="I50" s="3">
        <v>4.2541911825689098</v>
      </c>
      <c r="J50" s="3">
        <v>2.63624089274369</v>
      </c>
      <c r="K50" s="3">
        <v>2.2369737834543999</v>
      </c>
      <c r="L50" s="3">
        <v>3.3406810804728302</v>
      </c>
      <c r="M50" s="3">
        <v>3.2918437688582101</v>
      </c>
      <c r="N50" s="3">
        <v>3.0877381833695798</v>
      </c>
      <c r="O50" s="3">
        <v>1.5565993959731901</v>
      </c>
      <c r="P50" s="3">
        <v>2.1371251792563499</v>
      </c>
      <c r="Q50" s="3">
        <v>4.8538183650178901</v>
      </c>
      <c r="R50" s="3">
        <v>2.9641239148739098</v>
      </c>
      <c r="S50" s="3">
        <v>4.2270907162882496</v>
      </c>
      <c r="T50" s="3">
        <v>4.4144004266190802</v>
      </c>
      <c r="U50" s="3">
        <v>1.7222509809738</v>
      </c>
      <c r="V50" s="3">
        <v>4.3058027230970604</v>
      </c>
    </row>
    <row r="51" spans="1:22" x14ac:dyDescent="0.35">
      <c r="A51" s="2">
        <v>43194</v>
      </c>
      <c r="B51" s="3">
        <v>2.44476560599555</v>
      </c>
      <c r="C51" s="3">
        <v>3.10352757453184</v>
      </c>
      <c r="D51" s="3">
        <v>2.73038958973929</v>
      </c>
      <c r="E51" s="3">
        <v>1.66303687876095</v>
      </c>
      <c r="F51" s="3">
        <v>3.1910890837236199</v>
      </c>
      <c r="G51" s="3">
        <v>2.10413888199359</v>
      </c>
      <c r="H51" s="3">
        <v>3.2638130821383702</v>
      </c>
      <c r="I51" s="3">
        <v>4.2004563612316801</v>
      </c>
      <c r="J51" s="3">
        <v>2.6414538712860001</v>
      </c>
      <c r="K51" s="3">
        <v>2.2541595708513502</v>
      </c>
      <c r="L51" s="3">
        <v>3.5102078647999599</v>
      </c>
      <c r="M51" s="3">
        <v>3.3957186098266101</v>
      </c>
      <c r="N51" s="3">
        <v>3.27338785330537</v>
      </c>
      <c r="O51" s="3">
        <v>1.6181802450176299</v>
      </c>
      <c r="P51" s="3">
        <v>2.3301421621202101</v>
      </c>
      <c r="Q51" s="3">
        <v>4.9080032039468504</v>
      </c>
      <c r="R51" s="3">
        <v>3.1509515362371299</v>
      </c>
      <c r="S51" s="3">
        <v>4.5502357433823102</v>
      </c>
      <c r="T51" s="3">
        <v>4.6200871674513397</v>
      </c>
      <c r="U51" s="3">
        <v>1.80760748473404</v>
      </c>
      <c r="V51" s="3">
        <v>3.8881155280335</v>
      </c>
    </row>
    <row r="52" spans="1:22" x14ac:dyDescent="0.35">
      <c r="A52" s="2">
        <v>43224</v>
      </c>
      <c r="B52" s="3">
        <v>2.7247005906201101</v>
      </c>
      <c r="C52" s="3">
        <v>3.1779265411543198</v>
      </c>
      <c r="D52" s="3">
        <v>3.01008939557068</v>
      </c>
      <c r="E52" s="3">
        <v>1.7771757965439401</v>
      </c>
      <c r="F52" s="3">
        <v>3.0886016420875899</v>
      </c>
      <c r="G52" s="3">
        <v>2.0921219949529499</v>
      </c>
      <c r="H52" s="3">
        <v>3.2265952977530801</v>
      </c>
      <c r="I52" s="3">
        <v>4.4533644091432203</v>
      </c>
      <c r="J52" s="3">
        <v>2.7507659121713899</v>
      </c>
      <c r="K52" s="3">
        <v>2.2376750369058702</v>
      </c>
      <c r="L52" s="3">
        <v>3.7753272393341999</v>
      </c>
      <c r="M52" s="3">
        <v>3.3276132455941099</v>
      </c>
      <c r="N52" s="3">
        <v>3.08576751928112</v>
      </c>
      <c r="O52" s="3">
        <v>1.6152313753376499</v>
      </c>
      <c r="P52" s="3">
        <v>2.31989861853658</v>
      </c>
      <c r="Q52" s="3">
        <v>4.7625229410241001</v>
      </c>
      <c r="R52" s="3">
        <v>3.0378089761587699</v>
      </c>
      <c r="S52" s="3">
        <v>5.2615624889084396</v>
      </c>
      <c r="T52" s="3">
        <v>4.8650342499638999</v>
      </c>
      <c r="U52" s="3">
        <v>1.9805974586441899</v>
      </c>
      <c r="V52" s="3">
        <v>3.8665184609031602</v>
      </c>
    </row>
    <row r="53" spans="1:22" x14ac:dyDescent="0.35">
      <c r="A53" s="2">
        <v>43255</v>
      </c>
      <c r="B53" s="3">
        <v>2.7106488527285202</v>
      </c>
      <c r="C53" s="3">
        <v>3.1983243183602501</v>
      </c>
      <c r="D53" s="3">
        <v>2.91949282222448</v>
      </c>
      <c r="E53" s="3">
        <v>1.7571996920181401</v>
      </c>
      <c r="F53" s="3">
        <v>3.0854239416439402</v>
      </c>
      <c r="G53" s="3">
        <v>4.6469255976614603</v>
      </c>
      <c r="H53" s="3">
        <v>3.2667472173132102</v>
      </c>
      <c r="I53" s="3">
        <v>4.2740510788032804</v>
      </c>
      <c r="J53" s="3">
        <v>2.9361071351055799</v>
      </c>
      <c r="K53" s="3">
        <v>2.2220815302780301</v>
      </c>
      <c r="L53" s="3">
        <v>4.0095715218434096</v>
      </c>
      <c r="M53" s="3">
        <v>3.3924824989931799</v>
      </c>
      <c r="N53" s="3">
        <v>3.3124294304975099</v>
      </c>
      <c r="O53" s="3">
        <v>1.61973166357871</v>
      </c>
      <c r="P53" s="3">
        <v>2.2377575341601501</v>
      </c>
      <c r="Q53" s="3">
        <v>4.8034261996696603</v>
      </c>
      <c r="R53" s="3">
        <v>3.1981757277634602</v>
      </c>
      <c r="S53" s="3">
        <v>5.3959720878544504</v>
      </c>
      <c r="T53" s="3">
        <v>4.7852318933994002</v>
      </c>
      <c r="U53" s="3">
        <v>1.4710384088077799</v>
      </c>
      <c r="V53" s="3">
        <v>3.6589295582051098</v>
      </c>
    </row>
    <row r="54" spans="1:22" x14ac:dyDescent="0.35">
      <c r="A54" s="2">
        <v>43284</v>
      </c>
      <c r="B54" s="3">
        <v>3.0668012627528101</v>
      </c>
      <c r="C54" s="3">
        <v>3.4420503271462399</v>
      </c>
      <c r="D54" s="3">
        <v>3.2556729542226499</v>
      </c>
      <c r="E54" s="3">
        <v>1.8415139236627001</v>
      </c>
      <c r="F54" s="3">
        <v>3.0934921002099398</v>
      </c>
      <c r="G54" s="3">
        <v>2.06695961129914</v>
      </c>
      <c r="H54" s="3">
        <v>3.39860993320689</v>
      </c>
      <c r="I54" s="3">
        <v>4.51129840917985</v>
      </c>
      <c r="J54" s="3">
        <v>2.8051601285912602</v>
      </c>
      <c r="K54" s="3">
        <v>2.4107536211267302</v>
      </c>
      <c r="L54" s="3">
        <v>4.43251488865923</v>
      </c>
      <c r="M54" s="3">
        <v>3.5202486062812399</v>
      </c>
      <c r="N54" s="3">
        <v>3.4832485817672301</v>
      </c>
      <c r="O54" s="3">
        <v>1.62095968781963</v>
      </c>
      <c r="P54" s="3">
        <v>2.4233751927259601</v>
      </c>
      <c r="Q54" s="3">
        <v>4.8229624279903502</v>
      </c>
      <c r="R54" s="3">
        <v>3.38988828325183</v>
      </c>
      <c r="S54" s="3">
        <v>5.4850871795545597</v>
      </c>
      <c r="T54" s="3">
        <v>5.0008809388684297</v>
      </c>
      <c r="U54" s="3">
        <v>1.70926383441686</v>
      </c>
      <c r="V54" s="3">
        <v>3.86679988916358</v>
      </c>
    </row>
    <row r="55" spans="1:22" x14ac:dyDescent="0.35">
      <c r="A55" s="2">
        <v>43315</v>
      </c>
      <c r="B55" s="3">
        <v>3.18203038006985</v>
      </c>
      <c r="C55" s="3">
        <v>3.2885067901193801</v>
      </c>
      <c r="D55" s="3">
        <v>2.9640782136437802</v>
      </c>
      <c r="E55" s="3">
        <v>1.7096183679232799</v>
      </c>
      <c r="F55" s="3">
        <v>2.8116105365174899</v>
      </c>
      <c r="G55" s="3">
        <v>4.2337418172160701</v>
      </c>
      <c r="H55" s="3">
        <v>3.2063200285608899</v>
      </c>
      <c r="I55" s="3">
        <v>4.3489986067474202</v>
      </c>
      <c r="J55" s="3">
        <v>2.7275071026813</v>
      </c>
      <c r="K55" s="3">
        <v>2.3829259889096299</v>
      </c>
      <c r="L55" s="3">
        <v>4.1099253040477901</v>
      </c>
      <c r="M55" s="3">
        <v>3.5734628258798602</v>
      </c>
      <c r="N55" s="3">
        <v>3.4939510122690498</v>
      </c>
      <c r="O55" s="3">
        <v>1.51532722574266</v>
      </c>
      <c r="P55" s="3">
        <v>2.4870085351443101</v>
      </c>
      <c r="Q55" s="3">
        <v>4.3665079159291098</v>
      </c>
      <c r="R55" s="3">
        <v>3.24547366052205</v>
      </c>
      <c r="S55" s="3">
        <v>5.4110003727386102</v>
      </c>
      <c r="T55" s="3">
        <v>4.6937090549029703</v>
      </c>
      <c r="U55" s="3">
        <v>1.6861927804749099</v>
      </c>
      <c r="V55" s="3">
        <v>3.88180709873168</v>
      </c>
    </row>
    <row r="56" spans="1:22" x14ac:dyDescent="0.35">
      <c r="A56" s="2">
        <v>43347</v>
      </c>
      <c r="B56" s="3">
        <v>3.1487465311715699</v>
      </c>
      <c r="C56" s="3">
        <v>3.76684581419005</v>
      </c>
      <c r="D56" s="3">
        <v>3.0314741739197699</v>
      </c>
      <c r="E56" s="3">
        <v>1.69670264675041</v>
      </c>
      <c r="F56" s="3">
        <v>2.8323798508913001</v>
      </c>
      <c r="G56" s="3">
        <v>2.4746901708960598</v>
      </c>
      <c r="H56" s="3">
        <v>3.15671601152179</v>
      </c>
      <c r="I56" s="3">
        <v>4.3637644913693503</v>
      </c>
      <c r="J56" s="3">
        <v>2.8263142833376902</v>
      </c>
      <c r="K56" s="3">
        <v>2.3751209660193502</v>
      </c>
      <c r="L56" s="3">
        <v>4.52641325973857</v>
      </c>
      <c r="M56" s="3">
        <v>3.6903986427999902</v>
      </c>
      <c r="N56" s="3">
        <v>3.7681880111014001</v>
      </c>
      <c r="O56" s="3">
        <v>1.49613265441473</v>
      </c>
      <c r="P56" s="3">
        <v>2.5659844306321502</v>
      </c>
      <c r="Q56" s="3">
        <v>4.2367314338738504</v>
      </c>
      <c r="R56" s="3">
        <v>3.2154048118250902</v>
      </c>
      <c r="S56" s="3">
        <v>5.8536577989289</v>
      </c>
      <c r="T56" s="3">
        <v>4.6626825246843797</v>
      </c>
      <c r="U56" s="3">
        <v>1.6595645919763999</v>
      </c>
      <c r="V56" s="3">
        <v>4.1622870161798096</v>
      </c>
    </row>
    <row r="57" spans="1:22" x14ac:dyDescent="0.35">
      <c r="A57" s="2">
        <v>43377</v>
      </c>
      <c r="B57" s="3">
        <v>3.0604364021634098</v>
      </c>
      <c r="C57" s="3">
        <v>3.37856304137591</v>
      </c>
      <c r="D57" s="3">
        <v>3.13194078107878</v>
      </c>
      <c r="E57" s="3">
        <v>1.9086242495253001</v>
      </c>
      <c r="F57" s="3">
        <v>3.0089802851024601</v>
      </c>
      <c r="G57" s="3">
        <v>2.3191891396697599</v>
      </c>
      <c r="H57" s="3">
        <v>3.2321891770606901</v>
      </c>
      <c r="I57" s="3">
        <v>4.5584037771303096</v>
      </c>
      <c r="J57" s="3">
        <v>2.8349684389403298</v>
      </c>
      <c r="K57" s="3">
        <v>2.45199163358863</v>
      </c>
      <c r="L57" s="3">
        <v>4.1428883925687101</v>
      </c>
      <c r="M57" s="3">
        <v>3.9477846950453501</v>
      </c>
      <c r="N57" s="3">
        <v>3.8972048906200301</v>
      </c>
      <c r="O57" s="3">
        <v>1.63844839148982</v>
      </c>
      <c r="P57" s="3">
        <v>2.7152571438553501</v>
      </c>
      <c r="Q57" s="3">
        <v>4.3310595898591098</v>
      </c>
      <c r="R57" s="3">
        <v>3.2470531202434398</v>
      </c>
      <c r="S57" s="3">
        <v>5.6544621290932602</v>
      </c>
      <c r="T57" s="3">
        <v>4.7879134852741201</v>
      </c>
      <c r="U57" s="3">
        <v>1.5724620235058899</v>
      </c>
      <c r="V57" s="3">
        <v>4.1851936152865301</v>
      </c>
    </row>
    <row r="58" spans="1:22" x14ac:dyDescent="0.35">
      <c r="A58" s="2">
        <v>43406</v>
      </c>
      <c r="B58" s="3">
        <v>3.1819093156611</v>
      </c>
      <c r="C58" s="3">
        <v>3.03921217418499</v>
      </c>
      <c r="D58" s="3">
        <v>2.9906350617075201</v>
      </c>
      <c r="E58" s="3">
        <v>1.90589676575849</v>
      </c>
      <c r="F58" s="3">
        <v>3.1510679375947901</v>
      </c>
      <c r="G58" s="3">
        <v>2.5166332018556399</v>
      </c>
      <c r="H58" s="3">
        <v>3.3709171538111402</v>
      </c>
      <c r="I58" s="3">
        <v>4.8745898490863899</v>
      </c>
      <c r="J58" s="3">
        <v>3.1607231171665</v>
      </c>
      <c r="K58" s="3">
        <v>2.58583525236482</v>
      </c>
      <c r="L58" s="3">
        <v>3.864474122706</v>
      </c>
      <c r="M58" s="3">
        <v>3.9730109338578798</v>
      </c>
      <c r="N58" s="3">
        <v>4.2246197510912102</v>
      </c>
      <c r="O58" s="3">
        <v>1.6578261297272301</v>
      </c>
      <c r="P58" s="3">
        <v>2.7416344244180402</v>
      </c>
      <c r="Q58" s="3">
        <v>4.3423718996857401</v>
      </c>
      <c r="R58" s="3">
        <v>3.3441031304519999</v>
      </c>
      <c r="S58" s="3">
        <v>5.2640787939684897</v>
      </c>
      <c r="T58" s="3">
        <v>4.9114249130235503</v>
      </c>
      <c r="U58" s="3">
        <v>1.7686170398738501</v>
      </c>
      <c r="V58" s="3">
        <v>4.2112818720234104</v>
      </c>
    </row>
    <row r="59" spans="1:22" x14ac:dyDescent="0.35">
      <c r="A59" s="2">
        <v>43438</v>
      </c>
      <c r="B59" s="3">
        <v>3.1633574690461401</v>
      </c>
      <c r="C59" s="3">
        <v>2.9888449158332402</v>
      </c>
      <c r="D59" s="3">
        <v>2.81261400381787</v>
      </c>
      <c r="E59" s="3">
        <v>1.7507546054682099</v>
      </c>
      <c r="F59" s="3">
        <v>3.0314486261633999</v>
      </c>
      <c r="G59" s="3">
        <v>2.2536653004888101</v>
      </c>
      <c r="H59" s="3">
        <v>3.30876929698448</v>
      </c>
      <c r="I59" s="3">
        <v>4.8274168603043499</v>
      </c>
      <c r="J59" s="3">
        <v>3.46629388305012</v>
      </c>
      <c r="K59" s="3">
        <v>2.5675433366198099</v>
      </c>
      <c r="L59" s="3">
        <v>3.8821738632965999</v>
      </c>
      <c r="M59" s="3">
        <v>3.81483022718507</v>
      </c>
      <c r="N59" s="3">
        <v>4.0261209819649002</v>
      </c>
      <c r="O59" s="3">
        <v>1.6268638664636501</v>
      </c>
      <c r="P59" s="3">
        <v>2.6585351138964501</v>
      </c>
      <c r="Q59" s="3">
        <v>4.3160599741785504</v>
      </c>
      <c r="R59" s="3">
        <v>3.3742532039959499</v>
      </c>
      <c r="S59" s="3">
        <v>5.4332321923714799</v>
      </c>
      <c r="T59" s="3">
        <v>5.1554908759015596</v>
      </c>
      <c r="U59" s="3">
        <v>1.7431788458280899</v>
      </c>
      <c r="V59" s="3">
        <v>4.1752392492485901</v>
      </c>
    </row>
    <row r="60" spans="1:22" x14ac:dyDescent="0.35">
      <c r="A60" s="2">
        <v>43469</v>
      </c>
      <c r="B60" s="3">
        <v>3.36198577579865</v>
      </c>
      <c r="C60" s="3">
        <v>3.1487206097768601</v>
      </c>
      <c r="D60" s="3">
        <v>2.8478883887381001</v>
      </c>
      <c r="E60" s="3">
        <v>1.7121764791419001</v>
      </c>
      <c r="F60" s="3">
        <v>3.1522127172109902</v>
      </c>
      <c r="G60" s="3">
        <v>2.4049285081322802</v>
      </c>
      <c r="H60" s="3">
        <v>3.3214277372638801</v>
      </c>
      <c r="I60" s="3">
        <v>5.1102412421398604</v>
      </c>
      <c r="J60" s="3">
        <v>3.3703574461720001</v>
      </c>
      <c r="K60" s="3">
        <v>2.7204287945310401</v>
      </c>
      <c r="L60" s="3">
        <v>3.8649717390703202</v>
      </c>
      <c r="M60" s="3">
        <v>3.8165199946371402</v>
      </c>
      <c r="N60" s="3">
        <v>4.4174707334854704</v>
      </c>
      <c r="O60" s="3">
        <v>1.6661080056228601</v>
      </c>
      <c r="P60" s="3">
        <v>2.8526900655397398</v>
      </c>
      <c r="Q60" s="3">
        <v>4.5320762834874104</v>
      </c>
      <c r="R60" s="3">
        <v>3.5341959751889198</v>
      </c>
      <c r="S60" s="3">
        <v>5.4744985938803898</v>
      </c>
      <c r="T60" s="3">
        <v>5.1731293114166297</v>
      </c>
      <c r="U60" s="3">
        <v>1.8526488802158001</v>
      </c>
      <c r="V60" s="3">
        <v>4.2485053685503003</v>
      </c>
    </row>
    <row r="61" spans="1:22" x14ac:dyDescent="0.35">
      <c r="A61" s="2">
        <v>43500</v>
      </c>
      <c r="B61" s="3">
        <v>3.1324797874181001</v>
      </c>
      <c r="C61" s="3">
        <v>2.9390157383604998</v>
      </c>
      <c r="D61" s="3">
        <v>2.78892082409787</v>
      </c>
      <c r="E61" s="3">
        <v>1.6588065307370401</v>
      </c>
      <c r="F61" s="3">
        <v>2.9916309692557599</v>
      </c>
      <c r="G61" s="3">
        <v>2.0640461896926099</v>
      </c>
      <c r="H61" s="3">
        <v>3.2782643672053</v>
      </c>
      <c r="I61" s="3">
        <v>4.6374487020027404</v>
      </c>
      <c r="J61" s="3">
        <v>3.3055962181049101</v>
      </c>
      <c r="K61" s="3">
        <v>2.4435376664956898</v>
      </c>
      <c r="L61" s="3">
        <v>3.5666787187498201</v>
      </c>
      <c r="M61" s="3">
        <v>3.7609861020424402</v>
      </c>
      <c r="N61" s="3">
        <v>4.3538422111240402</v>
      </c>
      <c r="O61" s="3">
        <v>1.6346442372293799</v>
      </c>
      <c r="P61" s="3">
        <v>2.5600758798539198</v>
      </c>
      <c r="Q61" s="3">
        <v>4.2902819314172698</v>
      </c>
      <c r="R61" s="3">
        <v>3.31549657039101</v>
      </c>
      <c r="S61" s="3">
        <v>4.4885794056698396</v>
      </c>
      <c r="T61" s="3">
        <v>5.1275835341374103</v>
      </c>
      <c r="U61" s="3">
        <v>1.7679319011786601</v>
      </c>
      <c r="V61" s="3">
        <v>3.95802109731425</v>
      </c>
    </row>
    <row r="62" spans="1:22" x14ac:dyDescent="0.35">
      <c r="A62" s="2">
        <v>43528</v>
      </c>
      <c r="B62" s="3">
        <v>2.74338119308615</v>
      </c>
      <c r="C62" s="3">
        <v>3.0636148850478699</v>
      </c>
      <c r="D62" s="3">
        <v>2.7990761117417802</v>
      </c>
      <c r="E62" s="3">
        <v>1.76788717521704</v>
      </c>
      <c r="F62" s="3">
        <v>3.04907109950899</v>
      </c>
      <c r="G62" s="3">
        <v>2.2087247391093499</v>
      </c>
      <c r="H62" s="3">
        <v>3.2964987826659402</v>
      </c>
      <c r="I62" s="3">
        <v>4.4683425750553898</v>
      </c>
      <c r="J62" s="3">
        <v>3.41357809935218</v>
      </c>
      <c r="K62" s="3">
        <v>2.4829113150651398</v>
      </c>
      <c r="L62" s="3">
        <v>3.6821187441080401</v>
      </c>
      <c r="M62" s="3">
        <v>3.92203096888269</v>
      </c>
      <c r="N62" s="3">
        <v>3.8949254197188301</v>
      </c>
      <c r="O62" s="3">
        <v>1.6491308486579199</v>
      </c>
      <c r="P62" s="3">
        <v>2.42275681517404</v>
      </c>
      <c r="Q62" s="3">
        <v>4.5387453468052401</v>
      </c>
      <c r="R62" s="3">
        <v>3.3030734857443602</v>
      </c>
      <c r="S62" s="3">
        <v>4.5730380921321299</v>
      </c>
      <c r="T62" s="3">
        <v>5.1162090695229399</v>
      </c>
      <c r="U62" s="3">
        <v>1.5242902253194699</v>
      </c>
      <c r="V62" s="3">
        <v>3.8760871232900902</v>
      </c>
    </row>
    <row r="63" spans="1:22" x14ac:dyDescent="0.35">
      <c r="A63" s="2">
        <v>43559</v>
      </c>
      <c r="B63" s="3">
        <v>2.6104584299129598</v>
      </c>
      <c r="C63" s="3">
        <v>2.9989115899355498</v>
      </c>
      <c r="D63" s="3">
        <v>2.8028246897400901</v>
      </c>
      <c r="E63" s="3">
        <v>1.73151740825387</v>
      </c>
      <c r="F63" s="3">
        <v>3.0380852510699401</v>
      </c>
      <c r="G63" s="3">
        <v>2.2363146769189601</v>
      </c>
      <c r="H63" s="3">
        <v>3.3754407149845602</v>
      </c>
      <c r="I63" s="3">
        <v>4.2476520837489602</v>
      </c>
      <c r="J63" s="3">
        <v>3.3602310458789999</v>
      </c>
      <c r="K63" s="3">
        <v>2.4548272401600402</v>
      </c>
      <c r="L63" s="3">
        <v>3.3454735826253401</v>
      </c>
      <c r="M63" s="3">
        <v>3.7829991456654399</v>
      </c>
      <c r="N63" s="3">
        <v>3.6293360635848901</v>
      </c>
      <c r="O63" s="3">
        <v>1.5758474789393</v>
      </c>
      <c r="P63" s="3">
        <v>2.34764287632464</v>
      </c>
      <c r="Q63" s="3">
        <v>4.40748084831701</v>
      </c>
      <c r="R63" s="3">
        <v>3.3045523125716199</v>
      </c>
      <c r="S63" s="3">
        <v>4.7556742793762901</v>
      </c>
      <c r="T63" s="3">
        <v>5.1090248102125502</v>
      </c>
      <c r="U63" s="3">
        <v>1.58443314247689</v>
      </c>
      <c r="V63" s="3">
        <v>3.69189986166064</v>
      </c>
    </row>
    <row r="64" spans="1:22" x14ac:dyDescent="0.35">
      <c r="A64" s="2">
        <v>43588</v>
      </c>
      <c r="B64" s="3">
        <v>2.6919600388771001</v>
      </c>
      <c r="C64" s="3">
        <v>3.0474663098709902</v>
      </c>
      <c r="D64" s="3">
        <v>2.87233376961658</v>
      </c>
      <c r="E64" s="3">
        <v>1.69951191397854</v>
      </c>
      <c r="F64" s="3">
        <v>3.1835992678062501</v>
      </c>
      <c r="G64" s="3">
        <v>2.50195112764969</v>
      </c>
      <c r="H64" s="3">
        <v>3.38863595503034</v>
      </c>
      <c r="I64" s="3">
        <v>4.1614556649249304</v>
      </c>
      <c r="J64" s="3">
        <v>3.3497581659193099</v>
      </c>
      <c r="K64" s="3">
        <v>2.4478399478075601</v>
      </c>
      <c r="L64" s="3">
        <v>3.4224383164604602</v>
      </c>
      <c r="M64" s="3">
        <v>3.6179012969865898</v>
      </c>
      <c r="N64" s="3">
        <v>3.5910351562335401</v>
      </c>
      <c r="O64" s="3">
        <v>1.63497281257778</v>
      </c>
      <c r="P64" s="3">
        <v>2.3455835117595298</v>
      </c>
      <c r="Q64" s="3">
        <v>4.1668425599107399</v>
      </c>
      <c r="R64" s="3">
        <v>3.2423433797738999</v>
      </c>
      <c r="S64" s="3">
        <v>5.04250332655013</v>
      </c>
      <c r="T64" s="3">
        <v>4.83198058844442</v>
      </c>
      <c r="U64" s="3">
        <v>1.5403794011377401</v>
      </c>
      <c r="V64" s="3">
        <v>3.6041624143292101</v>
      </c>
    </row>
    <row r="65" spans="1:22" x14ac:dyDescent="0.35">
      <c r="A65" s="2">
        <v>43620</v>
      </c>
      <c r="B65" s="3">
        <v>2.82884810824652</v>
      </c>
      <c r="C65" s="3">
        <v>3.31430473694863</v>
      </c>
      <c r="D65" s="3">
        <v>2.8646263618877499</v>
      </c>
      <c r="E65" s="3">
        <v>1.7674022045912701</v>
      </c>
      <c r="F65" s="3">
        <v>3.3150538901557001</v>
      </c>
      <c r="G65" s="3">
        <v>2.72137911084815</v>
      </c>
      <c r="H65" s="3">
        <v>3.33729627479517</v>
      </c>
      <c r="I65" s="3">
        <v>4.5266397403405296</v>
      </c>
      <c r="J65" s="3">
        <v>3.5226695130308601</v>
      </c>
      <c r="K65" s="3">
        <v>2.5777104317977599</v>
      </c>
      <c r="L65" s="3">
        <v>3.2984026301457798</v>
      </c>
      <c r="M65" s="3">
        <v>3.8526408758184298</v>
      </c>
      <c r="N65" s="3">
        <v>3.3620488329147999</v>
      </c>
      <c r="O65" s="3">
        <v>1.64052235968141</v>
      </c>
      <c r="P65" s="3">
        <v>2.6371085113520598</v>
      </c>
      <c r="Q65" s="3">
        <v>4.1894897867207801</v>
      </c>
      <c r="R65" s="3">
        <v>3.2875841744079399</v>
      </c>
      <c r="S65" s="3">
        <v>4.9912245246904003</v>
      </c>
      <c r="T65" s="3">
        <v>5.1695407984560298</v>
      </c>
      <c r="U65" s="3">
        <v>1.59525367292748</v>
      </c>
      <c r="V65" s="3">
        <v>3.9836252567263299</v>
      </c>
    </row>
    <row r="66" spans="1:22" x14ac:dyDescent="0.35">
      <c r="A66" s="2">
        <v>43649</v>
      </c>
      <c r="B66" s="3">
        <v>2.6339394195504502</v>
      </c>
      <c r="C66" s="3">
        <v>3.22056834786257</v>
      </c>
      <c r="D66" s="3">
        <v>2.74494835282505</v>
      </c>
      <c r="E66" s="3">
        <v>1.7155534900292899</v>
      </c>
      <c r="F66" s="3">
        <v>3.2271167154084499</v>
      </c>
      <c r="G66" s="3">
        <v>2.6610413724177402</v>
      </c>
      <c r="H66" s="3">
        <v>3.3857639277399101</v>
      </c>
      <c r="I66" s="3">
        <v>4.35012415425778</v>
      </c>
      <c r="J66" s="3">
        <v>3.5549302456065801</v>
      </c>
      <c r="K66" s="3">
        <v>2.53020259304864</v>
      </c>
      <c r="L66" s="3">
        <v>3.0845700544971302</v>
      </c>
      <c r="M66" s="3">
        <v>3.7916379305963499</v>
      </c>
      <c r="N66" s="3">
        <v>3.28116903308594</v>
      </c>
      <c r="O66" s="3">
        <v>1.6864173558084199</v>
      </c>
      <c r="P66" s="3">
        <v>2.4483941032889298</v>
      </c>
      <c r="Q66" s="3">
        <v>4.1300299477852898</v>
      </c>
      <c r="R66" s="3">
        <v>3.1234672778873498</v>
      </c>
      <c r="S66" s="3">
        <v>4.5229682596525898</v>
      </c>
      <c r="T66" s="3">
        <v>5.1674630515767204</v>
      </c>
      <c r="U66" s="3">
        <v>1.7184917606449099</v>
      </c>
      <c r="V66" s="3">
        <v>3.8549175749122302</v>
      </c>
    </row>
    <row r="67" spans="1:22" x14ac:dyDescent="0.35">
      <c r="A67" s="2">
        <v>43679</v>
      </c>
      <c r="B67" s="3">
        <v>2.7781443691051999</v>
      </c>
      <c r="C67" s="3">
        <v>3.33700668339669</v>
      </c>
      <c r="D67" s="3">
        <v>2.7713712022307702</v>
      </c>
      <c r="E67" s="3">
        <v>1.7554125686973701</v>
      </c>
      <c r="F67" s="3">
        <v>3.4836516032270399</v>
      </c>
      <c r="G67" s="3">
        <v>2.8880441792999698</v>
      </c>
      <c r="H67" s="3">
        <v>3.46846070801204</v>
      </c>
      <c r="I67" s="3">
        <v>4.4064933512551097</v>
      </c>
      <c r="J67" s="3">
        <v>3.8830233997218802</v>
      </c>
      <c r="K67" s="3">
        <v>2.62474527389519</v>
      </c>
      <c r="L67" s="3">
        <v>3.2277258183439699</v>
      </c>
      <c r="M67" s="3">
        <v>3.8961540171646298</v>
      </c>
      <c r="N67" s="3">
        <v>3.06077030424533</v>
      </c>
      <c r="O67" s="3">
        <v>1.83514913691347</v>
      </c>
      <c r="P67" s="3">
        <v>2.5890573988547998</v>
      </c>
      <c r="Q67" s="3">
        <v>4.1330472049335398</v>
      </c>
      <c r="R67" s="3">
        <v>3.2078015683391299</v>
      </c>
      <c r="S67" s="3">
        <v>4.4744626032899903</v>
      </c>
      <c r="T67" s="3">
        <v>4.9149387278086296</v>
      </c>
      <c r="U67" s="3">
        <v>1.8237501905818201</v>
      </c>
      <c r="V67" s="3">
        <v>3.9549201209881102</v>
      </c>
    </row>
    <row r="68" spans="1:22" x14ac:dyDescent="0.35">
      <c r="A68" s="2">
        <v>43712</v>
      </c>
      <c r="B68" s="3">
        <v>2.6615448351555999</v>
      </c>
      <c r="C68" s="3">
        <v>3.5006497373622598</v>
      </c>
      <c r="D68" s="3">
        <v>2.8167872394417</v>
      </c>
      <c r="E68" s="3">
        <v>1.85357437502584</v>
      </c>
      <c r="F68" s="3">
        <v>3.8166904985689798</v>
      </c>
      <c r="G68" s="3">
        <v>2.92521427124829</v>
      </c>
      <c r="H68" s="3">
        <v>3.5092615791350399</v>
      </c>
      <c r="I68" s="3">
        <v>4.3597891393366002</v>
      </c>
      <c r="J68" s="3">
        <v>3.6973828413750001</v>
      </c>
      <c r="K68" s="3">
        <v>2.6107627528798401</v>
      </c>
      <c r="L68" s="3">
        <v>3.3125153813658401</v>
      </c>
      <c r="M68" s="3">
        <v>4.0462705547951003</v>
      </c>
      <c r="N68" s="3">
        <v>3.38362205235725</v>
      </c>
      <c r="O68" s="3">
        <v>1.8376694251558801</v>
      </c>
      <c r="P68" s="3">
        <v>2.5026518372733602</v>
      </c>
      <c r="Q68" s="3">
        <v>4.1848636811886601</v>
      </c>
      <c r="R68" s="3">
        <v>3.2316762526248799</v>
      </c>
      <c r="S68" s="3">
        <v>4.9672913881469203</v>
      </c>
      <c r="T68" s="3">
        <v>4.7784415207006896</v>
      </c>
      <c r="U68" s="3">
        <v>1.9588597533035099</v>
      </c>
      <c r="V68" s="3">
        <v>4.1118415524972098</v>
      </c>
    </row>
    <row r="69" spans="1:22" x14ac:dyDescent="0.35">
      <c r="A69" s="2">
        <v>43742</v>
      </c>
      <c r="B69" s="3">
        <v>2.73843490858548</v>
      </c>
      <c r="C69" s="3">
        <v>3.2611043727950002</v>
      </c>
      <c r="D69" s="3">
        <v>2.9015212491398001</v>
      </c>
      <c r="E69" s="3">
        <v>1.9119065829855899</v>
      </c>
      <c r="F69" s="3">
        <v>3.5966706643183999</v>
      </c>
      <c r="G69" s="3">
        <v>3.09256591126967</v>
      </c>
      <c r="H69" s="3">
        <v>3.60273854562233</v>
      </c>
      <c r="I69" s="3">
        <v>4.2619575320809799</v>
      </c>
      <c r="J69" s="3">
        <v>3.5554752726347698</v>
      </c>
      <c r="K69" s="3">
        <v>2.5666270895437502</v>
      </c>
      <c r="L69" s="3">
        <v>3.3014640984522798</v>
      </c>
      <c r="M69" s="3">
        <v>4.3389062031777001</v>
      </c>
      <c r="N69" s="3">
        <v>3.39654808793177</v>
      </c>
      <c r="O69" s="3">
        <v>1.81643609591845</v>
      </c>
      <c r="P69" s="3">
        <v>2.5557949696295701</v>
      </c>
      <c r="Q69" s="3">
        <v>4.1359596152252101</v>
      </c>
      <c r="R69" s="3">
        <v>3.35591195850651</v>
      </c>
      <c r="S69" s="3">
        <v>4.7554721317304196</v>
      </c>
      <c r="T69" s="3">
        <v>4.9171543129431603</v>
      </c>
      <c r="U69" s="3">
        <v>1.6328473317496801</v>
      </c>
      <c r="V69" s="3">
        <v>4.2411539449242301</v>
      </c>
    </row>
    <row r="70" spans="1:22" x14ac:dyDescent="0.35">
      <c r="A70" s="2">
        <v>43773</v>
      </c>
      <c r="B70" s="3">
        <v>2.6950357684911399</v>
      </c>
      <c r="C70" s="3">
        <v>3.53499966211856</v>
      </c>
      <c r="D70" s="3">
        <v>2.8038124275206502</v>
      </c>
      <c r="E70" s="3">
        <v>1.8311032358004</v>
      </c>
      <c r="F70" s="3">
        <v>3.31655688367012</v>
      </c>
      <c r="G70" s="3">
        <v>2.9362589068927698</v>
      </c>
      <c r="H70" s="3">
        <v>3.4847757900970402</v>
      </c>
      <c r="I70" s="3">
        <v>4.0250303860096901</v>
      </c>
      <c r="J70" s="3">
        <v>3.4882966788786001</v>
      </c>
      <c r="K70" s="3">
        <v>2.4083353008667001</v>
      </c>
      <c r="L70" s="3">
        <v>3.2158901713465098</v>
      </c>
      <c r="M70" s="3">
        <v>4.1430022353961</v>
      </c>
      <c r="N70" s="3">
        <v>3.2448338924398601</v>
      </c>
      <c r="O70" s="3">
        <v>1.74227210964026</v>
      </c>
      <c r="P70" s="3">
        <v>2.4480982455676301</v>
      </c>
      <c r="Q70" s="3">
        <v>4.1229319093642296</v>
      </c>
      <c r="R70" s="3">
        <v>3.2326034765260898</v>
      </c>
      <c r="S70" s="3">
        <v>4.7421956195306496</v>
      </c>
      <c r="T70" s="3">
        <v>4.7346516537082399</v>
      </c>
      <c r="U70" s="3">
        <v>1.6470149852349301</v>
      </c>
      <c r="V70" s="3">
        <v>4.3248412109179597</v>
      </c>
    </row>
    <row r="71" spans="1:22" x14ac:dyDescent="0.35">
      <c r="A71" s="2">
        <v>43803</v>
      </c>
      <c r="B71" s="3">
        <v>2.5795986516755698</v>
      </c>
      <c r="C71" s="3">
        <v>3.79070985113963</v>
      </c>
      <c r="D71" s="3">
        <v>2.8347677935282198</v>
      </c>
      <c r="E71" s="3">
        <v>1.8803155075670701</v>
      </c>
      <c r="F71" s="3">
        <v>3.5568720841541599</v>
      </c>
      <c r="G71" s="3">
        <v>2.85135609633695</v>
      </c>
      <c r="H71" s="3">
        <v>3.5416047907450801</v>
      </c>
      <c r="I71" s="3">
        <v>4.1314325172383004</v>
      </c>
      <c r="J71" s="3">
        <v>3.6263186673419798</v>
      </c>
      <c r="K71" s="3">
        <v>2.4685937935216602</v>
      </c>
      <c r="L71" s="3">
        <v>3.2178683695818702</v>
      </c>
      <c r="M71" s="3">
        <v>3.86089515862614</v>
      </c>
      <c r="N71" s="3">
        <v>3.0014969963697902</v>
      </c>
      <c r="O71" s="3">
        <v>1.6694108947598401</v>
      </c>
      <c r="P71" s="3">
        <v>2.4277349928879599</v>
      </c>
      <c r="Q71" s="3">
        <v>4.1019468031927397</v>
      </c>
      <c r="R71" s="3">
        <v>3.2856003108296701</v>
      </c>
      <c r="S71" s="3">
        <v>4.5200183194064696</v>
      </c>
      <c r="T71" s="3">
        <v>4.9148908982439696</v>
      </c>
      <c r="U71" s="3">
        <v>1.62562251807096</v>
      </c>
      <c r="V71" s="3">
        <v>4.2119279980495001</v>
      </c>
    </row>
    <row r="72" spans="1:22" x14ac:dyDescent="0.35">
      <c r="A72" s="2">
        <v>43833</v>
      </c>
      <c r="B72" s="3">
        <v>2.42126444867541</v>
      </c>
      <c r="C72" s="3">
        <v>3.61532543693037</v>
      </c>
      <c r="D72" s="3">
        <v>2.78454193448247</v>
      </c>
      <c r="E72" s="3">
        <v>1.8446088516228401</v>
      </c>
      <c r="F72" s="3">
        <v>3.4994681186593102</v>
      </c>
      <c r="G72" s="3">
        <v>2.5766516321883302</v>
      </c>
      <c r="H72" s="3">
        <v>3.4271759893406601</v>
      </c>
      <c r="I72" s="3">
        <v>3.9749393578474601</v>
      </c>
      <c r="J72" s="3">
        <v>3.41656793133017</v>
      </c>
      <c r="K72" s="3">
        <v>2.36036547019539</v>
      </c>
      <c r="L72" s="3">
        <v>3.09385065230917</v>
      </c>
      <c r="M72" s="3">
        <v>3.6696321996630101</v>
      </c>
      <c r="N72" s="3">
        <v>2.9089634282238599</v>
      </c>
      <c r="O72" s="3">
        <v>1.6603811140376501</v>
      </c>
      <c r="P72" s="3">
        <v>2.2245063480705101</v>
      </c>
      <c r="Q72" s="3">
        <v>4.0219408682090503</v>
      </c>
      <c r="R72" s="3">
        <v>3.1994552893558001</v>
      </c>
      <c r="S72" s="3">
        <v>4.3014843603113198</v>
      </c>
      <c r="T72" s="3">
        <v>5.2160207731935602</v>
      </c>
      <c r="U72" s="3">
        <v>1.51516261350729</v>
      </c>
      <c r="V72" s="3">
        <v>3.9800290532039599</v>
      </c>
    </row>
    <row r="73" spans="1:22" x14ac:dyDescent="0.35">
      <c r="A73" s="2">
        <v>43865</v>
      </c>
      <c r="B73" s="3">
        <v>2.6411466835065101</v>
      </c>
      <c r="C73" s="3">
        <v>3.7566323282974698</v>
      </c>
      <c r="D73" s="3">
        <v>2.8702581456518401</v>
      </c>
      <c r="E73" s="3">
        <v>1.92871657347592</v>
      </c>
      <c r="F73" s="3">
        <v>3.8665545237235102</v>
      </c>
      <c r="G73" s="3">
        <v>2.8579875670390802</v>
      </c>
      <c r="H73" s="3">
        <v>3.6200925157705299</v>
      </c>
      <c r="I73" s="3">
        <v>4.1495211563218204</v>
      </c>
      <c r="J73" s="3">
        <v>3.4249990591888899</v>
      </c>
      <c r="K73" s="3">
        <v>2.32008909901782</v>
      </c>
      <c r="L73" s="3">
        <v>3.1175571106491198</v>
      </c>
      <c r="M73" s="3">
        <v>3.7293562251165402</v>
      </c>
      <c r="N73" s="3">
        <v>3.15332371882671</v>
      </c>
      <c r="O73" s="3">
        <v>1.6752039233846501</v>
      </c>
      <c r="P73" s="3">
        <v>2.3204264447907001</v>
      </c>
      <c r="Q73" s="3">
        <v>4.2118211404167196</v>
      </c>
      <c r="R73" s="3">
        <v>3.37043670314244</v>
      </c>
      <c r="S73" s="3">
        <v>4.3356868669599899</v>
      </c>
      <c r="T73" s="3">
        <v>5.3165886448434403</v>
      </c>
      <c r="U73" s="3">
        <v>1.6193604354538</v>
      </c>
      <c r="V73" s="3">
        <v>4.2216427382420898</v>
      </c>
    </row>
    <row r="74" spans="1:22" x14ac:dyDescent="0.35">
      <c r="A74" s="2">
        <v>43894</v>
      </c>
      <c r="B74" s="3">
        <v>2.3824001101761798</v>
      </c>
      <c r="C74" s="3">
        <v>4.0612162508627101</v>
      </c>
      <c r="D74" s="3">
        <v>3.13225019482931</v>
      </c>
      <c r="E74" s="3">
        <v>2.0336020693375101</v>
      </c>
      <c r="F74" s="3">
        <v>3.9141350470783798</v>
      </c>
      <c r="G74" s="3">
        <v>3.1555436762981999</v>
      </c>
      <c r="H74" s="3">
        <v>3.7326990500675099</v>
      </c>
      <c r="I74" s="3">
        <v>4.1801155577763502</v>
      </c>
      <c r="J74" s="3">
        <v>3.4053404294219698</v>
      </c>
      <c r="K74" s="3">
        <v>2.43648707343525</v>
      </c>
      <c r="L74" s="3">
        <v>3.4001006134467899</v>
      </c>
      <c r="M74" s="3">
        <v>4.2976313949095504</v>
      </c>
      <c r="N74" s="3">
        <v>3.6907062747514199</v>
      </c>
      <c r="O74" s="3">
        <v>1.7880334332649499</v>
      </c>
      <c r="P74" s="3">
        <v>2.2624543096115399</v>
      </c>
      <c r="Q74" s="3">
        <v>4.5470740666326499</v>
      </c>
      <c r="R74" s="3">
        <v>3.6157524256802498</v>
      </c>
      <c r="S74" s="3">
        <v>4.5790917889652398</v>
      </c>
      <c r="T74" s="3">
        <v>5.7235541150570999</v>
      </c>
      <c r="U74" s="3">
        <v>1.61351087171358</v>
      </c>
      <c r="V74" s="3">
        <v>4.6603737290590104</v>
      </c>
    </row>
    <row r="75" spans="1:22" x14ac:dyDescent="0.35">
      <c r="A75" s="2">
        <v>43924</v>
      </c>
      <c r="B75" s="3">
        <v>2.5777633849514299</v>
      </c>
      <c r="C75" s="3">
        <v>4.4303635356484099</v>
      </c>
      <c r="D75" s="3">
        <v>3.9078343995570002</v>
      </c>
      <c r="E75" s="3">
        <v>2.67155429027444</v>
      </c>
      <c r="F75" s="3">
        <v>4.2933460817129401</v>
      </c>
      <c r="G75" s="3">
        <v>4.5973776558252197</v>
      </c>
      <c r="H75" s="3">
        <v>4.0616362829562798</v>
      </c>
      <c r="I75" s="3">
        <v>4.7141911438727302</v>
      </c>
      <c r="J75" s="3">
        <v>4.7304171795590797</v>
      </c>
      <c r="K75" s="3">
        <v>2.8664754579652598</v>
      </c>
      <c r="L75" s="3">
        <v>4.6788967333038203</v>
      </c>
      <c r="M75" s="3">
        <v>5.1160841690642496</v>
      </c>
      <c r="N75" s="3">
        <v>5.2435461279756899</v>
      </c>
      <c r="O75" s="3">
        <v>2.4158146919269199</v>
      </c>
      <c r="P75" s="3">
        <v>2.3587726789399599</v>
      </c>
      <c r="Q75" s="3">
        <v>4.6520296636077596</v>
      </c>
      <c r="R75" s="3">
        <v>4.0061286309234099</v>
      </c>
      <c r="S75" s="3">
        <v>5.7625091729143199</v>
      </c>
      <c r="T75" s="3">
        <v>7.1382409195254999</v>
      </c>
      <c r="U75" s="3">
        <v>2.06593259235862</v>
      </c>
      <c r="V75" s="3">
        <v>4.9849881850258804</v>
      </c>
    </row>
    <row r="76" spans="1:22" x14ac:dyDescent="0.35">
      <c r="A76" s="2">
        <v>43955</v>
      </c>
      <c r="B76" s="3">
        <v>2.3420096214705901</v>
      </c>
      <c r="C76" s="3">
        <v>3.93095706257205</v>
      </c>
      <c r="D76" s="3">
        <v>3.7768722994308299</v>
      </c>
      <c r="E76" s="3">
        <v>2.4797557704941902</v>
      </c>
      <c r="F76" s="3">
        <v>3.4124955497905001</v>
      </c>
      <c r="G76" s="3">
        <v>3.3641816863248502</v>
      </c>
      <c r="H76" s="3">
        <v>3.7594178893212802</v>
      </c>
      <c r="I76" s="3">
        <v>4.1842128325858603</v>
      </c>
      <c r="J76" s="3">
        <v>3.8430754143683901</v>
      </c>
      <c r="K76" s="3">
        <v>2.5406519242841701</v>
      </c>
      <c r="L76" s="3">
        <v>3.8564586394379501</v>
      </c>
      <c r="M76" s="3">
        <v>3.5755373111166202</v>
      </c>
      <c r="N76" s="3">
        <v>4.9166654163336503</v>
      </c>
      <c r="O76" s="3">
        <v>1.9982028812519199</v>
      </c>
      <c r="P76" s="3">
        <v>2.27621044148297</v>
      </c>
      <c r="Q76" s="3">
        <v>4.2926579124484698</v>
      </c>
      <c r="R76" s="3">
        <v>3.3187338947488398</v>
      </c>
      <c r="S76" s="3">
        <v>4.0132803973739799</v>
      </c>
      <c r="T76" s="3">
        <v>4.98797180751487</v>
      </c>
      <c r="U76" s="3">
        <v>1.7846597173695899</v>
      </c>
      <c r="V76" s="3">
        <v>4.7035996982557204</v>
      </c>
    </row>
    <row r="77" spans="1:22" x14ac:dyDescent="0.35">
      <c r="A77" s="2">
        <v>43986</v>
      </c>
      <c r="B77" s="3">
        <v>2.2293262956772302</v>
      </c>
      <c r="C77" s="3">
        <v>3.3878394499434301</v>
      </c>
      <c r="D77" s="3">
        <v>3.2886976304450801</v>
      </c>
      <c r="E77" s="3">
        <v>2.05486540415292</v>
      </c>
      <c r="F77" s="3">
        <v>2.4497808799024199</v>
      </c>
      <c r="G77" s="3">
        <v>3.1849637202254302</v>
      </c>
      <c r="H77" s="3">
        <v>3.0019726960454101</v>
      </c>
      <c r="I77" s="3">
        <v>3.95169858764489</v>
      </c>
      <c r="J77" s="3">
        <v>3.0855676403275401</v>
      </c>
      <c r="K77" s="3">
        <v>2.2281963973210499</v>
      </c>
      <c r="L77" s="3">
        <v>3.0146365091266301</v>
      </c>
      <c r="M77" s="3">
        <v>3.4787548311743999</v>
      </c>
      <c r="N77" s="3">
        <v>3.81000270825061</v>
      </c>
      <c r="O77" s="3">
        <v>1.71578998380496</v>
      </c>
      <c r="P77" s="3">
        <v>1.96874147745807</v>
      </c>
      <c r="Q77" s="3">
        <v>4.0342060627225598</v>
      </c>
      <c r="R77" s="3">
        <v>2.9548923371393401</v>
      </c>
      <c r="S77" s="3">
        <v>3.3825542500955801</v>
      </c>
      <c r="T77" s="3">
        <v>4.2685479221952001</v>
      </c>
      <c r="U77" s="3">
        <v>1.3409558086664499</v>
      </c>
      <c r="V77" s="3">
        <v>4.0630095543661104</v>
      </c>
    </row>
    <row r="78" spans="1:22" x14ac:dyDescent="0.35">
      <c r="A78" s="2">
        <v>44014</v>
      </c>
      <c r="B78" s="3">
        <v>2.06363210159095</v>
      </c>
      <c r="C78" s="3">
        <v>3.19759552483427</v>
      </c>
      <c r="D78" s="3">
        <v>2.95213947650939</v>
      </c>
      <c r="E78" s="3">
        <v>2.03031434659969</v>
      </c>
      <c r="F78" s="3">
        <v>2.5934926809838799</v>
      </c>
      <c r="G78" s="3">
        <v>3.1502017395531401</v>
      </c>
      <c r="H78" s="3">
        <v>3.0537177017836199</v>
      </c>
      <c r="I78" s="3">
        <v>3.8353001737411101</v>
      </c>
      <c r="J78" s="3">
        <v>3.0346648901870901</v>
      </c>
      <c r="K78" s="3">
        <v>2.25537912945288</v>
      </c>
      <c r="L78" s="3">
        <v>2.9627008745286498</v>
      </c>
      <c r="M78" s="3">
        <v>3.4404556454913</v>
      </c>
      <c r="N78" s="3">
        <v>3.6199951497062801</v>
      </c>
      <c r="O78" s="3">
        <v>1.6138054734723499</v>
      </c>
      <c r="P78" s="3">
        <v>1.8580176968350599</v>
      </c>
      <c r="Q78" s="3">
        <v>3.79122873763226</v>
      </c>
      <c r="R78" s="3">
        <v>2.9624042915677502</v>
      </c>
      <c r="S78" s="3">
        <v>3.3064399314065498</v>
      </c>
      <c r="T78" s="3">
        <v>4.5075516275104999</v>
      </c>
      <c r="U78" s="3">
        <v>1.40437319201561</v>
      </c>
      <c r="V78" s="3">
        <v>3.9099519459276202</v>
      </c>
    </row>
    <row r="79" spans="1:22" x14ac:dyDescent="0.35">
      <c r="A79" s="2">
        <v>44047</v>
      </c>
      <c r="B79" s="3">
        <v>1.9171825824904301</v>
      </c>
      <c r="C79" s="3">
        <v>3.4516247332919101</v>
      </c>
      <c r="D79" s="3">
        <v>2.90204219828692</v>
      </c>
      <c r="E79" s="3">
        <v>2.2286441910469899</v>
      </c>
      <c r="F79" s="3">
        <v>2.6232787971099998</v>
      </c>
      <c r="G79" s="3">
        <v>2.8560999200581501</v>
      </c>
      <c r="H79" s="3">
        <v>3.0914677705182001</v>
      </c>
      <c r="I79" s="3">
        <v>3.6170546080828299</v>
      </c>
      <c r="J79" s="3">
        <v>3.0600547499742698</v>
      </c>
      <c r="K79" s="3">
        <v>2.1651453777106902</v>
      </c>
      <c r="L79" s="3">
        <v>2.8159997884177002</v>
      </c>
      <c r="M79" s="3">
        <v>3.3910233139510502</v>
      </c>
      <c r="N79" s="3">
        <v>3.55120580760659</v>
      </c>
      <c r="O79" s="3">
        <v>1.5433896626086001</v>
      </c>
      <c r="P79" s="3">
        <v>1.7514949868893701</v>
      </c>
      <c r="Q79" s="3">
        <v>3.6843751881013702</v>
      </c>
      <c r="R79" s="3">
        <v>3.05878655209326</v>
      </c>
      <c r="S79" s="3">
        <v>3.7684643570829999</v>
      </c>
      <c r="T79" s="3">
        <v>4.69850453195032</v>
      </c>
      <c r="U79" s="3">
        <v>1.3783918515585101</v>
      </c>
      <c r="V79" s="3">
        <v>3.7777706539845202</v>
      </c>
    </row>
    <row r="80" spans="1:22" x14ac:dyDescent="0.35">
      <c r="A80" s="2">
        <v>44078</v>
      </c>
      <c r="B80" s="3">
        <v>1.8795380808005799</v>
      </c>
      <c r="C80" s="3">
        <v>3.68006846816888</v>
      </c>
      <c r="D80" s="3">
        <v>2.73762375409739</v>
      </c>
      <c r="E80" s="3">
        <v>2.1489355964830099</v>
      </c>
      <c r="F80" s="3">
        <v>2.97409213500194</v>
      </c>
      <c r="G80" s="3">
        <v>2.5571241712434398</v>
      </c>
      <c r="H80" s="3">
        <v>3.14915789208374</v>
      </c>
      <c r="I80" s="3">
        <v>3.8775101878827898</v>
      </c>
      <c r="J80" s="3">
        <v>3.23016635932066</v>
      </c>
      <c r="K80" s="3">
        <v>2.1373262527557699</v>
      </c>
      <c r="L80" s="3">
        <v>2.9662492078922602</v>
      </c>
      <c r="M80" s="3">
        <v>3.4694070932546999</v>
      </c>
      <c r="N80" s="3">
        <v>3.6868875076288199</v>
      </c>
      <c r="O80" s="3">
        <v>1.5554258892866</v>
      </c>
      <c r="P80" s="3">
        <v>1.7426756413095199</v>
      </c>
      <c r="Q80" s="3">
        <v>3.6521152192131798</v>
      </c>
      <c r="R80" s="3">
        <v>3.1319768243315398</v>
      </c>
      <c r="S80" s="3">
        <v>4.3089655429075604</v>
      </c>
      <c r="T80" s="3">
        <v>4.4236136554645302</v>
      </c>
      <c r="U80" s="3">
        <v>1.2572720661716901</v>
      </c>
      <c r="V80" s="3">
        <v>3.4935354451912302</v>
      </c>
    </row>
    <row r="81" spans="1:22" x14ac:dyDescent="0.35">
      <c r="A81" s="2">
        <v>44106</v>
      </c>
      <c r="B81" s="3">
        <v>1.9909421153739399</v>
      </c>
      <c r="C81" s="3">
        <v>3.80232843010277</v>
      </c>
      <c r="D81" s="3">
        <v>3.0214695654171901</v>
      </c>
      <c r="E81" s="3">
        <v>1.9787952840948799</v>
      </c>
      <c r="F81" s="3">
        <v>3.18118145695954</v>
      </c>
      <c r="G81" s="3">
        <v>2.6721350067336598</v>
      </c>
      <c r="H81" s="3">
        <v>3.2943981969492602</v>
      </c>
      <c r="I81" s="3">
        <v>3.9140493260510798</v>
      </c>
      <c r="J81" s="3">
        <v>3.4172431465526101</v>
      </c>
      <c r="K81" s="3">
        <v>2.1499537679759602</v>
      </c>
      <c r="L81" s="3">
        <v>3.59288104230827</v>
      </c>
      <c r="M81" s="3">
        <v>3.5773514313530002</v>
      </c>
      <c r="N81" s="3">
        <v>3.74450219344387</v>
      </c>
      <c r="O81" s="3">
        <v>1.5512278905608901</v>
      </c>
      <c r="P81" s="3">
        <v>1.7892774637111799</v>
      </c>
      <c r="Q81" s="3">
        <v>3.4886507218152398</v>
      </c>
      <c r="R81" s="3">
        <v>3.25816767607831</v>
      </c>
      <c r="S81" s="3">
        <v>4.34927203689473</v>
      </c>
      <c r="T81" s="3">
        <v>4.3942196246091196</v>
      </c>
      <c r="U81" s="3">
        <v>1.3290841879856601</v>
      </c>
      <c r="V81" s="3">
        <v>3.4025672193515399</v>
      </c>
    </row>
    <row r="82" spans="1:22" x14ac:dyDescent="0.35">
      <c r="A82" s="2">
        <v>44139</v>
      </c>
      <c r="B82" s="3">
        <v>1.95420732087683</v>
      </c>
      <c r="C82" s="3">
        <v>3.8450685154761</v>
      </c>
      <c r="D82" s="3">
        <v>2.8622039244241302</v>
      </c>
      <c r="E82" s="3">
        <v>1.7820814070887501</v>
      </c>
      <c r="F82" s="3">
        <v>2.8867254525333199</v>
      </c>
      <c r="G82" s="3">
        <v>2.5068999264007301</v>
      </c>
      <c r="H82" s="3">
        <v>3.5573054406515299</v>
      </c>
      <c r="I82" s="3">
        <v>3.9069606250918198</v>
      </c>
      <c r="J82" s="3">
        <v>3.5125650251651801</v>
      </c>
      <c r="K82" s="3">
        <v>2.1515776574111798</v>
      </c>
      <c r="L82" s="3">
        <v>3.4990139487932899</v>
      </c>
      <c r="M82" s="3">
        <v>3.6303105687128001</v>
      </c>
      <c r="N82" s="3">
        <v>4.2683274794406802</v>
      </c>
      <c r="O82" s="3">
        <v>1.55374515191174</v>
      </c>
      <c r="P82" s="3">
        <v>1.69251944967527</v>
      </c>
      <c r="Q82" s="3">
        <v>3.8251694265226801</v>
      </c>
      <c r="R82" s="3">
        <v>3.2073210216104702</v>
      </c>
      <c r="S82" s="3">
        <v>4.35710887139206</v>
      </c>
      <c r="T82" s="3">
        <v>4.27579923745391</v>
      </c>
      <c r="U82" s="3">
        <v>1.33495287691402</v>
      </c>
      <c r="V82" s="3">
        <v>3.5167283305482502</v>
      </c>
    </row>
    <row r="83" spans="1:22" x14ac:dyDescent="0.35">
      <c r="A83" s="2">
        <v>44169</v>
      </c>
      <c r="B83" s="3">
        <v>1.83082834429908</v>
      </c>
      <c r="C83" s="3">
        <v>3.12725713825697</v>
      </c>
      <c r="D83" s="3">
        <v>2.34329329074512</v>
      </c>
      <c r="E83" s="3">
        <v>1.6953856878336</v>
      </c>
      <c r="F83" s="3">
        <v>2.6971530837786402</v>
      </c>
      <c r="G83" s="3">
        <v>1.7754687424767399</v>
      </c>
      <c r="H83" s="3">
        <v>3.42341386623144</v>
      </c>
      <c r="I83" s="3">
        <v>3.6934694539302999</v>
      </c>
      <c r="J83" s="3">
        <v>3.2943369247071299</v>
      </c>
      <c r="K83" s="3">
        <v>1.8428697300736701</v>
      </c>
      <c r="L83" s="3">
        <v>3.3098300572191599</v>
      </c>
      <c r="M83" s="3">
        <v>3.76582077601187</v>
      </c>
      <c r="N83" s="3">
        <v>3.2326219178733502</v>
      </c>
      <c r="O83" s="3">
        <v>1.36875984493452</v>
      </c>
      <c r="P83" s="3">
        <v>1.67771212224022</v>
      </c>
      <c r="Q83" s="3">
        <v>3.6445157590617399</v>
      </c>
      <c r="R83" s="3">
        <v>2.7363865006742998</v>
      </c>
      <c r="S83" s="3">
        <v>3.85764987451376</v>
      </c>
      <c r="T83" s="3">
        <v>4.5617096725686004</v>
      </c>
      <c r="U83" s="3">
        <v>1.28943238628104</v>
      </c>
      <c r="V83" s="3">
        <v>3.3890394390015399</v>
      </c>
    </row>
    <row r="84" spans="1:22" x14ac:dyDescent="0.35">
      <c r="A84" s="2">
        <v>44200</v>
      </c>
      <c r="B84" s="3">
        <v>1.7457581047786399</v>
      </c>
      <c r="C84" s="3">
        <v>3.2399633071909699</v>
      </c>
      <c r="D84" s="3">
        <v>2.2685072459193201</v>
      </c>
      <c r="E84" s="3">
        <v>1.7012957139949101</v>
      </c>
      <c r="F84" s="3">
        <v>2.6821117274924</v>
      </c>
      <c r="G84" s="3">
        <v>1.6351144532276001</v>
      </c>
      <c r="H84" s="3">
        <v>3.71615165438849</v>
      </c>
      <c r="I84" s="3">
        <v>3.5854805787813699</v>
      </c>
      <c r="J84" s="3">
        <v>3.4304865335949102</v>
      </c>
      <c r="K84" s="3">
        <v>1.7583212110953199</v>
      </c>
      <c r="L84" s="3">
        <v>3.3734081746735098</v>
      </c>
      <c r="M84" s="3">
        <v>3.8196613211072501</v>
      </c>
      <c r="N84" s="3">
        <v>3.1151446720781002</v>
      </c>
      <c r="O84" s="3">
        <v>1.32082567151721</v>
      </c>
      <c r="P84" s="3">
        <v>1.65169519467998</v>
      </c>
      <c r="Q84" s="3">
        <v>3.67892090157945</v>
      </c>
      <c r="R84" s="3">
        <v>2.7780749775983802</v>
      </c>
      <c r="S84" s="3">
        <v>3.7616994745565502</v>
      </c>
      <c r="T84" s="3">
        <v>4.4757663371273697</v>
      </c>
      <c r="U84" s="3">
        <v>1.1892641305184199</v>
      </c>
      <c r="V84" s="3">
        <v>3.55281837320425</v>
      </c>
    </row>
    <row r="85" spans="1:22" x14ac:dyDescent="0.35">
      <c r="A85" s="2">
        <v>44231</v>
      </c>
      <c r="B85" s="3">
        <v>1.6821384042005101</v>
      </c>
      <c r="C85" s="3">
        <v>3.2507875532400998</v>
      </c>
      <c r="D85" s="3">
        <v>2.3922391020292801</v>
      </c>
      <c r="E85" s="3">
        <v>1.78821820776158</v>
      </c>
      <c r="F85" s="3">
        <v>2.8684260683908001</v>
      </c>
      <c r="G85" s="3">
        <v>1.6711841445643301</v>
      </c>
      <c r="H85" s="3">
        <v>3.8260739724655499</v>
      </c>
      <c r="I85" s="3">
        <v>3.5531971434435299</v>
      </c>
      <c r="J85" s="3">
        <v>3.5083887578644801</v>
      </c>
      <c r="K85" s="3">
        <v>1.6400117370054299</v>
      </c>
      <c r="L85" s="3">
        <v>3.60686100481528</v>
      </c>
      <c r="M85" s="3">
        <v>3.8793845094040198</v>
      </c>
      <c r="N85" s="3">
        <v>3.4579346585689499</v>
      </c>
      <c r="O85" s="3">
        <v>1.32167237496571</v>
      </c>
      <c r="P85" s="3">
        <v>1.3653275056404199</v>
      </c>
      <c r="Q85" s="3">
        <v>3.8066697012083801</v>
      </c>
      <c r="R85" s="3">
        <v>2.8161258080224201</v>
      </c>
      <c r="S85" s="3">
        <v>4.1394645161603698</v>
      </c>
      <c r="T85" s="3">
        <v>4.22039098671946</v>
      </c>
      <c r="U85" s="3">
        <v>1.22095912684137</v>
      </c>
      <c r="V85" s="3">
        <v>3.6312647297633598</v>
      </c>
    </row>
    <row r="86" spans="1:22" x14ac:dyDescent="0.35">
      <c r="A86" s="2">
        <v>44259</v>
      </c>
      <c r="B86" s="3">
        <v>1.78427355494305</v>
      </c>
      <c r="C86" s="3">
        <v>2.58420880061733</v>
      </c>
      <c r="D86" s="3">
        <v>2.48070612504696</v>
      </c>
      <c r="E86" s="3">
        <v>1.7669568083882801</v>
      </c>
      <c r="F86" s="3">
        <v>2.93811174305621</v>
      </c>
      <c r="G86" s="3">
        <v>1.8427828256765999</v>
      </c>
      <c r="H86" s="3">
        <v>4.00091432860639</v>
      </c>
      <c r="I86" s="3">
        <v>3.6436229950494998</v>
      </c>
      <c r="J86" s="3">
        <v>3.45865839775115</v>
      </c>
      <c r="K86" s="3">
        <v>1.6819005138018099</v>
      </c>
      <c r="L86" s="3">
        <v>4.11217905224661</v>
      </c>
      <c r="M86" s="3">
        <v>3.8088035949824999</v>
      </c>
      <c r="N86" s="3">
        <v>3.2383131424957199</v>
      </c>
      <c r="O86" s="3">
        <v>1.3295482332866899</v>
      </c>
      <c r="P86" s="3">
        <v>1.46761716514923</v>
      </c>
      <c r="Q86" s="3">
        <v>3.9744093832968601</v>
      </c>
      <c r="R86" s="3">
        <v>2.7864048920937998</v>
      </c>
      <c r="S86" s="3">
        <v>4.47699489481779</v>
      </c>
      <c r="T86" s="3">
        <v>4.5287571897444998</v>
      </c>
      <c r="U86" s="3">
        <v>1.3010059985842899</v>
      </c>
      <c r="V86" s="3">
        <v>3.52853455389323</v>
      </c>
    </row>
    <row r="87" spans="1:22" x14ac:dyDescent="0.35">
      <c r="A87" s="2">
        <v>44287</v>
      </c>
      <c r="B87" s="3">
        <v>1.88584082054403</v>
      </c>
      <c r="C87" s="3">
        <v>2.8933009154521798</v>
      </c>
      <c r="D87" s="3">
        <v>2.67671019611163</v>
      </c>
      <c r="E87" s="3">
        <v>1.9197617392978299</v>
      </c>
      <c r="F87" s="3">
        <v>2.8451486486784501</v>
      </c>
      <c r="G87" s="3">
        <v>2.1400463113592498</v>
      </c>
      <c r="H87" s="3">
        <v>4.0593320527750496</v>
      </c>
      <c r="I87" s="3">
        <v>3.6512275586899001</v>
      </c>
      <c r="J87" s="3">
        <v>3.3875646801891501</v>
      </c>
      <c r="K87" s="3">
        <v>1.69036667782963</v>
      </c>
      <c r="L87" s="3">
        <v>4.5294006923164201</v>
      </c>
      <c r="M87" s="3">
        <v>3.79696768439555</v>
      </c>
      <c r="N87" s="3">
        <v>3.45026262177148</v>
      </c>
      <c r="O87" s="3">
        <v>1.3693635839360101</v>
      </c>
      <c r="P87" s="3">
        <v>1.5561209757538099</v>
      </c>
      <c r="Q87" s="3">
        <v>3.8078492673729598</v>
      </c>
      <c r="R87" s="3">
        <v>2.7472154191687101</v>
      </c>
      <c r="S87" s="3">
        <v>5.1179910557774999</v>
      </c>
      <c r="T87" s="3">
        <v>4.3490720610984903</v>
      </c>
      <c r="U87" s="3">
        <v>1.17105567991175</v>
      </c>
      <c r="V87" s="3">
        <v>3.3351094202571199</v>
      </c>
    </row>
    <row r="88" spans="1:22" x14ac:dyDescent="0.35">
      <c r="A88" s="2">
        <v>44320</v>
      </c>
      <c r="B88" s="3">
        <v>1.8877663147202699</v>
      </c>
      <c r="C88" s="3">
        <v>3.4310642943614398</v>
      </c>
      <c r="D88" s="3">
        <v>2.7613850409385901</v>
      </c>
      <c r="E88" s="3">
        <v>2.0268704324688098</v>
      </c>
      <c r="F88" s="3">
        <v>2.9583589113786002</v>
      </c>
      <c r="G88" s="3">
        <v>2.4309074922417602</v>
      </c>
      <c r="H88" s="3">
        <v>4.0168215936554903</v>
      </c>
      <c r="I88" s="3">
        <v>3.8586219663502201</v>
      </c>
      <c r="J88" s="3">
        <v>3.17008659146618</v>
      </c>
      <c r="K88" s="3">
        <v>1.7411696611413101</v>
      </c>
      <c r="L88" s="3">
        <v>4.9361157977183003</v>
      </c>
      <c r="M88" s="3">
        <v>4.4303510930175403</v>
      </c>
      <c r="N88" s="3">
        <v>3.3764440949363999</v>
      </c>
      <c r="O88" s="3">
        <v>1.4301567562675099</v>
      </c>
      <c r="P88" s="3">
        <v>1.63722423196845</v>
      </c>
      <c r="Q88" s="3">
        <v>3.7553874581084701</v>
      </c>
      <c r="R88" s="3">
        <v>2.8542911434627301</v>
      </c>
      <c r="S88" s="3">
        <v>5.3697402313825204</v>
      </c>
      <c r="T88" s="3">
        <v>4.3749840026152897</v>
      </c>
      <c r="U88" s="3">
        <v>1.18865814750806</v>
      </c>
      <c r="V88" s="3">
        <v>3.2572394440963</v>
      </c>
    </row>
    <row r="89" spans="1:22" x14ac:dyDescent="0.35">
      <c r="A89" s="2">
        <v>44351</v>
      </c>
      <c r="B89" s="3">
        <v>1.8121359732873099</v>
      </c>
      <c r="C89" s="3">
        <v>3.87183882907591</v>
      </c>
      <c r="D89" s="3">
        <v>2.7442086021855698</v>
      </c>
      <c r="E89" s="3">
        <v>1.8975218512228</v>
      </c>
      <c r="F89" s="3">
        <v>2.9220869340010802</v>
      </c>
      <c r="G89" s="3">
        <v>2.4141132359748898</v>
      </c>
      <c r="H89" s="3">
        <v>4.1517983299574102</v>
      </c>
      <c r="I89" s="3">
        <v>4.00441089419233</v>
      </c>
      <c r="J89" s="3">
        <v>3.1094029203110201</v>
      </c>
      <c r="K89" s="3">
        <v>1.67589696338838</v>
      </c>
      <c r="L89" s="3">
        <v>4.5980397322876003</v>
      </c>
      <c r="M89" s="3">
        <v>4.1006266393138402</v>
      </c>
      <c r="N89" s="3">
        <v>3.0859076143856599</v>
      </c>
      <c r="O89" s="3">
        <v>1.39531156204176</v>
      </c>
      <c r="P89" s="3">
        <v>1.61086760979784</v>
      </c>
      <c r="Q89" s="3">
        <v>3.7908978519038099</v>
      </c>
      <c r="R89" s="3">
        <v>2.8385244723677499</v>
      </c>
      <c r="S89" s="3">
        <v>5.5554554428160898</v>
      </c>
      <c r="T89" s="3">
        <v>4.3459303163970704</v>
      </c>
      <c r="U89" s="3">
        <v>1.16291638659763</v>
      </c>
      <c r="V89" s="3">
        <v>3.2512458853552202</v>
      </c>
    </row>
    <row r="90" spans="1:22" x14ac:dyDescent="0.35">
      <c r="A90" s="2">
        <v>44379</v>
      </c>
      <c r="B90" s="3">
        <v>1.8627447182808301</v>
      </c>
      <c r="C90" s="3">
        <v>3.9851016320242998</v>
      </c>
      <c r="D90" s="3">
        <v>2.9975261919979901</v>
      </c>
      <c r="E90" s="3">
        <v>1.8942170947774399</v>
      </c>
      <c r="F90" s="3">
        <v>3.0863768270206098</v>
      </c>
      <c r="G90" s="3">
        <v>2.83604947705328</v>
      </c>
      <c r="H90" s="3">
        <v>4.2156746282521098</v>
      </c>
      <c r="I90" s="3">
        <v>4.0097172175639004</v>
      </c>
      <c r="J90" s="3">
        <v>3.1595186340203298</v>
      </c>
      <c r="K90" s="3">
        <v>1.6808033975763501</v>
      </c>
      <c r="L90" s="3">
        <v>4.9503575441211201</v>
      </c>
      <c r="M90" s="3">
        <v>4.4342456967615096</v>
      </c>
      <c r="N90" s="3">
        <v>3.1155790646925201</v>
      </c>
      <c r="O90" s="3">
        <v>1.4000090730119199</v>
      </c>
      <c r="P90" s="3">
        <v>1.6341971391772101</v>
      </c>
      <c r="Q90" s="3">
        <v>3.8211579455437601</v>
      </c>
      <c r="R90" s="3">
        <v>2.9179555985944599</v>
      </c>
      <c r="S90" s="3">
        <v>5.7084502056547803</v>
      </c>
      <c r="T90" s="3">
        <v>4.6088284920661398</v>
      </c>
      <c r="U90" s="3">
        <v>1.3455566173681499</v>
      </c>
      <c r="V90" s="3">
        <v>3.2224757296653599</v>
      </c>
    </row>
    <row r="91" spans="1:22" x14ac:dyDescent="0.35">
      <c r="A91" s="2">
        <v>44412</v>
      </c>
      <c r="B91" s="3">
        <v>1.9360551525538701</v>
      </c>
      <c r="C91" s="3">
        <v>4.7650396324863404</v>
      </c>
      <c r="D91" s="3">
        <v>3.0496775161429999</v>
      </c>
      <c r="E91" s="3">
        <v>1.99740054327517</v>
      </c>
      <c r="F91" s="3">
        <v>3.0469351578161201</v>
      </c>
      <c r="G91" s="3">
        <v>3.3752614521551099</v>
      </c>
      <c r="H91" s="3">
        <v>4.3030020901012103</v>
      </c>
      <c r="I91" s="3">
        <v>4.1350488241371099</v>
      </c>
      <c r="J91" s="3">
        <v>3.1169550006061102</v>
      </c>
      <c r="K91" s="3">
        <v>1.7157400740294499</v>
      </c>
      <c r="L91" s="3">
        <v>5.6753768629540602</v>
      </c>
      <c r="M91" s="3">
        <v>4.4981005202236899</v>
      </c>
      <c r="N91" s="3">
        <v>3.0257046471844098</v>
      </c>
      <c r="O91" s="3">
        <v>1.3573522081804399</v>
      </c>
      <c r="P91" s="3">
        <v>1.8257692605521201</v>
      </c>
      <c r="Q91" s="3">
        <v>3.8130490052657602</v>
      </c>
      <c r="R91" s="3">
        <v>2.9799086846746801</v>
      </c>
      <c r="S91" s="3">
        <v>5.9592244309134701</v>
      </c>
      <c r="T91" s="3">
        <v>4.5779975813779501</v>
      </c>
      <c r="U91" s="3">
        <v>1.3879994245387</v>
      </c>
      <c r="V91" s="3">
        <v>3.1949671183904398</v>
      </c>
    </row>
    <row r="92" spans="1:22" x14ac:dyDescent="0.35">
      <c r="A92" s="2">
        <v>44442</v>
      </c>
      <c r="B92" s="3">
        <v>1.99533447256491</v>
      </c>
      <c r="C92" s="3">
        <v>4.5744834080259702</v>
      </c>
      <c r="D92" s="3">
        <v>3.0465657656851599</v>
      </c>
      <c r="E92" s="3">
        <v>1.9353631208061299</v>
      </c>
      <c r="F92" s="3">
        <v>2.91614249313248</v>
      </c>
      <c r="G92" s="3">
        <v>3.5184067023807302</v>
      </c>
      <c r="H92" s="3">
        <v>4.0078242226445102</v>
      </c>
      <c r="I92" s="3">
        <v>4.1846874980636102</v>
      </c>
      <c r="J92" s="3">
        <v>3.0983458606597201</v>
      </c>
      <c r="K92" s="3">
        <v>1.79442255668231</v>
      </c>
      <c r="L92" s="3">
        <v>6.2167179901503502</v>
      </c>
      <c r="M92" s="3">
        <v>4.86246783008552</v>
      </c>
      <c r="N92" s="3">
        <v>3.1144898247997101</v>
      </c>
      <c r="O92" s="3">
        <v>1.2837139158322901</v>
      </c>
      <c r="P92" s="3">
        <v>1.84546023247061</v>
      </c>
      <c r="Q92" s="3">
        <v>4.0082437257169499</v>
      </c>
      <c r="R92" s="3">
        <v>2.7776986293936301</v>
      </c>
      <c r="S92" s="3">
        <v>5.7510644591798297</v>
      </c>
      <c r="T92" s="3">
        <v>4.2639480584796203</v>
      </c>
      <c r="U92" s="3">
        <v>1.4042487801714501</v>
      </c>
      <c r="V92" s="3">
        <v>3.0830965194123801</v>
      </c>
    </row>
    <row r="93" spans="1:22" x14ac:dyDescent="0.35">
      <c r="A93" s="2">
        <v>44473</v>
      </c>
      <c r="B93" s="3">
        <v>2.0002653979999598</v>
      </c>
      <c r="C93" s="3">
        <v>4.9553726285299096</v>
      </c>
      <c r="D93" s="3">
        <v>3.0222868560478</v>
      </c>
      <c r="E93" s="3">
        <v>1.9012889490171101</v>
      </c>
      <c r="F93" s="3">
        <v>3.0966289481852698</v>
      </c>
      <c r="G93" s="3">
        <v>3.7119976821574898</v>
      </c>
      <c r="H93" s="3">
        <v>4.0819455084924599</v>
      </c>
      <c r="I93" s="3">
        <v>4.5139354470784498</v>
      </c>
      <c r="J93" s="3">
        <v>3.3096277285859301</v>
      </c>
      <c r="K93" s="3">
        <v>1.90907166577798</v>
      </c>
      <c r="L93" s="3">
        <v>6.5088543232526304</v>
      </c>
      <c r="M93" s="3">
        <v>4.8046941068744298</v>
      </c>
      <c r="N93" s="3">
        <v>3.1276567195015401</v>
      </c>
      <c r="O93" s="3">
        <v>1.3015798012736699</v>
      </c>
      <c r="P93" s="3">
        <v>2.0301873790515699</v>
      </c>
      <c r="Q93" s="3">
        <v>3.9153833388531698</v>
      </c>
      <c r="R93" s="3">
        <v>2.85097266380129</v>
      </c>
      <c r="S93" s="3">
        <v>6.0602037725839004</v>
      </c>
      <c r="T93" s="3">
        <v>4.1384218661576204</v>
      </c>
      <c r="U93" s="3">
        <v>1.4541647946831999</v>
      </c>
      <c r="V93" s="3">
        <v>3.07451307001819</v>
      </c>
    </row>
    <row r="94" spans="1:22" x14ac:dyDescent="0.35">
      <c r="A94" s="2">
        <v>44503</v>
      </c>
      <c r="B94" s="3">
        <v>1.99417759910822</v>
      </c>
      <c r="C94" s="3">
        <v>4.7049263860622199</v>
      </c>
      <c r="D94" s="3">
        <v>3.0066295142655401</v>
      </c>
      <c r="E94" s="3">
        <v>1.8118320278179101</v>
      </c>
      <c r="F94" s="3">
        <v>2.9309313925568001</v>
      </c>
      <c r="G94" s="3">
        <v>3.7192024147020599</v>
      </c>
      <c r="H94" s="3">
        <v>3.97546999703582</v>
      </c>
      <c r="I94" s="3">
        <v>4.3727756407292899</v>
      </c>
      <c r="J94" s="3">
        <v>3.4529392609166498</v>
      </c>
      <c r="K94" s="3">
        <v>1.9714648116669</v>
      </c>
      <c r="L94" s="3">
        <v>7.5514764804013597</v>
      </c>
      <c r="M94" s="3">
        <v>4.5631812080239804</v>
      </c>
      <c r="N94" s="3">
        <v>3.0745819914152901</v>
      </c>
      <c r="O94" s="3">
        <v>1.3331373350123501</v>
      </c>
      <c r="P94" s="3">
        <v>2.3648522754277499</v>
      </c>
      <c r="Q94" s="3">
        <v>3.7692258129046898</v>
      </c>
      <c r="R94" s="3">
        <v>2.8386705990705101</v>
      </c>
      <c r="S94" s="3">
        <v>5.6896408238966503</v>
      </c>
      <c r="T94" s="3">
        <v>3.8654848723927002</v>
      </c>
      <c r="U94" s="3">
        <v>1.3748267810367001</v>
      </c>
      <c r="V94" s="3">
        <v>2.9620198836332801</v>
      </c>
    </row>
    <row r="95" spans="1:22" x14ac:dyDescent="0.35">
      <c r="A95" s="2">
        <v>44533</v>
      </c>
      <c r="B95" s="3">
        <v>1.9574751401200201</v>
      </c>
      <c r="C95" s="3">
        <v>5.2745543534374697</v>
      </c>
      <c r="D95" s="3">
        <v>3.1157299822304001</v>
      </c>
      <c r="E95" s="3">
        <v>1.81566526159363</v>
      </c>
      <c r="F95" s="3">
        <v>3.4014669422425099</v>
      </c>
      <c r="G95" s="3">
        <v>4.0199997502190703</v>
      </c>
      <c r="H95" s="3">
        <v>3.9660594064756798</v>
      </c>
      <c r="I95" s="3">
        <v>4.2383043160227096</v>
      </c>
      <c r="J95" s="3">
        <v>3.4988642512312298</v>
      </c>
      <c r="K95" s="3">
        <v>1.95737728614729</v>
      </c>
      <c r="L95" s="3">
        <v>7.7716646812719397</v>
      </c>
      <c r="M95" s="3">
        <v>4.5701441661560098</v>
      </c>
      <c r="N95" s="3">
        <v>3.2542972540764601</v>
      </c>
      <c r="O95" s="3">
        <v>1.3666955059116599</v>
      </c>
      <c r="P95" s="3">
        <v>2.1428660166859399</v>
      </c>
      <c r="Q95" s="3">
        <v>3.9402083344728198</v>
      </c>
      <c r="R95" s="3">
        <v>2.95015176429572</v>
      </c>
      <c r="S95" s="3">
        <v>4.6050147770259704</v>
      </c>
      <c r="T95" s="3">
        <v>4.07593352291887</v>
      </c>
      <c r="U95" s="3">
        <v>1.5225458171112001</v>
      </c>
      <c r="V95" s="3">
        <v>3.27053948396156</v>
      </c>
    </row>
    <row r="96" spans="1:22" x14ac:dyDescent="0.35">
      <c r="A96" s="2">
        <v>44565</v>
      </c>
      <c r="B96" s="3">
        <v>1.98727836711787</v>
      </c>
      <c r="C96" s="3">
        <v>5.4994674927891696</v>
      </c>
      <c r="D96" s="3">
        <v>3.1470975456914698</v>
      </c>
      <c r="E96" s="3">
        <v>1.81911952978785</v>
      </c>
      <c r="F96" s="3">
        <v>3.2665895363988402</v>
      </c>
      <c r="G96" s="3">
        <v>4.0489813787270101</v>
      </c>
      <c r="H96" s="3">
        <v>3.7679438508038099</v>
      </c>
      <c r="I96" s="3">
        <v>4.0414971137351703</v>
      </c>
      <c r="J96" s="3">
        <v>3.3897643141566101</v>
      </c>
      <c r="K96" s="3">
        <v>1.95625343233611</v>
      </c>
      <c r="L96" s="3">
        <v>7.5852147806224597</v>
      </c>
      <c r="M96" s="3">
        <v>4.5163426153575799</v>
      </c>
      <c r="N96" s="3">
        <v>3.2615740128701201</v>
      </c>
      <c r="O96" s="3">
        <v>1.33893681006267</v>
      </c>
      <c r="P96" s="3">
        <v>2.1908614487824298</v>
      </c>
      <c r="Q96" s="3">
        <v>4.0567782905718204</v>
      </c>
      <c r="R96" s="3">
        <v>2.8206019972646499</v>
      </c>
      <c r="S96" s="3">
        <v>5.22826500681255</v>
      </c>
      <c r="T96" s="3">
        <v>4.3836227128337004</v>
      </c>
      <c r="U96" s="3">
        <v>1.4577402953396901</v>
      </c>
      <c r="V96" s="3">
        <v>3.21512157037506</v>
      </c>
    </row>
    <row r="97" spans="1:22" x14ac:dyDescent="0.35">
      <c r="A97" s="2">
        <v>44596</v>
      </c>
      <c r="B97" s="3">
        <v>2.22216095281799</v>
      </c>
      <c r="C97" s="3">
        <v>4.9358723611646003</v>
      </c>
      <c r="D97" s="3">
        <v>3.1301630025655802</v>
      </c>
      <c r="E97" s="3">
        <v>1.80830128016168</v>
      </c>
      <c r="F97" s="3">
        <v>3.3461083807316201</v>
      </c>
      <c r="G97" s="3">
        <v>3.8398907697892102</v>
      </c>
      <c r="H97" s="3">
        <v>3.8671657795084902</v>
      </c>
      <c r="I97" s="3">
        <v>4.4133312596408603</v>
      </c>
      <c r="J97" s="3">
        <v>3.6901752035223798</v>
      </c>
      <c r="K97" s="3">
        <v>2.2124823832018499</v>
      </c>
      <c r="L97" s="3">
        <v>6.8879577034659896</v>
      </c>
      <c r="M97" s="3">
        <v>4.3862049565609897</v>
      </c>
      <c r="N97" s="3">
        <v>2.97251665645515</v>
      </c>
      <c r="O97" s="3">
        <v>1.39940126154143</v>
      </c>
      <c r="P97" s="3">
        <v>2.1817654380264799</v>
      </c>
      <c r="Q97" s="3">
        <v>3.8959368060026298</v>
      </c>
      <c r="R97" s="3">
        <v>2.86682763100259</v>
      </c>
      <c r="S97" s="3">
        <v>6.16493159720474</v>
      </c>
      <c r="T97" s="3">
        <v>4.2720806060744296</v>
      </c>
      <c r="U97" s="3">
        <v>1.6647546036043499</v>
      </c>
      <c r="V97" s="3">
        <v>3.0828867080167601</v>
      </c>
    </row>
    <row r="98" spans="1:22" x14ac:dyDescent="0.35">
      <c r="A98" s="2">
        <v>44624</v>
      </c>
      <c r="B98" s="3">
        <v>2.2414497339961601</v>
      </c>
      <c r="C98" s="3">
        <v>4.5828265897223304</v>
      </c>
      <c r="D98" s="3">
        <v>3.1327863022065801</v>
      </c>
      <c r="E98" s="3">
        <v>1.89012358365903</v>
      </c>
      <c r="F98" s="3">
        <v>3.8292187514061702</v>
      </c>
      <c r="G98" s="3">
        <v>3.2071767713128798</v>
      </c>
      <c r="H98" s="3">
        <v>3.7762765644740299</v>
      </c>
      <c r="I98" s="3">
        <v>4.4065686651131504</v>
      </c>
      <c r="J98" s="3">
        <v>3.6271608534487698</v>
      </c>
      <c r="K98" s="3">
        <v>2.2309272340823201</v>
      </c>
      <c r="L98" s="3">
        <v>7.8660141244172204</v>
      </c>
      <c r="M98" s="3">
        <v>4.3789738818359698</v>
      </c>
      <c r="N98" s="3">
        <v>3.2928651060958698</v>
      </c>
      <c r="O98" s="3">
        <v>1.54832048101086</v>
      </c>
      <c r="P98" s="3">
        <v>2.4621273294317798</v>
      </c>
      <c r="Q98" s="3">
        <v>3.6874925650074202</v>
      </c>
      <c r="R98" s="3">
        <v>2.9131457763393902</v>
      </c>
      <c r="S98" s="3">
        <v>6.1779035226636303</v>
      </c>
      <c r="T98" s="3">
        <v>3.9011325198628399</v>
      </c>
      <c r="U98" s="3">
        <v>1.77456165489561</v>
      </c>
      <c r="V98" s="3">
        <v>2.90990917962371</v>
      </c>
    </row>
    <row r="99" spans="1:22" x14ac:dyDescent="0.35">
      <c r="A99" s="2">
        <v>44655</v>
      </c>
      <c r="B99" s="3">
        <v>2.35681254531135</v>
      </c>
      <c r="C99" s="3">
        <v>4.5967773463783796</v>
      </c>
      <c r="D99" s="3">
        <v>3.2671677004709698</v>
      </c>
      <c r="E99" s="3">
        <v>1.9473757223494099</v>
      </c>
      <c r="F99" s="3">
        <v>3.3867825639269</v>
      </c>
      <c r="G99" s="3">
        <v>3.57637615306917</v>
      </c>
      <c r="H99" s="3">
        <v>3.7829954101640602</v>
      </c>
      <c r="I99" s="3">
        <v>4.4858132257275303</v>
      </c>
      <c r="J99" s="3">
        <v>3.4112576195662201</v>
      </c>
      <c r="K99" s="3">
        <v>2.2278863268869999</v>
      </c>
      <c r="L99" s="3">
        <v>8.2032392058095205</v>
      </c>
      <c r="M99" s="3">
        <v>4.4544100288690203</v>
      </c>
      <c r="N99" s="3">
        <v>3.31082207364343</v>
      </c>
      <c r="O99" s="3">
        <v>1.41986492329277</v>
      </c>
      <c r="P99" s="3">
        <v>2.4298468774125599</v>
      </c>
      <c r="Q99" s="3">
        <v>3.77883109183656</v>
      </c>
      <c r="R99" s="3">
        <v>2.9041607680624302</v>
      </c>
      <c r="S99" s="3">
        <v>5.3147259917512697</v>
      </c>
      <c r="T99" s="3">
        <v>3.3898957010008801</v>
      </c>
      <c r="U99" s="3">
        <v>1.5706477285132201</v>
      </c>
      <c r="V99" s="3">
        <v>2.8441301133175099</v>
      </c>
    </row>
    <row r="100" spans="1:22" x14ac:dyDescent="0.35">
      <c r="A100" s="2">
        <v>44685</v>
      </c>
      <c r="B100" s="3">
        <v>2.49041278224249</v>
      </c>
      <c r="C100" s="3">
        <v>5.1528618486421198</v>
      </c>
      <c r="D100" s="3">
        <v>3.25499021698359</v>
      </c>
      <c r="E100" s="3">
        <v>2.26678495816043</v>
      </c>
      <c r="F100" s="3">
        <v>3.8788430008555301</v>
      </c>
      <c r="G100" s="3">
        <v>4.2126298384942302</v>
      </c>
      <c r="H100" s="3">
        <v>3.8306495529542302</v>
      </c>
      <c r="I100" s="3">
        <v>4.7474716867586304</v>
      </c>
      <c r="J100" s="3">
        <v>3.7552414544468999</v>
      </c>
      <c r="K100" s="3">
        <v>2.2986041507411201</v>
      </c>
      <c r="L100" s="3">
        <v>9.1466415098211709</v>
      </c>
      <c r="M100" s="3">
        <v>4.8104900223995299</v>
      </c>
      <c r="N100" s="3">
        <v>3.4073919712651199</v>
      </c>
      <c r="O100" s="3">
        <v>1.59103819599962</v>
      </c>
      <c r="P100" s="3">
        <v>2.5651353604507099</v>
      </c>
      <c r="Q100" s="3">
        <v>3.8293974021580999</v>
      </c>
      <c r="R100" s="3">
        <v>3.02471676283758</v>
      </c>
      <c r="S100" s="3">
        <v>5.5190447004192</v>
      </c>
      <c r="T100" s="3">
        <v>3.5569011829438901</v>
      </c>
      <c r="U100" s="3">
        <v>1.75045743325842</v>
      </c>
      <c r="V100" s="3">
        <v>2.6342981585976299</v>
      </c>
    </row>
    <row r="101" spans="1:22" x14ac:dyDescent="0.35">
      <c r="A101" s="2">
        <v>44715</v>
      </c>
      <c r="B101" s="3">
        <v>2.4196403292428599</v>
      </c>
      <c r="C101" s="3">
        <v>6.2723801654177302</v>
      </c>
      <c r="D101" s="3">
        <v>3.32268609862663</v>
      </c>
      <c r="E101" s="3">
        <v>2.2027892254858599</v>
      </c>
      <c r="F101" s="3">
        <v>4.1713811133371399</v>
      </c>
      <c r="G101" s="3">
        <v>4.5891251934660904</v>
      </c>
      <c r="H101" s="3">
        <v>3.9739857690703602</v>
      </c>
      <c r="I101" s="3">
        <v>4.6968687866169399</v>
      </c>
      <c r="J101" s="3">
        <v>3.8647490245979199</v>
      </c>
      <c r="K101" s="3">
        <v>2.3336921132646999</v>
      </c>
      <c r="L101" s="3">
        <v>9.9192426703820509</v>
      </c>
      <c r="M101" s="3">
        <v>4.8965054645261104</v>
      </c>
      <c r="N101" s="3">
        <v>3.76535614272359</v>
      </c>
      <c r="O101" s="3">
        <v>1.59759048367178</v>
      </c>
      <c r="P101" s="3">
        <v>2.5072909770439402</v>
      </c>
      <c r="Q101" s="3">
        <v>4.2828260590851697</v>
      </c>
      <c r="R101" s="3">
        <v>2.99986196935942</v>
      </c>
      <c r="S101" s="3">
        <v>5.15313957171825</v>
      </c>
      <c r="T101" s="3">
        <v>3.93430459867816</v>
      </c>
      <c r="U101" s="3">
        <v>1.7786541240912499</v>
      </c>
      <c r="V101" s="3">
        <v>2.9709583164011999</v>
      </c>
    </row>
    <row r="102" spans="1:22" x14ac:dyDescent="0.35">
      <c r="A102" s="2">
        <v>44743</v>
      </c>
      <c r="B102" s="3">
        <v>2.2343890796050001</v>
      </c>
      <c r="C102" s="3">
        <v>7.5997307473687199</v>
      </c>
      <c r="D102" s="3">
        <v>3.70306541574335</v>
      </c>
      <c r="E102" s="3">
        <v>2.4688592730730301</v>
      </c>
      <c r="F102" s="3">
        <v>4.3434334282435501</v>
      </c>
      <c r="G102" s="3">
        <v>5.1427557043884802</v>
      </c>
      <c r="H102" s="3">
        <v>4.1821766448821602</v>
      </c>
      <c r="I102" s="3">
        <v>5.3454124731825496</v>
      </c>
      <c r="J102" s="3">
        <v>4.1266504871901502</v>
      </c>
      <c r="K102" s="3">
        <v>2.6561450342173698</v>
      </c>
      <c r="L102" s="3">
        <v>11.595705278904701</v>
      </c>
      <c r="M102" s="3">
        <v>5.1408255512796703</v>
      </c>
      <c r="N102" s="3">
        <v>4.3341634993652098</v>
      </c>
      <c r="O102" s="3">
        <v>1.6839081446840001</v>
      </c>
      <c r="P102" s="3">
        <v>2.3270709670505698</v>
      </c>
      <c r="Q102" s="3">
        <v>4.3111257102989304</v>
      </c>
      <c r="R102" s="3">
        <v>3.1909720884349801</v>
      </c>
      <c r="S102" s="3">
        <v>5.9771949133025197</v>
      </c>
      <c r="T102" s="3">
        <v>4.4314539819385601</v>
      </c>
      <c r="U102" s="3">
        <v>1.94673064409069</v>
      </c>
      <c r="V102" s="3">
        <v>3.2513690166510898</v>
      </c>
    </row>
    <row r="103" spans="1:22" x14ac:dyDescent="0.35">
      <c r="A103" s="2">
        <v>44777</v>
      </c>
      <c r="B103" s="3">
        <v>2.4339077171944599</v>
      </c>
      <c r="C103" s="3">
        <v>7.4687552949994096</v>
      </c>
      <c r="D103" s="3">
        <v>3.6402466423739601</v>
      </c>
      <c r="E103" s="3">
        <v>2.3645267266910102</v>
      </c>
      <c r="F103" s="3">
        <v>4.3438231243680896</v>
      </c>
      <c r="G103" s="3">
        <v>5.4697393299796104</v>
      </c>
      <c r="H103" s="3">
        <v>4.0337464464557398</v>
      </c>
      <c r="I103" s="3">
        <v>5.1761058358117804</v>
      </c>
      <c r="J103" s="3">
        <v>4.1163359734383604</v>
      </c>
      <c r="K103" s="3">
        <v>2.5110957042059598</v>
      </c>
      <c r="L103" s="3">
        <v>10.4067907446628</v>
      </c>
      <c r="M103" s="3">
        <v>5.0653678746051796</v>
      </c>
      <c r="N103" s="3">
        <v>3.9711633701134001</v>
      </c>
      <c r="O103" s="3">
        <v>1.4913103859373</v>
      </c>
      <c r="P103" s="3">
        <v>2.5593358280360201</v>
      </c>
      <c r="Q103" s="3">
        <v>3.8535797932705398</v>
      </c>
      <c r="R103" s="3">
        <v>3.1709005565450399</v>
      </c>
      <c r="S103" s="3">
        <v>5.7929258008111102</v>
      </c>
      <c r="T103" s="3">
        <v>4.1449863400731601</v>
      </c>
      <c r="U103" s="3">
        <v>1.8839239685879201</v>
      </c>
      <c r="V103" s="3">
        <v>3.16205971627581</v>
      </c>
    </row>
    <row r="104" spans="1:22" x14ac:dyDescent="0.35">
      <c r="A104" s="2">
        <v>44806</v>
      </c>
      <c r="B104" s="3">
        <v>2.5193507301815399</v>
      </c>
      <c r="C104" s="3">
        <v>7.4429847738615003</v>
      </c>
      <c r="D104" s="3">
        <v>3.5922088473949798</v>
      </c>
      <c r="E104" s="3">
        <v>2.3149824734041902</v>
      </c>
      <c r="F104" s="3">
        <v>4.6245953502760404</v>
      </c>
      <c r="G104" s="3">
        <v>5.1979350630483703</v>
      </c>
      <c r="H104" s="3">
        <v>4.1201835909149596</v>
      </c>
      <c r="I104" s="3">
        <v>5.1000233143499303</v>
      </c>
      <c r="J104" s="3">
        <v>4.2551481573813303</v>
      </c>
      <c r="K104" s="3">
        <v>2.6037162590927601</v>
      </c>
      <c r="L104" s="3">
        <v>10.4384466899992</v>
      </c>
      <c r="M104" s="3">
        <v>5.2050560240748496</v>
      </c>
      <c r="N104" s="3">
        <v>4.2712917158445798</v>
      </c>
      <c r="O104" s="3">
        <v>1.4957683247362401</v>
      </c>
      <c r="P104" s="3">
        <v>2.5362384149810002</v>
      </c>
      <c r="Q104" s="3">
        <v>3.9972440018312598</v>
      </c>
      <c r="R104" s="3">
        <v>3.13144464868593</v>
      </c>
      <c r="S104" s="3">
        <v>4.8695365511881299</v>
      </c>
      <c r="T104" s="3">
        <v>4.1564862037588899</v>
      </c>
      <c r="U104" s="3">
        <v>1.9735400643727801</v>
      </c>
      <c r="V104" s="3">
        <v>3.2064303462488901</v>
      </c>
    </row>
    <row r="105" spans="1:22" x14ac:dyDescent="0.35">
      <c r="A105" s="2">
        <v>44838</v>
      </c>
      <c r="B105" s="3">
        <v>2.6685093222593501</v>
      </c>
      <c r="C105" s="3">
        <v>6.9281782480638796</v>
      </c>
      <c r="D105" s="3">
        <v>3.7140461541477601</v>
      </c>
      <c r="E105" s="3">
        <v>2.6722301456714899</v>
      </c>
      <c r="F105" s="3">
        <v>4.8021121676854603</v>
      </c>
      <c r="G105" s="3">
        <v>4.8782230211994904</v>
      </c>
      <c r="H105" s="3">
        <v>4.3758336232218298</v>
      </c>
      <c r="I105" s="3">
        <v>5.36069031323151</v>
      </c>
      <c r="J105" s="3">
        <v>4.1411280115049101</v>
      </c>
      <c r="K105" s="3">
        <v>2.8017676054645801</v>
      </c>
      <c r="L105" s="3">
        <v>9.5360132277055705</v>
      </c>
      <c r="M105" s="3">
        <v>5.4417710976565603</v>
      </c>
      <c r="N105" s="3">
        <v>4.4573311367966202</v>
      </c>
      <c r="O105" s="3">
        <v>1.5419087987918201</v>
      </c>
      <c r="P105" s="3">
        <v>2.7672004713672602</v>
      </c>
      <c r="Q105" s="3">
        <v>3.9225336698922102</v>
      </c>
      <c r="R105" s="3">
        <v>3.1922062871300798</v>
      </c>
      <c r="S105" s="3">
        <v>5.0775778706238901</v>
      </c>
      <c r="T105" s="3">
        <v>4.3449041231071703</v>
      </c>
      <c r="U105" s="3">
        <v>2.4392015520523</v>
      </c>
      <c r="V105" s="3">
        <v>3.35769006867325</v>
      </c>
    </row>
    <row r="106" spans="1:22" x14ac:dyDescent="0.35">
      <c r="A106" s="2">
        <v>44869</v>
      </c>
      <c r="B106" s="3">
        <v>2.6344132353058298</v>
      </c>
      <c r="C106" s="3">
        <v>7.0246364990715202</v>
      </c>
      <c r="D106" s="3">
        <v>3.89068322724138</v>
      </c>
      <c r="E106" s="3">
        <v>2.5585395612630499</v>
      </c>
      <c r="F106" s="3">
        <v>4.40460546602284</v>
      </c>
      <c r="G106" s="3">
        <v>4.2157788536438998</v>
      </c>
      <c r="H106" s="3">
        <v>4.2983161707415496</v>
      </c>
      <c r="I106" s="3">
        <v>5.1140480313727501</v>
      </c>
      <c r="J106" s="3">
        <v>3.6604361719924698</v>
      </c>
      <c r="K106" s="3">
        <v>2.6193835588369101</v>
      </c>
      <c r="L106" s="3">
        <v>8.3005391853860306</v>
      </c>
      <c r="M106" s="3">
        <v>5.1780165663481297</v>
      </c>
      <c r="N106" s="3">
        <v>4.1996090409646696</v>
      </c>
      <c r="O106" s="3">
        <v>1.4956319761378301</v>
      </c>
      <c r="P106" s="3">
        <v>2.91528059426328</v>
      </c>
      <c r="Q106" s="3">
        <v>4.0701821072829496</v>
      </c>
      <c r="R106" s="3">
        <v>3.0797378293103699</v>
      </c>
      <c r="S106" s="3">
        <v>4.9902556521515598</v>
      </c>
      <c r="T106" s="3">
        <v>4.4132859642781304</v>
      </c>
      <c r="U106" s="3">
        <v>2.6079546059849399</v>
      </c>
      <c r="V106" s="3">
        <v>3.4108367016947301</v>
      </c>
    </row>
    <row r="107" spans="1:22" x14ac:dyDescent="0.35">
      <c r="A107" s="2">
        <v>44897</v>
      </c>
      <c r="B107" s="3">
        <v>2.5339641099002801</v>
      </c>
      <c r="C107" s="3">
        <v>8.4727540407387902</v>
      </c>
      <c r="D107" s="3">
        <v>3.8673791769996702</v>
      </c>
      <c r="E107" s="3">
        <v>2.4128317599000502</v>
      </c>
      <c r="F107" s="3">
        <v>4.1489663464261799</v>
      </c>
      <c r="G107" s="3">
        <v>3.68110396610617</v>
      </c>
      <c r="H107" s="3">
        <v>4.1742272178325699</v>
      </c>
      <c r="I107" s="3">
        <v>4.2967092497576997</v>
      </c>
      <c r="J107" s="3">
        <v>3.7801146593534001</v>
      </c>
      <c r="K107" s="3">
        <v>2.4866706676341201</v>
      </c>
      <c r="L107" s="3">
        <v>7.3433780888172597</v>
      </c>
      <c r="M107" s="3">
        <v>4.9480093949892598</v>
      </c>
      <c r="N107" s="3">
        <v>4.3424826323324996</v>
      </c>
      <c r="O107" s="3">
        <v>1.4301065364815899</v>
      </c>
      <c r="P107" s="3">
        <v>2.5292874628210198</v>
      </c>
      <c r="Q107" s="3">
        <v>4.2394744761961398</v>
      </c>
      <c r="R107" s="3">
        <v>2.9983454216419401</v>
      </c>
      <c r="S107" s="3">
        <v>4.5194109399023299</v>
      </c>
      <c r="T107" s="3">
        <v>4.27700631181649</v>
      </c>
      <c r="U107" s="3">
        <v>2.2206165204408901</v>
      </c>
      <c r="V107" s="3">
        <v>3.5852890553693202</v>
      </c>
    </row>
    <row r="108" spans="1:22" x14ac:dyDescent="0.35">
      <c r="A108" s="2">
        <v>44930</v>
      </c>
      <c r="B108" s="3">
        <v>2.5452361231040301</v>
      </c>
      <c r="C108" s="3">
        <v>8.7154090368601</v>
      </c>
      <c r="D108" s="3">
        <v>4.1414546930157403</v>
      </c>
      <c r="E108" s="3">
        <v>2.3039856939386398</v>
      </c>
      <c r="F108" s="3">
        <v>4.0116883333307296</v>
      </c>
      <c r="G108" s="3">
        <v>3.7366575374012698</v>
      </c>
      <c r="H108" s="3">
        <v>4.2576599412851603</v>
      </c>
      <c r="I108" s="3">
        <v>4.5058317855339904</v>
      </c>
      <c r="J108" s="3">
        <v>3.8605873466083498</v>
      </c>
      <c r="K108" s="3">
        <v>2.6531116519158902</v>
      </c>
      <c r="L108" s="3">
        <v>6.9369518233000296</v>
      </c>
      <c r="M108" s="3">
        <v>4.8173120262567597</v>
      </c>
      <c r="N108" s="3">
        <v>4.3998768355988904</v>
      </c>
      <c r="O108" s="3">
        <v>1.5006087891264701</v>
      </c>
      <c r="P108" s="3">
        <v>2.3110404897981698</v>
      </c>
      <c r="Q108" s="3">
        <v>4.77657367357601</v>
      </c>
      <c r="R108" s="3">
        <v>2.9706388083692099</v>
      </c>
      <c r="S108" s="3">
        <v>3.9608310150442501</v>
      </c>
      <c r="T108" s="3">
        <v>4.7449451830858198</v>
      </c>
      <c r="U108" s="3">
        <v>2.6890947769029001</v>
      </c>
      <c r="V108" s="3">
        <v>3.7507354707305298</v>
      </c>
    </row>
    <row r="109" spans="1:22" x14ac:dyDescent="0.35">
      <c r="A109" s="2">
        <v>44960</v>
      </c>
      <c r="B109" s="3">
        <v>2.38705998082912</v>
      </c>
      <c r="C109" s="3">
        <v>7.7224208978078099</v>
      </c>
      <c r="D109" s="3">
        <v>4.13500947923949</v>
      </c>
      <c r="E109" s="3">
        <v>2.2828760595160702</v>
      </c>
      <c r="F109" s="3">
        <v>4.0375102117627399</v>
      </c>
      <c r="G109" s="3">
        <v>3.8392459532197099</v>
      </c>
      <c r="H109" s="3">
        <v>4.2188334594894599</v>
      </c>
      <c r="I109" s="3">
        <v>4.02043187075168</v>
      </c>
      <c r="J109" s="3">
        <v>3.5895606358951899</v>
      </c>
      <c r="K109" s="3">
        <v>2.46956757125893</v>
      </c>
      <c r="L109" s="3">
        <v>6.8113216183229</v>
      </c>
      <c r="M109" s="3">
        <v>4.5384839841601803</v>
      </c>
      <c r="N109" s="3">
        <v>4.1242424713843704</v>
      </c>
      <c r="O109" s="3">
        <v>1.54278010157217</v>
      </c>
      <c r="P109" s="3">
        <v>2.2481779981888801</v>
      </c>
      <c r="Q109" s="3">
        <v>4.64567918394666</v>
      </c>
      <c r="R109" s="3">
        <v>2.96472365226587</v>
      </c>
      <c r="S109" s="3">
        <v>5.1202225883239096</v>
      </c>
      <c r="T109" s="3">
        <v>4.71902836720745</v>
      </c>
      <c r="U109" s="3">
        <v>2.61522022506677</v>
      </c>
      <c r="V109" s="3">
        <v>3.7409915030729501</v>
      </c>
    </row>
    <row r="110" spans="1:22" x14ac:dyDescent="0.35">
      <c r="A110" s="2">
        <v>44988</v>
      </c>
      <c r="B110" s="3">
        <v>2.4095741287271499</v>
      </c>
      <c r="C110" s="3">
        <v>7.9648479742485199</v>
      </c>
      <c r="D110" s="3">
        <v>4.2488643383305398</v>
      </c>
      <c r="E110" s="3">
        <v>2.4533376664130699</v>
      </c>
      <c r="F110" s="3">
        <v>4.2065815648639804</v>
      </c>
      <c r="G110" s="3">
        <v>4.35131137194315</v>
      </c>
      <c r="H110" s="3">
        <v>4.3765264798868202</v>
      </c>
      <c r="I110" s="3">
        <v>3.9618016068293498</v>
      </c>
      <c r="J110" s="3">
        <v>3.60420413988999</v>
      </c>
      <c r="K110" s="3">
        <v>2.45053550603056</v>
      </c>
      <c r="L110" s="3">
        <v>7.3978533062000098</v>
      </c>
      <c r="M110" s="3">
        <v>4.6990649898005499</v>
      </c>
      <c r="N110" s="3">
        <v>3.8308879879725302</v>
      </c>
      <c r="O110" s="3">
        <v>1.58298456880016</v>
      </c>
      <c r="P110" s="3">
        <v>2.3343040506883201</v>
      </c>
      <c r="Q110" s="3">
        <v>4.7451649252732899</v>
      </c>
      <c r="R110" s="3">
        <v>3.1066940145599902</v>
      </c>
      <c r="S110" s="3">
        <v>4.9797345400646096</v>
      </c>
      <c r="T110" s="3">
        <v>4.6913305033662702</v>
      </c>
      <c r="U110" s="3">
        <v>2.57587869817544</v>
      </c>
      <c r="V110" s="3">
        <v>3.8377935764759599</v>
      </c>
    </row>
    <row r="111" spans="1:22" x14ac:dyDescent="0.35">
      <c r="A111" s="2">
        <v>45020</v>
      </c>
      <c r="B111" s="3">
        <v>2.4368738364247502</v>
      </c>
      <c r="C111" s="3">
        <v>9.1526467324214593</v>
      </c>
      <c r="D111" s="3">
        <v>4.4221120709444204</v>
      </c>
      <c r="E111" s="3">
        <v>2.7611452869861699</v>
      </c>
      <c r="F111" s="3">
        <v>4.7112960145350398</v>
      </c>
      <c r="G111" s="3">
        <v>4.8482116611597696</v>
      </c>
      <c r="H111" s="3">
        <v>4.4112216083426299</v>
      </c>
      <c r="I111" s="3">
        <v>3.8608527877599501</v>
      </c>
      <c r="J111" s="3">
        <v>3.690475664369</v>
      </c>
      <c r="K111" s="3">
        <v>2.38937062825944</v>
      </c>
      <c r="L111" s="3">
        <v>6.7307634366490099</v>
      </c>
      <c r="M111" s="3">
        <v>4.5429734064756602</v>
      </c>
      <c r="N111" s="3">
        <v>4.3286896184814996</v>
      </c>
      <c r="O111" s="3">
        <v>1.6176443291329401</v>
      </c>
      <c r="P111" s="3">
        <v>2.4128100815815001</v>
      </c>
      <c r="Q111" s="3">
        <v>4.76591458758808</v>
      </c>
      <c r="R111" s="3">
        <v>3.1238001178786901</v>
      </c>
      <c r="S111" s="3">
        <v>5.0398131383575304</v>
      </c>
      <c r="T111" s="3">
        <v>4.5903969557129098</v>
      </c>
      <c r="U111" s="3">
        <v>2.4564678434998002</v>
      </c>
      <c r="V111" s="3">
        <v>3.5218269896715499</v>
      </c>
    </row>
    <row r="112" spans="1:22" x14ac:dyDescent="0.35">
      <c r="A112" s="2">
        <v>45050</v>
      </c>
      <c r="B112" s="3">
        <v>2.4902126489005401</v>
      </c>
      <c r="C112" s="3">
        <v>8.1758968147668103</v>
      </c>
      <c r="D112" s="3">
        <v>4.4275426730565597</v>
      </c>
      <c r="E112" s="3">
        <v>2.6787469342800798</v>
      </c>
      <c r="F112" s="3">
        <v>4.4086140935179996</v>
      </c>
      <c r="G112" s="3">
        <v>4.8065424649207102</v>
      </c>
      <c r="H112" s="3">
        <v>4.4096104390803497</v>
      </c>
      <c r="I112" s="3">
        <v>3.7742679467897302</v>
      </c>
      <c r="J112" s="3">
        <v>3.59248768475</v>
      </c>
      <c r="K112" s="3">
        <v>2.4255487171811598</v>
      </c>
      <c r="L112" s="3">
        <v>6.9300530003191296</v>
      </c>
      <c r="M112" s="3">
        <v>4.5526372399734099</v>
      </c>
      <c r="N112" s="3">
        <v>4.1583786475097302</v>
      </c>
      <c r="O112" s="3">
        <v>1.60126976305317</v>
      </c>
      <c r="P112" s="3">
        <v>2.5227131373329601</v>
      </c>
      <c r="Q112" s="3">
        <v>4.6964837506039396</v>
      </c>
      <c r="R112" s="3">
        <v>3.24521923439936</v>
      </c>
      <c r="S112" s="3">
        <v>5.4543079385784496</v>
      </c>
      <c r="T112" s="3">
        <v>4.4159491748535302</v>
      </c>
      <c r="U112" s="3">
        <v>2.63702901352482</v>
      </c>
      <c r="V112" s="3">
        <v>3.4481978832753799</v>
      </c>
    </row>
    <row r="113" spans="1:37" x14ac:dyDescent="0.35">
      <c r="A113" s="2">
        <v>45079</v>
      </c>
      <c r="B113" s="3">
        <v>2.54909362184359</v>
      </c>
      <c r="C113" s="3">
        <v>7.2007521882898802</v>
      </c>
      <c r="D113" s="3">
        <v>4.2948926759766</v>
      </c>
      <c r="E113" s="3">
        <v>2.9570278505746002</v>
      </c>
      <c r="F113" s="3">
        <v>3.9454536244142302</v>
      </c>
      <c r="G113" s="3">
        <v>5.1582125859942796</v>
      </c>
      <c r="H113" s="3">
        <v>4.4571459764953998</v>
      </c>
      <c r="I113" s="3">
        <v>3.5362239856520898</v>
      </c>
      <c r="J113" s="3">
        <v>3.7817619396143098</v>
      </c>
      <c r="K113" s="3">
        <v>2.3172637604327502</v>
      </c>
      <c r="L113" s="3">
        <v>6.2892464829884496</v>
      </c>
      <c r="M113" s="3">
        <v>4.7362511709229604</v>
      </c>
      <c r="N113" s="3">
        <v>4.00023018796717</v>
      </c>
      <c r="O113" s="3">
        <v>1.56226945006763</v>
      </c>
      <c r="P113" s="3">
        <v>2.5555650997080601</v>
      </c>
      <c r="Q113" s="3">
        <v>4.8111906516567498</v>
      </c>
      <c r="R113" s="3">
        <v>3.17762528071641</v>
      </c>
      <c r="S113" s="3">
        <v>5.0749072124365702</v>
      </c>
      <c r="T113" s="3">
        <v>4.4358864993890004</v>
      </c>
      <c r="U113" s="3">
        <v>2.57870416052676</v>
      </c>
      <c r="V113" s="3">
        <v>3.55925757223357</v>
      </c>
    </row>
    <row r="114" spans="1:37" x14ac:dyDescent="0.35">
      <c r="A114" s="2">
        <v>45110</v>
      </c>
      <c r="B114" s="3">
        <v>2.5856252283233401</v>
      </c>
      <c r="C114" s="3">
        <v>6.7189921613703296</v>
      </c>
      <c r="D114" s="3">
        <v>4.3328191871971402</v>
      </c>
      <c r="E114" s="3">
        <v>2.9378983267477601</v>
      </c>
      <c r="F114" s="3">
        <v>3.9384757289138399</v>
      </c>
      <c r="G114" s="3">
        <v>4.9292649217168796</v>
      </c>
      <c r="H114" s="3">
        <v>4.4205945046233603</v>
      </c>
      <c r="I114" s="3">
        <v>3.47569812394774</v>
      </c>
      <c r="J114" s="3">
        <v>3.8190296672575701</v>
      </c>
      <c r="K114" s="3">
        <v>2.3401359738135601</v>
      </c>
      <c r="L114" s="3">
        <v>5.9752770769604897</v>
      </c>
      <c r="M114" s="3">
        <v>4.4550379436668104</v>
      </c>
      <c r="N114" s="3">
        <v>3.9243673894033702</v>
      </c>
      <c r="O114" s="3">
        <v>1.5119784283840401</v>
      </c>
      <c r="P114" s="3">
        <v>2.50100522597352</v>
      </c>
      <c r="Q114" s="3">
        <v>4.7403776852480499</v>
      </c>
      <c r="R114" s="3">
        <v>3.17169689724438</v>
      </c>
      <c r="S114" s="3">
        <v>4.3361510874426301</v>
      </c>
      <c r="T114" s="3">
        <v>4.3580760754926002</v>
      </c>
      <c r="U114" s="3">
        <v>2.7275311523952701</v>
      </c>
      <c r="V114" s="3">
        <v>3.4230047581501699</v>
      </c>
    </row>
    <row r="115" spans="1:37" x14ac:dyDescent="0.35">
      <c r="A115" s="2">
        <v>45142</v>
      </c>
      <c r="B115" s="3">
        <v>2.5340609802079799</v>
      </c>
      <c r="C115" s="3">
        <v>6.22889372902437</v>
      </c>
      <c r="D115" s="3">
        <v>4.1231785877953797</v>
      </c>
      <c r="E115" s="3">
        <v>3.0219068494017098</v>
      </c>
      <c r="F115" s="3">
        <v>3.81293142024274</v>
      </c>
      <c r="G115" s="3">
        <v>4.2972888638869202</v>
      </c>
      <c r="H115" s="3">
        <v>4.2819564681308497</v>
      </c>
      <c r="I115" s="3">
        <v>3.4933940657831899</v>
      </c>
      <c r="J115" s="3">
        <v>3.9076544514896301</v>
      </c>
      <c r="K115" s="3">
        <v>2.35190327601675</v>
      </c>
      <c r="L115" s="3">
        <v>5.77068500800811</v>
      </c>
      <c r="M115" s="3">
        <v>4.2437038624847796</v>
      </c>
      <c r="N115" s="3">
        <v>4.1311131610306404</v>
      </c>
      <c r="O115" s="3">
        <v>1.4932039176623499</v>
      </c>
      <c r="P115" s="3">
        <v>2.3610024494047499</v>
      </c>
      <c r="Q115" s="3">
        <v>4.4644688624733897</v>
      </c>
      <c r="R115" s="3">
        <v>3.10586810248435</v>
      </c>
      <c r="S115" s="3">
        <v>3.5963536764336701</v>
      </c>
      <c r="T115" s="3">
        <v>4.19038680915504</v>
      </c>
      <c r="U115" s="3">
        <v>2.5738235708095201</v>
      </c>
      <c r="V115" s="3">
        <v>3.5347354602996002</v>
      </c>
    </row>
    <row r="116" spans="1:37" x14ac:dyDescent="0.35">
      <c r="A116" s="2">
        <v>45170</v>
      </c>
      <c r="B116" s="3">
        <v>2.5707956509042398</v>
      </c>
      <c r="C116" s="3">
        <v>6.5494028803041102</v>
      </c>
      <c r="D116" s="3">
        <v>4.0827399800385704</v>
      </c>
      <c r="E116" s="3">
        <v>2.9641798603309701</v>
      </c>
      <c r="F116" s="3">
        <v>4.06508249640543</v>
      </c>
      <c r="G116" s="3">
        <v>4.6481263647889897</v>
      </c>
      <c r="H116" s="3">
        <v>4.2434042780281898</v>
      </c>
      <c r="I116" s="3">
        <v>3.5862259272325701</v>
      </c>
      <c r="J116" s="3">
        <v>4.0757000088763498</v>
      </c>
      <c r="K116" s="3">
        <v>2.3674537504594002</v>
      </c>
      <c r="L116" s="3">
        <v>5.8823406146027599</v>
      </c>
      <c r="M116" s="3">
        <v>4.4406293688247001</v>
      </c>
      <c r="N116" s="3">
        <v>4.3134183602885896</v>
      </c>
      <c r="O116" s="3">
        <v>1.527895108094</v>
      </c>
      <c r="P116" s="3">
        <v>2.4510786826984199</v>
      </c>
      <c r="Q116" s="3">
        <v>4.66776895965398</v>
      </c>
      <c r="R116" s="3">
        <v>3.0964942727476501</v>
      </c>
      <c r="S116" s="3">
        <v>3.5117121057673</v>
      </c>
      <c r="T116" s="3">
        <v>4.3673355041738597</v>
      </c>
      <c r="U116" s="3">
        <v>2.6770566598022301</v>
      </c>
      <c r="V116" s="3">
        <v>3.5557499255271199</v>
      </c>
    </row>
    <row r="117" spans="1:37" x14ac:dyDescent="0.35">
      <c r="A117" s="2">
        <v>45203</v>
      </c>
      <c r="B117" s="3">
        <v>2.6525457991135801</v>
      </c>
      <c r="C117" s="3">
        <v>7.0965916061522201</v>
      </c>
      <c r="D117" s="3">
        <v>4.18068685283456</v>
      </c>
      <c r="E117" s="3">
        <v>2.8349146407307502</v>
      </c>
      <c r="F117" s="3">
        <v>4.4724352755790999</v>
      </c>
      <c r="G117" s="3">
        <v>5.2175925008198698</v>
      </c>
      <c r="H117" s="3">
        <v>4.3864046068988003</v>
      </c>
      <c r="I117" s="3">
        <v>3.67922867676337</v>
      </c>
      <c r="J117" s="3">
        <v>4.2558621981211102</v>
      </c>
      <c r="K117" s="3">
        <v>2.54831939232372</v>
      </c>
      <c r="L117" s="3">
        <v>6.0733453713663899</v>
      </c>
      <c r="M117" s="3">
        <v>4.6770693132241501</v>
      </c>
      <c r="N117" s="3">
        <v>4.9827200715378597</v>
      </c>
      <c r="O117" s="3">
        <v>1.5381686285347</v>
      </c>
      <c r="P117" s="3">
        <v>2.6367428325105999</v>
      </c>
      <c r="Q117" s="3">
        <v>4.72372479208396</v>
      </c>
      <c r="R117" s="3">
        <v>3.30986374986453</v>
      </c>
      <c r="S117" s="3">
        <v>3.6594208308726399</v>
      </c>
      <c r="T117" s="3">
        <v>4.2539564954359799</v>
      </c>
      <c r="U117" s="3">
        <v>3.06729234483449</v>
      </c>
      <c r="V117" s="3">
        <v>3.7998068181760098</v>
      </c>
    </row>
    <row r="118" spans="1:37" x14ac:dyDescent="0.35">
      <c r="A118" s="2">
        <v>45233</v>
      </c>
      <c r="B118" s="3">
        <v>2.7056653476347998</v>
      </c>
      <c r="C118" s="3">
        <v>6.6562833175865599</v>
      </c>
      <c r="D118" s="3">
        <v>4.2778334368655404</v>
      </c>
      <c r="E118" s="3">
        <v>3.1144823358305702</v>
      </c>
      <c r="F118" s="3">
        <v>4.2012223283018297</v>
      </c>
      <c r="G118" s="3">
        <v>4.8194476005245797</v>
      </c>
      <c r="H118" s="3">
        <v>4.2980237532132399</v>
      </c>
      <c r="I118" s="3">
        <v>3.5846442931269902</v>
      </c>
      <c r="J118" s="3">
        <v>4.2045491430892703</v>
      </c>
      <c r="K118" s="3">
        <v>2.5801687624823799</v>
      </c>
      <c r="L118" s="3">
        <v>6.1638197923657003</v>
      </c>
      <c r="M118" s="3">
        <v>4.3983010215016796</v>
      </c>
      <c r="N118" s="3">
        <v>4.84283109907543</v>
      </c>
      <c r="O118" s="3">
        <v>1.5385738867916501</v>
      </c>
      <c r="P118" s="3">
        <v>2.5834997672409101</v>
      </c>
      <c r="Q118" s="3">
        <v>5.0282659802771796</v>
      </c>
      <c r="R118" s="3">
        <v>3.4001662496990002</v>
      </c>
      <c r="S118" s="3">
        <v>4.1518172305490104</v>
      </c>
      <c r="T118" s="3">
        <v>4.6415975625433603</v>
      </c>
      <c r="U118" s="3">
        <v>3.0340289811677001</v>
      </c>
      <c r="V118" s="3">
        <v>3.8363546698101101</v>
      </c>
    </row>
    <row r="119" spans="1:37" x14ac:dyDescent="0.35">
      <c r="A119" s="2">
        <v>45264</v>
      </c>
      <c r="B119" s="3">
        <v>2.7704695271382902</v>
      </c>
      <c r="C119" s="3">
        <v>6.7630072918375204</v>
      </c>
      <c r="D119" s="3">
        <v>4.2172786691968298</v>
      </c>
      <c r="E119" s="3">
        <v>3.1322740946196799</v>
      </c>
      <c r="F119" s="3">
        <v>5.0061934972198499</v>
      </c>
      <c r="G119" s="3">
        <v>3.9955226514727902</v>
      </c>
      <c r="H119" s="3">
        <v>4.30556651230863</v>
      </c>
      <c r="I119" s="3">
        <v>3.4317733606095602</v>
      </c>
      <c r="J119" s="3">
        <v>3.9781522434934402</v>
      </c>
      <c r="K119" s="3">
        <v>2.3675344993385599</v>
      </c>
      <c r="L119" s="3">
        <v>6.0579439347929203</v>
      </c>
      <c r="M119" s="3">
        <v>4.2173877429642701</v>
      </c>
      <c r="N119" s="3">
        <v>4.3402385062531401</v>
      </c>
      <c r="O119" s="3">
        <v>1.4304417515314001</v>
      </c>
      <c r="P119" s="3">
        <v>2.7122665963063302</v>
      </c>
      <c r="Q119" s="3">
        <v>4.9682719026542301</v>
      </c>
      <c r="R119" s="3">
        <v>3.43165032291382</v>
      </c>
      <c r="S119" s="3">
        <v>4.1848845354482496</v>
      </c>
      <c r="T119" s="3">
        <v>4.6627932663417697</v>
      </c>
      <c r="U119" s="3">
        <v>2.8229027674348202</v>
      </c>
      <c r="V119" s="3">
        <v>3.7490373526994198</v>
      </c>
    </row>
    <row r="120" spans="1:37" x14ac:dyDescent="0.35">
      <c r="A120" s="2">
        <v>45295</v>
      </c>
      <c r="B120" s="3">
        <v>2.8506176475414202</v>
      </c>
      <c r="C120" s="3">
        <v>6.79549484857609</v>
      </c>
      <c r="D120" s="3">
        <v>4.0401028646417201</v>
      </c>
      <c r="E120" s="3">
        <v>3.1216753600091001</v>
      </c>
      <c r="F120" s="3">
        <v>4.8745871114489603</v>
      </c>
      <c r="G120" s="3">
        <v>3.5224427736247899</v>
      </c>
      <c r="H120" s="3">
        <v>4.2649039614955697</v>
      </c>
      <c r="I120" s="3">
        <v>3.39272294534788</v>
      </c>
      <c r="J120" s="3">
        <v>3.9447126883416499</v>
      </c>
      <c r="K120" s="3">
        <v>2.29990327973533</v>
      </c>
      <c r="L120" s="3">
        <v>5.8274169847263098</v>
      </c>
      <c r="M120" s="3">
        <v>4.2813645029249301</v>
      </c>
      <c r="N120" s="3">
        <v>4.4977239547921402</v>
      </c>
      <c r="O120" s="3">
        <v>1.3763691805718801</v>
      </c>
      <c r="P120" s="3">
        <v>2.7188965570687098</v>
      </c>
      <c r="Q120" s="3">
        <v>4.7921527613867898</v>
      </c>
      <c r="R120" s="3">
        <v>3.3528013975245301</v>
      </c>
      <c r="S120" s="3">
        <v>4.71034258651245</v>
      </c>
      <c r="T120" s="3">
        <v>4.6083104902948104</v>
      </c>
      <c r="U120" s="3">
        <v>2.74516943758946</v>
      </c>
      <c r="V120" s="3">
        <v>3.3945005368389198</v>
      </c>
    </row>
    <row r="121" spans="1:37" x14ac:dyDescent="0.35">
      <c r="A121" s="2">
        <v>45324</v>
      </c>
      <c r="B121" s="3">
        <v>3.01565746044359</v>
      </c>
      <c r="C121" s="3">
        <v>6.9669996967362504</v>
      </c>
      <c r="D121" s="3">
        <v>4.1007945669890304</v>
      </c>
      <c r="E121" s="3">
        <v>2.8482609507094301</v>
      </c>
      <c r="F121" s="3">
        <v>4.8676990315239097</v>
      </c>
      <c r="G121" s="3">
        <v>3.5370887304544798</v>
      </c>
      <c r="H121" s="3">
        <v>4.2165306777877802</v>
      </c>
      <c r="I121" s="3">
        <v>3.38436234295928</v>
      </c>
      <c r="J121" s="3">
        <v>3.7054775445435202</v>
      </c>
      <c r="K121" s="3">
        <v>2.2570926212457798</v>
      </c>
      <c r="L121" s="3">
        <v>5.8844278372249601</v>
      </c>
      <c r="M121" s="3">
        <v>4.26758609214823</v>
      </c>
      <c r="N121" s="3">
        <v>4.5600869635723704</v>
      </c>
      <c r="O121" s="3">
        <v>1.37049476763983</v>
      </c>
      <c r="P121" s="3">
        <v>2.9809350565213202</v>
      </c>
      <c r="Q121" s="3">
        <v>4.9238542749774501</v>
      </c>
      <c r="R121" s="3">
        <v>3.4876730409853098</v>
      </c>
      <c r="S121" s="3">
        <v>4.1868597192727703</v>
      </c>
      <c r="T121" s="3">
        <v>4.7075925029257197</v>
      </c>
      <c r="U121" s="3">
        <v>2.8011822590738902</v>
      </c>
      <c r="V121" s="3">
        <v>3.4559406937169199</v>
      </c>
    </row>
    <row r="122" spans="1:37" x14ac:dyDescent="0.35">
      <c r="A122" s="2">
        <v>45351</v>
      </c>
      <c r="B122" s="3">
        <v>2.4707372511410299</v>
      </c>
      <c r="C122" s="3">
        <v>7.5148522158682702</v>
      </c>
      <c r="D122" s="3">
        <v>4.1630320207031399</v>
      </c>
      <c r="E122" s="3">
        <v>2.62932267222762</v>
      </c>
      <c r="F122" s="3">
        <v>3.9909192089845802</v>
      </c>
      <c r="G122" s="3">
        <v>3.8368477427149799</v>
      </c>
      <c r="H122" s="3">
        <v>4.1210936331915002</v>
      </c>
      <c r="I122" s="3">
        <v>2.9691212903021298</v>
      </c>
      <c r="J122" s="3">
        <v>3.6789842430158002</v>
      </c>
      <c r="K122" s="3">
        <v>2.1631782933713799</v>
      </c>
      <c r="L122" s="3">
        <v>6.6455590285569697</v>
      </c>
      <c r="M122" s="3">
        <v>4.02701324855851</v>
      </c>
      <c r="N122" s="3">
        <v>4.3372852063797298</v>
      </c>
      <c r="O122" s="3">
        <v>1.2328626447080799</v>
      </c>
      <c r="P122" s="3">
        <v>2.7013815743018399</v>
      </c>
      <c r="Q122" s="3">
        <v>4.4063751102336202</v>
      </c>
      <c r="R122" s="3">
        <v>3.48809701021134</v>
      </c>
      <c r="S122" s="3">
        <v>3.0397768369196698</v>
      </c>
      <c r="T122" s="3">
        <v>5.0357170748381002</v>
      </c>
      <c r="U122" s="3">
        <v>2.4629260283487202</v>
      </c>
      <c r="V122" s="3">
        <v>3.0162285000732099</v>
      </c>
    </row>
    <row r="125" spans="1:37" x14ac:dyDescent="0.35">
      <c r="A125" s="2" t="s">
        <v>95</v>
      </c>
      <c r="B125" s="3" cm="1">
        <f t="array" ref="B125">MIN(_xlfn._xlws.FILTER(B1:B122, ISNUMBER(B1:B122)))</f>
        <v>1.6821384042005101</v>
      </c>
      <c r="C125" s="3" cm="1">
        <f t="array" ref="C125">MIN(_xlfn._xlws.FILTER(C1:C122, ISNUMBER(C1:C122)))</f>
        <v>2.4476581669639601</v>
      </c>
      <c r="D125" s="3" cm="1">
        <f t="array" ref="D125">MIN(_xlfn._xlws.FILTER(D1:D122, ISNUMBER(D1:D122)))</f>
        <v>2.1347559499736799</v>
      </c>
      <c r="E125" s="3" cm="1">
        <f t="array" ref="E125">MIN(_xlfn._xlws.FILTER(E1:E122, ISNUMBER(E1:E122)))</f>
        <v>1.44869945661585</v>
      </c>
      <c r="F125" s="3" cm="1">
        <f t="array" ref="F125">MIN(_xlfn._xlws.FILTER(F1:F122, ISNUMBER(F1:F122)))</f>
        <v>2.3342026824601301</v>
      </c>
      <c r="G125" s="3" cm="1">
        <f t="array" ref="G125">MIN(_xlfn._xlws.FILTER(G1:G122, ISNUMBER(G1:G122)))</f>
        <v>1.4400715239377999</v>
      </c>
      <c r="H125" s="3" cm="1">
        <f t="array" ref="H125">MIN(_xlfn._xlws.FILTER(H1:H122, ISNUMBER(H1:H122)))</f>
        <v>2.9439631854401598</v>
      </c>
      <c r="I125" s="3" cm="1">
        <f t="array" ref="I125">MIN(_xlfn._xlws.FILTER(I1:I122, ISNUMBER(I1:I122)))</f>
        <v>2.9691212903021298</v>
      </c>
      <c r="J125" s="3" cm="1">
        <f t="array" ref="J125">MIN(_xlfn._xlws.FILTER(J1:J122, ISNUMBER(J1:J122)))</f>
        <v>2.0360952659071301</v>
      </c>
      <c r="K125" s="3" cm="1">
        <f t="array" ref="K125">MIN(_xlfn._xlws.FILTER(K1:K122, ISNUMBER(K1:K122)))</f>
        <v>1.24977712436445</v>
      </c>
      <c r="L125" s="3" cm="1">
        <f t="array" ref="L125">MIN(_xlfn._xlws.FILTER(L1:L122, ISNUMBER(L1:L122)))</f>
        <v>2.8159997884177002</v>
      </c>
      <c r="M125" s="3" cm="1">
        <f t="array" ref="M125">MIN(_xlfn._xlws.FILTER(M1:M122, ISNUMBER(M1:M122)))</f>
        <v>2.98692694199078</v>
      </c>
      <c r="N125" s="3" cm="1">
        <f t="array" ref="N125">MIN(_xlfn._xlws.FILTER(N1:N122, ISNUMBER(N1:N122)))</f>
        <v>1.8029076785829701</v>
      </c>
      <c r="O125" s="3" cm="1">
        <f t="array" ref="O125">MIN(_xlfn._xlws.FILTER(O1:O122, ISNUMBER(O1:O122)))</f>
        <v>1.2328626447080799</v>
      </c>
      <c r="P125" s="3" cm="1">
        <f t="array" ref="P125">MIN(_xlfn._xlws.FILTER(P1:P122, ISNUMBER(P1:P122)))</f>
        <v>1.3653275056404199</v>
      </c>
      <c r="Q125" s="3" cm="1">
        <f t="array" ref="Q125">MIN(_xlfn._xlws.FILTER(Q1:Q122, ISNUMBER(Q1:Q122)))</f>
        <v>3.4886507218152398</v>
      </c>
      <c r="R125" s="3" cm="1">
        <f t="array" ref="R125">MIN(_xlfn._xlws.FILTER(R1:R122, ISNUMBER(R1:R122)))</f>
        <v>2.7363865006742998</v>
      </c>
      <c r="S125" s="3" cm="1">
        <f t="array" ref="S125">MIN(_xlfn._xlws.FILTER(S1:S122, ISNUMBER(S1:S122)))</f>
        <v>2.71412117759288</v>
      </c>
      <c r="T125" s="3" cm="1">
        <f t="array" ref="T125">MIN(_xlfn._xlws.FILTER(T1:T122, ISNUMBER(T1:T122)))</f>
        <v>2.3240039385421798</v>
      </c>
      <c r="U125" s="3" cm="1">
        <f t="array" ref="U125">MIN(_xlfn._xlws.FILTER(U1:U122, ISNUMBER(U1:U122)))</f>
        <v>1.16291638659763</v>
      </c>
      <c r="V125" s="3" cm="1">
        <f t="array" ref="V125">MIN(_xlfn._xlws.FILTER(V1:V122, ISNUMBER(V1:V122)))</f>
        <v>2.6342981585976299</v>
      </c>
    </row>
    <row r="126" spans="1:37" x14ac:dyDescent="0.35">
      <c r="A126" s="2" t="s">
        <v>96</v>
      </c>
      <c r="B126" s="3" cm="1">
        <f t="array" ref="B126">MAX(_xlfn._xlws.FILTER(B1:B122, ISNUMBER(B1:B122)))</f>
        <v>3.36198577579865</v>
      </c>
      <c r="C126" s="3" cm="1">
        <f t="array" ref="C126">MAX(_xlfn._xlws.FILTER(C1:C122, ISNUMBER(C1:C122)))</f>
        <v>9.1526467324214593</v>
      </c>
      <c r="D126" s="3" cm="1">
        <f t="array" ref="D126">MAX(_xlfn._xlws.FILTER(D1:D122, ISNUMBER(D1:D122)))</f>
        <v>4.4275426730565597</v>
      </c>
      <c r="E126" s="3" cm="1">
        <f t="array" ref="E126">MAX(_xlfn._xlws.FILTER(E1:E122, ISNUMBER(E1:E122)))</f>
        <v>3.1322740946196799</v>
      </c>
      <c r="F126" s="3" cm="1">
        <f t="array" ref="F126">MAX(_xlfn._xlws.FILTER(F1:F122, ISNUMBER(F1:F122)))</f>
        <v>5.0061934972198499</v>
      </c>
      <c r="G126" s="3" cm="1">
        <f t="array" ref="G126">MAX(_xlfn._xlws.FILTER(G1:G122, ISNUMBER(G1:G122)))</f>
        <v>5.4697393299796104</v>
      </c>
      <c r="H126" s="3" cm="1">
        <f t="array" ref="H126">MAX(_xlfn._xlws.FILTER(H1:H122, ISNUMBER(H1:H122)))</f>
        <v>4.4571459764953998</v>
      </c>
      <c r="I126" s="3" cm="1">
        <f t="array" ref="I126">MAX(_xlfn._xlws.FILTER(I1:I122, ISNUMBER(I1:I122)))</f>
        <v>5.36069031323151</v>
      </c>
      <c r="J126" s="3" cm="1">
        <f t="array" ref="J126">MAX(_xlfn._xlws.FILTER(J1:J122, ISNUMBER(J1:J122)))</f>
        <v>4.7304171795590797</v>
      </c>
      <c r="K126" s="3" cm="1">
        <f t="array" ref="K126">MAX(_xlfn._xlws.FILTER(K1:K122, ISNUMBER(K1:K122)))</f>
        <v>2.8664754579652598</v>
      </c>
      <c r="L126" s="3" cm="1">
        <f t="array" ref="L126">MAX(_xlfn._xlws.FILTER(L1:L122, ISNUMBER(L1:L122)))</f>
        <v>11.595705278904701</v>
      </c>
      <c r="M126" s="3" cm="1">
        <f t="array" ref="M126">MAX(_xlfn._xlws.FILTER(M1:M122, ISNUMBER(M1:M122)))</f>
        <v>5.4417710976565603</v>
      </c>
      <c r="N126" s="3" cm="1">
        <f t="array" ref="N126">MAX(_xlfn._xlws.FILTER(N1:N122, ISNUMBER(N1:N122)))</f>
        <v>5.2435461279756899</v>
      </c>
      <c r="O126" s="3" cm="1">
        <f t="array" ref="O126">MAX(_xlfn._xlws.FILTER(O1:O122, ISNUMBER(O1:O122)))</f>
        <v>2.4158146919269199</v>
      </c>
      <c r="P126" s="3" cm="1">
        <f t="array" ref="P126">MAX(_xlfn._xlws.FILTER(P1:P122, ISNUMBER(P1:P122)))</f>
        <v>3.8189670359936998</v>
      </c>
      <c r="Q126" s="3" cm="1">
        <f t="array" ref="Q126">MAX(_xlfn._xlws.FILTER(Q1:Q122, ISNUMBER(Q1:Q122)))</f>
        <v>5.69188641052755</v>
      </c>
      <c r="R126" s="3" cm="1">
        <f t="array" ref="R126">MAX(_xlfn._xlws.FILTER(R1:R122, ISNUMBER(R1:R122)))</f>
        <v>5.7646113235983698</v>
      </c>
      <c r="S126" s="3" cm="1">
        <f t="array" ref="S126">MAX(_xlfn._xlws.FILTER(S1:S122, ISNUMBER(S1:S122)))</f>
        <v>6.1779035226636303</v>
      </c>
      <c r="T126" s="3" cm="1">
        <f t="array" ref="T126">MAX(_xlfn._xlws.FILTER(T1:T122, ISNUMBER(T1:T122)))</f>
        <v>7.1382409195254999</v>
      </c>
      <c r="U126" s="3" cm="1">
        <f t="array" ref="U126">MAX(_xlfn._xlws.FILTER(U1:U122, ISNUMBER(U1:U122)))</f>
        <v>4.1713981424278304</v>
      </c>
      <c r="V126" s="3" cm="1">
        <f t="array" ref="V126">MAX(_xlfn._xlws.FILTER(V1:V122, ISNUMBER(V1:V122)))</f>
        <v>5.1521613291402302</v>
      </c>
    </row>
    <row r="128" spans="1:37" x14ac:dyDescent="0.35">
      <c r="A128" s="2" t="s">
        <v>97</v>
      </c>
      <c r="B128" s="9" cm="1">
        <f t="array" ref="B128">_xlfn.PERCENTRANK.EXC(_xlfn._xlws.FILTER(B1:B122, ISNUMBER(B1:B122)),B122)</f>
        <v>0.58499999999999996</v>
      </c>
      <c r="C128" s="9" cm="1">
        <f t="array" ref="C128">_xlfn.PERCENTRANK.EXC(_xlfn._xlws.FILTER(C1:C122, ISNUMBER(C1:C122)),C122)</f>
        <v>0.93400000000000005</v>
      </c>
      <c r="D128" s="9" cm="1">
        <f t="array" ref="D128">_xlfn.PERCENTRANK.EXC(_xlfn._xlws.FILTER(D1:D122, ISNUMBER(D1:D122)),D122)</f>
        <v>0.92600000000000005</v>
      </c>
      <c r="E128" s="9" cm="1">
        <f t="array" ref="E128">_xlfn.PERCENTRANK.EXC(_xlfn._xlws.FILTER(E1:E122, ISNUMBER(E1:E122)),E122)</f>
        <v>0.88500000000000001</v>
      </c>
      <c r="F128" s="9" cm="1">
        <f t="array" ref="F128">_xlfn.PERCENTRANK.EXC(_xlfn._xlws.FILTER(F1:F122, ISNUMBER(F1:F122)),F122)</f>
        <v>0.77</v>
      </c>
      <c r="G128" s="9" cm="1">
        <f t="array" ref="G128">_xlfn.PERCENTRANK.EXC(_xlfn._xlws.FILTER(G1:G122, ISNUMBER(G1:G122)),G122)</f>
        <v>0.79500000000000004</v>
      </c>
      <c r="H128" s="9" cm="1">
        <f t="array" ref="H128">_xlfn.PERCENTRANK.EXC(_xlfn._xlws.FILTER(H1:H122, ISNUMBER(H1:H122)),H122)</f>
        <v>0.81899999999999995</v>
      </c>
      <c r="I128" s="9" cm="1">
        <f t="array" ref="I128">_xlfn.PERCENTRANK.EXC(_xlfn._xlws.FILTER(I1:I122, ISNUMBER(I1:I122)),I122)</f>
        <v>8.0000000000000002E-3</v>
      </c>
      <c r="J128" s="9" cm="1">
        <f t="array" ref="J128">_xlfn.PERCENTRANK.EXC(_xlfn._xlws.FILTER(J1:J122, ISNUMBER(J1:J122)),J122)</f>
        <v>0.76</v>
      </c>
      <c r="K128" s="9" cm="1">
        <f t="array" ref="K128">_xlfn.PERCENTRANK.EXC(_xlfn._xlws.FILTER(K1:K122, ISNUMBER(K1:K122)),K122)</f>
        <v>0.54</v>
      </c>
      <c r="L128" s="9" cm="1">
        <f t="array" ref="L128">_xlfn.PERCENTRANK.EXC(_xlfn._xlws.FILTER(L1:L122, ISNUMBER(L1:L122)),L122)</f>
        <v>0.83599999999999997</v>
      </c>
      <c r="M128" s="9" cm="1">
        <f t="array" ref="M128">_xlfn.PERCENTRANK.EXC(_xlfn._xlws.FILTER(M1:M122, ISNUMBER(M1:M122)),M122)</f>
        <v>0.67200000000000004</v>
      </c>
      <c r="N128" s="9" cm="1">
        <f t="array" ref="N128">_xlfn.PERCENTRANK.EXC(_xlfn._xlws.FILTER(N1:N122, ISNUMBER(N1:N122)),N122)</f>
        <v>0.89300000000000002</v>
      </c>
      <c r="O128" s="9" cm="1">
        <f t="array" ref="O128">_xlfn.PERCENTRANK.EXC(_xlfn._xlws.FILTER(O1:O122, ISNUMBER(O1:O122)),O122)</f>
        <v>8.0000000000000002E-3</v>
      </c>
      <c r="P128" s="9" cm="1">
        <f t="array" ref="P128">_xlfn.PERCENTRANK.EXC(_xlfn._xlws.FILTER(P1:P122, ISNUMBER(P1:P122)),P122)</f>
        <v>0.72099999999999997</v>
      </c>
      <c r="Q128" s="9" cm="1">
        <f t="array" ref="Q128">_xlfn.PERCENTRANK.EXC(_xlfn._xlws.FILTER(Q1:Q122, ISNUMBER(Q1:Q122)),Q122)</f>
        <v>0.63</v>
      </c>
      <c r="R128" s="9" cm="1">
        <f t="array" ref="R128">_xlfn.PERCENTRANK.EXC(_xlfn._xlws.FILTER(R1:R122, ISNUMBER(R1:R122)),R122)</f>
        <v>0.85199999999999998</v>
      </c>
      <c r="S128" s="9" cm="1">
        <f t="array" ref="S128">_xlfn.PERCENTRANK.EXC(_xlfn._xlws.FILTER(S1:S122, ISNUMBER(S1:S122)),S122)</f>
        <v>0.122</v>
      </c>
      <c r="T128" s="9" cm="1">
        <f t="array" ref="T128">_xlfn.PERCENTRANK.EXC(_xlfn._xlws.FILTER(T1:T122, ISNUMBER(T1:T122)),T122)</f>
        <v>0.89900000000000002</v>
      </c>
      <c r="U128" s="9" cm="1">
        <f t="array" ref="U128">_xlfn.PERCENTRANK.EXC(_xlfn._xlws.FILTER(U1:U122, ISNUMBER(U1:U122)),U122)</f>
        <v>0.58399999999999996</v>
      </c>
      <c r="V128" s="9" cm="1">
        <f t="array" ref="V128">_xlfn.PERCENTRANK.EXC(_xlfn._xlws.FILTER(V1:V122, ISNUMBER(V1:V122)),V122)</f>
        <v>5.8000000000000003E-2</v>
      </c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39"/>
  <sheetViews>
    <sheetView workbookViewId="0">
      <selection activeCell="A134" sqref="A134"/>
    </sheetView>
  </sheetViews>
  <sheetFormatPr defaultRowHeight="14.5" x14ac:dyDescent="0.35"/>
  <cols>
    <col min="1" max="1" width="24.6328125" bestFit="1" customWidth="1"/>
  </cols>
  <sheetData>
    <row r="1" spans="1:38" x14ac:dyDescent="0.35">
      <c r="B1" s="3" t="s">
        <v>437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764</v>
      </c>
      <c r="S1" s="3" t="s">
        <v>25</v>
      </c>
      <c r="T1" s="3" t="s">
        <v>34</v>
      </c>
      <c r="U1" s="3" t="s">
        <v>37</v>
      </c>
      <c r="V1" s="3" t="s">
        <v>36</v>
      </c>
    </row>
    <row r="2" spans="1:38" x14ac:dyDescent="0.35">
      <c r="A2" s="2" cm="1">
        <f t="array" ref="A2:A122">_xll.FDS(C1,"JULIAN(FG_TOTAL_RETURNC(-10AY,0,AM).dates)")</f>
        <v>41702</v>
      </c>
      <c r="B2" s="33" t="e" cm="1">
        <f t="array" ref="B2:B122">_xll.FDS(B1,"FG_TOTAL_RETURNC(-10AY,0,AM)")/100</f>
        <v>#N/A</v>
      </c>
      <c r="C2" s="33" cm="1">
        <f t="array" ref="C2:C122">_xll.FDS(C1,"FG_TOTAL_RETURNC(-10AY,0,AM)")/100</f>
        <v>7.925927599999999E-2</v>
      </c>
      <c r="D2" s="33" cm="1">
        <f t="array" ref="D2:D122">_xll.FDS(D1,"FG_TOTAL_RETURNC(-10AY,0,AM)")/100</f>
        <v>0.1072191</v>
      </c>
      <c r="E2" s="33" cm="1">
        <f t="array" ref="E2:E122">_xll.FDS(E1,"FG_TOTAL_RETURNC(-10AY,0,AM)")/100</f>
        <v>0.10930920000000001</v>
      </c>
      <c r="F2" s="33" cm="1">
        <f t="array" ref="F2:F122">_xll.FDS(F1,"FG_TOTAL_RETURNC(-10AY,0,AM)")/100</f>
        <v>5.2947399999999999E-2</v>
      </c>
      <c r="G2" s="33" cm="1">
        <f t="array" ref="G2:G122">_xll.FDS(G1,"FG_TOTAL_RETURNC(-10AY,0,AM)")/100</f>
        <v>3.5849093999999998E-2</v>
      </c>
      <c r="H2" s="33" cm="1">
        <f t="array" ref="H2:H122">_xll.FDS(H1,"FG_TOTAL_RETURNC(-10AY,0,AM)")/100</f>
        <v>4.1976930000000003E-2</v>
      </c>
      <c r="I2" s="33" cm="1">
        <f t="array" ref="I2:I122">_xll.FDS(I1,"FG_TOTAL_RETURNC(-10AY,0,AM)")/100</f>
        <v>3.8661717999999998E-2</v>
      </c>
      <c r="J2" s="33" cm="1">
        <f t="array" ref="J2:J122">_xll.FDS(J1,"FG_TOTAL_RETURNC(-10AY,0,AM)")/100</f>
        <v>-2.0404816000000003E-2</v>
      </c>
      <c r="K2" s="33" cm="1">
        <f t="array" ref="K2:K122">_xll.FDS(K1,"FG_TOTAL_RETURNC(-10AY,0,AM)")/100</f>
        <v>5.4740190000000001E-2</v>
      </c>
      <c r="L2" s="33" cm="1">
        <f t="array" ref="L2:L122">_xll.FDS(L1,"FG_TOTAL_RETURNC(-10AY,0,AM)")/100</f>
        <v>3.6006092999999996E-2</v>
      </c>
      <c r="M2" s="33" cm="1">
        <f t="array" ref="M2:M122">_xll.FDS(M1,"FG_TOTAL_RETURNC(-10AY,0,AM)")/100</f>
        <v>0.10795652</v>
      </c>
      <c r="N2" s="33" cm="1">
        <f t="array" ref="N2:N122">_xll.FDS(N1,"FG_TOTAL_RETURNC(-10AY,0,AM)")/100</f>
        <v>0.10926258000000001</v>
      </c>
      <c r="O2" s="33" cm="1">
        <f t="array" ref="O2:O122">_xll.FDS(O1,"FG_TOTAL_RETURNC(-10AY,0,AM)")/100</f>
        <v>4.6075106000000005E-2</v>
      </c>
      <c r="P2" s="33" cm="1">
        <f t="array" ref="P2:P122">_xll.FDS(P1,"FG_TOTAL_RETURNC(-10AY,0,AM)")/100</f>
        <v>4.5685289999999996E-2</v>
      </c>
      <c r="Q2" s="33" t="e" cm="1">
        <f t="array" ref="Q2:Q122">_xll.FDS(Q1,"FG_TOTAL_RETURNC(-10AY,0,AM)")/100</f>
        <v>#N/A</v>
      </c>
      <c r="R2" s="33" cm="1">
        <f t="array" ref="R2:R122">_xll.FDS(R1,"FG_TOTAL_RETURNC(-10AY,0,AM)")/100</f>
        <v>5.4023979999999999E-2</v>
      </c>
      <c r="S2" s="33" cm="1">
        <f t="array" ref="S2:S122">_xll.FDS(S1,"FG_TOTAL_RETURNC(-10AY,0,AM)")/100</f>
        <v>1.5621305E-2</v>
      </c>
      <c r="T2" s="33" t="e" cm="1">
        <f t="array" ref="T2:T122">_xll.FDS(T1,"FG_TOTAL_RETURNC(-10AY,0,AM)")/100</f>
        <v>#N/A</v>
      </c>
      <c r="U2" s="33" cm="1">
        <f t="array" ref="U2:U122">_xll.FDS(U1,"FG_TOTAL_RETURNC(-10AY,0,AM)")/100</f>
        <v>1.8948316999999999E-2</v>
      </c>
      <c r="V2" s="33" t="e" cm="1">
        <f t="array" ref="V2:V122">_xll.FDS(V1,"FG_TOTAL_RETURNC(-10AY,0,AM)")/100</f>
        <v>#N/A</v>
      </c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</row>
    <row r="3" spans="1:38" x14ac:dyDescent="0.35">
      <c r="A3" s="2">
        <v>41733</v>
      </c>
      <c r="B3" s="33" t="e">
        <v>#N/A</v>
      </c>
      <c r="C3" s="33">
        <v>3.4317135999999998E-2</v>
      </c>
      <c r="D3" s="33">
        <v>9.1820959999999993E-2</v>
      </c>
      <c r="E3" s="33">
        <v>5.5555105000000002E-3</v>
      </c>
      <c r="F3" s="33">
        <v>0</v>
      </c>
      <c r="G3" s="33">
        <v>-4.2501092000000002E-3</v>
      </c>
      <c r="H3" s="33">
        <v>1.1695862E-2</v>
      </c>
      <c r="I3" s="33">
        <v>4.0801643999999998E-2</v>
      </c>
      <c r="J3" s="33">
        <v>6.4308047000000007E-2</v>
      </c>
      <c r="K3" s="33">
        <v>2.0301223E-2</v>
      </c>
      <c r="L3" s="33">
        <v>0.1375401</v>
      </c>
      <c r="M3" s="33">
        <v>3.3375502000000001E-2</v>
      </c>
      <c r="N3" s="33">
        <v>-2.0267545999999997E-2</v>
      </c>
      <c r="O3" s="33">
        <v>7.626426E-2</v>
      </c>
      <c r="P3" s="33">
        <v>-7.2814820000000006E-3</v>
      </c>
      <c r="Q3" s="33" t="e">
        <v>#N/A</v>
      </c>
      <c r="R3" s="33">
        <v>3.4321190000000001E-2</v>
      </c>
      <c r="S3" s="33">
        <v>0.19086455999999999</v>
      </c>
      <c r="T3" s="33" t="e">
        <v>#N/A</v>
      </c>
      <c r="U3" s="33">
        <v>1.3947486999999999E-3</v>
      </c>
      <c r="V3" s="33" t="e">
        <v>#N/A</v>
      </c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</row>
    <row r="4" spans="1:38" x14ac:dyDescent="0.35">
      <c r="A4" s="2">
        <v>41761</v>
      </c>
      <c r="B4" s="33" t="e">
        <v>#N/A</v>
      </c>
      <c r="C4" s="33">
        <v>2.8533578E-2</v>
      </c>
      <c r="D4" s="33">
        <v>-2.1201372E-2</v>
      </c>
      <c r="E4" s="33">
        <v>4.7106743E-2</v>
      </c>
      <c r="F4" s="33">
        <v>7.3751210000000001E-3</v>
      </c>
      <c r="G4" s="33">
        <v>5.0384999999999999E-2</v>
      </c>
      <c r="H4" s="33">
        <v>1.7341018E-2</v>
      </c>
      <c r="I4" s="33">
        <v>1.5818477000000001E-2</v>
      </c>
      <c r="J4" s="33">
        <v>2.9512644E-3</v>
      </c>
      <c r="K4" s="33">
        <v>5.9370995000000001E-3</v>
      </c>
      <c r="L4" s="33">
        <v>5.0487520000000001E-2</v>
      </c>
      <c r="M4" s="33">
        <v>3.7501812000000002E-2</v>
      </c>
      <c r="N4" s="33">
        <v>-5.3785743999999996E-2</v>
      </c>
      <c r="O4" s="33">
        <v>5.3050520000000002E-3</v>
      </c>
      <c r="P4" s="33">
        <v>-1.9337713999999999E-2</v>
      </c>
      <c r="Q4" s="33" t="e">
        <v>#N/A</v>
      </c>
      <c r="R4" s="33">
        <v>2.1170854999999999E-2</v>
      </c>
      <c r="S4" s="33">
        <v>5.6555866999999996E-2</v>
      </c>
      <c r="T4" s="33" t="e">
        <v>#N/A</v>
      </c>
      <c r="U4" s="33">
        <v>-7.7994465999999998E-2</v>
      </c>
      <c r="V4" s="33" t="e">
        <v>#N/A</v>
      </c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1:38" x14ac:dyDescent="0.35">
      <c r="A5" s="2">
        <v>41794</v>
      </c>
      <c r="B5" s="33" t="e">
        <v>#N/A</v>
      </c>
      <c r="C5" s="33">
        <v>9.8924636999999996E-3</v>
      </c>
      <c r="D5" s="33">
        <v>-1.6967534999999999E-2</v>
      </c>
      <c r="E5" s="33">
        <v>1.6939759000000002E-2</v>
      </c>
      <c r="F5" s="33">
        <v>7.9867840000000002E-3</v>
      </c>
      <c r="G5" s="33">
        <v>-3.0040145000000003E-3</v>
      </c>
      <c r="H5" s="33">
        <v>3.7878752000000001E-3</v>
      </c>
      <c r="I5" s="33">
        <v>2.5727750000000001E-2</v>
      </c>
      <c r="J5" s="33">
        <v>2.9270529999999999E-2</v>
      </c>
      <c r="K5" s="33">
        <v>3.2700539000000001E-2</v>
      </c>
      <c r="L5" s="33">
        <v>-5.3011537000000004E-2</v>
      </c>
      <c r="M5" s="33">
        <v>-1.5343785E-2</v>
      </c>
      <c r="N5" s="33">
        <v>1.8801928000000002E-2</v>
      </c>
      <c r="O5" s="33">
        <v>9.9886890000000006E-2</v>
      </c>
      <c r="P5" s="33">
        <v>4.8050879999999997E-2</v>
      </c>
      <c r="Q5" s="33">
        <v>4.2088270000000004E-2</v>
      </c>
      <c r="R5" s="33">
        <v>1.9641519E-2</v>
      </c>
      <c r="S5" s="33">
        <v>4.593444E-2</v>
      </c>
      <c r="T5" s="33">
        <v>1.0412216E-2</v>
      </c>
      <c r="U5" s="33">
        <v>9.5669029999999999E-3</v>
      </c>
      <c r="V5" s="33" t="e">
        <v>#N/A</v>
      </c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</row>
    <row r="6" spans="1:38" x14ac:dyDescent="0.35">
      <c r="A6" s="2">
        <v>41823</v>
      </c>
      <c r="B6" s="33" t="e">
        <v>#N/A</v>
      </c>
      <c r="C6" s="33">
        <v>-5.1116943000000005E-3</v>
      </c>
      <c r="D6" s="33">
        <v>-6.0584545000000002E-3</v>
      </c>
      <c r="E6" s="33">
        <v>3.4718156E-2</v>
      </c>
      <c r="F6" s="33">
        <v>-3.8567662000000003E-2</v>
      </c>
      <c r="G6" s="33">
        <v>7.8498600000000002E-2</v>
      </c>
      <c r="H6" s="33">
        <v>3.3163190000000002E-2</v>
      </c>
      <c r="I6" s="33">
        <v>7.1947216999999994E-2</v>
      </c>
      <c r="J6" s="33">
        <v>4.3863177000000003E-2</v>
      </c>
      <c r="K6" s="33">
        <v>1.8690109E-2</v>
      </c>
      <c r="L6" s="33">
        <v>6.2858579999999997E-2</v>
      </c>
      <c r="M6" s="33">
        <v>4.8365949999999998E-2</v>
      </c>
      <c r="N6" s="33">
        <v>6.4378977000000004E-3</v>
      </c>
      <c r="O6" s="33">
        <v>4.9966693E-2</v>
      </c>
      <c r="P6" s="33">
        <v>5.0376890000000001E-2</v>
      </c>
      <c r="Q6" s="33">
        <v>-8.5048559999999995E-2</v>
      </c>
      <c r="R6" s="33">
        <v>3.203392E-2</v>
      </c>
      <c r="S6" s="33">
        <v>-1.1333823E-2</v>
      </c>
      <c r="T6" s="33">
        <v>-0.1246829</v>
      </c>
      <c r="U6" s="33">
        <v>4.8877835000000001E-2</v>
      </c>
      <c r="V6" s="33" t="e">
        <v>#N/A</v>
      </c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1:38" x14ac:dyDescent="0.35">
      <c r="A7" s="2">
        <v>41855</v>
      </c>
      <c r="B7" s="33" t="e">
        <v>#N/A</v>
      </c>
      <c r="C7" s="33">
        <v>-3.4071267000000002E-2</v>
      </c>
      <c r="D7" s="33">
        <v>7.5831055999999994E-2</v>
      </c>
      <c r="E7" s="33">
        <v>8.5060595999999992E-3</v>
      </c>
      <c r="F7" s="33">
        <v>-9.3489884999999988E-3</v>
      </c>
      <c r="G7" s="33">
        <v>-1.1726141000000001E-2</v>
      </c>
      <c r="H7" s="33">
        <v>-9.282172E-3</v>
      </c>
      <c r="I7" s="33">
        <v>-1.8472909999999999E-2</v>
      </c>
      <c r="J7" s="33">
        <v>8.2429649999999997E-3</v>
      </c>
      <c r="K7" s="33">
        <v>1.000762E-2</v>
      </c>
      <c r="L7" s="33">
        <v>2.6546835999999997E-2</v>
      </c>
      <c r="M7" s="33">
        <v>2.7257085E-2</v>
      </c>
      <c r="N7" s="33">
        <v>-9.2110929999999994E-2</v>
      </c>
      <c r="O7" s="33">
        <v>-1.9633531999999999E-2</v>
      </c>
      <c r="P7" s="33">
        <v>5.5845976000000006E-2</v>
      </c>
      <c r="Q7" s="33">
        <v>6.6638349999999999E-2</v>
      </c>
      <c r="R7" s="33">
        <v>1.5743851999999999E-2</v>
      </c>
      <c r="S7" s="33">
        <v>5.3311466999999994E-2</v>
      </c>
      <c r="T7" s="33">
        <v>6.9103837000000001E-2</v>
      </c>
      <c r="U7" s="33">
        <v>1.521635E-2</v>
      </c>
      <c r="V7" s="33" t="e">
        <v>#N/A</v>
      </c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</row>
    <row r="8" spans="1:38" x14ac:dyDescent="0.35">
      <c r="A8" s="2">
        <v>41886</v>
      </c>
      <c r="B8" s="33" t="e">
        <v>#N/A</v>
      </c>
      <c r="C8" s="33">
        <v>-6.7400336000000005E-3</v>
      </c>
      <c r="D8" s="33">
        <v>2.7778150000000003E-3</v>
      </c>
      <c r="E8" s="33">
        <v>3.2683252999999995E-2</v>
      </c>
      <c r="F8" s="33">
        <v>7.3400736000000001E-3</v>
      </c>
      <c r="G8" s="33">
        <v>-3.6486983000000002E-3</v>
      </c>
      <c r="H8" s="33">
        <v>-6.2459707E-4</v>
      </c>
      <c r="I8" s="33">
        <v>3.1995058E-2</v>
      </c>
      <c r="J8" s="33">
        <v>3.8295983999999998E-2</v>
      </c>
      <c r="K8" s="33">
        <v>-2.0867705E-2</v>
      </c>
      <c r="L8" s="33">
        <v>8.1246139999999994E-2</v>
      </c>
      <c r="M8" s="33">
        <v>7.8618526000000001E-3</v>
      </c>
      <c r="N8" s="33">
        <v>-8.9243054000000006E-3</v>
      </c>
      <c r="O8" s="33">
        <v>5.3070784000000003E-2</v>
      </c>
      <c r="P8" s="33">
        <v>2.9516697000000001E-2</v>
      </c>
      <c r="Q8" s="33">
        <v>3.740549E-2</v>
      </c>
      <c r="R8" s="33">
        <v>3.9720178000000002E-2</v>
      </c>
      <c r="S8" s="33">
        <v>-1.9865215000000002E-2</v>
      </c>
      <c r="T8" s="33">
        <v>5.1709769999999995E-2</v>
      </c>
      <c r="U8" s="33">
        <v>9.9297410000000003E-2</v>
      </c>
      <c r="V8" s="33" t="e">
        <v>#N/A</v>
      </c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</row>
    <row r="9" spans="1:38" x14ac:dyDescent="0.35">
      <c r="A9" s="2">
        <v>41915</v>
      </c>
      <c r="B9" s="33" t="e">
        <v>#N/A</v>
      </c>
      <c r="C9" s="33">
        <v>-4.0714739999999999E-2</v>
      </c>
      <c r="D9" s="33">
        <v>-9.7645400000000007E-2</v>
      </c>
      <c r="E9" s="33">
        <v>-3.2669722999999998E-2</v>
      </c>
      <c r="F9" s="33">
        <v>-3.6432981000000003E-2</v>
      </c>
      <c r="G9" s="33">
        <v>-7.8436850000000002E-2</v>
      </c>
      <c r="H9" s="33">
        <v>-3.6249995E-2</v>
      </c>
      <c r="I9" s="33">
        <v>-5.1063894999999998E-2</v>
      </c>
      <c r="J9" s="33">
        <v>-6.3682849999999999E-2</v>
      </c>
      <c r="K9" s="33">
        <v>-9.7516119999999998E-2</v>
      </c>
      <c r="L9" s="33">
        <v>-0.18305080000000001</v>
      </c>
      <c r="M9" s="33">
        <v>-0.10767519</v>
      </c>
      <c r="N9" s="33">
        <v>-0.14691948999999999</v>
      </c>
      <c r="O9" s="33">
        <v>-3.8034855999999999E-2</v>
      </c>
      <c r="P9" s="33">
        <v>-9.3323119999999996E-2</v>
      </c>
      <c r="Q9" s="33">
        <v>2.6467204000000001E-2</v>
      </c>
      <c r="R9" s="33">
        <v>-5.9819820000000003E-3</v>
      </c>
      <c r="S9" s="33">
        <v>-0.14892494000000001</v>
      </c>
      <c r="T9" s="33">
        <v>-4.0840569999999993E-2</v>
      </c>
      <c r="U9" s="33">
        <v>-4.4311819999999995E-2</v>
      </c>
      <c r="V9" s="33" t="e">
        <v>#N/A</v>
      </c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</row>
    <row r="10" spans="1:38" x14ac:dyDescent="0.35">
      <c r="A10" s="2">
        <v>41947</v>
      </c>
      <c r="B10" s="33" t="e">
        <v>#N/A</v>
      </c>
      <c r="C10" s="33">
        <v>-2.1221638000000001E-3</v>
      </c>
      <c r="D10" s="33">
        <v>4.8349976999999995E-2</v>
      </c>
      <c r="E10" s="33">
        <v>5.0131079999999996E-3</v>
      </c>
      <c r="F10" s="33">
        <v>-1.2243449999999999E-2</v>
      </c>
      <c r="G10" s="33">
        <v>-8.4210039999999993E-3</v>
      </c>
      <c r="H10" s="33">
        <v>-1.9455253999999998E-2</v>
      </c>
      <c r="I10" s="33">
        <v>7.0468189999999993E-3</v>
      </c>
      <c r="J10" s="33">
        <v>4.426241E-4</v>
      </c>
      <c r="K10" s="33">
        <v>-2.5144397999999998E-2</v>
      </c>
      <c r="L10" s="33">
        <v>-2.2360563E-2</v>
      </c>
      <c r="M10" s="33">
        <v>7.0402740000000005E-2</v>
      </c>
      <c r="N10" s="33">
        <v>-0.10166669</v>
      </c>
      <c r="O10" s="33">
        <v>5.0082445000000003E-2</v>
      </c>
      <c r="P10" s="33">
        <v>4.202032E-2</v>
      </c>
      <c r="Q10" s="33">
        <v>-1.6816199E-2</v>
      </c>
      <c r="R10" s="33">
        <v>9.4696282999999996E-3</v>
      </c>
      <c r="S10" s="33">
        <v>0.11493062999999999</v>
      </c>
      <c r="T10" s="33">
        <v>-7.1103810000000003E-2</v>
      </c>
      <c r="U10" s="33">
        <v>-5.2608129999999996E-2</v>
      </c>
      <c r="V10" s="33" t="e">
        <v>#N/A</v>
      </c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</row>
    <row r="11" spans="1:38" x14ac:dyDescent="0.35">
      <c r="A11" s="2">
        <v>41977</v>
      </c>
      <c r="B11" s="33" t="e">
        <v>#N/A</v>
      </c>
      <c r="C11" s="33">
        <v>-2.8591633000000002E-2</v>
      </c>
      <c r="D11" s="33">
        <v>1.6105412999999999E-2</v>
      </c>
      <c r="E11" s="33">
        <v>2.1790384999999999E-2</v>
      </c>
      <c r="F11" s="33">
        <v>-1.0572374000000001E-2</v>
      </c>
      <c r="G11" s="33">
        <v>9.5379349999999991E-3</v>
      </c>
      <c r="H11" s="33">
        <v>-8.8624360000000013E-2</v>
      </c>
      <c r="I11" s="33">
        <v>0</v>
      </c>
      <c r="J11" s="33">
        <v>-8.6270450000000012E-2</v>
      </c>
      <c r="K11" s="33">
        <v>-8.0167650000000003E-3</v>
      </c>
      <c r="L11" s="33">
        <v>-7.7340245000000002E-2</v>
      </c>
      <c r="M11" s="33">
        <v>-2.6833832000000002E-2</v>
      </c>
      <c r="N11" s="33">
        <v>5.6895613999999997E-2</v>
      </c>
      <c r="O11" s="33">
        <v>6.9030523000000003E-3</v>
      </c>
      <c r="P11" s="33">
        <v>2.6476622000000002E-2</v>
      </c>
      <c r="Q11" s="33">
        <v>-7.8677296999999993E-2</v>
      </c>
      <c r="R11" s="33">
        <v>7.9550743E-3</v>
      </c>
      <c r="S11" s="33">
        <v>7.1136713000000004E-2</v>
      </c>
      <c r="T11" s="33">
        <v>-5.6519747000000002E-2</v>
      </c>
      <c r="U11" s="33">
        <v>-4.4705925000000007E-2</v>
      </c>
      <c r="V11" s="33" t="e">
        <v>#N/A</v>
      </c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1:38" x14ac:dyDescent="0.35">
      <c r="A12" s="2">
        <v>42006</v>
      </c>
      <c r="B12" s="33" t="e">
        <v>#N/A</v>
      </c>
      <c r="C12" s="33">
        <v>-3.9957166000000002E-2</v>
      </c>
      <c r="D12" s="33">
        <v>-3.2469153000000001E-2</v>
      </c>
      <c r="E12" s="33">
        <v>-1.8144011000000002E-2</v>
      </c>
      <c r="F12" s="33">
        <v>-0.10772162</v>
      </c>
      <c r="G12" s="33">
        <v>-3.6240458000000003E-2</v>
      </c>
      <c r="H12" s="33">
        <v>-2.4076462E-2</v>
      </c>
      <c r="I12" s="33">
        <v>-3.0803799999999999E-2</v>
      </c>
      <c r="J12" s="33">
        <v>-5.7444515000000002E-2</v>
      </c>
      <c r="K12" s="33">
        <v>-2.7286112000000001E-2</v>
      </c>
      <c r="L12" s="33">
        <v>-8.5551019999999992E-2</v>
      </c>
      <c r="M12" s="33">
        <v>-3.5823762000000002E-2</v>
      </c>
      <c r="N12" s="33">
        <v>-0.18843508</v>
      </c>
      <c r="O12" s="33">
        <v>-4.9330353999999993E-2</v>
      </c>
      <c r="P12" s="33">
        <v>6.4802169999999999E-3</v>
      </c>
      <c r="Q12" s="33">
        <v>-3.2590747000000003E-2</v>
      </c>
      <c r="R12" s="33">
        <v>-6.2643948000000005E-2</v>
      </c>
      <c r="S12" s="33">
        <v>-6.6759109999999997E-2</v>
      </c>
      <c r="T12" s="33">
        <v>-9.1356640000000003E-2</v>
      </c>
      <c r="U12" s="33">
        <v>-3.8743376999999996E-2</v>
      </c>
      <c r="V12" s="33" t="e">
        <v>#N/A</v>
      </c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</row>
    <row r="13" spans="1:38" x14ac:dyDescent="0.35">
      <c r="A13" s="2">
        <v>42039</v>
      </c>
      <c r="B13" s="33" t="e">
        <v>#N/A</v>
      </c>
      <c r="C13" s="33">
        <v>1.5225410000000001E-3</v>
      </c>
      <c r="D13" s="33">
        <v>2.8005958000000001E-2</v>
      </c>
      <c r="E13" s="33">
        <v>7.3733806999999998E-2</v>
      </c>
      <c r="F13" s="33">
        <v>-1.3941705E-2</v>
      </c>
      <c r="G13" s="33">
        <v>-4.3219566000000001E-2</v>
      </c>
      <c r="H13" s="33">
        <v>1.7463922999999999E-2</v>
      </c>
      <c r="I13" s="33">
        <v>5.3547499999999998E-2</v>
      </c>
      <c r="J13" s="33">
        <v>-6.3925980000000002E-3</v>
      </c>
      <c r="K13" s="33">
        <v>4.6792150000000005E-2</v>
      </c>
      <c r="L13" s="33">
        <v>-3.9592385000000001E-3</v>
      </c>
      <c r="M13" s="33">
        <v>8.896243999999999E-2</v>
      </c>
      <c r="N13" s="33">
        <v>-0.13391571999999999</v>
      </c>
      <c r="O13" s="33">
        <v>6.6140294000000002E-2</v>
      </c>
      <c r="P13" s="33">
        <v>3.9395212999999998E-2</v>
      </c>
      <c r="Q13" s="33">
        <v>2.0469069999999999E-2</v>
      </c>
      <c r="R13" s="33">
        <v>6.8199277000000003E-2</v>
      </c>
      <c r="S13" s="33">
        <v>-4.6265305999999999E-2</v>
      </c>
      <c r="T13" s="33">
        <v>1.0095715999999999E-2</v>
      </c>
      <c r="U13" s="33">
        <v>-3.5808325000000002E-2</v>
      </c>
      <c r="V13" s="33" t="e">
        <v>#N/A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</row>
    <row r="14" spans="1:38" x14ac:dyDescent="0.35">
      <c r="A14" s="2">
        <v>42067</v>
      </c>
      <c r="B14" s="33" t="e">
        <v>#N/A</v>
      </c>
      <c r="C14" s="33">
        <v>3.7496805000000001E-2</v>
      </c>
      <c r="D14" s="33">
        <v>-8.3546039999999998E-3</v>
      </c>
      <c r="E14" s="33">
        <v>2.6148676999999999E-2</v>
      </c>
      <c r="F14" s="33">
        <v>-2.5706887E-3</v>
      </c>
      <c r="G14" s="33">
        <v>-2.5204540000000001E-2</v>
      </c>
      <c r="H14" s="33">
        <v>-9.7014309999999999E-3</v>
      </c>
      <c r="I14" s="33">
        <v>8.8945629999999994E-3</v>
      </c>
      <c r="J14" s="33">
        <v>1.4606118E-2</v>
      </c>
      <c r="K14" s="33">
        <v>-4.0160418E-3</v>
      </c>
      <c r="L14" s="33">
        <v>-5.5650289999999998E-2</v>
      </c>
      <c r="M14" s="33">
        <v>-2.9207706E-2</v>
      </c>
      <c r="N14" s="33">
        <v>4.3697714999999998E-2</v>
      </c>
      <c r="O14" s="33">
        <v>2.9320835999999999E-2</v>
      </c>
      <c r="P14" s="33">
        <v>-1.4548301999999999E-2</v>
      </c>
      <c r="Q14" s="33">
        <v>-5.8652159999999995E-3</v>
      </c>
      <c r="R14" s="33">
        <v>-2.3109077999999998E-2</v>
      </c>
      <c r="S14" s="33">
        <v>-8.2602800000000004E-2</v>
      </c>
      <c r="T14" s="33">
        <v>1.5518187999999999E-2</v>
      </c>
      <c r="U14" s="33">
        <v>3.4407496000000003E-2</v>
      </c>
      <c r="V14" s="33" t="e">
        <v>#N/A</v>
      </c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</row>
    <row r="15" spans="1:38" x14ac:dyDescent="0.35">
      <c r="A15" s="2">
        <v>42096</v>
      </c>
      <c r="B15" s="33" t="e">
        <v>#N/A</v>
      </c>
      <c r="C15" s="33">
        <v>1.0012149999999999E-2</v>
      </c>
      <c r="D15" s="33">
        <v>1.2454270999999999E-2</v>
      </c>
      <c r="E15" s="33">
        <v>2.095735E-2</v>
      </c>
      <c r="F15" s="33">
        <v>2.4055004000000001E-2</v>
      </c>
      <c r="G15" s="33">
        <v>-1.5782416E-2</v>
      </c>
      <c r="H15" s="33">
        <v>2.0346641999999998E-2</v>
      </c>
      <c r="I15" s="33">
        <v>1.1964679000000001E-2</v>
      </c>
      <c r="J15" s="33">
        <v>2.4507284000000001E-2</v>
      </c>
      <c r="K15" s="33">
        <v>1.7005562999999998E-2</v>
      </c>
      <c r="L15" s="33">
        <v>-6.0123204999999996E-4</v>
      </c>
      <c r="M15" s="33">
        <v>3.1724690999999999E-2</v>
      </c>
      <c r="N15" s="33">
        <v>-0.10386490999999999</v>
      </c>
      <c r="O15" s="33">
        <v>-2.5487185000000002E-2</v>
      </c>
      <c r="P15" s="33">
        <v>8.9160799999999985E-2</v>
      </c>
      <c r="Q15" s="33">
        <v>-1.0383308000000001E-2</v>
      </c>
      <c r="R15" s="33">
        <v>-1.7141818999999999E-2</v>
      </c>
      <c r="S15" s="33">
        <v>4.2471886E-3</v>
      </c>
      <c r="T15" s="33">
        <v>-2.3604392999999998E-2</v>
      </c>
      <c r="U15" s="33">
        <v>-0.11985218</v>
      </c>
      <c r="V15" s="33" t="e">
        <v>#N/A</v>
      </c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</row>
    <row r="16" spans="1:38" x14ac:dyDescent="0.35">
      <c r="A16" s="2">
        <v>42128</v>
      </c>
      <c r="B16" s="33" t="e">
        <v>#N/A</v>
      </c>
      <c r="C16" s="33">
        <v>2.1518350000000002E-2</v>
      </c>
      <c r="D16" s="33">
        <v>-7.6700390000000007E-2</v>
      </c>
      <c r="E16" s="33">
        <v>-3.7322104000000002E-2</v>
      </c>
      <c r="F16" s="33">
        <v>8.3053699999999994E-2</v>
      </c>
      <c r="G16" s="33">
        <v>6.0388922999999997E-2</v>
      </c>
      <c r="H16" s="33">
        <v>1.3293981999999999E-2</v>
      </c>
      <c r="I16" s="33">
        <v>3.1113862999999999E-2</v>
      </c>
      <c r="J16" s="33">
        <v>-1.2713253000000001E-2</v>
      </c>
      <c r="K16" s="33">
        <v>6.3264965999999992E-2</v>
      </c>
      <c r="L16" s="33">
        <v>8.6943389999999995E-2</v>
      </c>
      <c r="M16" s="33">
        <v>7.6513290000000001E-3</v>
      </c>
      <c r="N16" s="33">
        <v>7.0080996000000007E-2</v>
      </c>
      <c r="O16" s="33">
        <v>-6.8923053999999997E-2</v>
      </c>
      <c r="P16" s="33">
        <v>0.13750672</v>
      </c>
      <c r="Q16" s="33">
        <v>3.0988454999999998E-2</v>
      </c>
      <c r="R16" s="33">
        <v>-6.0610174999999999E-3</v>
      </c>
      <c r="S16" s="33">
        <v>-1.1841834000000001E-2</v>
      </c>
      <c r="T16" s="33">
        <v>0.11034811</v>
      </c>
      <c r="U16" s="33">
        <v>4.4391154999999995E-2</v>
      </c>
      <c r="V16" s="33" t="e">
        <v>#N/A</v>
      </c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</row>
    <row r="17" spans="1:38" x14ac:dyDescent="0.35">
      <c r="A17" s="2">
        <v>42159</v>
      </c>
      <c r="B17" s="33" t="e">
        <v>#N/A</v>
      </c>
      <c r="C17" s="33">
        <v>-5.8461546999999996E-2</v>
      </c>
      <c r="D17" s="33">
        <v>-3.9576828000000001E-2</v>
      </c>
      <c r="E17" s="33">
        <v>-5.5972869999999994E-2</v>
      </c>
      <c r="F17" s="33">
        <v>-8.2881449999999995E-2</v>
      </c>
      <c r="G17" s="33">
        <v>-4.3422403000000005E-2</v>
      </c>
      <c r="H17" s="33">
        <v>-8.0903829999999996E-2</v>
      </c>
      <c r="I17" s="33">
        <v>-5.8539510000000003E-2</v>
      </c>
      <c r="J17" s="33">
        <v>-2.2365271999999999E-2</v>
      </c>
      <c r="K17" s="33">
        <v>-8.7062240000000013E-2</v>
      </c>
      <c r="L17" s="33">
        <v>-9.2443940000000002E-2</v>
      </c>
      <c r="M17" s="33">
        <v>-0.11489974999999999</v>
      </c>
      <c r="N17" s="33">
        <v>8.3962680000000001E-3</v>
      </c>
      <c r="O17" s="33">
        <v>-3.3046901000000004E-2</v>
      </c>
      <c r="P17" s="33">
        <v>-5.3778649999999997E-2</v>
      </c>
      <c r="Q17" s="33">
        <v>-3.9743602000000003E-2</v>
      </c>
      <c r="R17" s="33">
        <v>-2.3474813000000001E-2</v>
      </c>
      <c r="S17" s="33">
        <v>-6.6338779999999993E-3</v>
      </c>
      <c r="T17" s="33">
        <v>-2.4304329999999999E-2</v>
      </c>
      <c r="U17" s="33">
        <v>-4.5950412999999999E-3</v>
      </c>
      <c r="V17" s="33" t="e">
        <v>#N/A</v>
      </c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</row>
    <row r="18" spans="1:38" x14ac:dyDescent="0.35">
      <c r="A18" s="2">
        <v>42187</v>
      </c>
      <c r="B18" s="33" t="e">
        <v>#N/A</v>
      </c>
      <c r="C18" s="33">
        <v>-3.4244716000000001E-2</v>
      </c>
      <c r="D18" s="33">
        <v>-1.9070983E-2</v>
      </c>
      <c r="E18" s="33">
        <v>1.0654449999999999E-2</v>
      </c>
      <c r="F18" s="33">
        <v>-3.7578819999999999E-2</v>
      </c>
      <c r="G18" s="33">
        <v>-6.0975550000000002E-3</v>
      </c>
      <c r="H18" s="33">
        <v>-5.3927899999999997E-3</v>
      </c>
      <c r="I18" s="33">
        <v>2.4999976E-2</v>
      </c>
      <c r="J18" s="33">
        <v>6.4302680000000003E-3</v>
      </c>
      <c r="K18" s="33">
        <v>-9.5897910000000003E-3</v>
      </c>
      <c r="L18" s="33">
        <v>2.4648428E-2</v>
      </c>
      <c r="M18" s="33">
        <v>7.1732044000000009E-2</v>
      </c>
      <c r="N18" s="33">
        <v>-9.6586049999999993E-2</v>
      </c>
      <c r="O18" s="33">
        <v>5.7389735999999997E-2</v>
      </c>
      <c r="P18" s="33">
        <v>-6.7970157000000003E-2</v>
      </c>
      <c r="Q18" s="33">
        <v>1.2892842E-2</v>
      </c>
      <c r="R18" s="33">
        <v>-8.7869169999999993E-4</v>
      </c>
      <c r="S18" s="33">
        <v>-9.8323226000000003E-3</v>
      </c>
      <c r="T18" s="33">
        <v>1.2597084000000001E-2</v>
      </c>
      <c r="U18" s="33">
        <v>0.10386609999999999</v>
      </c>
      <c r="V18" s="33" t="e">
        <v>#N/A</v>
      </c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</row>
    <row r="19" spans="1:38" x14ac:dyDescent="0.35">
      <c r="A19" s="2">
        <v>42220</v>
      </c>
      <c r="B19" s="33" t="e">
        <v>#N/A</v>
      </c>
      <c r="C19" s="33">
        <v>-7.1843680000000007E-2</v>
      </c>
      <c r="D19" s="33">
        <v>-5.6890010000000005E-2</v>
      </c>
      <c r="E19" s="33">
        <v>-9.4509125000000003E-3</v>
      </c>
      <c r="F19" s="33">
        <v>-2.7445793E-2</v>
      </c>
      <c r="G19" s="33">
        <v>-0.10599863</v>
      </c>
      <c r="H19" s="33">
        <v>-4.1195510000000005E-2</v>
      </c>
      <c r="I19" s="33">
        <v>-0.10068792</v>
      </c>
      <c r="J19" s="33">
        <v>-2.1331966000000001E-2</v>
      </c>
      <c r="K19" s="33">
        <v>-8.7860879999999988E-2</v>
      </c>
      <c r="L19" s="33">
        <v>-0.15100061000000001</v>
      </c>
      <c r="M19" s="33">
        <v>-5.4379280000000002E-2</v>
      </c>
      <c r="N19" s="33">
        <v>-0.11244249000000001</v>
      </c>
      <c r="O19" s="33">
        <v>4.5440196999999996E-3</v>
      </c>
      <c r="P19" s="33">
        <v>-0.11083168</v>
      </c>
      <c r="Q19" s="33">
        <v>-3.0303597000000002E-2</v>
      </c>
      <c r="R19" s="33">
        <v>-3.8554192000000001E-2</v>
      </c>
      <c r="S19" s="33">
        <v>-7.5278400000000009E-2</v>
      </c>
      <c r="T19" s="33">
        <v>1.0934353000000001E-2</v>
      </c>
      <c r="U19" s="33">
        <v>-7.1615219999999993E-2</v>
      </c>
      <c r="V19" s="33" t="e">
        <v>#N/A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</row>
    <row r="20" spans="1:38" x14ac:dyDescent="0.35">
      <c r="A20" s="2">
        <v>42251</v>
      </c>
      <c r="B20" s="33" t="e">
        <v>#N/A</v>
      </c>
      <c r="C20" s="33">
        <v>-2.5042713000000001E-2</v>
      </c>
      <c r="D20" s="33">
        <v>-0.15147453</v>
      </c>
      <c r="E20" s="33">
        <v>-0.11603922000000001</v>
      </c>
      <c r="F20" s="33">
        <v>-3.7323594000000002E-2</v>
      </c>
      <c r="G20" s="33">
        <v>-0.14220357</v>
      </c>
      <c r="H20" s="33">
        <v>-0.18786854000000003</v>
      </c>
      <c r="I20" s="33">
        <v>-9.8748260000000004E-2</v>
      </c>
      <c r="J20" s="33">
        <v>-9.1795150000000006E-2</v>
      </c>
      <c r="K20" s="33">
        <v>-9.2195750000000007E-2</v>
      </c>
      <c r="L20" s="33">
        <v>-0.17500001999999998</v>
      </c>
      <c r="M20" s="33">
        <v>-0.14481317499999999</v>
      </c>
      <c r="N20" s="33">
        <v>-3.0114174E-2</v>
      </c>
      <c r="O20" s="33">
        <v>-0.13602591</v>
      </c>
      <c r="P20" s="33">
        <v>-0.15818184999999998</v>
      </c>
      <c r="Q20" s="33">
        <v>-5.3013143999999998E-2</v>
      </c>
      <c r="R20" s="33">
        <v>-4.2879285999999996E-2</v>
      </c>
      <c r="S20" s="33">
        <v>-0.14474958000000002</v>
      </c>
      <c r="T20" s="33">
        <v>-0.14306784</v>
      </c>
      <c r="U20" s="33">
        <v>-0.12781535999999999</v>
      </c>
      <c r="V20" s="33" t="e">
        <v>#N/A</v>
      </c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</row>
    <row r="21" spans="1:38" x14ac:dyDescent="0.35">
      <c r="A21" s="2">
        <v>42279</v>
      </c>
      <c r="B21" s="33" t="e">
        <v>#N/A</v>
      </c>
      <c r="C21" s="33">
        <v>-1.7221271999999999E-2</v>
      </c>
      <c r="D21" s="33">
        <v>-5.6872010000000001E-2</v>
      </c>
      <c r="E21" s="33">
        <v>1.8961549000000001E-2</v>
      </c>
      <c r="F21" s="33">
        <v>-5.6737064999999995E-3</v>
      </c>
      <c r="G21" s="33">
        <v>-3.1111240000000003E-3</v>
      </c>
      <c r="H21" s="33">
        <v>4.0456414000000003E-2</v>
      </c>
      <c r="I21" s="33">
        <v>4.8611164000000005E-2</v>
      </c>
      <c r="J21" s="33">
        <v>1.5804887E-2</v>
      </c>
      <c r="K21" s="33">
        <v>8.4235550000000006E-2</v>
      </c>
      <c r="L21" s="33">
        <v>-3.4632087E-3</v>
      </c>
      <c r="M21" s="33">
        <v>6.6302539999999993E-2</v>
      </c>
      <c r="N21" s="33">
        <v>2.0342587999999998E-2</v>
      </c>
      <c r="O21" s="33">
        <v>7.8908086000000002E-2</v>
      </c>
      <c r="P21" s="33">
        <v>0.10007202</v>
      </c>
      <c r="Q21" s="33">
        <v>4.2105316999999996E-2</v>
      </c>
      <c r="R21" s="33">
        <v>-1.7800510000000002E-2</v>
      </c>
      <c r="S21" s="33">
        <v>6.5615415999999996E-2</v>
      </c>
      <c r="T21" s="33">
        <v>2.1227717E-2</v>
      </c>
      <c r="U21" s="33">
        <v>2.1304010999999998E-2</v>
      </c>
      <c r="V21" s="33" t="e">
        <v>#N/A</v>
      </c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</row>
    <row r="22" spans="1:38" x14ac:dyDescent="0.35">
      <c r="A22" s="2">
        <v>42312</v>
      </c>
      <c r="B22" s="33" t="e">
        <v>#N/A</v>
      </c>
      <c r="C22" s="33">
        <v>4.7817109999999996E-2</v>
      </c>
      <c r="D22" s="33">
        <v>0.18816303000000001</v>
      </c>
      <c r="E22" s="33">
        <v>1.8036126999999999E-2</v>
      </c>
      <c r="F22" s="33">
        <v>-3.5187839999999998E-2</v>
      </c>
      <c r="G22" s="33">
        <v>2.7115225999999999E-2</v>
      </c>
      <c r="H22" s="33">
        <v>4.0877340000000005E-2</v>
      </c>
      <c r="I22" s="33">
        <v>7.1376084999999992E-2</v>
      </c>
      <c r="J22" s="33">
        <v>6.9919349999999991E-2</v>
      </c>
      <c r="K22" s="33">
        <v>0.10425413</v>
      </c>
      <c r="L22" s="33">
        <v>4.7784566999999993E-2</v>
      </c>
      <c r="M22" s="33">
        <v>1.254189E-2</v>
      </c>
      <c r="N22" s="33">
        <v>8.604407E-2</v>
      </c>
      <c r="O22" s="33">
        <v>-1.59446E-2</v>
      </c>
      <c r="P22" s="33">
        <v>5.4755690000000003E-2</v>
      </c>
      <c r="Q22" s="33">
        <v>-1.6299426999999998E-2</v>
      </c>
      <c r="R22" s="33">
        <v>5.7243704999999999E-2</v>
      </c>
      <c r="S22" s="33">
        <v>0.12975681</v>
      </c>
      <c r="T22" s="33">
        <v>-6.9101095000000001E-2</v>
      </c>
      <c r="U22" s="33">
        <v>9.4816680000000014E-2</v>
      </c>
      <c r="V22" s="33">
        <v>-4.4593572999999997E-2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</row>
    <row r="23" spans="1:38" x14ac:dyDescent="0.35">
      <c r="A23" s="2">
        <v>42342</v>
      </c>
      <c r="B23" s="33" t="e">
        <v>#N/A</v>
      </c>
      <c r="C23" s="33">
        <v>-8.7868450000000001E-2</v>
      </c>
      <c r="D23" s="33">
        <v>-9.3985200000000005E-3</v>
      </c>
      <c r="E23" s="33">
        <v>-2.2216021999999998E-2</v>
      </c>
      <c r="F23" s="33">
        <v>-9.5613589999999998E-2</v>
      </c>
      <c r="G23" s="33">
        <v>-5.8937016000000002E-2</v>
      </c>
      <c r="H23" s="33">
        <v>3.7356376999999996E-2</v>
      </c>
      <c r="I23" s="33">
        <v>-5.769229E-2</v>
      </c>
      <c r="J23" s="33">
        <v>-5.2064657E-2</v>
      </c>
      <c r="K23" s="33">
        <v>-5.4078519999999998E-2</v>
      </c>
      <c r="L23" s="33">
        <v>-2.6534019999999998E-2</v>
      </c>
      <c r="M23" s="33">
        <v>-0.11304956000000001</v>
      </c>
      <c r="N23" s="33">
        <v>-0.17198073999999999</v>
      </c>
      <c r="O23" s="33">
        <v>-4.7199726000000004E-2</v>
      </c>
      <c r="P23" s="33">
        <v>-3.3092021999999999E-2</v>
      </c>
      <c r="Q23" s="33">
        <v>-9.3582209999999999E-2</v>
      </c>
      <c r="R23" s="33">
        <v>-6.3122689999999995E-2</v>
      </c>
      <c r="S23" s="33">
        <v>-0.108070135</v>
      </c>
      <c r="T23" s="33">
        <v>-4.4659020000000001E-2</v>
      </c>
      <c r="U23" s="33">
        <v>-9.4688180000000011E-2</v>
      </c>
      <c r="V23" s="33">
        <v>4.7872779999999997E-2</v>
      </c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</row>
    <row r="24" spans="1:38" x14ac:dyDescent="0.35">
      <c r="A24" s="2">
        <v>42373</v>
      </c>
      <c r="B24" s="33" t="e">
        <v>#N/A</v>
      </c>
      <c r="C24" s="33">
        <v>-1.5461325999999999E-2</v>
      </c>
      <c r="D24" s="33">
        <v>-2.3289799999999999E-2</v>
      </c>
      <c r="E24" s="33">
        <v>-3.6499321000000001E-2</v>
      </c>
      <c r="F24" s="33">
        <v>-3.0614971999999997E-2</v>
      </c>
      <c r="G24" s="33">
        <v>-6.7113519999999996E-2</v>
      </c>
      <c r="H24" s="33">
        <v>-5.6797210000000001E-2</v>
      </c>
      <c r="I24" s="33">
        <v>-6.9795426999999993E-2</v>
      </c>
      <c r="J24" s="33">
        <v>-5.6898236000000005E-2</v>
      </c>
      <c r="K24" s="33">
        <v>-5.0461650000000004E-2</v>
      </c>
      <c r="L24" s="33">
        <v>-0.14123994000000001</v>
      </c>
      <c r="M24" s="33">
        <v>-8.6926039999999996E-2</v>
      </c>
      <c r="N24" s="33">
        <v>-4.5513749999999999E-2</v>
      </c>
      <c r="O24" s="33">
        <v>2.4853944999999999E-3</v>
      </c>
      <c r="P24" s="33">
        <v>-6.5840599999999999E-2</v>
      </c>
      <c r="Q24" s="33">
        <v>-5.6042790000000002E-2</v>
      </c>
      <c r="R24" s="33">
        <v>-5.2610580000000004E-2</v>
      </c>
      <c r="S24" s="33">
        <v>-7.3428449999999992E-2</v>
      </c>
      <c r="T24" s="33">
        <v>-2.4988651000000001E-2</v>
      </c>
      <c r="U24" s="33">
        <v>-8.8596939999999996E-3</v>
      </c>
      <c r="V24" s="33">
        <v>-7.2147309999999992E-2</v>
      </c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</row>
    <row r="25" spans="1:38" x14ac:dyDescent="0.35">
      <c r="A25" s="2">
        <v>42404</v>
      </c>
      <c r="B25" s="33" t="e">
        <v>#N/A</v>
      </c>
      <c r="C25" s="33">
        <v>4.4979452999999996E-2</v>
      </c>
      <c r="D25" s="33">
        <v>5.8394193999999996E-2</v>
      </c>
      <c r="E25" s="33">
        <v>-3.4451783E-2</v>
      </c>
      <c r="F25" s="33">
        <v>-1.3675212999999999E-2</v>
      </c>
      <c r="G25" s="33">
        <v>-2.9910206999999999E-3</v>
      </c>
      <c r="H25" s="33">
        <v>6.6755651999999999E-2</v>
      </c>
      <c r="I25" s="33">
        <v>1.6559005000000002E-2</v>
      </c>
      <c r="J25" s="33">
        <v>-1.5691876E-2</v>
      </c>
      <c r="K25" s="33">
        <v>-7.8333615999999998E-3</v>
      </c>
      <c r="L25" s="33">
        <v>3.0591726E-2</v>
      </c>
      <c r="M25" s="33">
        <v>-1.0304809E-2</v>
      </c>
      <c r="N25" s="33">
        <v>-0.17990075999999999</v>
      </c>
      <c r="O25" s="33">
        <v>-5.3491829999999997E-2</v>
      </c>
      <c r="P25" s="33">
        <v>-0.123752</v>
      </c>
      <c r="Q25" s="33">
        <v>-9.2794894999999999E-3</v>
      </c>
      <c r="R25" s="33">
        <v>2.6673794000000001E-2</v>
      </c>
      <c r="S25" s="33">
        <v>6.653452E-2</v>
      </c>
      <c r="T25" s="33">
        <v>-1.844722E-2</v>
      </c>
      <c r="U25" s="33">
        <v>-8.8844360000000011E-2</v>
      </c>
      <c r="V25" s="33">
        <v>-0.10858482</v>
      </c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</row>
    <row r="26" spans="1:38" x14ac:dyDescent="0.35">
      <c r="A26" s="2">
        <v>42433</v>
      </c>
      <c r="B26" s="33" t="e">
        <v>#N/A</v>
      </c>
      <c r="C26" s="33">
        <v>7.3052406E-2</v>
      </c>
      <c r="D26" s="33">
        <v>9.5172409999999999E-2</v>
      </c>
      <c r="E26" s="33">
        <v>6.4846396000000001E-2</v>
      </c>
      <c r="F26" s="33">
        <v>5.3726196000000004E-2</v>
      </c>
      <c r="G26" s="33">
        <v>0.20699999999999999</v>
      </c>
      <c r="H26" s="33">
        <v>4.7559500000000005E-2</v>
      </c>
      <c r="I26" s="33">
        <v>7.7473163999999997E-2</v>
      </c>
      <c r="J26" s="33">
        <v>5.5693625999999996E-2</v>
      </c>
      <c r="K26" s="33">
        <v>3.3451080000000001E-2</v>
      </c>
      <c r="L26" s="33">
        <v>0.21605837</v>
      </c>
      <c r="M26" s="33">
        <v>0.10035443000000001</v>
      </c>
      <c r="N26" s="33">
        <v>7.7155829999999995E-2</v>
      </c>
      <c r="O26" s="33">
        <v>3.0219792999999998E-2</v>
      </c>
      <c r="P26" s="33">
        <v>9.7244259999999999E-2</v>
      </c>
      <c r="Q26" s="33">
        <v>5.5096390000000002E-2</v>
      </c>
      <c r="R26" s="33">
        <v>6.3541292999999999E-2</v>
      </c>
      <c r="S26" s="33">
        <v>5.5747390000000001E-2</v>
      </c>
      <c r="T26" s="33">
        <v>8.6149690000000001E-2</v>
      </c>
      <c r="U26" s="33">
        <v>6.9648027000000001E-2</v>
      </c>
      <c r="V26" s="33">
        <v>7.485103600000001E-2</v>
      </c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</row>
    <row r="27" spans="1:38" x14ac:dyDescent="0.35">
      <c r="A27" s="2">
        <v>42464</v>
      </c>
      <c r="B27" s="33" t="e">
        <v>#N/A</v>
      </c>
      <c r="C27" s="33">
        <v>4.0112969999999998E-2</v>
      </c>
      <c r="D27" s="33">
        <v>-7.1368814000000004E-3</v>
      </c>
      <c r="E27" s="33">
        <v>5.2447556999999999E-2</v>
      </c>
      <c r="F27" s="33">
        <v>0.10361838000000001</v>
      </c>
      <c r="G27" s="33">
        <v>5.7166575999999997E-2</v>
      </c>
      <c r="H27" s="33">
        <v>5.3763389999999994E-2</v>
      </c>
      <c r="I27" s="33">
        <v>7.3746440000000005E-3</v>
      </c>
      <c r="J27" s="33">
        <v>3.8635015000000002E-2</v>
      </c>
      <c r="K27" s="33">
        <v>3.9203763000000003E-2</v>
      </c>
      <c r="L27" s="33">
        <v>2.2408961999999998E-2</v>
      </c>
      <c r="M27" s="33">
        <v>5.8586717000000003E-2</v>
      </c>
      <c r="N27" s="33">
        <v>2.2471905E-2</v>
      </c>
      <c r="O27" s="33">
        <v>2.7428507999999997E-2</v>
      </c>
      <c r="P27" s="33">
        <v>1.1108397999999998E-2</v>
      </c>
      <c r="Q27" s="33">
        <v>2.1148920000000002E-2</v>
      </c>
      <c r="R27" s="33">
        <v>1.503408E-2</v>
      </c>
      <c r="S27" s="33">
        <v>0.11088764</v>
      </c>
      <c r="T27" s="33">
        <v>1.6577124999999998E-2</v>
      </c>
      <c r="U27" s="33">
        <v>-5.962986E-2</v>
      </c>
      <c r="V27" s="33">
        <v>-3.6593497000000003E-2</v>
      </c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</row>
    <row r="28" spans="1:38" x14ac:dyDescent="0.35">
      <c r="A28" s="2">
        <v>42494</v>
      </c>
      <c r="B28" s="33" t="e">
        <v>#N/A</v>
      </c>
      <c r="C28" s="33">
        <v>1.0320544000000001E-2</v>
      </c>
      <c r="D28" s="33">
        <v>-5.4545402999999999E-2</v>
      </c>
      <c r="E28" s="33">
        <v>-5.5924709999999996E-2</v>
      </c>
      <c r="F28" s="33">
        <v>-8.7431610000000007E-2</v>
      </c>
      <c r="G28" s="33">
        <v>0.14615989000000001</v>
      </c>
      <c r="H28" s="33">
        <v>-6.9160940000000004E-2</v>
      </c>
      <c r="I28" s="33">
        <v>-7.3938550000000006E-2</v>
      </c>
      <c r="J28" s="33">
        <v>-2.4358034000000001E-2</v>
      </c>
      <c r="K28" s="33">
        <v>-2.2247970000000002E-2</v>
      </c>
      <c r="L28" s="33">
        <v>0.10097849</v>
      </c>
      <c r="M28" s="33">
        <v>-4.6595693000000001E-2</v>
      </c>
      <c r="N28" s="33">
        <v>7.1428656999999993E-2</v>
      </c>
      <c r="O28" s="33">
        <v>-2.0393013999999998E-2</v>
      </c>
      <c r="P28" s="33">
        <v>-2.8421283000000002E-2</v>
      </c>
      <c r="Q28" s="33">
        <v>-3.8609087E-2</v>
      </c>
      <c r="R28" s="33">
        <v>-6.8344473999999997E-3</v>
      </c>
      <c r="S28" s="33">
        <v>-0.10932552</v>
      </c>
      <c r="T28" s="33">
        <v>2.2988320000000002E-3</v>
      </c>
      <c r="U28" s="33">
        <v>2.915454E-2</v>
      </c>
      <c r="V28" s="33">
        <v>8.0801120000000004E-2</v>
      </c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</row>
    <row r="29" spans="1:38" x14ac:dyDescent="0.35">
      <c r="A29" s="2">
        <v>42524</v>
      </c>
      <c r="B29" s="33" t="e">
        <v>#N/A</v>
      </c>
      <c r="C29" s="33">
        <v>-3.1720459999999999E-2</v>
      </c>
      <c r="D29" s="33">
        <v>3.0411482E-2</v>
      </c>
      <c r="E29" s="33">
        <v>0.12873912000000001</v>
      </c>
      <c r="F29" s="33">
        <v>-3.5928250000000002E-2</v>
      </c>
      <c r="G29" s="33">
        <v>4.4444440000000002E-2</v>
      </c>
      <c r="H29" s="33">
        <v>-1.4616311E-2</v>
      </c>
      <c r="I29" s="33">
        <v>8.1422919999999996E-2</v>
      </c>
      <c r="J29" s="33">
        <v>-3.5804093000000002E-2</v>
      </c>
      <c r="K29" s="33">
        <v>1.8203377999999999E-2</v>
      </c>
      <c r="L29" s="33">
        <v>-3.0927777E-2</v>
      </c>
      <c r="M29" s="33">
        <v>8.0989359999999996E-2</v>
      </c>
      <c r="N29" s="33">
        <v>0.10897422000000001</v>
      </c>
      <c r="O29" s="33">
        <v>6.5859199999999993E-2</v>
      </c>
      <c r="P29" s="33">
        <v>3.5398245000000002E-2</v>
      </c>
      <c r="Q29" s="33">
        <v>-3.1914829999999998E-2</v>
      </c>
      <c r="R29" s="33">
        <v>3.2882809999999998E-2</v>
      </c>
      <c r="S29" s="33">
        <v>3.9135932999999998E-2</v>
      </c>
      <c r="T29" s="33">
        <v>-2.6646792999999998E-2</v>
      </c>
      <c r="U29" s="33">
        <v>4.5325756000000002E-2</v>
      </c>
      <c r="V29" s="33">
        <v>1.1714578E-2</v>
      </c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</row>
    <row r="30" spans="1:38" x14ac:dyDescent="0.35">
      <c r="A30" s="2">
        <v>42552</v>
      </c>
      <c r="B30" s="33" t="e">
        <v>#N/A</v>
      </c>
      <c r="C30" s="33">
        <v>5.0339700000000001E-2</v>
      </c>
      <c r="D30" s="33">
        <v>7.2662950000000004E-2</v>
      </c>
      <c r="E30" s="33">
        <v>2.7446031999999999E-2</v>
      </c>
      <c r="F30" s="33">
        <v>-4.9689110000000002E-2</v>
      </c>
      <c r="G30" s="33">
        <v>2.2058964E-2</v>
      </c>
      <c r="H30" s="33">
        <v>3.6755561999999999E-2</v>
      </c>
      <c r="I30" s="33">
        <v>3.8742660999999998E-2</v>
      </c>
      <c r="J30" s="33">
        <v>2.5695085999999999E-2</v>
      </c>
      <c r="K30" s="33">
        <v>2.6622653E-2</v>
      </c>
      <c r="L30" s="33">
        <v>0.12830758</v>
      </c>
      <c r="M30" s="33">
        <v>9.4413759999999996E-3</v>
      </c>
      <c r="N30" s="33">
        <v>-0.18616181999999998</v>
      </c>
      <c r="O30" s="33">
        <v>1.0428071000000001E-2</v>
      </c>
      <c r="P30" s="33">
        <v>2.1152258E-2</v>
      </c>
      <c r="Q30" s="33">
        <v>2.790463E-2</v>
      </c>
      <c r="R30" s="33">
        <v>1.2621522000000001E-2</v>
      </c>
      <c r="S30" s="33">
        <v>-5.8290960000000006E-3</v>
      </c>
      <c r="T30" s="33">
        <v>6.2384605000000003E-2</v>
      </c>
      <c r="U30" s="33">
        <v>-7.452607E-3</v>
      </c>
      <c r="V30" s="33">
        <v>-4.3005346999999998E-3</v>
      </c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</row>
    <row r="31" spans="1:38" x14ac:dyDescent="0.35">
      <c r="A31" s="2">
        <v>42586</v>
      </c>
      <c r="B31" s="33">
        <v>3.1409263999999999E-2</v>
      </c>
      <c r="C31" s="33">
        <v>2.9079199999999999E-2</v>
      </c>
      <c r="D31" s="33">
        <v>7.8527570000000005E-2</v>
      </c>
      <c r="E31" s="33">
        <v>2.4108887000000002E-3</v>
      </c>
      <c r="F31" s="33">
        <v>8.9338890000000004E-2</v>
      </c>
      <c r="G31" s="33">
        <v>0.12439573</v>
      </c>
      <c r="H31" s="33">
        <v>-9.6618533000000003E-3</v>
      </c>
      <c r="I31" s="33">
        <v>6.6854360000000002E-2</v>
      </c>
      <c r="J31" s="33">
        <v>-1.7818212999999999E-2</v>
      </c>
      <c r="K31" s="33">
        <v>4.3535830000000005E-2</v>
      </c>
      <c r="L31" s="33">
        <v>0.10579753</v>
      </c>
      <c r="M31" s="33">
        <v>8.9093920000000007E-2</v>
      </c>
      <c r="N31" s="33">
        <v>1.5668273E-2</v>
      </c>
      <c r="O31" s="33">
        <v>3.4653425000000002E-2</v>
      </c>
      <c r="P31" s="33">
        <v>3.1615852999999999E-2</v>
      </c>
      <c r="Q31" s="33">
        <v>8.4534280000000003E-2</v>
      </c>
      <c r="R31" s="33">
        <v>3.6691545999999998E-2</v>
      </c>
      <c r="S31" s="33">
        <v>-5.5080470000000006E-2</v>
      </c>
      <c r="T31" s="33">
        <v>2.824521E-2</v>
      </c>
      <c r="U31" s="33">
        <v>-1.1604129999999999E-2</v>
      </c>
      <c r="V31" s="33">
        <v>-4.2273100000000001E-2</v>
      </c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</row>
    <row r="32" spans="1:38" x14ac:dyDescent="0.35">
      <c r="A32" s="2">
        <v>42615</v>
      </c>
      <c r="B32" s="33">
        <v>1.8950939E-2</v>
      </c>
      <c r="C32" s="33">
        <v>-1.962322E-2</v>
      </c>
      <c r="D32" s="33">
        <v>-2.0098626999999997E-2</v>
      </c>
      <c r="E32" s="33">
        <v>-1.7721653000000001E-3</v>
      </c>
      <c r="F32" s="33">
        <v>-1.9682944000000001E-2</v>
      </c>
      <c r="G32" s="33">
        <v>-3.4967064999999999E-2</v>
      </c>
      <c r="H32" s="33">
        <v>4.8780440000000007E-3</v>
      </c>
      <c r="I32" s="33">
        <v>6.5963269999999999E-3</v>
      </c>
      <c r="J32" s="33">
        <v>3.7693976999999997E-2</v>
      </c>
      <c r="K32" s="33">
        <v>3.7547588E-2</v>
      </c>
      <c r="L32" s="33">
        <v>1.8957496000000001E-2</v>
      </c>
      <c r="M32" s="33">
        <v>-4.9463869999999993E-2</v>
      </c>
      <c r="N32" s="33">
        <v>6.5734266999999999E-2</v>
      </c>
      <c r="O32" s="33">
        <v>3.0416965000000001E-2</v>
      </c>
      <c r="P32" s="33">
        <v>8.7854749999999995E-2</v>
      </c>
      <c r="Q32" s="33">
        <v>2.1211266999999999E-2</v>
      </c>
      <c r="R32" s="33">
        <v>8.9857579999999999E-3</v>
      </c>
      <c r="S32" s="33">
        <v>3.4069657000000003E-2</v>
      </c>
      <c r="T32" s="33">
        <v>-2.6300550000000001E-3</v>
      </c>
      <c r="U32" s="33">
        <v>3.3149242000000002E-2</v>
      </c>
      <c r="V32" s="33">
        <v>-2.2191345999999997E-2</v>
      </c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</row>
    <row r="33" spans="1:38" x14ac:dyDescent="0.35">
      <c r="A33" s="2">
        <v>42647</v>
      </c>
      <c r="B33" s="33">
        <v>-1.1363626E-2</v>
      </c>
      <c r="C33" s="33">
        <v>-1.4144718999999998E-2</v>
      </c>
      <c r="D33" s="33">
        <v>2.1284819E-2</v>
      </c>
      <c r="E33" s="33">
        <v>-6.3910723000000003E-2</v>
      </c>
      <c r="F33" s="33">
        <v>1.6731739000000002E-2</v>
      </c>
      <c r="G33" s="33">
        <v>-3.9501011000000003E-2</v>
      </c>
      <c r="H33" s="33">
        <v>-2.6698947000000001E-2</v>
      </c>
      <c r="I33" s="33">
        <v>2.0969867999999999E-2</v>
      </c>
      <c r="J33" s="33">
        <v>-4.0404023999999997E-2</v>
      </c>
      <c r="K33" s="33">
        <v>-4.8951506999999998E-3</v>
      </c>
      <c r="L33" s="33">
        <v>-1.0465145E-2</v>
      </c>
      <c r="M33" s="33">
        <v>-2.0014644000000002E-3</v>
      </c>
      <c r="N33" s="33">
        <v>-5.3805829999999999E-2</v>
      </c>
      <c r="O33" s="33">
        <v>-1.1276960000000001E-2</v>
      </c>
      <c r="P33" s="33">
        <v>1.0851383000000001E-2</v>
      </c>
      <c r="Q33" s="33">
        <v>-3.5034955E-2</v>
      </c>
      <c r="R33" s="33">
        <v>-7.6898336000000003E-3</v>
      </c>
      <c r="S33" s="33">
        <v>-4.6332000000000005E-2</v>
      </c>
      <c r="T33" s="33">
        <v>-2.2267877999999998E-2</v>
      </c>
      <c r="U33" s="33">
        <v>-6.0160756000000003E-3</v>
      </c>
      <c r="V33" s="33">
        <v>-7.0613804000000002E-2</v>
      </c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</row>
    <row r="34" spans="1:38" x14ac:dyDescent="0.35">
      <c r="A34" s="2">
        <v>42678</v>
      </c>
      <c r="B34" s="33">
        <v>1.1877417999999999E-2</v>
      </c>
      <c r="C34" s="33">
        <v>4.926908E-2</v>
      </c>
      <c r="D34" s="33">
        <v>-3.5619497E-2</v>
      </c>
      <c r="E34" s="33">
        <v>-6.4752099999999993E-2</v>
      </c>
      <c r="F34" s="33">
        <v>-1.1519432000000001E-2</v>
      </c>
      <c r="G34" s="33">
        <v>8.9702606000000001E-3</v>
      </c>
      <c r="H34" s="33">
        <v>-2.3690820000000001E-2</v>
      </c>
      <c r="I34" s="33">
        <v>-1.7329872E-2</v>
      </c>
      <c r="J34" s="33">
        <v>-1.0122061000000001E-3</v>
      </c>
      <c r="K34" s="33">
        <v>-4.4623969999999999E-2</v>
      </c>
      <c r="L34" s="33">
        <v>3.8777947E-2</v>
      </c>
      <c r="M34" s="33">
        <v>-4.1385529999999997E-2</v>
      </c>
      <c r="N34" s="33">
        <v>-9.7087026000000007E-3</v>
      </c>
      <c r="O34" s="33">
        <v>-5.8034179999999998E-2</v>
      </c>
      <c r="P34" s="33">
        <v>-5.3468227E-2</v>
      </c>
      <c r="Q34" s="33">
        <v>-4.5643209999999997E-2</v>
      </c>
      <c r="R34" s="33">
        <v>-1.5949367999999998E-2</v>
      </c>
      <c r="S34" s="33">
        <v>-6.261807400000001E-2</v>
      </c>
      <c r="T34" s="33">
        <v>-4.4051530000000005E-2</v>
      </c>
      <c r="U34" s="33">
        <v>-5.5817069999999996E-2</v>
      </c>
      <c r="V34" s="33">
        <v>9.1371300000000003E-2</v>
      </c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</row>
    <row r="35" spans="1:38" x14ac:dyDescent="0.35">
      <c r="A35" s="2">
        <v>42706</v>
      </c>
      <c r="B35" s="33">
        <v>3.8621783E-2</v>
      </c>
      <c r="C35" s="33">
        <v>-2.7347744E-2</v>
      </c>
      <c r="D35" s="33">
        <v>-6.0903788E-2</v>
      </c>
      <c r="E35" s="33">
        <v>-5.793744E-2</v>
      </c>
      <c r="F35" s="33">
        <v>-5.3829136E-2</v>
      </c>
      <c r="G35" s="33">
        <v>-2.7612448000000002E-3</v>
      </c>
      <c r="H35" s="33">
        <v>-6.1621959999999996E-2</v>
      </c>
      <c r="I35" s="33">
        <v>-3.9190053999999998E-3</v>
      </c>
      <c r="J35" s="33">
        <v>-0.12421476000000001</v>
      </c>
      <c r="K35" s="33">
        <v>-2.0044148000000001E-2</v>
      </c>
      <c r="L35" s="33">
        <v>-0.10407239</v>
      </c>
      <c r="M35" s="33">
        <v>-4.4503630000000002E-2</v>
      </c>
      <c r="N35" s="33">
        <v>0.10504198000000001</v>
      </c>
      <c r="O35" s="33">
        <v>-5.4843244999999999E-2</v>
      </c>
      <c r="P35" s="33">
        <v>8.7237359999999995E-4</v>
      </c>
      <c r="Q35" s="33">
        <v>-1.7391264E-2</v>
      </c>
      <c r="R35" s="33">
        <v>1.0742426000000001E-2</v>
      </c>
      <c r="S35" s="33">
        <v>-0.11315865</v>
      </c>
      <c r="T35" s="33">
        <v>7.2727202999999995E-3</v>
      </c>
      <c r="U35" s="33">
        <v>-5.3418818000000007E-2</v>
      </c>
      <c r="V35" s="33">
        <v>0.1754868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</row>
    <row r="36" spans="1:38" x14ac:dyDescent="0.35">
      <c r="A36" s="2">
        <v>42739</v>
      </c>
      <c r="B36" s="33">
        <v>-7.3518752999999992E-2</v>
      </c>
      <c r="C36" s="33">
        <v>-1.0479570000000001E-2</v>
      </c>
      <c r="D36" s="33">
        <v>2.5819063E-2</v>
      </c>
      <c r="E36" s="33">
        <v>3.4001112E-2</v>
      </c>
      <c r="F36" s="33">
        <v>0.11396456000000001</v>
      </c>
      <c r="G36" s="33">
        <v>3.5471678E-2</v>
      </c>
      <c r="H36" s="33">
        <v>6.1507224999999997E-3</v>
      </c>
      <c r="I36" s="33">
        <v>2.2661685999999999E-4</v>
      </c>
      <c r="J36" s="33">
        <v>1.7764568000000001E-3</v>
      </c>
      <c r="K36" s="33">
        <v>3.3178925999999997E-2</v>
      </c>
      <c r="L36" s="33">
        <v>0.11268198</v>
      </c>
      <c r="M36" s="33">
        <v>7.6427220000000004E-2</v>
      </c>
      <c r="N36" s="33">
        <v>5.3337454999999999E-2</v>
      </c>
      <c r="O36" s="33">
        <v>2.3185967999999998E-2</v>
      </c>
      <c r="P36" s="33">
        <v>-1.4936149000000001E-2</v>
      </c>
      <c r="Q36" s="33">
        <v>8.8772059999999986E-2</v>
      </c>
      <c r="R36" s="33">
        <v>4.1234254999999997E-2</v>
      </c>
      <c r="S36" s="33">
        <v>2.3042321000000001E-2</v>
      </c>
      <c r="T36" s="33">
        <v>5.919671E-2</v>
      </c>
      <c r="U36" s="33">
        <v>3.1570911E-2</v>
      </c>
      <c r="V36" s="33">
        <v>-7.3589680000000005E-3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</row>
    <row r="37" spans="1:38" x14ac:dyDescent="0.35">
      <c r="A37" s="2">
        <v>42769</v>
      </c>
      <c r="B37" s="33">
        <v>3.4689068999999996E-2</v>
      </c>
      <c r="C37" s="33">
        <v>7.8573346000000002E-2</v>
      </c>
      <c r="D37" s="33">
        <v>1.7558217000000001E-2</v>
      </c>
      <c r="E37" s="33">
        <v>2.6245235999999998E-2</v>
      </c>
      <c r="F37" s="33">
        <v>9.1250659999999997E-2</v>
      </c>
      <c r="G37" s="33">
        <v>5.5357219999999999E-2</v>
      </c>
      <c r="H37" s="33">
        <v>4.0989399999999995E-2</v>
      </c>
      <c r="I37" s="33">
        <v>6.3422919999999994E-2</v>
      </c>
      <c r="J37" s="33">
        <v>6.774949999999999E-2</v>
      </c>
      <c r="K37" s="33">
        <v>8.2904339999999993E-2</v>
      </c>
      <c r="L37" s="33">
        <v>8.0149289999999998E-2</v>
      </c>
      <c r="M37" s="33">
        <v>3.7570119999999999E-2</v>
      </c>
      <c r="N37" s="33">
        <v>-3.3128858000000004E-2</v>
      </c>
      <c r="O37" s="33">
        <v>7.2747350000000002E-2</v>
      </c>
      <c r="P37" s="33">
        <v>5.2267194000000003E-2</v>
      </c>
      <c r="Q37" s="33">
        <v>-1.6001939999999999E-2</v>
      </c>
      <c r="R37" s="33">
        <v>1.2388228999999999E-2</v>
      </c>
      <c r="S37" s="33">
        <v>0.11792754999999999</v>
      </c>
      <c r="T37" s="33">
        <v>1.7803907E-3</v>
      </c>
      <c r="U37" s="33">
        <v>2.1674156E-2</v>
      </c>
      <c r="V37" s="33">
        <v>-1.5760063999999999E-3</v>
      </c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</row>
    <row r="38" spans="1:38" x14ac:dyDescent="0.35">
      <c r="A38" s="2">
        <v>42797</v>
      </c>
      <c r="B38" s="33">
        <v>1.0404587E-2</v>
      </c>
      <c r="C38" s="33">
        <v>1.3177514E-2</v>
      </c>
      <c r="D38" s="33">
        <v>-1.0433376000000001E-2</v>
      </c>
      <c r="E38" s="33">
        <v>-1.9761681999999999E-2</v>
      </c>
      <c r="F38" s="33">
        <v>6.3944817000000001E-2</v>
      </c>
      <c r="G38" s="33">
        <v>-4.4275227E-2</v>
      </c>
      <c r="H38" s="33">
        <v>1.0183333999999999E-2</v>
      </c>
      <c r="I38" s="33">
        <v>1.0097742E-2</v>
      </c>
      <c r="J38" s="33">
        <v>4.2155503999999996E-2</v>
      </c>
      <c r="K38" s="33">
        <v>-2.0030557999999997E-2</v>
      </c>
      <c r="L38" s="33">
        <v>2.6063920000000001E-2</v>
      </c>
      <c r="M38" s="33">
        <v>1.5492677999999999E-2</v>
      </c>
      <c r="N38" s="33">
        <v>-3.8071274999999997E-3</v>
      </c>
      <c r="O38" s="33">
        <v>2.7883053000000001E-2</v>
      </c>
      <c r="P38" s="33">
        <v>3.2689452000000001E-2</v>
      </c>
      <c r="Q38" s="33">
        <v>2.0650506000000002E-2</v>
      </c>
      <c r="R38" s="33">
        <v>-1.0581492999999999E-2</v>
      </c>
      <c r="S38" s="33">
        <v>1.2510776999999999E-2</v>
      </c>
      <c r="T38" s="33">
        <v>5.3377149999999998E-3</v>
      </c>
      <c r="U38" s="33">
        <v>-1.8288195E-2</v>
      </c>
      <c r="V38" s="33">
        <v>-2.0520925999999998E-2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</row>
    <row r="39" spans="1:38" x14ac:dyDescent="0.35">
      <c r="A39" s="2">
        <v>42829</v>
      </c>
      <c r="B39" s="33">
        <v>1.4302015E-2</v>
      </c>
      <c r="C39" s="33">
        <v>7.4110389999999998E-2</v>
      </c>
      <c r="D39" s="33">
        <v>7.2992682000000003E-2</v>
      </c>
      <c r="E39" s="33">
        <v>3.6466001999999997E-2</v>
      </c>
      <c r="F39" s="33">
        <v>1.4332055999999999E-2</v>
      </c>
      <c r="G39" s="33">
        <v>1.7114282000000001E-2</v>
      </c>
      <c r="H39" s="33">
        <v>3.2594085000000002E-2</v>
      </c>
      <c r="I39" s="33">
        <v>4.2174339999999998E-2</v>
      </c>
      <c r="J39" s="33">
        <v>7.7356099999999997E-2</v>
      </c>
      <c r="K39" s="33">
        <v>6.5477250000000001E-2</v>
      </c>
      <c r="L39" s="33">
        <v>-8.8128449999999997E-3</v>
      </c>
      <c r="M39" s="33">
        <v>-1.6498148000000001E-2</v>
      </c>
      <c r="N39" s="33">
        <v>2.4203776999999999E-2</v>
      </c>
      <c r="O39" s="33">
        <v>6.2290669999999999E-2</v>
      </c>
      <c r="P39" s="33">
        <v>3.5354495E-2</v>
      </c>
      <c r="Q39" s="33">
        <v>-2.1244287000000001E-2</v>
      </c>
      <c r="R39" s="33">
        <v>1.1250138E-2</v>
      </c>
      <c r="S39" s="33">
        <v>-1.1233091000000001E-3</v>
      </c>
      <c r="T39" s="33">
        <v>1.7619133E-3</v>
      </c>
      <c r="U39" s="33">
        <v>5.5141570000000001E-2</v>
      </c>
      <c r="V39" s="33">
        <v>1.1792898000000001E-2</v>
      </c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</row>
    <row r="40" spans="1:38" x14ac:dyDescent="0.35">
      <c r="A40" s="2">
        <v>42859</v>
      </c>
      <c r="B40" s="33">
        <v>-2.0078897000000002E-2</v>
      </c>
      <c r="C40" s="33">
        <v>-2.1475852E-2</v>
      </c>
      <c r="D40" s="33">
        <v>-2.2675395E-3</v>
      </c>
      <c r="E40" s="33">
        <v>3.4897089999999999E-2</v>
      </c>
      <c r="F40" s="33">
        <v>8.614397E-2</v>
      </c>
      <c r="G40" s="33">
        <v>-4.0615079999999998E-2</v>
      </c>
      <c r="H40" s="33">
        <v>2.6358603999999997E-2</v>
      </c>
      <c r="I40" s="33">
        <v>2.2482038000000003E-2</v>
      </c>
      <c r="J40" s="33">
        <v>-1.6450524000000001E-2</v>
      </c>
      <c r="K40" s="33">
        <v>2.4386287000000003E-2</v>
      </c>
      <c r="L40" s="33">
        <v>-3.5041869000000003E-2</v>
      </c>
      <c r="M40" s="33">
        <v>2.3448825000000003E-2</v>
      </c>
      <c r="N40" s="33">
        <v>0.15049754999999998</v>
      </c>
      <c r="O40" s="33">
        <v>1.0088325E-2</v>
      </c>
      <c r="P40" s="33">
        <v>1.5882254000000001E-3</v>
      </c>
      <c r="Q40" s="33">
        <v>-4.1860460000000002E-2</v>
      </c>
      <c r="R40" s="33">
        <v>-6.7999359999999995E-3</v>
      </c>
      <c r="S40" s="33">
        <v>9.2774750000000003E-2</v>
      </c>
      <c r="T40" s="33">
        <v>9.9999905E-3</v>
      </c>
      <c r="U40" s="33">
        <v>-1.483053E-2</v>
      </c>
      <c r="V40" s="33">
        <v>-1.0058641E-2</v>
      </c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</row>
    <row r="41" spans="1:38" x14ac:dyDescent="0.35">
      <c r="A41" s="2">
        <v>42888</v>
      </c>
      <c r="B41" s="33">
        <v>4.946089E-2</v>
      </c>
      <c r="C41" s="33">
        <v>1.7044067E-2</v>
      </c>
      <c r="D41" s="33">
        <v>2.8030276E-2</v>
      </c>
      <c r="E41" s="33">
        <v>3.5378574999999995E-2</v>
      </c>
      <c r="F41" s="33">
        <v>1.7624854999999998E-2</v>
      </c>
      <c r="G41" s="33">
        <v>3.6589025999999997E-2</v>
      </c>
      <c r="H41" s="33">
        <v>3.0754565999999997E-2</v>
      </c>
      <c r="I41" s="33">
        <v>2.4626255E-2</v>
      </c>
      <c r="J41" s="33">
        <v>2.3219227999999998E-2</v>
      </c>
      <c r="K41" s="33">
        <v>8.9668390000000001E-2</v>
      </c>
      <c r="L41" s="33">
        <v>-5.3387585000000001E-2</v>
      </c>
      <c r="M41" s="33">
        <v>6.8910837000000003E-2</v>
      </c>
      <c r="N41" s="33">
        <v>5.5135129999999997E-2</v>
      </c>
      <c r="O41" s="33">
        <v>2.8401969999999999E-2</v>
      </c>
      <c r="P41" s="33">
        <v>7.9682826999999998E-2</v>
      </c>
      <c r="Q41" s="33">
        <v>7.2814226000000003E-3</v>
      </c>
      <c r="R41" s="33">
        <v>-3.4646391999999999E-3</v>
      </c>
      <c r="S41" s="33">
        <v>8.129668000000001E-2</v>
      </c>
      <c r="T41" s="33">
        <v>0</v>
      </c>
      <c r="U41" s="33">
        <v>4.7311782999999996E-2</v>
      </c>
      <c r="V41" s="33">
        <v>1.2027024999999999E-3</v>
      </c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</row>
    <row r="42" spans="1:38" x14ac:dyDescent="0.35">
      <c r="A42" s="2">
        <v>42919</v>
      </c>
      <c r="B42" s="33">
        <v>3.4249901999999999E-2</v>
      </c>
      <c r="C42" s="33">
        <v>-2.2713481999999997E-2</v>
      </c>
      <c r="D42" s="33">
        <v>2.1936654999999999E-2</v>
      </c>
      <c r="E42" s="33">
        <v>-3.6444008E-2</v>
      </c>
      <c r="F42" s="33">
        <v>3.8032532000000004E-3</v>
      </c>
      <c r="G42" s="33">
        <v>8.4748270000000007E-3</v>
      </c>
      <c r="H42" s="33">
        <v>-1.2324929E-2</v>
      </c>
      <c r="I42" s="33">
        <v>2.4892688E-2</v>
      </c>
      <c r="J42" s="33">
        <v>4.7986627000000004E-2</v>
      </c>
      <c r="K42" s="33">
        <v>-1.2525499000000001E-2</v>
      </c>
      <c r="L42" s="33">
        <v>-6.8694949999999998E-3</v>
      </c>
      <c r="M42" s="33">
        <v>-5.5697859999999995E-2</v>
      </c>
      <c r="N42" s="33">
        <v>4.7131059999999995E-2</v>
      </c>
      <c r="O42" s="33">
        <v>-1.2587488000000001E-2</v>
      </c>
      <c r="P42" s="33">
        <v>1.3850093000000001E-2</v>
      </c>
      <c r="Q42" s="33">
        <v>-9.1938130000000007E-2</v>
      </c>
      <c r="R42" s="33">
        <v>4.1528939999999999E-3</v>
      </c>
      <c r="S42" s="33">
        <v>2.5781393000000002E-3</v>
      </c>
      <c r="T42" s="33">
        <v>1.5947104E-2</v>
      </c>
      <c r="U42" s="33">
        <v>3.9698839999999999E-2</v>
      </c>
      <c r="V42" s="33">
        <v>0.10902273</v>
      </c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</row>
    <row r="43" spans="1:38" x14ac:dyDescent="0.35">
      <c r="A43" s="2">
        <v>42951</v>
      </c>
      <c r="B43" s="33">
        <v>3.8338660999999996E-2</v>
      </c>
      <c r="C43" s="33">
        <v>8.9541549999999998E-2</v>
      </c>
      <c r="D43" s="33">
        <v>-2.8467118999999999E-2</v>
      </c>
      <c r="E43" s="33">
        <v>9.1718435000000004E-3</v>
      </c>
      <c r="F43" s="33">
        <v>6.5964579999999995E-2</v>
      </c>
      <c r="G43" s="33">
        <v>5.0809980000000005E-2</v>
      </c>
      <c r="H43" s="33">
        <v>7.5566770000000004E-3</v>
      </c>
      <c r="I43" s="33">
        <v>3.5734176999999999E-2</v>
      </c>
      <c r="J43" s="33">
        <v>4.7680854999999994E-2</v>
      </c>
      <c r="K43" s="33">
        <v>2.0353913000000001E-2</v>
      </c>
      <c r="L43" s="33">
        <v>0.11337196000000001</v>
      </c>
      <c r="M43" s="33">
        <v>5.4929614000000002E-2</v>
      </c>
      <c r="N43" s="33">
        <v>2.8375864000000001E-2</v>
      </c>
      <c r="O43" s="33">
        <v>7.4668406999999992E-2</v>
      </c>
      <c r="P43" s="33">
        <v>8.3045599999999997E-2</v>
      </c>
      <c r="Q43" s="33">
        <v>7.5460196000000007E-2</v>
      </c>
      <c r="R43" s="33">
        <v>2.6364326E-3</v>
      </c>
      <c r="S43" s="33">
        <v>8.8564509999999999E-2</v>
      </c>
      <c r="T43" s="33">
        <v>5.8303832999999999E-2</v>
      </c>
      <c r="U43" s="33">
        <v>-2.8966427000000003E-2</v>
      </c>
      <c r="V43" s="33">
        <v>-7.3206425000000006E-2</v>
      </c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</row>
    <row r="44" spans="1:38" x14ac:dyDescent="0.35">
      <c r="A44" s="2">
        <v>42979</v>
      </c>
      <c r="B44" s="33">
        <v>5.4700850000000002E-2</v>
      </c>
      <c r="C44" s="33">
        <v>6.2239766000000002E-2</v>
      </c>
      <c r="D44" s="33">
        <v>1.7280220999999998E-2</v>
      </c>
      <c r="E44" s="33">
        <v>-1.0740936000000001E-2</v>
      </c>
      <c r="F44" s="33">
        <v>5.9925794999999997E-2</v>
      </c>
      <c r="G44" s="33">
        <v>5.9565543999999998E-2</v>
      </c>
      <c r="H44" s="33">
        <v>4.374981E-3</v>
      </c>
      <c r="I44" s="33">
        <v>1.5633464E-2</v>
      </c>
      <c r="J44" s="33">
        <v>5.1354169999999998E-3</v>
      </c>
      <c r="K44" s="33">
        <v>-7.5165630000000004E-3</v>
      </c>
      <c r="L44" s="33">
        <v>6.0313344000000005E-2</v>
      </c>
      <c r="M44" s="33">
        <v>5.4405929999999998E-2</v>
      </c>
      <c r="N44" s="33">
        <v>-2.7592897000000002E-2</v>
      </c>
      <c r="O44" s="33">
        <v>-8.6133479999999998E-3</v>
      </c>
      <c r="P44" s="33">
        <v>4.2281866000000001E-2</v>
      </c>
      <c r="Q44" s="33">
        <v>-6.4460993000000008E-2</v>
      </c>
      <c r="R44" s="33">
        <v>2.588296E-2</v>
      </c>
      <c r="S44" s="33">
        <v>5.3196190000000004E-2</v>
      </c>
      <c r="T44" s="33">
        <v>-7.2342159999999999E-3</v>
      </c>
      <c r="U44" s="33">
        <v>-6.7796710000000001E-3</v>
      </c>
      <c r="V44" s="33">
        <v>3.1990527999999997E-2</v>
      </c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</row>
    <row r="45" spans="1:38" x14ac:dyDescent="0.35">
      <c r="A45" s="2">
        <v>43012</v>
      </c>
      <c r="B45" s="33">
        <v>1.7795801E-2</v>
      </c>
      <c r="C45" s="33">
        <v>3.4351109999999997E-2</v>
      </c>
      <c r="D45" s="33">
        <v>-1.0708987999999999E-2</v>
      </c>
      <c r="E45" s="33">
        <v>4.2594670000000001E-2</v>
      </c>
      <c r="F45" s="33">
        <v>-4.4509290000000007E-2</v>
      </c>
      <c r="G45" s="33">
        <v>7.2222232999999997E-2</v>
      </c>
      <c r="H45" s="33">
        <v>5.6004523999999998E-3</v>
      </c>
      <c r="I45" s="33">
        <v>-3.7155032000000004E-2</v>
      </c>
      <c r="J45" s="33">
        <v>-3.7350237000000001E-2</v>
      </c>
      <c r="K45" s="33">
        <v>1.9079446999999999E-2</v>
      </c>
      <c r="L45" s="33">
        <v>6.6732287000000001E-2</v>
      </c>
      <c r="M45" s="33">
        <v>-6.3944283000000005E-2</v>
      </c>
      <c r="N45" s="33">
        <v>-9.5401109999999997E-2</v>
      </c>
      <c r="O45" s="33">
        <v>-3.4173189999999999E-2</v>
      </c>
      <c r="P45" s="33">
        <v>4.4108151999999998E-2</v>
      </c>
      <c r="Q45" s="33">
        <v>-5.9146285E-2</v>
      </c>
      <c r="R45" s="33">
        <v>4.2406079999999999E-2</v>
      </c>
      <c r="S45" s="33">
        <v>-0.10568762</v>
      </c>
      <c r="T45" s="33">
        <v>-1.6031324999999999E-2</v>
      </c>
      <c r="U45" s="33">
        <v>1.3651967000000001E-2</v>
      </c>
      <c r="V45" s="33">
        <v>0</v>
      </c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</row>
    <row r="46" spans="1:38" x14ac:dyDescent="0.35">
      <c r="A46" s="2">
        <v>43042</v>
      </c>
      <c r="B46" s="33">
        <v>1.910925E-4</v>
      </c>
      <c r="C46" s="33">
        <v>3.4906863999999999E-3</v>
      </c>
      <c r="D46" s="33">
        <v>8.2119702999999995E-3</v>
      </c>
      <c r="E46" s="33">
        <v>-4.0053724999999998E-3</v>
      </c>
      <c r="F46" s="33">
        <v>1.9854903E-2</v>
      </c>
      <c r="G46" s="33">
        <v>4.5645236999999998E-2</v>
      </c>
      <c r="H46" s="33">
        <v>-1.2995064000000001E-2</v>
      </c>
      <c r="I46" s="33">
        <v>4.4928309999999999E-2</v>
      </c>
      <c r="J46" s="33">
        <v>-8.2540220000000011E-2</v>
      </c>
      <c r="K46" s="33">
        <v>8.3178520000000006E-2</v>
      </c>
      <c r="L46" s="33">
        <v>-9.2566910000000002E-2</v>
      </c>
      <c r="M46" s="33">
        <v>1.0990857999999999E-2</v>
      </c>
      <c r="N46" s="33">
        <v>1.5684246999999998E-2</v>
      </c>
      <c r="O46" s="33">
        <v>6.7766190000000004E-2</v>
      </c>
      <c r="P46" s="33">
        <v>1.4955282E-2</v>
      </c>
      <c r="Q46" s="33">
        <v>-2.6571630999999998E-2</v>
      </c>
      <c r="R46" s="33">
        <v>8.1171990000000003E-3</v>
      </c>
      <c r="S46" s="33">
        <v>-2.2306560999999999E-2</v>
      </c>
      <c r="T46" s="33">
        <v>1.1450291E-2</v>
      </c>
      <c r="U46" s="33">
        <v>8.8215470000000004E-2</v>
      </c>
      <c r="V46" s="33">
        <v>-3.5591184999999997E-2</v>
      </c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</row>
    <row r="47" spans="1:38" x14ac:dyDescent="0.35">
      <c r="A47" s="2">
        <v>43073</v>
      </c>
      <c r="B47" s="33">
        <v>3.0249357000000001E-3</v>
      </c>
      <c r="C47" s="33">
        <v>-0.10832839999999999</v>
      </c>
      <c r="D47" s="33">
        <v>-1.5179573999999999E-2</v>
      </c>
      <c r="E47" s="33">
        <v>-4.1822967999999995E-2</v>
      </c>
      <c r="F47" s="33">
        <v>-1.0857344E-2</v>
      </c>
      <c r="G47" s="33">
        <v>-5.0731539999999999E-2</v>
      </c>
      <c r="H47" s="33">
        <v>2.3511052000000001E-2</v>
      </c>
      <c r="I47" s="33">
        <v>-2.5586962999999997E-2</v>
      </c>
      <c r="J47" s="33">
        <v>4.5880080000000002E-3</v>
      </c>
      <c r="K47" s="33">
        <v>-5.9375166999999993E-3</v>
      </c>
      <c r="L47" s="33">
        <v>8.3947180000000007E-3</v>
      </c>
      <c r="M47" s="33">
        <v>6.6064596000000003E-2</v>
      </c>
      <c r="N47" s="33">
        <v>-7.4547529999999997E-3</v>
      </c>
      <c r="O47" s="33">
        <v>-3.5102487000000002E-2</v>
      </c>
      <c r="P47" s="33">
        <v>-1.200062E-2</v>
      </c>
      <c r="Q47" s="33">
        <v>-5.1264999999999998E-2</v>
      </c>
      <c r="R47" s="33">
        <v>-2.2686123999999998E-3</v>
      </c>
      <c r="S47" s="33">
        <v>-4.9271880000000004E-2</v>
      </c>
      <c r="T47" s="33">
        <v>-6.1672745000000001E-2</v>
      </c>
      <c r="U47" s="33">
        <v>6.1262369999999997E-2</v>
      </c>
      <c r="V47" s="33">
        <v>1.3492107E-2</v>
      </c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</row>
    <row r="48" spans="1:38" x14ac:dyDescent="0.35">
      <c r="A48" s="2">
        <v>43104</v>
      </c>
      <c r="B48" s="33">
        <v>5.4269075000000007E-2</v>
      </c>
      <c r="C48" s="33">
        <v>0.20466387</v>
      </c>
      <c r="D48" s="33">
        <v>7.7868939999999998E-2</v>
      </c>
      <c r="E48" s="33">
        <v>0.11350213999999999</v>
      </c>
      <c r="F48" s="33">
        <v>8.6124530000000005E-2</v>
      </c>
      <c r="G48" s="33">
        <v>7.1074485999999992E-2</v>
      </c>
      <c r="H48" s="33">
        <v>8.60157E-2</v>
      </c>
      <c r="I48" s="33">
        <v>3.5000086E-2</v>
      </c>
      <c r="J48" s="33">
        <v>1.2083410999999999E-2</v>
      </c>
      <c r="K48" s="33">
        <v>3.8758278E-2</v>
      </c>
      <c r="L48" s="33">
        <v>8.2835560000000003E-2</v>
      </c>
      <c r="M48" s="33">
        <v>0.10801876000000001</v>
      </c>
      <c r="N48" s="33">
        <v>0.16495632000000002</v>
      </c>
      <c r="O48" s="33">
        <v>6.8242670000000005E-2</v>
      </c>
      <c r="P48" s="33">
        <v>9.1950889999999993E-2</v>
      </c>
      <c r="Q48" s="33">
        <v>0.14883221000000002</v>
      </c>
      <c r="R48" s="33">
        <v>5.5024385000000002E-2</v>
      </c>
      <c r="S48" s="33">
        <v>0.13138998000000002</v>
      </c>
      <c r="T48" s="33">
        <v>5.3723574000000003E-2</v>
      </c>
      <c r="U48" s="33">
        <v>9.0585120000000005E-2</v>
      </c>
      <c r="V48" s="33">
        <v>5.6365847999999996E-2</v>
      </c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</row>
    <row r="49" spans="1:38" x14ac:dyDescent="0.35">
      <c r="A49" s="2">
        <v>43133</v>
      </c>
      <c r="B49" s="33">
        <v>3.5151481999999998E-2</v>
      </c>
      <c r="C49" s="33">
        <v>2.0929693999999999E-2</v>
      </c>
      <c r="D49" s="33">
        <v>1.8854737E-2</v>
      </c>
      <c r="E49" s="33">
        <v>-6.4621570000000003E-2</v>
      </c>
      <c r="F49" s="33">
        <v>1.1685490999999999E-2</v>
      </c>
      <c r="G49" s="33">
        <v>-7.0971249999999999E-4</v>
      </c>
      <c r="H49" s="33">
        <v>4.1334509999999998E-2</v>
      </c>
      <c r="I49" s="33">
        <v>1.6146301999999998E-2</v>
      </c>
      <c r="J49" s="33">
        <v>4.8166513000000001E-2</v>
      </c>
      <c r="K49" s="33">
        <v>-2.566123E-2</v>
      </c>
      <c r="L49" s="33">
        <v>6.0984254000000002E-2</v>
      </c>
      <c r="M49" s="33">
        <v>-1.7007351E-2</v>
      </c>
      <c r="N49" s="33">
        <v>5.2681209999999999E-2</v>
      </c>
      <c r="O49" s="33">
        <v>-2.8822362000000001E-2</v>
      </c>
      <c r="P49" s="33">
        <v>2.2821307000000002E-2</v>
      </c>
      <c r="Q49" s="33">
        <v>7.941245999999999E-3</v>
      </c>
      <c r="R49" s="33">
        <v>2.0284534E-2</v>
      </c>
      <c r="S49" s="33">
        <v>9.278059E-3</v>
      </c>
      <c r="T49" s="33">
        <v>-5.0777790000000001E-3</v>
      </c>
      <c r="U49" s="33">
        <v>2.7011633E-3</v>
      </c>
      <c r="V49" s="33">
        <v>2.2539376999999999E-2</v>
      </c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:38" x14ac:dyDescent="0.35">
      <c r="A50" s="2">
        <v>43161</v>
      </c>
      <c r="B50" s="33">
        <v>-4.4203699999999999E-2</v>
      </c>
      <c r="C50" s="33">
        <v>-3.1567454000000002E-2</v>
      </c>
      <c r="D50" s="33">
        <v>-1.644963E-2</v>
      </c>
      <c r="E50" s="33">
        <v>-2.7957022000000002E-2</v>
      </c>
      <c r="F50" s="33">
        <v>-7.9103947000000008E-2</v>
      </c>
      <c r="G50" s="33">
        <v>-2.3674964999999999E-3</v>
      </c>
      <c r="H50" s="33">
        <v>-3.9693712999999999E-3</v>
      </c>
      <c r="I50" s="33">
        <v>-1.9332587999999998E-2</v>
      </c>
      <c r="J50" s="33">
        <v>-5.2382764999999998E-2</v>
      </c>
      <c r="K50" s="33">
        <v>-2.3500800000000002E-2</v>
      </c>
      <c r="L50" s="33">
        <v>1.1983991000000001E-2</v>
      </c>
      <c r="M50" s="33">
        <v>4.3035746E-2</v>
      </c>
      <c r="N50" s="33">
        <v>-8.3109909999999995E-2</v>
      </c>
      <c r="O50" s="33">
        <v>-2.6003419999999999E-2</v>
      </c>
      <c r="P50" s="33">
        <v>-3.8069963000000005E-2</v>
      </c>
      <c r="Q50" s="33">
        <v>-4.3030319999999997E-2</v>
      </c>
      <c r="R50" s="33">
        <v>-8.4111094000000001E-3</v>
      </c>
      <c r="S50" s="33">
        <v>-4.4842362E-3</v>
      </c>
      <c r="T50" s="33">
        <v>-4.2050780000000003E-2</v>
      </c>
      <c r="U50" s="33">
        <v>-3.7715435000000002E-3</v>
      </c>
      <c r="V50" s="33">
        <v>-2.0940482999999999E-2</v>
      </c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:38" x14ac:dyDescent="0.35">
      <c r="A51" s="2">
        <v>43194</v>
      </c>
      <c r="B51" s="33">
        <v>-2.4808645000000001E-2</v>
      </c>
      <c r="C51" s="33">
        <v>9.3662739999999991E-4</v>
      </c>
      <c r="D51" s="33">
        <v>-4.7038317000000003E-2</v>
      </c>
      <c r="E51" s="33">
        <v>-3.9546489999999997E-2</v>
      </c>
      <c r="F51" s="33">
        <v>-4.2949439999999998E-2</v>
      </c>
      <c r="G51" s="33">
        <v>2.6815413999999999E-2</v>
      </c>
      <c r="H51" s="33">
        <v>1.7364143999999998E-2</v>
      </c>
      <c r="I51" s="33">
        <v>2.8625487999999998E-2</v>
      </c>
      <c r="J51" s="33">
        <v>5.0089716999999999E-2</v>
      </c>
      <c r="K51" s="33">
        <v>3.1673431000000002E-2</v>
      </c>
      <c r="L51" s="33">
        <v>-3.9692937999999997E-2</v>
      </c>
      <c r="M51" s="33">
        <v>-5.1853952000000002E-2</v>
      </c>
      <c r="N51" s="33">
        <v>-4.678363E-2</v>
      </c>
      <c r="O51" s="33">
        <v>-4.0626526000000001E-3</v>
      </c>
      <c r="P51" s="33">
        <v>-1.9280969999999998E-2</v>
      </c>
      <c r="Q51" s="33">
        <v>5.5098175999999999E-2</v>
      </c>
      <c r="R51" s="33">
        <v>-4.8013744000000004E-2</v>
      </c>
      <c r="S51" s="33">
        <v>-5.8108149999999997E-2</v>
      </c>
      <c r="T51" s="33">
        <v>1.3229131999999999E-2</v>
      </c>
      <c r="U51" s="33">
        <v>0.10275817</v>
      </c>
      <c r="V51" s="33">
        <v>9.7560999999999995E-2</v>
      </c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  <row r="52" spans="1:38" x14ac:dyDescent="0.35">
      <c r="A52" s="2">
        <v>43224</v>
      </c>
      <c r="B52" s="33">
        <v>-3.3103049000000002E-2</v>
      </c>
      <c r="C52" s="33">
        <v>-2.4705230000000002E-2</v>
      </c>
      <c r="D52" s="33">
        <v>-0.10164535499999999</v>
      </c>
      <c r="E52" s="33">
        <v>-4.8373165000000003E-2</v>
      </c>
      <c r="F52" s="33">
        <v>-3.4551262999999999E-2</v>
      </c>
      <c r="G52" s="33">
        <v>-1.6177296999999998E-3</v>
      </c>
      <c r="H52" s="33">
        <v>-2.3782969000000001E-2</v>
      </c>
      <c r="I52" s="33">
        <v>-5.3032280000000001E-2</v>
      </c>
      <c r="J52" s="33">
        <v>-7.2785974000000003E-2</v>
      </c>
      <c r="K52" s="33">
        <v>-3.6197305E-3</v>
      </c>
      <c r="L52" s="33">
        <v>-6.9422244999999994E-2</v>
      </c>
      <c r="M52" s="33">
        <v>-3.4989655000000001E-2</v>
      </c>
      <c r="N52" s="33">
        <v>5.112469E-2</v>
      </c>
      <c r="O52" s="33">
        <v>-2.3309588E-3</v>
      </c>
      <c r="P52" s="33">
        <v>-6.6519379999999996E-3</v>
      </c>
      <c r="Q52" s="33">
        <v>-2.2868514E-3</v>
      </c>
      <c r="R52" s="33">
        <v>3.1820655000000003E-2</v>
      </c>
      <c r="S52" s="33">
        <v>-0.14825445000000001</v>
      </c>
      <c r="T52" s="33">
        <v>-2.6706278E-2</v>
      </c>
      <c r="U52" s="33">
        <v>-0.13487004999999999</v>
      </c>
      <c r="V52" s="33">
        <v>2.9059887E-2</v>
      </c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</row>
    <row r="53" spans="1:38" x14ac:dyDescent="0.35">
      <c r="A53" s="2">
        <v>43255</v>
      </c>
      <c r="B53" s="33">
        <v>1.1826873E-2</v>
      </c>
      <c r="C53" s="33">
        <v>-2.3795842999999997E-2</v>
      </c>
      <c r="D53" s="33">
        <v>5.9422135000000001E-2</v>
      </c>
      <c r="E53" s="33">
        <v>-9.6822980000000006E-3</v>
      </c>
      <c r="F53" s="33">
        <v>-4.2369365999999999E-2</v>
      </c>
      <c r="G53" s="33">
        <v>-1.2037039000000001E-2</v>
      </c>
      <c r="H53" s="33">
        <v>-5.2450476000000003E-2</v>
      </c>
      <c r="I53" s="33">
        <v>5.0734760000000004E-2</v>
      </c>
      <c r="J53" s="33">
        <v>-7.8294753999999994E-2</v>
      </c>
      <c r="K53" s="33">
        <v>-7.2658659999999993E-3</v>
      </c>
      <c r="L53" s="33">
        <v>-0.10625773000000001</v>
      </c>
      <c r="M53" s="33">
        <v>-4.8750640000000001E-3</v>
      </c>
      <c r="N53" s="33">
        <v>-8.4630310000000014E-2</v>
      </c>
      <c r="O53" s="33">
        <v>-2.5993109E-2</v>
      </c>
      <c r="P53" s="33">
        <v>5.7440520000000002E-2</v>
      </c>
      <c r="Q53" s="33">
        <v>5.8844089999999995E-2</v>
      </c>
      <c r="R53" s="33">
        <v>-3.2912493000000001E-2</v>
      </c>
      <c r="S53" s="33">
        <v>-0.10331272999999999</v>
      </c>
      <c r="T53" s="33">
        <v>0</v>
      </c>
      <c r="U53" s="33">
        <v>1.700759E-3</v>
      </c>
      <c r="V53" s="33">
        <v>5.4485083000000004E-2</v>
      </c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</row>
    <row r="54" spans="1:38" x14ac:dyDescent="0.35">
      <c r="A54" s="2">
        <v>43284</v>
      </c>
      <c r="B54" s="33">
        <v>-0.14335858999999998</v>
      </c>
      <c r="C54" s="33">
        <v>-7.165587000000001E-2</v>
      </c>
      <c r="D54" s="33">
        <v>-0.14054709000000001</v>
      </c>
      <c r="E54" s="33">
        <v>-7.4249324999999991E-2</v>
      </c>
      <c r="F54" s="33">
        <v>-5.8941245000000003E-2</v>
      </c>
      <c r="G54" s="33">
        <v>-8.2497360000000006E-2</v>
      </c>
      <c r="H54" s="33">
        <v>-5.3415299999999999E-2</v>
      </c>
      <c r="I54" s="33">
        <v>-6.1477603999999998E-2</v>
      </c>
      <c r="J54" s="33">
        <v>6.6759706000000002E-2</v>
      </c>
      <c r="K54" s="33">
        <v>-0.10897261</v>
      </c>
      <c r="L54" s="33">
        <v>-9.175796E-2</v>
      </c>
      <c r="M54" s="33">
        <v>-0.10754633</v>
      </c>
      <c r="N54" s="33">
        <v>-3.7194430000000001E-2</v>
      </c>
      <c r="O54" s="33">
        <v>-3.7181973E-3</v>
      </c>
      <c r="P54" s="33">
        <v>-0.1016714</v>
      </c>
      <c r="Q54" s="33">
        <v>-1.7676592000000001E-2</v>
      </c>
      <c r="R54" s="33">
        <v>-5.3500595000000005E-2</v>
      </c>
      <c r="S54" s="33">
        <v>-4.9099206999999999E-2</v>
      </c>
      <c r="T54" s="33">
        <v>-3.8231074999999996E-2</v>
      </c>
      <c r="U54" s="33">
        <v>-0.143180485</v>
      </c>
      <c r="V54" s="33">
        <v>-2.7603566999999999E-2</v>
      </c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</row>
    <row r="55" spans="1:38" x14ac:dyDescent="0.35">
      <c r="A55" s="2">
        <v>43315</v>
      </c>
      <c r="B55" s="33">
        <v>-2.5583148000000003E-2</v>
      </c>
      <c r="C55" s="33">
        <v>2.5253534000000001E-2</v>
      </c>
      <c r="D55" s="33">
        <v>0.10018217</v>
      </c>
      <c r="E55" s="33">
        <v>9.7746849999999996E-2</v>
      </c>
      <c r="F55" s="33">
        <v>8.9995499999999992E-2</v>
      </c>
      <c r="G55" s="33">
        <v>2.2170663E-2</v>
      </c>
      <c r="H55" s="33">
        <v>6.3885209999999998E-2</v>
      </c>
      <c r="I55" s="33">
        <v>6.1006546000000002E-2</v>
      </c>
      <c r="J55" s="33">
        <v>9.5650309999999988E-2</v>
      </c>
      <c r="K55" s="33">
        <v>3.3465624000000001E-3</v>
      </c>
      <c r="L55" s="33">
        <v>0.15360987000000001</v>
      </c>
      <c r="M55" s="33">
        <v>3.7624119999999997E-2</v>
      </c>
      <c r="N55" s="33">
        <v>1.7660022000000001E-2</v>
      </c>
      <c r="O55" s="33">
        <v>7.7456235999999998E-2</v>
      </c>
      <c r="P55" s="33">
        <v>-2.8486012999999998E-2</v>
      </c>
      <c r="Q55" s="33">
        <v>9.991527E-2</v>
      </c>
      <c r="R55" s="33">
        <v>5.0877689999999996E-2</v>
      </c>
      <c r="S55" s="33">
        <v>-8.3588179999999998E-2</v>
      </c>
      <c r="T55" s="33">
        <v>5.3606870000000001E-2</v>
      </c>
      <c r="U55" s="33">
        <v>7.7939152999999997E-2</v>
      </c>
      <c r="V55" s="33">
        <v>2.0601630000000003E-2</v>
      </c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</row>
    <row r="56" spans="1:38" x14ac:dyDescent="0.35">
      <c r="A56" s="2">
        <v>43347</v>
      </c>
      <c r="B56" s="33">
        <v>-3.4748912E-3</v>
      </c>
      <c r="C56" s="33">
        <v>-0.11705267</v>
      </c>
      <c r="D56" s="33">
        <v>-7.4503303000000007E-2</v>
      </c>
      <c r="E56" s="33">
        <v>-9.9608300000000004E-3</v>
      </c>
      <c r="F56" s="33">
        <v>-6.2867402999999995E-3</v>
      </c>
      <c r="G56" s="33">
        <v>-9.029007E-2</v>
      </c>
      <c r="H56" s="33">
        <v>-9.1911553999999996E-3</v>
      </c>
      <c r="I56" s="33">
        <v>-4.2395591999999996E-3</v>
      </c>
      <c r="J56" s="33">
        <v>-5.5116595999999997E-2</v>
      </c>
      <c r="K56" s="33">
        <v>1.2128592000000001E-2</v>
      </c>
      <c r="L56" s="33">
        <v>-0.17549931999999999</v>
      </c>
      <c r="M56" s="33">
        <v>-0.14420009</v>
      </c>
      <c r="N56" s="33">
        <v>-9.8698499999999995E-2</v>
      </c>
      <c r="O56" s="33">
        <v>-2.9930055000000001E-2</v>
      </c>
      <c r="P56" s="33">
        <v>-2.8187215000000002E-2</v>
      </c>
      <c r="Q56" s="33">
        <v>-1.4984131000000001E-2</v>
      </c>
      <c r="R56" s="33">
        <v>1.3550519999999998E-3</v>
      </c>
      <c r="S56" s="33">
        <v>-0.26288466999999999</v>
      </c>
      <c r="T56" s="33">
        <v>-1.5075386E-2</v>
      </c>
      <c r="U56" s="33">
        <v>-3.0636787E-3</v>
      </c>
      <c r="V56" s="33">
        <v>-6.0557485000000001E-2</v>
      </c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</row>
    <row r="57" spans="1:38" x14ac:dyDescent="0.35">
      <c r="A57" s="2">
        <v>43377</v>
      </c>
      <c r="B57" s="33">
        <v>-1.3948023E-2</v>
      </c>
      <c r="C57" s="33">
        <v>5.91321E-2</v>
      </c>
      <c r="D57" s="33">
        <v>-5.3220033999999999E-2</v>
      </c>
      <c r="E57" s="33">
        <v>-0.1201219</v>
      </c>
      <c r="F57" s="33">
        <v>-1.8557489E-2</v>
      </c>
      <c r="G57" s="33">
        <v>1.3307451999999999E-2</v>
      </c>
      <c r="H57" s="33">
        <v>-1.7934441999999998E-2</v>
      </c>
      <c r="I57" s="33">
        <v>-4.3374180000000005E-2</v>
      </c>
      <c r="J57" s="33">
        <v>5.9148072999999999E-3</v>
      </c>
      <c r="K57" s="33">
        <v>-3.6249339999999998E-2</v>
      </c>
      <c r="L57" s="33">
        <v>0.1792636</v>
      </c>
      <c r="M57" s="33">
        <v>-2.8246343E-2</v>
      </c>
      <c r="N57" s="33">
        <v>-3.4897803999999998E-2</v>
      </c>
      <c r="O57" s="33">
        <v>-0.12197232</v>
      </c>
      <c r="P57" s="33">
        <v>-5.4675817000000002E-2</v>
      </c>
      <c r="Q57" s="33">
        <v>-1.3950883999999998E-2</v>
      </c>
      <c r="R57" s="33">
        <v>8.7435246000000001E-3</v>
      </c>
      <c r="S57" s="33">
        <v>9.5070479999999999E-2</v>
      </c>
      <c r="T57" s="33">
        <v>-3.5076559E-2</v>
      </c>
      <c r="U57" s="33">
        <v>8.6047650000000003E-3</v>
      </c>
      <c r="V57" s="33">
        <v>2.0675302000000003E-2</v>
      </c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</row>
    <row r="58" spans="1:38" x14ac:dyDescent="0.35">
      <c r="A58" s="2">
        <v>43406</v>
      </c>
      <c r="B58" s="33">
        <v>-8.0393549999999998E-3</v>
      </c>
      <c r="C58" s="33">
        <v>-1.4182746E-2</v>
      </c>
      <c r="D58" s="33">
        <v>8.0302349999999995E-2</v>
      </c>
      <c r="E58" s="33">
        <v>6.1330557000000001E-2</v>
      </c>
      <c r="F58" s="33">
        <v>-3.9965630000000002E-2</v>
      </c>
      <c r="G58" s="33">
        <v>-2.5718153000000001E-2</v>
      </c>
      <c r="H58" s="33">
        <v>-3.5264492000000001E-2</v>
      </c>
      <c r="I58" s="33">
        <v>-5.7023644000000005E-2</v>
      </c>
      <c r="J58" s="33">
        <v>-0.10421735</v>
      </c>
      <c r="K58" s="33">
        <v>-5.5330989999999997E-2</v>
      </c>
      <c r="L58" s="33">
        <v>0.13968778000000001</v>
      </c>
      <c r="M58" s="33">
        <v>5.4905057E-2</v>
      </c>
      <c r="N58" s="33">
        <v>-6.6084804999999996E-2</v>
      </c>
      <c r="O58" s="33">
        <v>2.6929379E-2</v>
      </c>
      <c r="P58" s="33">
        <v>-1.0932803E-2</v>
      </c>
      <c r="Q58" s="33">
        <v>4.9236060000000005E-2</v>
      </c>
      <c r="R58" s="33">
        <v>-2.7500927000000001E-2</v>
      </c>
      <c r="S58" s="33">
        <v>0.14561319</v>
      </c>
      <c r="T58" s="33">
        <v>7.9312324999999996E-3</v>
      </c>
      <c r="U58" s="33">
        <v>-7.0079206999999991E-2</v>
      </c>
      <c r="V58" s="33">
        <v>-3.8829445999999999E-3</v>
      </c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</row>
    <row r="59" spans="1:38" x14ac:dyDescent="0.35">
      <c r="A59" s="2">
        <v>43438</v>
      </c>
      <c r="B59" s="33">
        <v>-7.3438879999999998E-3</v>
      </c>
      <c r="C59" s="33">
        <v>-9.8196269999999992E-3</v>
      </c>
      <c r="D59" s="33">
        <v>8.3078269999999996E-2</v>
      </c>
      <c r="E59" s="33">
        <v>5.0930499999999997E-2</v>
      </c>
      <c r="F59" s="33">
        <v>5.7296395E-2</v>
      </c>
      <c r="G59" s="33">
        <v>7.0204734999999999E-3</v>
      </c>
      <c r="H59" s="33">
        <v>-1.1096597E-2</v>
      </c>
      <c r="I59" s="33">
        <v>-1.5044332000000001E-2</v>
      </c>
      <c r="J59" s="33">
        <v>-9.710276000000001E-2</v>
      </c>
      <c r="K59" s="33">
        <v>-3.2907724000000001E-4</v>
      </c>
      <c r="L59" s="33">
        <v>-5.5996180000000007E-2</v>
      </c>
      <c r="M59" s="33">
        <v>2.1814108000000002E-2</v>
      </c>
      <c r="N59" s="33">
        <v>2.536714E-2</v>
      </c>
      <c r="O59" s="33">
        <v>4.8289060000000002E-2</v>
      </c>
      <c r="P59" s="33">
        <v>2.3711799999999998E-2</v>
      </c>
      <c r="Q59" s="33">
        <v>2.8047441999999999E-2</v>
      </c>
      <c r="R59" s="33">
        <v>-5.6604743000000001E-3</v>
      </c>
      <c r="S59" s="33">
        <v>-6.4153669999999999E-3</v>
      </c>
      <c r="T59" s="33">
        <v>-6.2295080000000003E-2</v>
      </c>
      <c r="U59" s="33">
        <v>2.8833508000000001E-2</v>
      </c>
      <c r="V59" s="33">
        <v>-2.650112E-2</v>
      </c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</row>
    <row r="60" spans="1:38" x14ac:dyDescent="0.35">
      <c r="A60" s="2">
        <v>43469</v>
      </c>
      <c r="B60" s="33">
        <v>-4.1195272999999998E-2</v>
      </c>
      <c r="C60" s="33">
        <v>-1.0315657000000001E-2</v>
      </c>
      <c r="D60" s="33">
        <v>5.0050496999999999E-2</v>
      </c>
      <c r="E60" s="33">
        <v>5.5367110000000004E-2</v>
      </c>
      <c r="F60" s="33">
        <v>-6.8072080000000004E-3</v>
      </c>
      <c r="G60" s="33">
        <v>1.2313962000000001E-2</v>
      </c>
      <c r="H60" s="33">
        <v>9.6271039999999992E-3</v>
      </c>
      <c r="I60" s="33">
        <v>-4.5720280000000002E-2</v>
      </c>
      <c r="J60" s="33">
        <v>7.9130529999999991E-2</v>
      </c>
      <c r="K60" s="33">
        <v>-2.2173284999999997E-2</v>
      </c>
      <c r="L60" s="33">
        <v>8.0903050000000004E-2</v>
      </c>
      <c r="M60" s="33">
        <v>1.758492E-2</v>
      </c>
      <c r="N60" s="33">
        <v>-5.5531740000000003E-2</v>
      </c>
      <c r="O60" s="33">
        <v>2.4074792999999997E-2</v>
      </c>
      <c r="P60" s="33">
        <v>-6.6708445999999991E-2</v>
      </c>
      <c r="Q60" s="33">
        <v>-1.2617707000000001E-2</v>
      </c>
      <c r="R60" s="33">
        <v>-5.8116855999999995E-2</v>
      </c>
      <c r="S60" s="33">
        <v>-1.6329050000000001E-2</v>
      </c>
      <c r="T60" s="33">
        <v>-8.7478756999999994E-3</v>
      </c>
      <c r="U60" s="33">
        <v>-4.2568564000000003E-2</v>
      </c>
      <c r="V60" s="33">
        <v>2.7425049999999999E-2</v>
      </c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</row>
    <row r="61" spans="1:38" x14ac:dyDescent="0.35">
      <c r="A61" s="2">
        <v>43500</v>
      </c>
      <c r="B61" s="33">
        <v>7.3662877000000002E-2</v>
      </c>
      <c r="C61" s="33">
        <v>0.10525095000000001</v>
      </c>
      <c r="D61" s="33">
        <v>5.4314375000000005E-2</v>
      </c>
      <c r="E61" s="33">
        <v>3.2989619999999997E-2</v>
      </c>
      <c r="F61" s="33">
        <v>4.5788289999999995E-2</v>
      </c>
      <c r="G61" s="33">
        <v>5.5063725000000001E-2</v>
      </c>
      <c r="H61" s="33">
        <v>1.9960045999999999E-2</v>
      </c>
      <c r="I61" s="33">
        <v>7.5752735000000002E-2</v>
      </c>
      <c r="J61" s="33">
        <v>5.720985E-2</v>
      </c>
      <c r="K61" s="33">
        <v>9.6042269999999999E-2</v>
      </c>
      <c r="L61" s="33">
        <v>8.7039709999999992E-2</v>
      </c>
      <c r="M61" s="33">
        <v>4.6437382999999999E-2</v>
      </c>
      <c r="N61" s="33">
        <v>4.5197725000000001E-2</v>
      </c>
      <c r="O61" s="33">
        <v>-2.3123144999999998E-2</v>
      </c>
      <c r="P61" s="33">
        <v>0.11400031999999999</v>
      </c>
      <c r="Q61" s="33">
        <v>3.7433147E-2</v>
      </c>
      <c r="R61" s="33">
        <v>4.9830794000000005E-2</v>
      </c>
      <c r="S61" s="33">
        <v>0.16255151999999998</v>
      </c>
      <c r="T61" s="33">
        <v>5.6737660000000002E-3</v>
      </c>
      <c r="U61" s="33">
        <v>5.1643250000000002E-2</v>
      </c>
      <c r="V61" s="33">
        <v>8.7163810000000008E-2</v>
      </c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</row>
    <row r="62" spans="1:38" x14ac:dyDescent="0.35">
      <c r="A62" s="2">
        <v>43528</v>
      </c>
      <c r="B62" s="33">
        <v>0.17324829999999999</v>
      </c>
      <c r="C62" s="33">
        <v>-5.9121610000000005E-2</v>
      </c>
      <c r="D62" s="33">
        <v>-5.5169879999999998E-2</v>
      </c>
      <c r="E62" s="33">
        <v>-5.2466510000000001E-2</v>
      </c>
      <c r="F62" s="33">
        <v>-3.7587761999999997E-2</v>
      </c>
      <c r="G62" s="33">
        <v>1.6260146999999999E-2</v>
      </c>
      <c r="H62" s="33">
        <v>-9.1324449999999995E-3</v>
      </c>
      <c r="I62" s="33">
        <v>2.7084350000000004E-3</v>
      </c>
      <c r="J62" s="33">
        <v>-4.5021057000000003E-2</v>
      </c>
      <c r="K62" s="33">
        <v>-2.6459157000000001E-2</v>
      </c>
      <c r="L62" s="33">
        <v>-6.7971825999999999E-2</v>
      </c>
      <c r="M62" s="33">
        <v>-4.8329114999999999E-2</v>
      </c>
      <c r="N62" s="33">
        <v>5.8108090000000001E-2</v>
      </c>
      <c r="O62" s="33">
        <v>-2.4592279999999999E-3</v>
      </c>
      <c r="P62" s="33">
        <v>4.6346426000000003E-2</v>
      </c>
      <c r="Q62" s="33">
        <v>-5.9278307000000002E-2</v>
      </c>
      <c r="R62" s="33">
        <v>-1.1078714999999999E-2</v>
      </c>
      <c r="S62" s="33">
        <v>-2.1238923E-2</v>
      </c>
      <c r="T62" s="33">
        <v>2.1149516E-2</v>
      </c>
      <c r="U62" s="33">
        <v>7.5892925E-2</v>
      </c>
      <c r="V62" s="33">
        <v>5.3241249999999999E-3</v>
      </c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</row>
    <row r="63" spans="1:38" x14ac:dyDescent="0.35">
      <c r="A63" s="2">
        <v>43559</v>
      </c>
      <c r="B63" s="33">
        <v>5.8020472999999996E-2</v>
      </c>
      <c r="C63" s="33">
        <v>-8.3034635000000002E-3</v>
      </c>
      <c r="D63" s="33">
        <v>1.8561482000000001E-2</v>
      </c>
      <c r="E63" s="33">
        <v>3.7014722999999999E-2</v>
      </c>
      <c r="F63" s="33">
        <v>1.8884181999999999E-2</v>
      </c>
      <c r="G63" s="33">
        <v>2.838707E-2</v>
      </c>
      <c r="H63" s="33">
        <v>-1.2837350000000001E-2</v>
      </c>
      <c r="I63" s="33">
        <v>5.8223247999999998E-2</v>
      </c>
      <c r="J63" s="33">
        <v>4.3195485999999998E-2</v>
      </c>
      <c r="K63" s="33">
        <v>1.1670709E-2</v>
      </c>
      <c r="L63" s="33">
        <v>-6.3724519999999998E-3</v>
      </c>
      <c r="M63" s="33">
        <v>4.0588974999999999E-2</v>
      </c>
      <c r="N63" s="33">
        <v>5.4917097000000005E-2</v>
      </c>
      <c r="O63" s="33">
        <v>9.4607115000000006E-2</v>
      </c>
      <c r="P63" s="33">
        <v>3.7665725000000004E-2</v>
      </c>
      <c r="Q63" s="33">
        <v>1.1506796E-2</v>
      </c>
      <c r="R63" s="33">
        <v>5.4546594999999995E-3</v>
      </c>
      <c r="S63" s="33">
        <v>-7.1971060000000003E-2</v>
      </c>
      <c r="T63" s="33">
        <v>2.1415829999999997E-2</v>
      </c>
      <c r="U63" s="33">
        <v>1.0077119000000001E-2</v>
      </c>
      <c r="V63" s="33">
        <v>6.6978216000000007E-2</v>
      </c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</row>
    <row r="64" spans="1:38" x14ac:dyDescent="0.35">
      <c r="A64" s="2">
        <v>43588</v>
      </c>
      <c r="B64" s="33">
        <v>-3.7096740000000003E-2</v>
      </c>
      <c r="C64" s="33">
        <v>-4.1185799999999995E-2</v>
      </c>
      <c r="D64" s="33">
        <v>-3.1511009E-2</v>
      </c>
      <c r="E64" s="33">
        <v>2.466631E-2</v>
      </c>
      <c r="F64" s="33">
        <v>-2.4852574000000002E-2</v>
      </c>
      <c r="G64" s="33">
        <v>-5.0439119999999997E-2</v>
      </c>
      <c r="H64" s="33">
        <v>-1.1337101E-2</v>
      </c>
      <c r="I64" s="33">
        <v>3.3182143999999997E-2</v>
      </c>
      <c r="J64" s="33">
        <v>2.4042726E-2</v>
      </c>
      <c r="K64" s="33">
        <v>-2.9077112999999998E-2</v>
      </c>
      <c r="L64" s="33">
        <v>-2.1615207000000001E-2</v>
      </c>
      <c r="M64" s="33">
        <v>4.100144E-2</v>
      </c>
      <c r="N64" s="33">
        <v>2.9055595E-2</v>
      </c>
      <c r="O64" s="33">
        <v>1.6891955999999999E-3</v>
      </c>
      <c r="P64" s="33">
        <v>6.0757399999999996E-3</v>
      </c>
      <c r="Q64" s="33">
        <v>3.4127949999999997E-2</v>
      </c>
      <c r="R64" s="33">
        <v>2.1183371999999999E-2</v>
      </c>
      <c r="S64" s="33">
        <v>-0.11067808</v>
      </c>
      <c r="T64" s="33">
        <v>3.7863492999999998E-2</v>
      </c>
      <c r="U64" s="33">
        <v>-3.0516445999999999E-2</v>
      </c>
      <c r="V64" s="33">
        <v>4.0875909999999994E-2</v>
      </c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</row>
    <row r="65" spans="1:38" x14ac:dyDescent="0.35">
      <c r="A65" s="2">
        <v>43620</v>
      </c>
      <c r="B65" s="33">
        <v>-9.9497560000000013E-2</v>
      </c>
      <c r="C65" s="33">
        <v>-5.2867530000000003E-2</v>
      </c>
      <c r="D65" s="33">
        <v>-9.8000764999999993E-3</v>
      </c>
      <c r="E65" s="33">
        <v>-1.6992687999999999E-3</v>
      </c>
      <c r="F65" s="33">
        <v>-3.5421133E-2</v>
      </c>
      <c r="G65" s="33">
        <v>-6.3425007000000005E-2</v>
      </c>
      <c r="H65" s="33">
        <v>-6.7454579999999997E-4</v>
      </c>
      <c r="I65" s="33">
        <v>-8.3996769999999998E-2</v>
      </c>
      <c r="J65" s="33">
        <v>-5.5217384999999994E-2</v>
      </c>
      <c r="K65" s="33">
        <v>-7.1940063999999998E-2</v>
      </c>
      <c r="L65" s="33">
        <v>3.3260584000000003E-2</v>
      </c>
      <c r="M65" s="33">
        <v>-7.7901720000000008E-2</v>
      </c>
      <c r="N65" s="33">
        <v>6.3529489999999994E-2</v>
      </c>
      <c r="O65" s="33">
        <v>1.9673944000000002E-2</v>
      </c>
      <c r="P65" s="33">
        <v>-0.13812326999999999</v>
      </c>
      <c r="Q65" s="33">
        <v>-3.4573078E-2</v>
      </c>
      <c r="R65" s="33">
        <v>-2.463305E-2</v>
      </c>
      <c r="S65" s="33">
        <v>1.7528534000000001E-3</v>
      </c>
      <c r="T65" s="33">
        <v>-6.3843670000000005E-2</v>
      </c>
      <c r="U65" s="33">
        <v>-1.6949176999999999E-2</v>
      </c>
      <c r="V65" s="33">
        <v>-9.2286110000000005E-2</v>
      </c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</row>
    <row r="66" spans="1:38" x14ac:dyDescent="0.35">
      <c r="A66" s="2">
        <v>43649</v>
      </c>
      <c r="B66" s="33">
        <v>8.5297579999999998E-2</v>
      </c>
      <c r="C66" s="33">
        <v>2.7033567000000001E-2</v>
      </c>
      <c r="D66" s="33">
        <v>5.173552E-2</v>
      </c>
      <c r="E66" s="33">
        <v>3.3487082000000001E-2</v>
      </c>
      <c r="F66" s="33">
        <v>6.7263007E-2</v>
      </c>
      <c r="G66" s="33">
        <v>7.0032597000000002E-2</v>
      </c>
      <c r="H66" s="33">
        <v>3.3424735000000004E-2</v>
      </c>
      <c r="I66" s="33">
        <v>5.6338069999999997E-2</v>
      </c>
      <c r="J66" s="33">
        <v>3.2590507999999997E-2</v>
      </c>
      <c r="K66" s="33">
        <v>2.0343779999999999E-2</v>
      </c>
      <c r="L66" s="33">
        <v>4.4144509999999998E-2</v>
      </c>
      <c r="M66" s="33">
        <v>5.7207108E-2</v>
      </c>
      <c r="N66" s="33">
        <v>8.6674209999999988E-2</v>
      </c>
      <c r="O66" s="33">
        <v>-4.7696830000000003E-3</v>
      </c>
      <c r="P66" s="33">
        <v>9.1882110000000003E-2</v>
      </c>
      <c r="Q66" s="33">
        <v>2.580607E-2</v>
      </c>
      <c r="R66" s="33">
        <v>5.2928210000000003E-2</v>
      </c>
      <c r="S66" s="33">
        <v>0.13530779000000001</v>
      </c>
      <c r="T66" s="33">
        <v>-1.8584370999999999E-2</v>
      </c>
      <c r="U66" s="33">
        <v>1.2315512000000001E-3</v>
      </c>
      <c r="V66" s="33">
        <v>3.3190846000000003E-2</v>
      </c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</row>
    <row r="67" spans="1:38" x14ac:dyDescent="0.35">
      <c r="A67" s="2">
        <v>43679</v>
      </c>
      <c r="B67" s="33">
        <v>-6.1273629999999996E-2</v>
      </c>
      <c r="C67" s="33">
        <v>-7.8387680000000001E-2</v>
      </c>
      <c r="D67" s="33">
        <v>-3.0998826E-2</v>
      </c>
      <c r="E67" s="33">
        <v>-3.2614707999999999E-2</v>
      </c>
      <c r="F67" s="33">
        <v>-8.0706180000000002E-2</v>
      </c>
      <c r="G67" s="33">
        <v>-6.3281592999999997E-2</v>
      </c>
      <c r="H67" s="33">
        <v>-5.8178186E-2</v>
      </c>
      <c r="I67" s="33">
        <v>-3.2340407000000002E-2</v>
      </c>
      <c r="J67" s="33">
        <v>-8.5266059999999991E-2</v>
      </c>
      <c r="K67" s="33">
        <v>-7.6143026000000003E-2</v>
      </c>
      <c r="L67" s="33">
        <v>9.1147420000000008E-4</v>
      </c>
      <c r="M67" s="33">
        <v>-8.1928199999999993E-2</v>
      </c>
      <c r="N67" s="33">
        <v>-2.3517369999999999E-2</v>
      </c>
      <c r="O67" s="33">
        <v>-9.3907240000000003E-2</v>
      </c>
      <c r="P67" s="33">
        <v>-7.2694120000000001E-2</v>
      </c>
      <c r="Q67" s="33">
        <v>-4.9320579999999996E-2</v>
      </c>
      <c r="R67" s="33">
        <v>-2.2999703999999999E-2</v>
      </c>
      <c r="S67" s="33">
        <v>1.6607284999999999E-2</v>
      </c>
      <c r="T67" s="33">
        <v>3.3431292000000001E-2</v>
      </c>
      <c r="U67" s="33">
        <v>-1.1685133E-2</v>
      </c>
      <c r="V67" s="33">
        <v>-3.5304784999999998E-2</v>
      </c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</row>
    <row r="68" spans="1:38" x14ac:dyDescent="0.35">
      <c r="A68" s="2">
        <v>43712</v>
      </c>
      <c r="B68" s="33">
        <v>3.3003330000000004E-2</v>
      </c>
      <c r="C68" s="33">
        <v>-5.2320900000000004E-2</v>
      </c>
      <c r="D68" s="33">
        <v>-1.0663509E-2</v>
      </c>
      <c r="E68" s="33">
        <v>-2.6571452999999998E-2</v>
      </c>
      <c r="F68" s="33">
        <v>-5.3955197000000003E-2</v>
      </c>
      <c r="G68" s="33">
        <v>-2.0648062000000002E-2</v>
      </c>
      <c r="H68" s="33">
        <v>-1.3060390999999999E-2</v>
      </c>
      <c r="I68" s="33">
        <v>3.6059737000000001E-2</v>
      </c>
      <c r="J68" s="33">
        <v>4.0517089999999999E-2</v>
      </c>
      <c r="K68" s="33">
        <v>9.4883439999999993E-3</v>
      </c>
      <c r="L68" s="33">
        <v>-6.2158464999999996E-2</v>
      </c>
      <c r="M68" s="33">
        <v>-1.8766164999999998E-2</v>
      </c>
      <c r="N68" s="33">
        <v>-4.8167585999999998E-2</v>
      </c>
      <c r="O68" s="33">
        <v>-2.59099E-2</v>
      </c>
      <c r="P68" s="33">
        <v>2.1785736E-2</v>
      </c>
      <c r="Q68" s="33">
        <v>4.6168566000000001E-3</v>
      </c>
      <c r="R68" s="33">
        <v>-1.5474439E-2</v>
      </c>
      <c r="S68" s="33">
        <v>-9.3348620000000011E-3</v>
      </c>
      <c r="T68" s="33">
        <v>-3.6257505000000003E-4</v>
      </c>
      <c r="U68" s="33">
        <v>-2.1157444000000001E-2</v>
      </c>
      <c r="V68" s="33">
        <v>-4.2227029999999999E-2</v>
      </c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</row>
    <row r="69" spans="1:38" x14ac:dyDescent="0.35">
      <c r="A69" s="2">
        <v>43742</v>
      </c>
      <c r="B69" s="33">
        <v>-1.8359958999999999E-2</v>
      </c>
      <c r="C69" s="33">
        <v>7.5594663999999992E-2</v>
      </c>
      <c r="D69" s="33">
        <v>-3.5928130000000003E-2</v>
      </c>
      <c r="E69" s="33">
        <v>-1.9371867000000001E-2</v>
      </c>
      <c r="F69" s="33">
        <v>-1.9333363E-3</v>
      </c>
      <c r="G69" s="33">
        <v>5.5636169999999999E-3</v>
      </c>
      <c r="H69" s="33">
        <v>-1.5021384E-2</v>
      </c>
      <c r="I69" s="33">
        <v>3.8766265000000001E-2</v>
      </c>
      <c r="J69" s="33">
        <v>4.2522669999999999E-2</v>
      </c>
      <c r="K69" s="33">
        <v>3.4279466000000001E-2</v>
      </c>
      <c r="L69" s="33">
        <v>2.2335530000000003E-2</v>
      </c>
      <c r="M69" s="33">
        <v>-1.4242113000000001E-2</v>
      </c>
      <c r="N69" s="33">
        <v>-1.6501605999999999E-2</v>
      </c>
      <c r="O69" s="33">
        <v>3.7682055999999998E-2</v>
      </c>
      <c r="P69" s="33">
        <v>-9.2625620000000002E-3</v>
      </c>
      <c r="Q69" s="33">
        <v>1.262188E-2</v>
      </c>
      <c r="R69" s="33">
        <v>-3.1760989999999996E-2</v>
      </c>
      <c r="S69" s="33">
        <v>3.2587410000000004E-2</v>
      </c>
      <c r="T69" s="33">
        <v>-3.8399994E-2</v>
      </c>
      <c r="U69" s="33">
        <v>3.2422184999999999E-2</v>
      </c>
      <c r="V69" s="33">
        <v>-1.9268453000000001E-2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</row>
    <row r="70" spans="1:38" x14ac:dyDescent="0.35">
      <c r="A70" s="2">
        <v>43773</v>
      </c>
      <c r="B70" s="33">
        <v>6.137538E-2</v>
      </c>
      <c r="C70" s="33">
        <v>-8.0021090000000003E-2</v>
      </c>
      <c r="D70" s="33">
        <v>3.7681103000000001E-2</v>
      </c>
      <c r="E70" s="33">
        <v>7.6623796999999993E-2</v>
      </c>
      <c r="F70" s="33">
        <v>8.668279999999999E-2</v>
      </c>
      <c r="G70" s="33">
        <v>4.4845699999999995E-2</v>
      </c>
      <c r="H70" s="33">
        <v>3.8489460000000003E-2</v>
      </c>
      <c r="I70" s="33">
        <v>8.9076520000000006E-2</v>
      </c>
      <c r="J70" s="33">
        <v>3.1851530000000003E-2</v>
      </c>
      <c r="K70" s="33">
        <v>8.0719949999999999E-2</v>
      </c>
      <c r="L70" s="33">
        <v>6.9104669999999993E-2</v>
      </c>
      <c r="M70" s="33">
        <v>5.2012444000000005E-2</v>
      </c>
      <c r="N70" s="33">
        <v>0.11297536</v>
      </c>
      <c r="O70" s="33">
        <v>6.7134619999999992E-2</v>
      </c>
      <c r="P70" s="33">
        <v>6.4738034999999999E-2</v>
      </c>
      <c r="Q70" s="33">
        <v>-2.8328300000000002E-3</v>
      </c>
      <c r="R70" s="33">
        <v>1.0143518000000001E-2</v>
      </c>
      <c r="S70" s="33">
        <v>-4.4486704000000002E-2</v>
      </c>
      <c r="T70" s="33">
        <v>2.2189260000000002E-2</v>
      </c>
      <c r="U70" s="33">
        <v>2.7709365E-2</v>
      </c>
      <c r="V70" s="33">
        <v>-4.3290080000000002E-2</v>
      </c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</row>
    <row r="71" spans="1:38" x14ac:dyDescent="0.35">
      <c r="A71" s="2">
        <v>43803</v>
      </c>
      <c r="B71" s="33">
        <v>-3.0323744E-2</v>
      </c>
      <c r="C71" s="33">
        <v>-0.10271817</v>
      </c>
      <c r="D71" s="33">
        <v>-1.5961707000000002E-2</v>
      </c>
      <c r="E71" s="33">
        <v>-4.3925523999999994E-2</v>
      </c>
      <c r="F71" s="33">
        <v>-8.0213970000000009E-2</v>
      </c>
      <c r="G71" s="33">
        <v>-4.6544074999999997E-2</v>
      </c>
      <c r="H71" s="33">
        <v>-3.8461566000000003E-2</v>
      </c>
      <c r="I71" s="33">
        <v>-5.0024986000000004E-3</v>
      </c>
      <c r="J71" s="33">
        <v>-4.3526530000000001E-2</v>
      </c>
      <c r="K71" s="33">
        <v>-5.1277820000000002E-2</v>
      </c>
      <c r="L71" s="33">
        <v>-3.1319439999999997E-2</v>
      </c>
      <c r="M71" s="33">
        <v>-2.8055726999999999E-2</v>
      </c>
      <c r="N71" s="33">
        <v>-1.3065337999999999E-2</v>
      </c>
      <c r="O71" s="33">
        <v>-4.5753716999999998E-3</v>
      </c>
      <c r="P71" s="33">
        <v>-1.5241921E-2</v>
      </c>
      <c r="Q71" s="33">
        <v>1.6693233999999998E-2</v>
      </c>
      <c r="R71" s="33">
        <v>-3.5013139999999998E-2</v>
      </c>
      <c r="S71" s="33">
        <v>6.1679363000000001E-2</v>
      </c>
      <c r="T71" s="33">
        <v>-1.1931955999999999E-2</v>
      </c>
      <c r="U71" s="33">
        <v>-4.6135426E-2</v>
      </c>
      <c r="V71" s="33">
        <v>3.2022238000000001E-2</v>
      </c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</row>
    <row r="72" spans="1:38" x14ac:dyDescent="0.35">
      <c r="A72" s="2">
        <v>43833</v>
      </c>
      <c r="B72" s="33">
        <v>8.6269259999999987E-2</v>
      </c>
      <c r="C72" s="33">
        <v>8.2398299999999994E-2</v>
      </c>
      <c r="D72" s="33">
        <v>3.9190412000000001E-2</v>
      </c>
      <c r="E72" s="33">
        <v>-1.2769520000000001E-2</v>
      </c>
      <c r="F72" s="33">
        <v>5.2371024999999995E-2</v>
      </c>
      <c r="G72" s="33">
        <v>8.9877719999999994E-2</v>
      </c>
      <c r="H72" s="33">
        <v>5.0955652999999997E-2</v>
      </c>
      <c r="I72" s="33">
        <v>5.8019040000000001E-2</v>
      </c>
      <c r="J72" s="33">
        <v>7.6300382999999999E-2</v>
      </c>
      <c r="K72" s="33">
        <v>8.1519600000000011E-2</v>
      </c>
      <c r="L72" s="33">
        <v>0.11667859999999999</v>
      </c>
      <c r="M72" s="33">
        <v>6.8903803999999999E-2</v>
      </c>
      <c r="N72" s="33">
        <v>4.1337013000000006E-2</v>
      </c>
      <c r="O72" s="33">
        <v>5.8217049999999999E-3</v>
      </c>
      <c r="P72" s="33">
        <v>0.10343063000000001</v>
      </c>
      <c r="Q72" s="33">
        <v>5.694747E-3</v>
      </c>
      <c r="R72" s="33">
        <v>1.8857241E-2</v>
      </c>
      <c r="S72" s="33">
        <v>1.3082623E-2</v>
      </c>
      <c r="T72" s="33">
        <v>-2.0878673E-2</v>
      </c>
      <c r="U72" s="33">
        <v>1.8415927999999998E-2</v>
      </c>
      <c r="V72" s="33">
        <v>4.2627930000000001E-2</v>
      </c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</row>
    <row r="73" spans="1:38" x14ac:dyDescent="0.35">
      <c r="A73" s="2">
        <v>43865</v>
      </c>
      <c r="B73" s="33">
        <v>-6.8189263E-2</v>
      </c>
      <c r="C73" s="33">
        <v>-6.1116036999999998E-2</v>
      </c>
      <c r="D73" s="33">
        <v>-4.3002367E-2</v>
      </c>
      <c r="E73" s="33">
        <v>-6.2205133000000003E-2</v>
      </c>
      <c r="F73" s="33">
        <v>-3.8171529999999995E-2</v>
      </c>
      <c r="G73" s="33">
        <v>-4.926908E-2</v>
      </c>
      <c r="H73" s="33">
        <v>-5.1784460000000004E-2</v>
      </c>
      <c r="I73" s="33">
        <v>-3.2391666999999999E-2</v>
      </c>
      <c r="J73" s="33">
        <v>2.874577E-2</v>
      </c>
      <c r="K73" s="33">
        <v>-1.0999798999999999E-2</v>
      </c>
      <c r="L73" s="33">
        <v>-6.8139195E-2</v>
      </c>
      <c r="M73" s="33">
        <v>-4.4444504000000003E-2</v>
      </c>
      <c r="N73" s="33">
        <v>-4.8804759999999996E-2</v>
      </c>
      <c r="O73" s="33">
        <v>-3.1446815E-3</v>
      </c>
      <c r="P73" s="33">
        <v>-2.5850057999999999E-2</v>
      </c>
      <c r="Q73" s="33">
        <v>-8.9188814000000002E-3</v>
      </c>
      <c r="R73" s="33">
        <v>-4.7392725999999996E-2</v>
      </c>
      <c r="S73" s="33">
        <v>6.2850714000000002E-2</v>
      </c>
      <c r="T73" s="33">
        <v>-2.8653681E-2</v>
      </c>
      <c r="U73" s="33">
        <v>-6.1528863999999996E-2</v>
      </c>
      <c r="V73" s="33">
        <v>-2.7832389999999999E-2</v>
      </c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</row>
    <row r="74" spans="1:38" x14ac:dyDescent="0.35">
      <c r="A74" s="2">
        <v>43894</v>
      </c>
      <c r="B74" s="33">
        <v>0.10294115</v>
      </c>
      <c r="C74" s="33">
        <v>-9.5282970000000008E-2</v>
      </c>
      <c r="D74" s="33">
        <v>-7.4346422999999995E-2</v>
      </c>
      <c r="E74" s="33">
        <v>-5.9100865999999995E-2</v>
      </c>
      <c r="F74" s="33">
        <v>-0.10877019</v>
      </c>
      <c r="G74" s="33">
        <v>-7.2118399999999999E-2</v>
      </c>
      <c r="H74" s="33">
        <v>-4.2804419999999996E-2</v>
      </c>
      <c r="I74" s="33">
        <v>-1.2081563E-2</v>
      </c>
      <c r="J74" s="33">
        <v>-7.0914507000000002E-2</v>
      </c>
      <c r="K74" s="33">
        <v>-4.4156732999999997E-2</v>
      </c>
      <c r="L74" s="33">
        <v>-0.13282651000000001</v>
      </c>
      <c r="M74" s="33">
        <v>-8.7589630000000002E-2</v>
      </c>
      <c r="N74" s="33">
        <v>-0.16020948000000002</v>
      </c>
      <c r="O74" s="33">
        <v>-8.2592490000000005E-2</v>
      </c>
      <c r="P74" s="33">
        <v>4.8965216000000002E-3</v>
      </c>
      <c r="Q74" s="33">
        <v>-0.10121548000000001</v>
      </c>
      <c r="R74" s="33">
        <v>-9.2649640000000005E-2</v>
      </c>
      <c r="S74" s="33">
        <v>-9.9612829999999999E-2</v>
      </c>
      <c r="T74" s="33">
        <v>-7.7532053000000004E-2</v>
      </c>
      <c r="U74" s="33">
        <v>-7.4172260000000004E-2</v>
      </c>
      <c r="V74" s="33">
        <v>-8.3193009999999998E-2</v>
      </c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</row>
    <row r="75" spans="1:38" x14ac:dyDescent="0.35">
      <c r="A75" s="2">
        <v>43924</v>
      </c>
      <c r="B75" s="33">
        <v>-0.12190479</v>
      </c>
      <c r="C75" s="33">
        <v>-0.22714632000000001</v>
      </c>
      <c r="D75" s="33">
        <v>-0.38349514000000001</v>
      </c>
      <c r="E75" s="33">
        <v>-0.24824589</v>
      </c>
      <c r="F75" s="33">
        <v>-0.27377683999999997</v>
      </c>
      <c r="G75" s="33">
        <v>-0.32887756000000001</v>
      </c>
      <c r="H75" s="33">
        <v>-0.16345410999999999</v>
      </c>
      <c r="I75" s="33">
        <v>-0.17095542999999999</v>
      </c>
      <c r="J75" s="33">
        <v>-0.41672359999999997</v>
      </c>
      <c r="K75" s="33">
        <v>-0.21587355</v>
      </c>
      <c r="L75" s="33">
        <v>-0.43811236999999997</v>
      </c>
      <c r="M75" s="33">
        <v>-0.36969990000000003</v>
      </c>
      <c r="N75" s="33">
        <v>-0.34039900000000001</v>
      </c>
      <c r="O75" s="33">
        <v>-0.31197249999999999</v>
      </c>
      <c r="P75" s="33">
        <v>-0.11662995999999999</v>
      </c>
      <c r="Q75" s="33">
        <v>-5.9694347000000002E-2</v>
      </c>
      <c r="R75" s="33">
        <v>-0.17392158999999999</v>
      </c>
      <c r="S75" s="33">
        <v>-0.27091480000000001</v>
      </c>
      <c r="T75" s="33">
        <v>-0.23789643999999999</v>
      </c>
      <c r="U75" s="33">
        <v>-0.2321173</v>
      </c>
      <c r="V75" s="33">
        <v>-7.2373209999999993E-2</v>
      </c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</row>
    <row r="76" spans="1:38" x14ac:dyDescent="0.35">
      <c r="A76" s="2">
        <v>43955</v>
      </c>
      <c r="B76" s="33">
        <v>3.6954879999999997E-6</v>
      </c>
      <c r="C76" s="33">
        <v>0.11041152999999999</v>
      </c>
      <c r="D76" s="33">
        <v>0.1460272</v>
      </c>
      <c r="E76" s="33">
        <v>6.2222239999999998E-2</v>
      </c>
      <c r="F76" s="33">
        <v>0.11203634</v>
      </c>
      <c r="G76" s="33">
        <v>0.16788291999999999</v>
      </c>
      <c r="H76" s="33">
        <v>7.9723477000000001E-2</v>
      </c>
      <c r="I76" s="33">
        <v>0.12753523</v>
      </c>
      <c r="J76" s="33">
        <v>0.14453125</v>
      </c>
      <c r="K76" s="33">
        <v>0.11118484000000001</v>
      </c>
      <c r="L76" s="33">
        <v>9.5915429999999996E-2</v>
      </c>
      <c r="M76" s="33">
        <v>0.18065012</v>
      </c>
      <c r="N76" s="33">
        <v>0.13421679</v>
      </c>
      <c r="O76" s="33">
        <v>0.20854164</v>
      </c>
      <c r="P76" s="33">
        <v>3.0249119000000001E-2</v>
      </c>
      <c r="Q76" s="33">
        <v>5.4209113000000003E-2</v>
      </c>
      <c r="R76" s="33">
        <v>0.142970085</v>
      </c>
      <c r="S76" s="33">
        <v>4.664886E-2</v>
      </c>
      <c r="T76" s="33">
        <v>0.10514784000000001</v>
      </c>
      <c r="U76" s="33">
        <v>0.11411274</v>
      </c>
      <c r="V76" s="33">
        <v>-3.8019775999999998E-2</v>
      </c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</row>
    <row r="77" spans="1:38" x14ac:dyDescent="0.35">
      <c r="A77" s="2">
        <v>43986</v>
      </c>
      <c r="B77" s="33">
        <v>7.6641082999999999E-2</v>
      </c>
      <c r="C77" s="33">
        <v>7.4726580000000001E-2</v>
      </c>
      <c r="D77" s="33">
        <v>0.18800747000000001</v>
      </c>
      <c r="E77" s="33">
        <v>0.18912136000000002</v>
      </c>
      <c r="F77" s="33">
        <v>0.1803949</v>
      </c>
      <c r="G77" s="33">
        <v>0.13227057</v>
      </c>
      <c r="H77" s="33">
        <v>0.14980793000000001</v>
      </c>
      <c r="I77" s="33">
        <v>5.5873632000000006E-2</v>
      </c>
      <c r="J77" s="33">
        <v>0.15017069</v>
      </c>
      <c r="K77" s="33">
        <v>0.14550531</v>
      </c>
      <c r="L77" s="33">
        <v>0.27010059999999997</v>
      </c>
      <c r="M77" s="33">
        <v>0.17733670000000001</v>
      </c>
      <c r="N77" s="33">
        <v>0.12944448</v>
      </c>
      <c r="O77" s="33">
        <v>7.2932363E-2</v>
      </c>
      <c r="P77" s="33">
        <v>9.8618269999999994E-2</v>
      </c>
      <c r="Q77" s="33">
        <v>4.1207789999999994E-2</v>
      </c>
      <c r="R77" s="33">
        <v>8.4008100000000002E-2</v>
      </c>
      <c r="S77" s="33">
        <v>0.16086065000000002</v>
      </c>
      <c r="T77" s="33">
        <v>4.5589684999999998E-2</v>
      </c>
      <c r="U77" s="33">
        <v>0.17140471999999998</v>
      </c>
      <c r="V77" s="33">
        <v>0.11321533</v>
      </c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</row>
    <row r="78" spans="1:38" x14ac:dyDescent="0.35">
      <c r="A78" s="2">
        <v>44014</v>
      </c>
      <c r="B78" s="33">
        <v>0.11498509999999999</v>
      </c>
      <c r="C78" s="33">
        <v>4.8518660000000005E-2</v>
      </c>
      <c r="D78" s="33">
        <v>-1.7670750999999998E-2</v>
      </c>
      <c r="E78" s="33">
        <v>1.3817549000000001E-3</v>
      </c>
      <c r="F78" s="33">
        <v>-1.0094582999999999E-2</v>
      </c>
      <c r="G78" s="33">
        <v>-1.3140321E-2</v>
      </c>
      <c r="H78" s="33">
        <v>-1.0189295000000001E-2</v>
      </c>
      <c r="I78" s="33">
        <v>6.763029000000001E-2</v>
      </c>
      <c r="J78" s="33">
        <v>-2.5996923000000002E-2</v>
      </c>
      <c r="K78" s="33">
        <v>1.6008377000000001E-2</v>
      </c>
      <c r="L78" s="33">
        <v>-1.6929090000000001E-2</v>
      </c>
      <c r="M78" s="33">
        <v>1.5841126000000001E-2</v>
      </c>
      <c r="N78" s="33">
        <v>-1.2571216000000001E-2</v>
      </c>
      <c r="O78" s="33">
        <v>6.6994904999999993E-2</v>
      </c>
      <c r="P78" s="33">
        <v>7.6786399999999991E-2</v>
      </c>
      <c r="Q78" s="33">
        <v>1.8782258E-2</v>
      </c>
      <c r="R78" s="33">
        <v>-2.7455508999999999E-2</v>
      </c>
      <c r="S78" s="33">
        <v>4.2276859999999999E-2</v>
      </c>
      <c r="T78" s="33">
        <v>9.8466873000000003E-3</v>
      </c>
      <c r="U78" s="33">
        <v>-1.3561785E-2</v>
      </c>
      <c r="V78" s="33">
        <v>9.0203285000000008E-3</v>
      </c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</row>
    <row r="79" spans="1:38" x14ac:dyDescent="0.35">
      <c r="A79" s="2">
        <v>44047</v>
      </c>
      <c r="B79" s="33">
        <v>0.11782479</v>
      </c>
      <c r="C79" s="33">
        <v>-1.7955362999999998E-2</v>
      </c>
      <c r="D79" s="33">
        <v>9.729742999999999E-3</v>
      </c>
      <c r="E79" s="33">
        <v>-9.0137900000000007E-2</v>
      </c>
      <c r="F79" s="33">
        <v>6.7098259999999993E-2</v>
      </c>
      <c r="G79" s="33">
        <v>8.1581829999999994E-2</v>
      </c>
      <c r="H79" s="33">
        <v>4.5576334000000003E-2</v>
      </c>
      <c r="I79" s="33">
        <v>9.163439000000001E-2</v>
      </c>
      <c r="J79" s="33">
        <v>-1.2232481999999999E-2</v>
      </c>
      <c r="K79" s="33">
        <v>5.7372930000000003E-2</v>
      </c>
      <c r="L79" s="33">
        <v>6.9585920000000009E-2</v>
      </c>
      <c r="M79" s="33">
        <v>1.3355136E-2</v>
      </c>
      <c r="N79" s="33">
        <v>1.8054127999999999E-2</v>
      </c>
      <c r="O79" s="33">
        <v>6.6183686000000005E-2</v>
      </c>
      <c r="P79" s="33">
        <v>8.4554560000000001E-2</v>
      </c>
      <c r="Q79" s="33">
        <v>2.9970050000000002E-2</v>
      </c>
      <c r="R79" s="33">
        <v>-3.0212699999999999E-2</v>
      </c>
      <c r="S79" s="33">
        <v>-8.3972690000000003E-2</v>
      </c>
      <c r="T79" s="33">
        <v>3.8118720000000002E-2</v>
      </c>
      <c r="U79" s="33">
        <v>3.9073825E-2</v>
      </c>
      <c r="V79" s="33">
        <v>-3.7270784000000001E-4</v>
      </c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</row>
    <row r="80" spans="1:38" x14ac:dyDescent="0.35">
      <c r="A80" s="2">
        <v>44078</v>
      </c>
      <c r="B80" s="33">
        <v>2.5945902E-2</v>
      </c>
      <c r="C80" s="33">
        <v>-3.9552212000000003E-2</v>
      </c>
      <c r="D80" s="33">
        <v>3.7473201999999997E-2</v>
      </c>
      <c r="E80" s="33">
        <v>3.1080246000000002E-3</v>
      </c>
      <c r="F80" s="33">
        <v>-3.9713143999999999E-2</v>
      </c>
      <c r="G80" s="33">
        <v>2.4703503000000002E-2</v>
      </c>
      <c r="H80" s="33">
        <v>-4.4322309999999997E-2</v>
      </c>
      <c r="I80" s="33">
        <v>-2.0376563E-2</v>
      </c>
      <c r="J80" s="33">
        <v>2.7244568E-2</v>
      </c>
      <c r="K80" s="33">
        <v>3.2393932E-2</v>
      </c>
      <c r="L80" s="33">
        <v>-1.0155498999999998E-2</v>
      </c>
      <c r="M80" s="33">
        <v>2.6893616000000001E-4</v>
      </c>
      <c r="N80" s="33">
        <v>2.4630546999999999E-2</v>
      </c>
      <c r="O80" s="33">
        <v>3.242743E-2</v>
      </c>
      <c r="P80" s="33">
        <v>1.0809302E-2</v>
      </c>
      <c r="Q80" s="33">
        <v>2.8486609999999999E-2</v>
      </c>
      <c r="R80" s="33">
        <v>-1.4171898E-2</v>
      </c>
      <c r="S80" s="33">
        <v>-6.6542570000000009E-2</v>
      </c>
      <c r="T80" s="33">
        <v>3.3857942000000002E-2</v>
      </c>
      <c r="U80" s="33">
        <v>4.5264720000000001E-2</v>
      </c>
      <c r="V80" s="33">
        <v>6.785977E-2</v>
      </c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</row>
    <row r="81" spans="1:38" x14ac:dyDescent="0.35">
      <c r="A81" s="2">
        <v>44106</v>
      </c>
      <c r="B81" s="33">
        <v>-3.2665908E-2</v>
      </c>
      <c r="C81" s="33">
        <v>-6.5656604999999993E-2</v>
      </c>
      <c r="D81" s="33">
        <v>-0.10165112999999999</v>
      </c>
      <c r="E81" s="33">
        <v>4.4926405000000003E-2</v>
      </c>
      <c r="F81" s="33">
        <v>-5.9735719999999999E-2</v>
      </c>
      <c r="G81" s="33">
        <v>-5.5265244999999998E-2</v>
      </c>
      <c r="H81" s="33">
        <v>4.5994520000000004E-3</v>
      </c>
      <c r="I81" s="33">
        <v>1.6730784999999998E-2</v>
      </c>
      <c r="J81" s="33">
        <v>2.4110079E-3</v>
      </c>
      <c r="K81" s="33">
        <v>2.2748708999999999E-2</v>
      </c>
      <c r="L81" s="33">
        <v>-0.12920809</v>
      </c>
      <c r="M81" s="33">
        <v>8.6044073000000002E-3</v>
      </c>
      <c r="N81" s="33">
        <v>-4.6634555000000001E-2</v>
      </c>
      <c r="O81" s="33">
        <v>1.9443630999999999E-2</v>
      </c>
      <c r="P81" s="33">
        <v>-1.0961114999999999E-2</v>
      </c>
      <c r="Q81" s="33">
        <v>2.712059E-2</v>
      </c>
      <c r="R81" s="33">
        <v>-5.6717040000000003E-2</v>
      </c>
      <c r="S81" s="33">
        <v>-1.5453636999999999E-2</v>
      </c>
      <c r="T81" s="33">
        <v>-3.1365335000000001E-2</v>
      </c>
      <c r="U81" s="33">
        <v>-1.0659574999999999E-2</v>
      </c>
      <c r="V81" s="33">
        <v>2.1648049999999999E-2</v>
      </c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</row>
    <row r="82" spans="1:38" x14ac:dyDescent="0.35">
      <c r="A82" s="2">
        <v>44139</v>
      </c>
      <c r="B82" s="33">
        <v>8.2788580000000001E-2</v>
      </c>
      <c r="C82" s="33">
        <v>7.9002380000000004E-3</v>
      </c>
      <c r="D82" s="33">
        <v>0.11372768000000001</v>
      </c>
      <c r="E82" s="33">
        <v>0.101927395</v>
      </c>
      <c r="F82" s="33">
        <v>-5.8033046999999997E-2</v>
      </c>
      <c r="G82" s="33">
        <v>6.1005353999999999E-3</v>
      </c>
      <c r="H82" s="33">
        <v>-6.8675280000000003E-3</v>
      </c>
      <c r="I82" s="33">
        <v>4.0471435E-2</v>
      </c>
      <c r="J82" s="33">
        <v>5.051112E-2</v>
      </c>
      <c r="K82" s="33">
        <v>5.5683374000000001E-2</v>
      </c>
      <c r="L82" s="33">
        <v>4.5287129999999995E-2</v>
      </c>
      <c r="M82" s="33">
        <v>5.9450865000000006E-2</v>
      </c>
      <c r="N82" s="33">
        <v>-5.7992935000000002E-2</v>
      </c>
      <c r="O82" s="33">
        <v>2.2300363E-2</v>
      </c>
      <c r="P82" s="33">
        <v>0.1006893</v>
      </c>
      <c r="Q82" s="33">
        <v>-2.9775201999999997E-2</v>
      </c>
      <c r="R82" s="33">
        <v>-1.2201726E-2</v>
      </c>
      <c r="S82" s="33">
        <v>-5.8227834999999999E-2</v>
      </c>
      <c r="T82" s="33">
        <v>2.5714278E-2</v>
      </c>
      <c r="U82" s="33">
        <v>4.1077374999999999E-2</v>
      </c>
      <c r="V82" s="33">
        <v>4.4429301999999995E-3</v>
      </c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</row>
    <row r="83" spans="1:38" x14ac:dyDescent="0.35">
      <c r="A83" s="2">
        <v>44169</v>
      </c>
      <c r="B83" s="33">
        <v>4.2756557000000001E-2</v>
      </c>
      <c r="C83" s="33">
        <v>0.19265675000000002</v>
      </c>
      <c r="D83" s="33">
        <v>0.17276955000000002</v>
      </c>
      <c r="E83" s="33">
        <v>0.10326266000000001</v>
      </c>
      <c r="F83" s="33">
        <v>0.23735405000000001</v>
      </c>
      <c r="G83" s="33">
        <v>0.16503215999999998</v>
      </c>
      <c r="H83" s="33">
        <v>0.10257398999999999</v>
      </c>
      <c r="I83" s="33">
        <v>0.11540926000000001</v>
      </c>
      <c r="J83" s="33">
        <v>0.23354327999999999</v>
      </c>
      <c r="K83" s="33">
        <v>0.20589946999999997</v>
      </c>
      <c r="L83" s="33">
        <v>0.27333582000000001</v>
      </c>
      <c r="M83" s="33">
        <v>0.10468042000000001</v>
      </c>
      <c r="N83" s="33">
        <v>0.39052463999999998</v>
      </c>
      <c r="O83" s="33">
        <v>9.1561429999999999E-2</v>
      </c>
      <c r="P83" s="33">
        <v>-8.5953473999999998E-3</v>
      </c>
      <c r="Q83" s="33">
        <v>8.5425620000000008E-2</v>
      </c>
      <c r="R83" s="33">
        <v>0.18601322000000001</v>
      </c>
      <c r="S83" s="33">
        <v>0.24731182000000002</v>
      </c>
      <c r="T83" s="33">
        <v>9.4206090000000006E-2</v>
      </c>
      <c r="U83" s="33">
        <v>6.209576E-2</v>
      </c>
      <c r="V83" s="33">
        <v>7.3154209999999997E-2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</row>
    <row r="84" spans="1:38" x14ac:dyDescent="0.35">
      <c r="A84" s="2">
        <v>44200</v>
      </c>
      <c r="B84" s="33">
        <v>6.0121536000000003E-2</v>
      </c>
      <c r="C84" s="33">
        <v>7.3690175999999996E-2</v>
      </c>
      <c r="D84" s="33">
        <v>5.5723190000000006E-2</v>
      </c>
      <c r="E84" s="33">
        <v>1.2681484000000001E-3</v>
      </c>
      <c r="F84" s="33">
        <v>1.8900633E-2</v>
      </c>
      <c r="G84" s="33">
        <v>2.4448156000000002E-2</v>
      </c>
      <c r="H84" s="33">
        <v>-1.0104537E-2</v>
      </c>
      <c r="I84" s="33">
        <v>5.0012470000000003E-2</v>
      </c>
      <c r="J84" s="33">
        <v>1.7026663000000001E-2</v>
      </c>
      <c r="K84" s="33">
        <v>7.2469829999999999E-2</v>
      </c>
      <c r="L84" s="33">
        <v>1.9332169999999999E-2</v>
      </c>
      <c r="M84" s="33">
        <v>4.4986485999999999E-2</v>
      </c>
      <c r="N84" s="33">
        <v>1.0723472000000001E-2</v>
      </c>
      <c r="O84" s="33">
        <v>6.0824037000000004E-2</v>
      </c>
      <c r="P84" s="33">
        <v>1.3928055999999999E-2</v>
      </c>
      <c r="Q84" s="33">
        <v>-5.0839780000000003E-3</v>
      </c>
      <c r="R84" s="33">
        <v>1.2698054E-2</v>
      </c>
      <c r="S84" s="33">
        <v>0.15549505</v>
      </c>
      <c r="T84" s="33">
        <v>1.6365767E-2</v>
      </c>
      <c r="U84" s="33">
        <v>7.3264003000000008E-2</v>
      </c>
      <c r="V84" s="33">
        <v>-1.0622620000000001E-2</v>
      </c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</row>
    <row r="85" spans="1:38" x14ac:dyDescent="0.35">
      <c r="A85" s="2">
        <v>44231</v>
      </c>
      <c r="B85" s="33">
        <v>4.1542410000000002E-2</v>
      </c>
      <c r="C85" s="33">
        <v>-8.7434650000000006E-3</v>
      </c>
      <c r="D85" s="33">
        <v>-9.6516610000000006E-3</v>
      </c>
      <c r="E85" s="33">
        <v>-4.6994210000000002E-2</v>
      </c>
      <c r="F85" s="33">
        <v>-2.8955519999999998E-2</v>
      </c>
      <c r="G85" s="33">
        <v>5.2508116000000004E-3</v>
      </c>
      <c r="H85" s="33">
        <v>-2.8511047000000001E-2</v>
      </c>
      <c r="I85" s="33">
        <v>7.5678705999999998E-2</v>
      </c>
      <c r="J85" s="33">
        <v>-4.2003335999999995E-2</v>
      </c>
      <c r="K85" s="33">
        <v>3.7250876000000002E-2</v>
      </c>
      <c r="L85" s="33">
        <v>-2.980584E-2</v>
      </c>
      <c r="M85" s="33">
        <v>4.7683834999999994E-2</v>
      </c>
      <c r="N85" s="33">
        <v>-8.0870919999999999E-2</v>
      </c>
      <c r="O85" s="33">
        <v>4.7134639999999998E-2</v>
      </c>
      <c r="P85" s="33">
        <v>0.13035452</v>
      </c>
      <c r="Q85" s="33">
        <v>-1.0187685E-2</v>
      </c>
      <c r="R85" s="33">
        <v>1.003921E-2</v>
      </c>
      <c r="S85" s="33">
        <v>7.8218579999999996E-2</v>
      </c>
      <c r="T85" s="33">
        <v>0.10526312</v>
      </c>
      <c r="U85" s="33">
        <v>1.7094135E-2</v>
      </c>
      <c r="V85" s="33">
        <v>-2.8929709999999998E-3</v>
      </c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</row>
    <row r="86" spans="1:38" x14ac:dyDescent="0.35">
      <c r="A86" s="2">
        <v>44259</v>
      </c>
      <c r="B86" s="33">
        <v>-5.5971804E-2</v>
      </c>
      <c r="C86" s="33">
        <v>5.2270412000000002E-2</v>
      </c>
      <c r="D86" s="33">
        <v>-3.4322023E-2</v>
      </c>
      <c r="E86" s="33">
        <v>-2.5936604000000002E-2</v>
      </c>
      <c r="F86" s="33">
        <v>-9.0521574E-3</v>
      </c>
      <c r="G86" s="33">
        <v>3.6438226999999997E-2</v>
      </c>
      <c r="H86" s="33">
        <v>-9.0579987000000001E-3</v>
      </c>
      <c r="I86" s="33">
        <v>-7.0872900000000004E-3</v>
      </c>
      <c r="J86" s="33">
        <v>4.5772790000000001E-3</v>
      </c>
      <c r="K86" s="33">
        <v>-4.4318256E-2</v>
      </c>
      <c r="L86" s="33">
        <v>-8.9064239999999989E-2</v>
      </c>
      <c r="M86" s="33">
        <v>2.4057270000000002E-2</v>
      </c>
      <c r="N86" s="33">
        <v>7.4873090000000003E-2</v>
      </c>
      <c r="O86" s="33">
        <v>3.790617E-3</v>
      </c>
      <c r="P86" s="33">
        <v>-7.6554479999999994E-2</v>
      </c>
      <c r="Q86" s="33">
        <v>-3.1110466E-2</v>
      </c>
      <c r="R86" s="33">
        <v>3.4477830000000001E-2</v>
      </c>
      <c r="S86" s="33">
        <v>-4.3387710000000003E-2</v>
      </c>
      <c r="T86" s="33">
        <v>-1.7384707999999999E-2</v>
      </c>
      <c r="U86" s="33">
        <v>-2.6890754999999999E-2</v>
      </c>
      <c r="V86" s="33">
        <v>6.9632529999999998E-2</v>
      </c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</row>
    <row r="87" spans="1:38" x14ac:dyDescent="0.35">
      <c r="A87" s="2">
        <v>44287</v>
      </c>
      <c r="B87" s="33">
        <v>-2.754438E-2</v>
      </c>
      <c r="C87" s="33">
        <v>6.4886689999999997E-2</v>
      </c>
      <c r="D87" s="33">
        <v>-3.7735879999999999E-2</v>
      </c>
      <c r="E87" s="33">
        <v>-3.9447784E-2</v>
      </c>
      <c r="F87" s="33">
        <v>-2.1494030999999999E-3</v>
      </c>
      <c r="G87" s="33">
        <v>-5.2775499999999996E-2</v>
      </c>
      <c r="H87" s="33">
        <v>-4.0219425999999999E-3</v>
      </c>
      <c r="I87" s="33">
        <v>4.9965261999999996E-2</v>
      </c>
      <c r="J87" s="33">
        <v>6.8824887000000001E-2</v>
      </c>
      <c r="K87" s="33">
        <v>3.5865187999999999E-2</v>
      </c>
      <c r="L87" s="33">
        <v>9.2821120000000003E-3</v>
      </c>
      <c r="M87" s="33">
        <v>6.4761876999999995E-2</v>
      </c>
      <c r="N87" s="33">
        <v>6.0212492999999999E-2</v>
      </c>
      <c r="O87" s="33">
        <v>2.3603440000000001E-4</v>
      </c>
      <c r="P87" s="33">
        <v>-2.2169888000000002E-2</v>
      </c>
      <c r="Q87" s="33">
        <v>6.6774009999999995E-2</v>
      </c>
      <c r="R87" s="33">
        <v>4.0518640000000002E-2</v>
      </c>
      <c r="S87" s="33">
        <v>-0.13715524000000001</v>
      </c>
      <c r="T87" s="33">
        <v>3.8461566000000003E-2</v>
      </c>
      <c r="U87" s="33">
        <v>6.7933082999999991E-2</v>
      </c>
      <c r="V87" s="33">
        <v>8.3484060000000013E-2</v>
      </c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</row>
    <row r="88" spans="1:38" x14ac:dyDescent="0.35">
      <c r="A88" s="2">
        <v>44320</v>
      </c>
      <c r="B88" s="33">
        <v>4.0806532000000001E-3</v>
      </c>
      <c r="C88" s="33">
        <v>-3.2653033999999997E-2</v>
      </c>
      <c r="D88" s="33">
        <v>-2.3255824999999997E-2</v>
      </c>
      <c r="E88" s="33">
        <v>-9.9246500000000001E-3</v>
      </c>
      <c r="F88" s="33">
        <v>5.492735E-2</v>
      </c>
      <c r="G88" s="33">
        <v>-8.4584290000000006E-2</v>
      </c>
      <c r="H88" s="33">
        <v>5.5066349999999993E-3</v>
      </c>
      <c r="I88" s="33">
        <v>2.7192829999999998E-2</v>
      </c>
      <c r="J88" s="33">
        <v>2.8270125E-2</v>
      </c>
      <c r="K88" s="33">
        <v>-3.7490726000000002E-3</v>
      </c>
      <c r="L88" s="33">
        <v>7.9705834000000003E-2</v>
      </c>
      <c r="M88" s="33">
        <v>-2.6038586999999998E-2</v>
      </c>
      <c r="N88" s="33">
        <v>4.4172169999999997E-2</v>
      </c>
      <c r="O88" s="33">
        <v>-3.3270419000000002E-2</v>
      </c>
      <c r="P88" s="33">
        <v>-2.5687397000000001E-2</v>
      </c>
      <c r="Q88" s="33">
        <v>2.9874206E-2</v>
      </c>
      <c r="R88" s="33">
        <v>-8.2316995E-3</v>
      </c>
      <c r="S88" s="33">
        <v>-1.9764543000000002E-2</v>
      </c>
      <c r="T88" s="33">
        <v>1.2592554000000001E-2</v>
      </c>
      <c r="U88" s="33">
        <v>8.6253880000000012E-3</v>
      </c>
      <c r="V88" s="33">
        <v>4.5062540000000005E-2</v>
      </c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</row>
    <row r="89" spans="1:38" x14ac:dyDescent="0.35">
      <c r="A89" s="2">
        <v>44351</v>
      </c>
      <c r="B89" s="33">
        <v>7.8890680000000005E-2</v>
      </c>
      <c r="C89" s="33">
        <v>-0.11693793</v>
      </c>
      <c r="D89" s="33">
        <v>5.088699E-2</v>
      </c>
      <c r="E89" s="33">
        <v>9.1946125000000004E-2</v>
      </c>
      <c r="F89" s="33">
        <v>0.16692198000000003</v>
      </c>
      <c r="G89" s="33">
        <v>9.4922780000000012E-2</v>
      </c>
      <c r="H89" s="33">
        <v>1.4604329999999999E-3</v>
      </c>
      <c r="I89" s="33">
        <v>3.034711E-2</v>
      </c>
      <c r="J89" s="33">
        <v>5.738592E-2</v>
      </c>
      <c r="K89" s="33">
        <v>3.8184881000000004E-2</v>
      </c>
      <c r="L89" s="33">
        <v>0.18313444000000001</v>
      </c>
      <c r="M89" s="33">
        <v>0.11632657</v>
      </c>
      <c r="N89" s="33">
        <v>3.9459704999999998E-2</v>
      </c>
      <c r="O89" s="33">
        <v>0.10763967499999999</v>
      </c>
      <c r="P89" s="33">
        <v>2.3641466999999999E-2</v>
      </c>
      <c r="Q89" s="33">
        <v>-1.1704803E-2</v>
      </c>
      <c r="R89" s="33">
        <v>1.7939210000000001E-2</v>
      </c>
      <c r="S89" s="33">
        <v>-1.7589033E-2</v>
      </c>
      <c r="T89" s="33">
        <v>7.9005119999999998E-2</v>
      </c>
      <c r="U89" s="33">
        <v>7.5895309999999994E-2</v>
      </c>
      <c r="V89" s="33">
        <v>4.4450399999999994E-2</v>
      </c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</row>
    <row r="90" spans="1:38" x14ac:dyDescent="0.35">
      <c r="A90" s="2">
        <v>44379</v>
      </c>
      <c r="B90" s="33">
        <v>-4.0755090000000001E-2</v>
      </c>
      <c r="C90" s="33">
        <v>2.4158954999999997E-3</v>
      </c>
      <c r="D90" s="33">
        <v>-7.2782574000000003E-2</v>
      </c>
      <c r="E90" s="33">
        <v>1.0704994000000001E-4</v>
      </c>
      <c r="F90" s="33">
        <v>-3.8088619999999997E-2</v>
      </c>
      <c r="G90" s="33">
        <v>-0.16176313</v>
      </c>
      <c r="H90" s="33">
        <v>-4.1455564E-2</v>
      </c>
      <c r="I90" s="33">
        <v>5.1699877000000007E-3</v>
      </c>
      <c r="J90" s="33">
        <v>6.5878630000000002E-3</v>
      </c>
      <c r="K90" s="33">
        <v>-8.5288285999999998E-3</v>
      </c>
      <c r="L90" s="33">
        <v>-1.8800676000000002E-2</v>
      </c>
      <c r="M90" s="33">
        <v>-9.4111980000000012E-2</v>
      </c>
      <c r="N90" s="33">
        <v>-4.3433666000000003E-2</v>
      </c>
      <c r="O90" s="33">
        <v>-2.0912945000000002E-2</v>
      </c>
      <c r="P90" s="33">
        <v>-2.3641765000000002E-2</v>
      </c>
      <c r="Q90" s="33">
        <v>1.22499466E-3</v>
      </c>
      <c r="R90" s="33">
        <v>-2.050227E-2</v>
      </c>
      <c r="S90" s="33">
        <v>-3.6810040000000002E-2</v>
      </c>
      <c r="T90" s="33">
        <v>1.4199017999999999E-3</v>
      </c>
      <c r="U90" s="33">
        <v>3.7754654999999998E-2</v>
      </c>
      <c r="V90" s="33">
        <v>2.4348974000000002E-2</v>
      </c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</row>
    <row r="91" spans="1:38" x14ac:dyDescent="0.35">
      <c r="A91" s="2">
        <v>44412</v>
      </c>
      <c r="B91" s="33">
        <v>-8.6280109999999997E-3</v>
      </c>
      <c r="C91" s="33">
        <v>-7.8254820000000003E-2</v>
      </c>
      <c r="D91" s="33">
        <v>-1.3982593999999999E-2</v>
      </c>
      <c r="E91" s="33">
        <v>-7.9031229999999994E-2</v>
      </c>
      <c r="F91" s="33">
        <v>2.2799969000000002E-3</v>
      </c>
      <c r="G91" s="33">
        <v>-8.1774120000000006E-2</v>
      </c>
      <c r="H91" s="33">
        <v>-3.6484896999999995E-2</v>
      </c>
      <c r="I91" s="33">
        <v>1.3559818E-2</v>
      </c>
      <c r="J91" s="33">
        <v>1.3429761E-2</v>
      </c>
      <c r="K91" s="33">
        <v>-1.8387079000000001E-2</v>
      </c>
      <c r="L91" s="33">
        <v>-6.5309167000000001E-2</v>
      </c>
      <c r="M91" s="33">
        <v>-8.1461670000000002E-4</v>
      </c>
      <c r="N91" s="33">
        <v>2.8601884999999998E-3</v>
      </c>
      <c r="O91" s="33">
        <v>2.8610110000000001E-2</v>
      </c>
      <c r="P91" s="33">
        <v>-0.10140246</v>
      </c>
      <c r="Q91" s="33">
        <v>-2.1345615000000003E-3</v>
      </c>
      <c r="R91" s="33">
        <v>-2.0671666000000002E-2</v>
      </c>
      <c r="S91" s="33">
        <v>4.2950509999999997E-2</v>
      </c>
      <c r="T91" s="33">
        <v>-2.8031467999999997E-3</v>
      </c>
      <c r="U91" s="33">
        <v>-4.9784540000000002E-2</v>
      </c>
      <c r="V91" s="33">
        <v>1.0547519E-2</v>
      </c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</row>
    <row r="92" spans="1:38" x14ac:dyDescent="0.35">
      <c r="A92" s="2">
        <v>44442</v>
      </c>
      <c r="B92" s="33">
        <v>-7.6341033000000003E-3</v>
      </c>
      <c r="C92" s="33">
        <v>7.4004529999999999E-2</v>
      </c>
      <c r="D92" s="33">
        <v>5.4278609999999998E-2</v>
      </c>
      <c r="E92" s="33">
        <v>5.3979277999999999E-2</v>
      </c>
      <c r="F92" s="33">
        <v>6.5969109999999997E-2</v>
      </c>
      <c r="G92" s="33">
        <v>1.0188699000000001E-2</v>
      </c>
      <c r="H92" s="33">
        <v>7.6547265000000003E-2</v>
      </c>
      <c r="I92" s="33">
        <v>8.7652206E-3</v>
      </c>
      <c r="J92" s="33">
        <v>2.5891899999999999E-2</v>
      </c>
      <c r="K92" s="33">
        <v>-3.9325297000000002E-2</v>
      </c>
      <c r="L92" s="33">
        <v>-4.7555804000000007E-2</v>
      </c>
      <c r="M92" s="33">
        <v>2.853632E-3</v>
      </c>
      <c r="N92" s="33">
        <v>3.5650609999999999E-2</v>
      </c>
      <c r="O92" s="33">
        <v>8.8480110000000001E-2</v>
      </c>
      <c r="P92" s="33">
        <v>-4.9723982999999999E-3</v>
      </c>
      <c r="Q92" s="33">
        <v>3.6913633000000001E-2</v>
      </c>
      <c r="R92" s="33">
        <v>6.7580460000000009E-2</v>
      </c>
      <c r="S92" s="33">
        <v>7.1172833000000005E-2</v>
      </c>
      <c r="T92" s="33">
        <v>4.6380997E-2</v>
      </c>
      <c r="U92" s="33">
        <v>1.7632246000000001E-2</v>
      </c>
      <c r="V92" s="33">
        <v>3.3548713000000001E-2</v>
      </c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</row>
    <row r="93" spans="1:38" x14ac:dyDescent="0.35">
      <c r="A93" s="2">
        <v>44473</v>
      </c>
      <c r="B93" s="33">
        <v>-2.1284043999999998E-2</v>
      </c>
      <c r="C93" s="33">
        <v>-9.9335430000000002E-2</v>
      </c>
      <c r="D93" s="33">
        <v>3.6641954999999997E-2</v>
      </c>
      <c r="E93" s="33">
        <v>-1.7399847999999999E-2</v>
      </c>
      <c r="F93" s="33">
        <v>-3.9265929999999998E-2</v>
      </c>
      <c r="G93" s="33">
        <v>-1.6436337999999998E-2</v>
      </c>
      <c r="H93" s="33">
        <v>-4.8411549999999998E-2</v>
      </c>
      <c r="I93" s="33">
        <v>-8.0792669999999997E-2</v>
      </c>
      <c r="J93" s="33">
        <v>-4.4117689999999994E-2</v>
      </c>
      <c r="K93" s="33">
        <v>-9.5096880000000009E-2</v>
      </c>
      <c r="L93" s="33">
        <v>-0.1059972</v>
      </c>
      <c r="M93" s="33">
        <v>-4.8983755000000004E-2</v>
      </c>
      <c r="N93" s="33">
        <v>-6.1617850000000002E-2</v>
      </c>
      <c r="O93" s="33">
        <v>-1.5895367000000001E-2</v>
      </c>
      <c r="P93" s="33">
        <v>-9.1477030000000001E-2</v>
      </c>
      <c r="Q93" s="33">
        <v>3.8617849999999995E-2</v>
      </c>
      <c r="R93" s="33">
        <v>-2.1722913E-2</v>
      </c>
      <c r="S93" s="33">
        <v>-0.11032175999999999</v>
      </c>
      <c r="T93" s="33">
        <v>-1.2760282000000001E-2</v>
      </c>
      <c r="U93" s="33">
        <v>-5.4455460000000004E-2</v>
      </c>
      <c r="V93" s="33">
        <v>3.3662320000000003E-3</v>
      </c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</row>
    <row r="94" spans="1:38" x14ac:dyDescent="0.35">
      <c r="A94" s="2">
        <v>44504</v>
      </c>
      <c r="B94" s="33">
        <v>3.3281207E-2</v>
      </c>
      <c r="C94" s="33">
        <v>4.1164994000000003E-2</v>
      </c>
      <c r="D94" s="33">
        <v>4.4742702999999995E-2</v>
      </c>
      <c r="E94" s="33">
        <v>6.7824839999999997E-2</v>
      </c>
      <c r="F94" s="33">
        <v>4.3980480000000002E-2</v>
      </c>
      <c r="G94" s="33">
        <v>0.10330415</v>
      </c>
      <c r="H94" s="33">
        <v>1.8680453E-2</v>
      </c>
      <c r="I94" s="33">
        <v>5.3399679999999998E-2</v>
      </c>
      <c r="J94" s="33">
        <v>1.8918872E-2</v>
      </c>
      <c r="K94" s="33">
        <v>2.6462078000000001E-3</v>
      </c>
      <c r="L94" s="33">
        <v>-8.6739429999999992E-2</v>
      </c>
      <c r="M94" s="33">
        <v>2.7356267E-2</v>
      </c>
      <c r="N94" s="33">
        <v>2.971387E-2</v>
      </c>
      <c r="O94" s="33">
        <v>1.4720917E-2</v>
      </c>
      <c r="P94" s="33">
        <v>5.0725699999999999E-2</v>
      </c>
      <c r="Q94" s="33">
        <v>2.3586035000000002E-2</v>
      </c>
      <c r="R94" s="33">
        <v>7.3026420000000007E-3</v>
      </c>
      <c r="S94" s="33">
        <v>3.8046001999999995E-2</v>
      </c>
      <c r="T94" s="33">
        <v>6.9387794000000003E-2</v>
      </c>
      <c r="U94" s="33">
        <v>5.7591677000000001E-2</v>
      </c>
      <c r="V94" s="33">
        <v>3.0912994999999999E-2</v>
      </c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</row>
    <row r="95" spans="1:38" x14ac:dyDescent="0.35">
      <c r="A95" s="2">
        <v>44533</v>
      </c>
      <c r="B95" s="33">
        <v>1.5581369000000001E-2</v>
      </c>
      <c r="C95" s="33">
        <v>-7.5344980000000006E-2</v>
      </c>
      <c r="D95" s="33">
        <v>-1.1563182E-2</v>
      </c>
      <c r="E95" s="33">
        <v>-1.4080048000000001E-2</v>
      </c>
      <c r="F95" s="33">
        <v>-0.116595745</v>
      </c>
      <c r="G95" s="33">
        <v>-4.0275393E-2</v>
      </c>
      <c r="H95" s="33">
        <v>-3.9797068000000005E-2</v>
      </c>
      <c r="I95" s="33">
        <v>3.5736799999999999E-2</v>
      </c>
      <c r="J95" s="33">
        <v>-4.7133206999999996E-2</v>
      </c>
      <c r="K95" s="33">
        <v>-1.1059403000000001E-2</v>
      </c>
      <c r="L95" s="33">
        <v>1.7082333999999998E-2</v>
      </c>
      <c r="M95" s="33">
        <v>-4.8054933999999994E-2</v>
      </c>
      <c r="N95" s="33">
        <v>-5.4862794999999999E-2</v>
      </c>
      <c r="O95" s="33">
        <v>-3.8283348000000002E-2</v>
      </c>
      <c r="P95" s="33">
        <v>-8.2594100000000004E-2</v>
      </c>
      <c r="Q95" s="33">
        <v>-2.1608770000000003E-2</v>
      </c>
      <c r="R95" s="33">
        <v>-2.3415564999999999E-2</v>
      </c>
      <c r="S95" s="33">
        <v>-0.15520364</v>
      </c>
      <c r="T95" s="33">
        <v>4.6444060000000002E-2</v>
      </c>
      <c r="U95" s="33">
        <v>8.4158180000000003E-3</v>
      </c>
      <c r="V95" s="33">
        <v>-6.8805160000000004E-2</v>
      </c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</row>
    <row r="96" spans="1:38" x14ac:dyDescent="0.35">
      <c r="A96" s="2">
        <v>44565</v>
      </c>
      <c r="B96" s="33">
        <v>-5.3485035999999994E-3</v>
      </c>
      <c r="C96" s="33">
        <v>-4.3371915999999996E-2</v>
      </c>
      <c r="D96" s="33">
        <v>1.4047623E-2</v>
      </c>
      <c r="E96" s="33">
        <v>-2.0560622000000001E-3</v>
      </c>
      <c r="F96" s="33">
        <v>4.6771765E-2</v>
      </c>
      <c r="G96" s="33">
        <v>0.12361681000000001</v>
      </c>
      <c r="H96" s="33">
        <v>4.0004134000000004E-2</v>
      </c>
      <c r="I96" s="33">
        <v>5.8454156E-2</v>
      </c>
      <c r="J96" s="33">
        <v>9.755694999999999E-2</v>
      </c>
      <c r="K96" s="33">
        <v>8.5297819999999996E-3</v>
      </c>
      <c r="L96" s="33">
        <v>-1.5439271999999999E-2</v>
      </c>
      <c r="M96" s="33">
        <v>3.4171343E-2</v>
      </c>
      <c r="N96" s="33">
        <v>2.7245164000000002E-2</v>
      </c>
      <c r="O96" s="33">
        <v>4.3580054999999999E-2</v>
      </c>
      <c r="P96" s="33">
        <v>-1.6531885E-2</v>
      </c>
      <c r="Q96" s="33">
        <v>-2.9863119999999996E-3</v>
      </c>
      <c r="R96" s="33">
        <v>5.1687836999999993E-2</v>
      </c>
      <c r="S96" s="33">
        <v>5.5576562999999995E-2</v>
      </c>
      <c r="T96" s="33">
        <v>4.1382312999999997E-3</v>
      </c>
      <c r="U96" s="33">
        <v>6.2236430000000002E-2</v>
      </c>
      <c r="V96" s="33">
        <v>4.0039300000000007E-2</v>
      </c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</row>
    <row r="97" spans="1:38" x14ac:dyDescent="0.35">
      <c r="A97" s="2">
        <v>44596</v>
      </c>
      <c r="B97" s="33">
        <v>-6.6449822999999991E-2</v>
      </c>
      <c r="C97" s="33">
        <v>7.0122004000000002E-2</v>
      </c>
      <c r="D97" s="33">
        <v>-3.0120609999999999E-3</v>
      </c>
      <c r="E97" s="33">
        <v>2.5215386999999999E-2</v>
      </c>
      <c r="F97" s="33">
        <v>-3.1627892999999997E-2</v>
      </c>
      <c r="G97" s="33">
        <v>3.0718922999999999E-2</v>
      </c>
      <c r="H97" s="33">
        <v>-1.4124334000000001E-2</v>
      </c>
      <c r="I97" s="33">
        <v>-4.8546433E-2</v>
      </c>
      <c r="J97" s="33">
        <v>-4.4914903999999999E-2</v>
      </c>
      <c r="K97" s="33">
        <v>-6.3972235000000002E-2</v>
      </c>
      <c r="L97" s="33">
        <v>0.16299557000000001</v>
      </c>
      <c r="M97" s="33">
        <v>6.5542219999999998E-2</v>
      </c>
      <c r="N97" s="33">
        <v>9.1113570000000005E-2</v>
      </c>
      <c r="O97" s="33">
        <v>-2.9719890000000002E-2</v>
      </c>
      <c r="P97" s="33">
        <v>1.3151526E-2</v>
      </c>
      <c r="Q97" s="33">
        <v>0.10393119000000001</v>
      </c>
      <c r="R97" s="33">
        <v>2.3587942000000001E-3</v>
      </c>
      <c r="S97" s="33">
        <v>-2.8542399999999999E-2</v>
      </c>
      <c r="T97" s="33">
        <v>1.6615391E-2</v>
      </c>
      <c r="U97" s="33">
        <v>-8.4068774999999998E-2</v>
      </c>
      <c r="V97" s="33">
        <v>8.0976599999999996E-2</v>
      </c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</row>
    <row r="98" spans="1:38" x14ac:dyDescent="0.35">
      <c r="A98" s="2">
        <v>44624</v>
      </c>
      <c r="B98" s="33">
        <v>-9.7063184000000004E-3</v>
      </c>
      <c r="C98" s="33">
        <v>9.7273109999999996E-2</v>
      </c>
      <c r="D98" s="33">
        <v>3.8843274000000004E-2</v>
      </c>
      <c r="E98" s="33">
        <v>-2.4905801000000001E-3</v>
      </c>
      <c r="F98" s="33">
        <v>-0.22430354999999999</v>
      </c>
      <c r="G98" s="33">
        <v>0.14806592999999998</v>
      </c>
      <c r="H98" s="33">
        <v>5.1985264000000003E-2</v>
      </c>
      <c r="I98" s="33">
        <v>-3.1172513999999998E-2</v>
      </c>
      <c r="J98" s="33">
        <v>1.6573429000000001E-2</v>
      </c>
      <c r="K98" s="33">
        <v>-3.7541270000000002E-2</v>
      </c>
      <c r="L98" s="33">
        <v>8.2386379999999995E-2</v>
      </c>
      <c r="M98" s="33">
        <v>4.3678639999999998E-2</v>
      </c>
      <c r="N98" s="33">
        <v>-0.16254293</v>
      </c>
      <c r="O98" s="33">
        <v>-8.5500240000000005E-2</v>
      </c>
      <c r="P98" s="33">
        <v>-0.1110577</v>
      </c>
      <c r="Q98" s="33">
        <v>6.7883369999999998E-2</v>
      </c>
      <c r="R98" s="33">
        <v>-1.4932156E-3</v>
      </c>
      <c r="S98" s="33">
        <v>-1.7313719000000002E-2</v>
      </c>
      <c r="T98" s="33">
        <v>0.10351086000000001</v>
      </c>
      <c r="U98" s="33">
        <v>-4.0568113000000001E-3</v>
      </c>
      <c r="V98" s="33">
        <v>4.4499040000000004E-2</v>
      </c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</row>
    <row r="99" spans="1:38" x14ac:dyDescent="0.35">
      <c r="A99" s="2">
        <v>44655</v>
      </c>
      <c r="B99" s="33">
        <v>-5.3782344000000003E-2</v>
      </c>
      <c r="C99" s="33">
        <v>0.1053412</v>
      </c>
      <c r="D99" s="33">
        <v>4.0299177000000005E-2</v>
      </c>
      <c r="E99" s="33">
        <v>-1.6229749000000002E-2</v>
      </c>
      <c r="F99" s="33">
        <v>0.1931889</v>
      </c>
      <c r="G99" s="33">
        <v>4.1424990000000002E-2</v>
      </c>
      <c r="H99" s="33">
        <v>8.1712009999999995E-3</v>
      </c>
      <c r="I99" s="33">
        <v>-6.4033269999999999E-4</v>
      </c>
      <c r="J99" s="33">
        <v>0.12227428</v>
      </c>
      <c r="K99" s="33">
        <v>2.9147029999999997E-2</v>
      </c>
      <c r="L99" s="33">
        <v>0.15252256</v>
      </c>
      <c r="M99" s="33">
        <v>7.8133939999999999E-2</v>
      </c>
      <c r="N99" s="33">
        <v>0.11407458999999999</v>
      </c>
      <c r="O99" s="33">
        <v>0.11903608</v>
      </c>
      <c r="P99" s="33">
        <v>1.8388271000000001E-2</v>
      </c>
      <c r="Q99" s="33">
        <v>1.7507315000000002E-2</v>
      </c>
      <c r="R99" s="33">
        <v>1.8669485999999999E-2</v>
      </c>
      <c r="S99" s="33">
        <v>0.15696752999999999</v>
      </c>
      <c r="T99" s="33">
        <v>6.1985849999999995E-2</v>
      </c>
      <c r="U99" s="33">
        <v>-9.6740720000000006E-3</v>
      </c>
      <c r="V99" s="33">
        <v>3.0828595E-2</v>
      </c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</row>
    <row r="100" spans="1:38" x14ac:dyDescent="0.35">
      <c r="A100" s="2">
        <v>44685</v>
      </c>
      <c r="B100" s="33">
        <v>-0.109429</v>
      </c>
      <c r="C100" s="33">
        <v>-0.10402678999999999</v>
      </c>
      <c r="D100" s="33">
        <v>2.1166086000000001E-2</v>
      </c>
      <c r="E100" s="33">
        <v>-7.6459409999999992E-2</v>
      </c>
      <c r="F100" s="33">
        <v>-0.16087187</v>
      </c>
      <c r="G100" s="33">
        <v>-0.14558464000000002</v>
      </c>
      <c r="H100" s="33">
        <v>-3.1647979999999999E-2</v>
      </c>
      <c r="I100" s="33">
        <v>-8.1851660000000007E-2</v>
      </c>
      <c r="J100" s="33">
        <v>-8.3166840000000006E-2</v>
      </c>
      <c r="K100" s="33">
        <v>-5.2339260000000006E-2</v>
      </c>
      <c r="L100" s="33">
        <v>-0.16270245</v>
      </c>
      <c r="M100" s="33">
        <v>-0.12909544000000001</v>
      </c>
      <c r="N100" s="33">
        <v>-9.9447965999999999E-3</v>
      </c>
      <c r="O100" s="33">
        <v>-5.5555525000000001E-2</v>
      </c>
      <c r="P100" s="33">
        <v>-8.7095079999999991E-2</v>
      </c>
      <c r="Q100" s="33">
        <v>-8.1933736999999993E-3</v>
      </c>
      <c r="R100" s="33">
        <v>-2.9736996000000002E-2</v>
      </c>
      <c r="S100" s="33">
        <v>3.1379820000000003E-2</v>
      </c>
      <c r="T100" s="33">
        <v>-2.5826454000000002E-2</v>
      </c>
      <c r="U100" s="33">
        <v>-0.12287927</v>
      </c>
      <c r="V100" s="33">
        <v>4.6313643000000002E-2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</row>
    <row r="101" spans="1:38" x14ac:dyDescent="0.35">
      <c r="A101" s="2">
        <v>44715</v>
      </c>
      <c r="B101" s="33">
        <v>4.0858983999999994E-2</v>
      </c>
      <c r="C101" s="33">
        <v>0.15168535</v>
      </c>
      <c r="D101" s="33">
        <v>-3.1677723000000005E-2</v>
      </c>
      <c r="E101" s="33">
        <v>-2.6107847999999999E-2</v>
      </c>
      <c r="F101" s="33">
        <v>4.3289660000000001E-3</v>
      </c>
      <c r="G101" s="33">
        <v>-2.6070833000000002E-2</v>
      </c>
      <c r="H101" s="33">
        <v>-5.8589040000000002E-2</v>
      </c>
      <c r="I101" s="33">
        <v>-1.9016027000000001E-2</v>
      </c>
      <c r="J101" s="33">
        <v>1.4656305000000001E-2</v>
      </c>
      <c r="K101" s="33">
        <v>-1.8165945999999999E-2</v>
      </c>
      <c r="L101" s="33">
        <v>6.4974309999999993E-2</v>
      </c>
      <c r="M101" s="33">
        <v>-2.2285819999999998E-2</v>
      </c>
      <c r="N101" s="33">
        <v>-2.9761789999999998E-3</v>
      </c>
      <c r="O101" s="33">
        <v>-5.6771573999999998E-2</v>
      </c>
      <c r="P101" s="33">
        <v>6.5929890000000005E-3</v>
      </c>
      <c r="Q101" s="33">
        <v>-5.9479474999999997E-2</v>
      </c>
      <c r="R101" s="33">
        <v>-2.7961135E-3</v>
      </c>
      <c r="S101" s="33">
        <v>-3.2214819999999998E-2</v>
      </c>
      <c r="T101" s="33">
        <v>-9.0137900000000007E-2</v>
      </c>
      <c r="U101" s="33">
        <v>-7.3270740000000001E-2</v>
      </c>
      <c r="V101" s="33">
        <v>-9.5275879999999993E-2</v>
      </c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</row>
    <row r="102" spans="1:38" x14ac:dyDescent="0.35">
      <c r="A102" s="2">
        <v>44743</v>
      </c>
      <c r="B102" s="33">
        <v>8.9142440000000003E-2</v>
      </c>
      <c r="C102" s="33">
        <v>-0.18820160000000002</v>
      </c>
      <c r="D102" s="33">
        <v>-9.5251560000000013E-2</v>
      </c>
      <c r="E102" s="33">
        <v>-8.9221529999999993E-2</v>
      </c>
      <c r="F102" s="33">
        <v>-9.5289470000000001E-2</v>
      </c>
      <c r="G102" s="33">
        <v>-0.14318538</v>
      </c>
      <c r="H102" s="33">
        <v>-4.8245669999999997E-2</v>
      </c>
      <c r="I102" s="33">
        <v>-0.12715625999999999</v>
      </c>
      <c r="J102" s="33">
        <v>-7.9198599999999994E-2</v>
      </c>
      <c r="K102" s="33">
        <v>-0.14353918999999998</v>
      </c>
      <c r="L102" s="33">
        <v>-0.19525797</v>
      </c>
      <c r="M102" s="33">
        <v>-9.4129199999999996E-2</v>
      </c>
      <c r="N102" s="33">
        <v>-0.13062244000000001</v>
      </c>
      <c r="O102" s="33">
        <v>-4.5685289999999996E-2</v>
      </c>
      <c r="P102" s="33">
        <v>8.1808569999999997E-2</v>
      </c>
      <c r="Q102" s="33">
        <v>-5.1761207999999996E-2</v>
      </c>
      <c r="R102" s="33">
        <v>-5.3044615000000003E-2</v>
      </c>
      <c r="S102" s="33">
        <v>-8.477520999999999E-2</v>
      </c>
      <c r="T102" s="33">
        <v>-7.6852919999999991E-2</v>
      </c>
      <c r="U102" s="33">
        <v>-8.4124029999999989E-2</v>
      </c>
      <c r="V102" s="33">
        <v>-8.2797410000000002E-2</v>
      </c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</row>
    <row r="103" spans="1:38" x14ac:dyDescent="0.35">
      <c r="A103" s="2">
        <v>44777</v>
      </c>
      <c r="B103" s="33">
        <v>-8.3552950000000001E-2</v>
      </c>
      <c r="C103" s="33">
        <v>7.8750014000000007E-2</v>
      </c>
      <c r="D103" s="33">
        <v>6.2471629999999993E-2</v>
      </c>
      <c r="E103" s="33">
        <v>3.4482718000000002E-2</v>
      </c>
      <c r="F103" s="33">
        <v>-2.6785731E-2</v>
      </c>
      <c r="G103" s="33">
        <v>-1.4654875000000001E-2</v>
      </c>
      <c r="H103" s="33">
        <v>3.1774759999999999E-2</v>
      </c>
      <c r="I103" s="33">
        <v>2.9747366999999997E-2</v>
      </c>
      <c r="J103" s="33">
        <v>-1.3559996999999999E-2</v>
      </c>
      <c r="K103" s="33">
        <v>5.8013915999999999E-2</v>
      </c>
      <c r="L103" s="33">
        <v>8.2748410000000008E-2</v>
      </c>
      <c r="M103" s="33">
        <v>-5.1922800000000005E-3</v>
      </c>
      <c r="N103" s="33">
        <v>5.2491426000000001E-2</v>
      </c>
      <c r="O103" s="33">
        <v>9.0425489999999997E-2</v>
      </c>
      <c r="P103" s="33">
        <v>-0.10442418000000001</v>
      </c>
      <c r="Q103" s="33">
        <v>7.4269294999999999E-2</v>
      </c>
      <c r="R103" s="33">
        <v>2.4662375E-2</v>
      </c>
      <c r="S103" s="33">
        <v>4.4155835999999997E-2</v>
      </c>
      <c r="T103" s="33">
        <v>5.4874180000000002E-2</v>
      </c>
      <c r="U103" s="33">
        <v>5.3867459999999999E-2</v>
      </c>
      <c r="V103" s="33">
        <v>6.1686753999999996E-2</v>
      </c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</row>
    <row r="104" spans="1:38" x14ac:dyDescent="0.35">
      <c r="A104" s="2">
        <v>44806</v>
      </c>
      <c r="B104" s="33">
        <v>-4.4291077000000005E-2</v>
      </c>
      <c r="C104" s="33">
        <v>0.14368486</v>
      </c>
      <c r="D104" s="33">
        <v>2.4286390000000001E-2</v>
      </c>
      <c r="E104" s="33">
        <v>-4.9242376999999995E-3</v>
      </c>
      <c r="F104" s="33">
        <v>-0.14537758000000001</v>
      </c>
      <c r="G104" s="33">
        <v>-2.3874699999999999E-2</v>
      </c>
      <c r="H104" s="33">
        <v>-2.4197041999999998E-2</v>
      </c>
      <c r="I104" s="33">
        <v>-3.7000476999999997E-2</v>
      </c>
      <c r="J104" s="33">
        <v>-5.4549574999999996E-3</v>
      </c>
      <c r="K104" s="33">
        <v>-7.9038380000000005E-2</v>
      </c>
      <c r="L104" s="33">
        <v>5.3224206000000003E-2</v>
      </c>
      <c r="M104" s="33">
        <v>-6.0023784999999996E-2</v>
      </c>
      <c r="N104" s="33">
        <v>-7.5629890000000005E-2</v>
      </c>
      <c r="O104" s="33">
        <v>-4.1812061999999999E-3</v>
      </c>
      <c r="P104" s="33">
        <v>-3.3600032000000002E-2</v>
      </c>
      <c r="Q104" s="33">
        <v>-8.4745884E-3</v>
      </c>
      <c r="R104" s="33">
        <v>1.4636397000000001E-2</v>
      </c>
      <c r="S104" s="33">
        <v>0.13880587</v>
      </c>
      <c r="T104" s="33">
        <v>-2.5091766999999997E-2</v>
      </c>
      <c r="U104" s="33">
        <v>-5.8977603999999994E-3</v>
      </c>
      <c r="V104" s="33">
        <v>1.1347532000000001E-3</v>
      </c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</row>
    <row r="105" spans="1:38" x14ac:dyDescent="0.35">
      <c r="A105" s="2">
        <v>44838</v>
      </c>
      <c r="B105" s="33">
        <v>-4.4237137000000003E-2</v>
      </c>
      <c r="C105" s="33">
        <v>-0.13272541999999998</v>
      </c>
      <c r="D105" s="33">
        <v>4.1592120000000005E-4</v>
      </c>
      <c r="E105" s="33">
        <v>-0.11457938000000001</v>
      </c>
      <c r="F105" s="33">
        <v>-2.8901696000000001E-2</v>
      </c>
      <c r="G105" s="33">
        <v>3.9695263000000001E-2</v>
      </c>
      <c r="H105" s="33">
        <v>-6.7628503000000006E-2</v>
      </c>
      <c r="I105" s="33">
        <v>-7.4172916000000005E-2</v>
      </c>
      <c r="J105" s="33">
        <v>9.2145205000000001E-3</v>
      </c>
      <c r="K105" s="33">
        <v>-9.3509729999999999E-2</v>
      </c>
      <c r="L105" s="33">
        <v>5.863297E-2</v>
      </c>
      <c r="M105" s="33">
        <v>-2.0444154999999999E-2</v>
      </c>
      <c r="N105" s="33">
        <v>3.9805173999999995E-3</v>
      </c>
      <c r="O105" s="33">
        <v>-2.6825250000000002E-2</v>
      </c>
      <c r="P105" s="33">
        <v>-7.8849373E-2</v>
      </c>
      <c r="Q105" s="33">
        <v>-7.1974990000000004E-3</v>
      </c>
      <c r="R105" s="33">
        <v>-2.7216969999999997E-2</v>
      </c>
      <c r="S105" s="33">
        <v>5.9851527000000002E-2</v>
      </c>
      <c r="T105" s="33">
        <v>-2.5109887000000001E-2</v>
      </c>
      <c r="U105" s="33">
        <v>-0.15227425</v>
      </c>
      <c r="V105" s="33">
        <v>-1.9723415000000001E-2</v>
      </c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</row>
    <row r="106" spans="1:38" x14ac:dyDescent="0.35">
      <c r="A106" s="2">
        <v>44869</v>
      </c>
      <c r="B106" s="33">
        <v>-2.8022646999999998E-2</v>
      </c>
      <c r="C106" s="33">
        <v>4.2835474000000005E-3</v>
      </c>
      <c r="D106" s="33">
        <v>-1.4552951000000001E-2</v>
      </c>
      <c r="E106" s="33">
        <v>2.5365471999999997E-2</v>
      </c>
      <c r="F106" s="33">
        <v>0.12925159</v>
      </c>
      <c r="G106" s="33">
        <v>8.4458240000000004E-2</v>
      </c>
      <c r="H106" s="33">
        <v>2.9013157E-3</v>
      </c>
      <c r="I106" s="33">
        <v>-4.5494975999999993E-2</v>
      </c>
      <c r="J106" s="33">
        <v>0.14826083000000001</v>
      </c>
      <c r="K106" s="33">
        <v>6.3708067000000007E-2</v>
      </c>
      <c r="L106" s="33">
        <v>3.6413669999999995E-2</v>
      </c>
      <c r="M106" s="33">
        <v>4.9471736000000002E-2</v>
      </c>
      <c r="N106" s="33">
        <v>8.2378859999999998E-2</v>
      </c>
      <c r="O106" s="33">
        <v>3.2118916999999997E-2</v>
      </c>
      <c r="P106" s="33">
        <v>-8.5823420000000011E-2</v>
      </c>
      <c r="Q106" s="33">
        <v>-2.2655189999999999E-2</v>
      </c>
      <c r="R106" s="33">
        <v>3.0621051999999999E-2</v>
      </c>
      <c r="S106" s="33">
        <v>0.18054400999999998</v>
      </c>
      <c r="T106" s="33">
        <v>1.9317865000000002E-3</v>
      </c>
      <c r="U106" s="33">
        <v>-0.11819589999999999</v>
      </c>
      <c r="V106" s="33">
        <v>-1.4107346999999999E-2</v>
      </c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</row>
    <row r="107" spans="1:38" x14ac:dyDescent="0.35">
      <c r="A107" s="2">
        <v>44897</v>
      </c>
      <c r="B107" s="33">
        <v>4.6323179999999999E-2</v>
      </c>
      <c r="C107" s="33">
        <v>6.1651707E-2</v>
      </c>
      <c r="D107" s="33">
        <v>1.1814237E-2</v>
      </c>
      <c r="E107" s="33">
        <v>0.10020960000000001</v>
      </c>
      <c r="F107" s="33">
        <v>0.13629520000000001</v>
      </c>
      <c r="G107" s="33">
        <v>5.9032679999999997E-2</v>
      </c>
      <c r="H107" s="33">
        <v>0.11041474</v>
      </c>
      <c r="I107" s="33">
        <v>0.17716812000000001</v>
      </c>
      <c r="J107" s="33">
        <v>7.0048569999999998E-3</v>
      </c>
      <c r="K107" s="33">
        <v>0.10216939999999999</v>
      </c>
      <c r="L107" s="33">
        <v>-7.5287819999999991E-2</v>
      </c>
      <c r="M107" s="33">
        <v>5.6469440000000003E-2</v>
      </c>
      <c r="N107" s="33">
        <v>7.6516149999999991E-2</v>
      </c>
      <c r="O107" s="33">
        <v>2.1829963000000001E-2</v>
      </c>
      <c r="P107" s="33">
        <v>0.17375278000000002</v>
      </c>
      <c r="Q107" s="33">
        <v>-5.5169224999999995E-2</v>
      </c>
      <c r="R107" s="33">
        <v>9.4139575999999999E-3</v>
      </c>
      <c r="S107" s="33">
        <v>0.17388271</v>
      </c>
      <c r="T107" s="33">
        <v>6.4265729999999992E-4</v>
      </c>
      <c r="U107" s="33">
        <v>0.13227510000000001</v>
      </c>
      <c r="V107" s="33">
        <v>-8.0459779999999995E-2</v>
      </c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</row>
    <row r="108" spans="1:38" x14ac:dyDescent="0.35">
      <c r="A108" s="2">
        <v>44930</v>
      </c>
      <c r="B108" s="33">
        <v>1.4242767999999999E-2</v>
      </c>
      <c r="C108" s="33">
        <v>-2.4466394999999998E-2</v>
      </c>
      <c r="D108" s="33">
        <v>-5.9405985000000001E-2</v>
      </c>
      <c r="E108" s="33">
        <v>4.7914386000000003E-2</v>
      </c>
      <c r="F108" s="33">
        <v>9.3742009999999987E-2</v>
      </c>
      <c r="G108" s="33">
        <v>-2.2351146000000001E-3</v>
      </c>
      <c r="H108" s="33">
        <v>-4.7875046999999995E-3</v>
      </c>
      <c r="I108" s="33">
        <v>-4.5909047000000001E-2</v>
      </c>
      <c r="J108" s="33">
        <v>-1.0791421000000001E-2</v>
      </c>
      <c r="K108" s="33">
        <v>-1.9012927999999998E-2</v>
      </c>
      <c r="L108" s="33">
        <v>-9.4843089999999991E-2</v>
      </c>
      <c r="M108" s="33">
        <v>7.0490360000000002E-2</v>
      </c>
      <c r="N108" s="33">
        <v>4.8479557E-2</v>
      </c>
      <c r="O108" s="33">
        <v>-4.863638E-2</v>
      </c>
      <c r="P108" s="33">
        <v>0.1051222</v>
      </c>
      <c r="Q108" s="33">
        <v>-7.1129319999999996E-2</v>
      </c>
      <c r="R108" s="33">
        <v>1.9261360000000002E-2</v>
      </c>
      <c r="S108" s="33">
        <v>0.11917866000000001</v>
      </c>
      <c r="T108" s="33">
        <v>-3.0174850999999999E-2</v>
      </c>
      <c r="U108" s="33">
        <v>-2.5983393E-2</v>
      </c>
      <c r="V108" s="33">
        <v>-1.4016806999999999E-2</v>
      </c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</row>
    <row r="109" spans="1:38" x14ac:dyDescent="0.35">
      <c r="A109" s="2">
        <v>44960</v>
      </c>
      <c r="B109" s="33">
        <v>5.2532790000000003E-2</v>
      </c>
      <c r="C109" s="33">
        <v>0.11866355000000001</v>
      </c>
      <c r="D109" s="33">
        <v>4.9261093000000006E-2</v>
      </c>
      <c r="E109" s="33">
        <v>6.028497E-2</v>
      </c>
      <c r="F109" s="33">
        <v>1.1713982000000001E-2</v>
      </c>
      <c r="G109" s="33">
        <v>5.5136919999999999E-2</v>
      </c>
      <c r="H109" s="33">
        <v>4.1850209999999999E-2</v>
      </c>
      <c r="I109" s="33">
        <v>0.10090399</v>
      </c>
      <c r="J109" s="33">
        <v>0.104732275</v>
      </c>
      <c r="K109" s="33">
        <v>0.10031247</v>
      </c>
      <c r="L109" s="33">
        <v>8.6560360000000003E-2</v>
      </c>
      <c r="M109" s="33">
        <v>-4.8489570000000001E-3</v>
      </c>
      <c r="N109" s="33">
        <v>0.12245655</v>
      </c>
      <c r="O109" s="33">
        <v>-4.3000459999999997E-2</v>
      </c>
      <c r="P109" s="33">
        <v>1.0190368E-2</v>
      </c>
      <c r="Q109" s="33">
        <v>-2.820748E-2</v>
      </c>
      <c r="R109" s="33">
        <v>9.0303420000000002E-3</v>
      </c>
      <c r="S109" s="33">
        <v>-9.2948730000000007E-2</v>
      </c>
      <c r="T109" s="33">
        <v>-2.1722554999999998E-2</v>
      </c>
      <c r="U109" s="33">
        <v>-9.6852182999999994E-3</v>
      </c>
      <c r="V109" s="33">
        <v>8.1065892999999997E-3</v>
      </c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</row>
    <row r="110" spans="1:38" x14ac:dyDescent="0.35">
      <c r="A110" s="2">
        <v>44988</v>
      </c>
      <c r="B110" s="33">
        <v>-8.0214139999999993E-3</v>
      </c>
      <c r="C110" s="33">
        <v>6.1792135E-3</v>
      </c>
      <c r="D110" s="33">
        <v>-3.4997880000000002E-2</v>
      </c>
      <c r="E110" s="33">
        <v>-6.8573419999999996E-2</v>
      </c>
      <c r="F110" s="33">
        <v>-3.1078636999999999E-2</v>
      </c>
      <c r="G110" s="33">
        <v>-1.6553103999999999E-2</v>
      </c>
      <c r="H110" s="33">
        <v>-6.9767419999999997E-2</v>
      </c>
      <c r="I110" s="33">
        <v>-4.6604872000000006E-3</v>
      </c>
      <c r="J110" s="33">
        <v>5.8813214000000003E-2</v>
      </c>
      <c r="K110" s="33">
        <v>-4.4164060000000005E-2</v>
      </c>
      <c r="L110" s="33">
        <v>-4.7868670000000002E-2</v>
      </c>
      <c r="M110" s="33">
        <v>-6.5780760000000008E-2</v>
      </c>
      <c r="N110" s="33">
        <v>7.1522713000000002E-2</v>
      </c>
      <c r="O110" s="33">
        <v>7.4887276000000003E-4</v>
      </c>
      <c r="P110" s="33">
        <v>-3.8637280000000003E-2</v>
      </c>
      <c r="Q110" s="33">
        <v>9.2997549999999998E-3</v>
      </c>
      <c r="R110" s="33">
        <v>-4.8259854000000005E-2</v>
      </c>
      <c r="S110" s="33">
        <v>3.8574814999999998E-2</v>
      </c>
      <c r="T110" s="33">
        <v>6.7842009999999993E-4</v>
      </c>
      <c r="U110" s="33">
        <v>-5.7049750000000003E-2</v>
      </c>
      <c r="V110" s="33">
        <v>-3.1387805999999997E-2</v>
      </c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</row>
    <row r="111" spans="1:38" x14ac:dyDescent="0.35">
      <c r="A111" s="2">
        <v>45020</v>
      </c>
      <c r="B111" s="33">
        <v>-6.8882703999999994E-3</v>
      </c>
      <c r="C111" s="33">
        <v>-5.4930029999999998E-2</v>
      </c>
      <c r="D111" s="33">
        <v>4.4670463000000001E-2</v>
      </c>
      <c r="E111" s="33">
        <v>-8.1391334999999995E-3</v>
      </c>
      <c r="F111" s="33">
        <v>-8.8049770000000003E-3</v>
      </c>
      <c r="G111" s="33">
        <v>5.9405565000000002E-3</v>
      </c>
      <c r="H111" s="33">
        <v>1.3636351E-2</v>
      </c>
      <c r="I111" s="33">
        <v>1.4938712E-2</v>
      </c>
      <c r="J111" s="33">
        <v>-1.3596416E-2</v>
      </c>
      <c r="K111" s="33">
        <v>-8.2504750000000004E-4</v>
      </c>
      <c r="L111" s="33">
        <v>2.5688410000000001E-3</v>
      </c>
      <c r="M111" s="33">
        <v>2.7264118E-2</v>
      </c>
      <c r="N111" s="33">
        <v>-5.5367527E-2</v>
      </c>
      <c r="O111" s="33">
        <v>-1.2222528E-2</v>
      </c>
      <c r="P111" s="33">
        <v>-1.5640438E-2</v>
      </c>
      <c r="Q111" s="33">
        <v>-9.7560880000000013E-3</v>
      </c>
      <c r="R111" s="33">
        <v>-7.9844000000000009E-3</v>
      </c>
      <c r="S111" s="33">
        <v>-4.1111469999999997E-2</v>
      </c>
      <c r="T111" s="33">
        <v>-3.8983047E-2</v>
      </c>
      <c r="U111" s="33">
        <v>7.3465942999999992E-2</v>
      </c>
      <c r="V111" s="33">
        <v>7.7129126000000006E-2</v>
      </c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</row>
    <row r="112" spans="1:38" x14ac:dyDescent="0.35">
      <c r="A112" s="2">
        <v>45050</v>
      </c>
      <c r="B112" s="33">
        <v>-2.9936612000000001E-2</v>
      </c>
      <c r="C112" s="33">
        <v>2.8880835000000001E-2</v>
      </c>
      <c r="D112" s="33">
        <v>2.2861957999999998E-2</v>
      </c>
      <c r="E112" s="33">
        <v>1.2308836E-2</v>
      </c>
      <c r="F112" s="33">
        <v>9.3274120000000002E-2</v>
      </c>
      <c r="G112" s="33">
        <v>2.6246310000000001E-3</v>
      </c>
      <c r="H112" s="33">
        <v>-1.4349759E-2</v>
      </c>
      <c r="I112" s="33">
        <v>-3.9103686999999998E-2</v>
      </c>
      <c r="J112" s="33">
        <v>1.8154263E-2</v>
      </c>
      <c r="K112" s="33">
        <v>1.6522407999999998E-4</v>
      </c>
      <c r="L112" s="33">
        <v>1.2811184E-2</v>
      </c>
      <c r="M112" s="33">
        <v>-3.1617880000000001E-2</v>
      </c>
      <c r="N112" s="33">
        <v>3.2237053000000002E-2</v>
      </c>
      <c r="O112" s="33">
        <v>4.1919230000000002E-2</v>
      </c>
      <c r="P112" s="33">
        <v>-4.7465799999999995E-2</v>
      </c>
      <c r="Q112" s="33">
        <v>5.0903080000000003E-2</v>
      </c>
      <c r="R112" s="33">
        <v>-3.8110495000000001E-2</v>
      </c>
      <c r="S112" s="33">
        <v>-0.11176812999999999</v>
      </c>
      <c r="T112" s="33">
        <v>6.8783045000000001E-2</v>
      </c>
      <c r="U112" s="33">
        <v>-4.267311E-2</v>
      </c>
      <c r="V112" s="33">
        <v>3.7294625999999996E-3</v>
      </c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</row>
    <row r="113" spans="1:38" x14ac:dyDescent="0.35">
      <c r="A113" s="2">
        <v>45079</v>
      </c>
      <c r="B113" s="33">
        <v>-6.2712790000000004E-2</v>
      </c>
      <c r="C113" s="33">
        <v>4.0701746999999996E-2</v>
      </c>
      <c r="D113" s="33">
        <v>-1.5728414E-2</v>
      </c>
      <c r="E113" s="33">
        <v>-3.9425194000000004E-2</v>
      </c>
      <c r="F113" s="33">
        <v>6.2101007E-2</v>
      </c>
      <c r="G113" s="33">
        <v>1.2238026E-3</v>
      </c>
      <c r="H113" s="33">
        <v>-5.4595049999999999E-2</v>
      </c>
      <c r="I113" s="33">
        <v>7.8189254E-2</v>
      </c>
      <c r="J113" s="33">
        <v>1.4859438E-3</v>
      </c>
      <c r="K113" s="33">
        <v>7.5957774999999991E-2</v>
      </c>
      <c r="L113" s="33">
        <v>0.10552942</v>
      </c>
      <c r="M113" s="33">
        <v>-7.5071453999999996E-2</v>
      </c>
      <c r="N113" s="33">
        <v>8.2334400000000002E-2</v>
      </c>
      <c r="O113" s="33">
        <v>2.4721264999999999E-2</v>
      </c>
      <c r="P113" s="33">
        <v>-3.8851379999999998E-2</v>
      </c>
      <c r="Q113" s="33">
        <v>-4.1666627000000005E-3</v>
      </c>
      <c r="R113" s="33">
        <v>-1.3696551E-3</v>
      </c>
      <c r="S113" s="33">
        <v>6.0585856E-2</v>
      </c>
      <c r="T113" s="33">
        <v>-2.3762344999999997E-2</v>
      </c>
      <c r="U113" s="33">
        <v>8.1581119999999993E-2</v>
      </c>
      <c r="V113" s="33">
        <v>1.7835021E-2</v>
      </c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</row>
    <row r="114" spans="1:38" x14ac:dyDescent="0.35">
      <c r="A114" s="2">
        <v>45110</v>
      </c>
      <c r="B114" s="33">
        <v>-1.9865273999999999E-2</v>
      </c>
      <c r="C114" s="33">
        <v>3.9515614999999997E-2</v>
      </c>
      <c r="D114" s="33">
        <v>-7.5962543000000007E-3</v>
      </c>
      <c r="E114" s="33">
        <v>1.6748905000000001E-2</v>
      </c>
      <c r="F114" s="33">
        <v>5.9562799999999999E-2</v>
      </c>
      <c r="G114" s="33">
        <v>2.9785275000000003E-2</v>
      </c>
      <c r="H114" s="33">
        <v>-8.8567734000000002E-3</v>
      </c>
      <c r="I114" s="33">
        <v>8.6938139999999994E-3</v>
      </c>
      <c r="J114" s="33">
        <v>4.7757982999999997E-2</v>
      </c>
      <c r="K114" s="33">
        <v>-5.6783556999999993E-3</v>
      </c>
      <c r="L114" s="33">
        <v>9.9568610000000002E-2</v>
      </c>
      <c r="M114" s="33">
        <v>4.5663238000000002E-2</v>
      </c>
      <c r="N114" s="33">
        <v>9.7342730000000002E-2</v>
      </c>
      <c r="O114" s="33">
        <v>3.7673472999999999E-2</v>
      </c>
      <c r="P114" s="33">
        <v>8.4244009999999998E-3</v>
      </c>
      <c r="Q114" s="33">
        <v>-3.2481253000000002E-2</v>
      </c>
      <c r="R114" s="33">
        <v>-1.0377407E-2</v>
      </c>
      <c r="S114" s="33">
        <v>-5.1822242999999997E-2</v>
      </c>
      <c r="T114" s="33">
        <v>1.0546683999999999E-2</v>
      </c>
      <c r="U114" s="33">
        <v>3.3437014000000001E-2</v>
      </c>
      <c r="V114" s="33">
        <v>1.7538309000000002E-2</v>
      </c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</row>
    <row r="115" spans="1:38" x14ac:dyDescent="0.35">
      <c r="A115" s="2">
        <v>45142</v>
      </c>
      <c r="B115" s="33">
        <v>5.0186515000000001E-2</v>
      </c>
      <c r="C115" s="33">
        <v>4.3845176999999999E-3</v>
      </c>
      <c r="D115" s="33">
        <v>-2.1626950000000001E-3</v>
      </c>
      <c r="E115" s="33">
        <v>-3.9137601999999997E-3</v>
      </c>
      <c r="F115" s="33">
        <v>5.2604436999999997E-2</v>
      </c>
      <c r="G115" s="33">
        <v>7.1320652999999998E-2</v>
      </c>
      <c r="H115" s="33">
        <v>5.7340619999999995E-2</v>
      </c>
      <c r="I115" s="33">
        <v>-1.7447948000000001E-2</v>
      </c>
      <c r="J115" s="33">
        <v>-5.2306649999999998E-3</v>
      </c>
      <c r="K115" s="33">
        <v>6.1738489999999999E-4</v>
      </c>
      <c r="L115" s="33">
        <v>-2.345419E-2</v>
      </c>
      <c r="M115" s="33">
        <v>3.9608955000000001E-2</v>
      </c>
      <c r="N115" s="33">
        <v>2.9655337E-2</v>
      </c>
      <c r="O115" s="33">
        <v>5.4806469999999999E-3</v>
      </c>
      <c r="P115" s="33">
        <v>5.4541470000000002E-2</v>
      </c>
      <c r="Q115" s="33">
        <v>5.2809000000000002E-2</v>
      </c>
      <c r="R115" s="33">
        <v>9.9978447000000012E-3</v>
      </c>
      <c r="S115" s="33">
        <v>0.18621397000000001</v>
      </c>
      <c r="T115" s="33">
        <v>5.4295540000000003E-2</v>
      </c>
      <c r="U115" s="33">
        <v>0.13468779</v>
      </c>
      <c r="V115" s="33">
        <v>-1.2584686000000001E-2</v>
      </c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</row>
    <row r="116" spans="1:38" x14ac:dyDescent="0.35">
      <c r="A116" s="2">
        <v>45170</v>
      </c>
      <c r="B116" s="33">
        <v>-6.4901532999999997E-2</v>
      </c>
      <c r="C116" s="33">
        <v>-4.4325112999999999E-2</v>
      </c>
      <c r="D116" s="33">
        <v>6.5019130000000007E-3</v>
      </c>
      <c r="E116" s="33">
        <v>-6.0852884999999995E-2</v>
      </c>
      <c r="F116" s="33">
        <v>-5.5854917000000004E-2</v>
      </c>
      <c r="G116" s="33">
        <v>-2.2444725000000002E-2</v>
      </c>
      <c r="H116" s="33">
        <v>-7.4801444999999999E-3</v>
      </c>
      <c r="I116" s="33">
        <v>-2.0967125999999999E-2</v>
      </c>
      <c r="J116" s="33">
        <v>-2.0713805999999998E-2</v>
      </c>
      <c r="K116" s="33">
        <v>-2.4988472000000001E-2</v>
      </c>
      <c r="L116" s="33">
        <v>-1.9338787E-2</v>
      </c>
      <c r="M116" s="33">
        <v>-4.9915609999999999E-2</v>
      </c>
      <c r="N116" s="33">
        <v>-3.8401663000000003E-2</v>
      </c>
      <c r="O116" s="33">
        <v>4.7695636999999999E-3</v>
      </c>
      <c r="P116" s="33">
        <v>-4.2961416000000002E-2</v>
      </c>
      <c r="Q116" s="33">
        <v>-4.2155743000000002E-2</v>
      </c>
      <c r="R116" s="33">
        <v>1.1904955E-2</v>
      </c>
      <c r="S116" s="33">
        <v>0.10234177000000001</v>
      </c>
      <c r="T116" s="33">
        <v>-1.4341593E-2</v>
      </c>
      <c r="U116" s="33">
        <v>3.3156872E-3</v>
      </c>
      <c r="V116" s="33">
        <v>3.9215088E-3</v>
      </c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</row>
    <row r="117" spans="1:38" x14ac:dyDescent="0.35">
      <c r="A117" s="2">
        <v>45203</v>
      </c>
      <c r="B117" s="33">
        <v>-4.7651887000000004E-2</v>
      </c>
      <c r="C117" s="33">
        <v>-0.12508785</v>
      </c>
      <c r="D117" s="33">
        <v>-5.2540899999999995E-2</v>
      </c>
      <c r="E117" s="33">
        <v>1.8775462999999999E-2</v>
      </c>
      <c r="F117" s="33">
        <v>-0.12610273999999999</v>
      </c>
      <c r="G117" s="33">
        <v>-9.8355589999999993E-2</v>
      </c>
      <c r="H117" s="33">
        <v>-4.0508629999999997E-2</v>
      </c>
      <c r="I117" s="33">
        <v>-3.3216715000000001E-2</v>
      </c>
      <c r="J117" s="33">
        <v>-8.5909549999999987E-2</v>
      </c>
      <c r="K117" s="33">
        <v>-8.6378759999999999E-2</v>
      </c>
      <c r="L117" s="33">
        <v>-7.0928810000000009E-2</v>
      </c>
      <c r="M117" s="33">
        <v>-8.2487290000000005E-2</v>
      </c>
      <c r="N117" s="33">
        <v>-0.12844043999999999</v>
      </c>
      <c r="O117" s="33">
        <v>-8.363545E-3</v>
      </c>
      <c r="P117" s="33">
        <v>-8.607542E-2</v>
      </c>
      <c r="Q117" s="33">
        <v>-3.3147692999999999E-2</v>
      </c>
      <c r="R117" s="33">
        <v>-6.2911690000000006E-2</v>
      </c>
      <c r="S117" s="33">
        <v>1.7833709999999999E-2</v>
      </c>
      <c r="T117" s="33">
        <v>2.6455045E-2</v>
      </c>
      <c r="U117" s="33">
        <v>-0.128883</v>
      </c>
      <c r="V117" s="33">
        <v>-7.2509710000000005E-2</v>
      </c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</row>
    <row r="118" spans="1:38" x14ac:dyDescent="0.35">
      <c r="A118" s="2">
        <v>45233</v>
      </c>
      <c r="B118" s="33">
        <v>-5.0761104000000001E-3</v>
      </c>
      <c r="C118" s="33">
        <v>3.4939765999999997E-2</v>
      </c>
      <c r="D118" s="33">
        <v>-3.0454576000000001E-2</v>
      </c>
      <c r="E118" s="33">
        <v>-2.3637771999999998E-2</v>
      </c>
      <c r="F118" s="33">
        <v>0.21140135000000002</v>
      </c>
      <c r="G118" s="33">
        <v>1.5829325000000002E-2</v>
      </c>
      <c r="H118" s="33">
        <v>4.1727899999999998E-2</v>
      </c>
      <c r="I118" s="33">
        <v>3.3905983000000001E-2</v>
      </c>
      <c r="J118" s="33">
        <v>5.9629679999999997E-2</v>
      </c>
      <c r="K118" s="33">
        <v>3.3246756000000002E-2</v>
      </c>
      <c r="L118" s="33">
        <v>9.2091800000000001E-2</v>
      </c>
      <c r="M118" s="33">
        <v>0.1211617</v>
      </c>
      <c r="N118" s="33">
        <v>8.111452999999999E-2</v>
      </c>
      <c r="O118" s="33">
        <v>6.3825845999999995E-3</v>
      </c>
      <c r="P118" s="33">
        <v>3.1235100000000002E-2</v>
      </c>
      <c r="Q118" s="33">
        <v>-2.4488568000000002E-2</v>
      </c>
      <c r="R118" s="33">
        <v>-2.1698534000000002E-2</v>
      </c>
      <c r="S118" s="33">
        <v>-0.10358154000000001</v>
      </c>
      <c r="T118" s="33">
        <v>-6.25E-2</v>
      </c>
      <c r="U118" s="33">
        <v>-4.9696564999999998E-2</v>
      </c>
      <c r="V118" s="33">
        <v>3.2376885000000001E-2</v>
      </c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</row>
    <row r="119" spans="1:38" x14ac:dyDescent="0.35">
      <c r="A119" s="2">
        <v>45264</v>
      </c>
      <c r="B119" s="33">
        <v>-1.4212846999999999E-2</v>
      </c>
      <c r="C119" s="33">
        <v>4.1909219999999997E-2</v>
      </c>
      <c r="D119" s="33">
        <v>2.4847627000000001E-2</v>
      </c>
      <c r="E119" s="33">
        <v>3.9803027999999997E-2</v>
      </c>
      <c r="F119" s="33">
        <v>0.10049021</v>
      </c>
      <c r="G119" s="33">
        <v>4.5054196999999997E-2</v>
      </c>
      <c r="H119" s="33">
        <v>-9.4240904000000001E-4</v>
      </c>
      <c r="I119" s="33">
        <v>5.5093883999999996E-2</v>
      </c>
      <c r="J119" s="33">
        <v>5.6946040000000003E-2</v>
      </c>
      <c r="K119" s="33">
        <v>3.9886116999999999E-2</v>
      </c>
      <c r="L119" s="33">
        <v>5.4859039999999998E-2</v>
      </c>
      <c r="M119" s="33">
        <v>-6.908417E-3</v>
      </c>
      <c r="N119" s="33">
        <v>5.8705687999999999E-2</v>
      </c>
      <c r="O119" s="33">
        <v>6.0928582999999994E-2</v>
      </c>
      <c r="P119" s="33">
        <v>-3.7919043999999999E-2</v>
      </c>
      <c r="Q119" s="33">
        <v>1.2403964999999999E-2</v>
      </c>
      <c r="R119" s="33">
        <v>-2.5511324000000002E-2</v>
      </c>
      <c r="S119" s="33">
        <v>2.8743862999999998E-2</v>
      </c>
      <c r="T119" s="33">
        <v>7.5601339999999996E-3</v>
      </c>
      <c r="U119" s="33">
        <v>8.5029960000000002E-2</v>
      </c>
      <c r="V119" s="33">
        <v>1.6318202E-2</v>
      </c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</row>
    <row r="120" spans="1:38" x14ac:dyDescent="0.35">
      <c r="A120" s="2">
        <v>45295</v>
      </c>
      <c r="B120" s="33">
        <v>-3.6885319999999999E-2</v>
      </c>
      <c r="C120" s="33">
        <v>1.4304996E-2</v>
      </c>
      <c r="D120" s="33">
        <v>3.2525419999999999E-2</v>
      </c>
      <c r="E120" s="33">
        <v>4.998851E-2</v>
      </c>
      <c r="F120" s="33">
        <v>2.6414394000000003E-3</v>
      </c>
      <c r="G120" s="33">
        <v>0.11849593999999999</v>
      </c>
      <c r="H120" s="33">
        <v>2.151525E-2</v>
      </c>
      <c r="I120" s="33">
        <v>3.5230756000000002E-2</v>
      </c>
      <c r="J120" s="33">
        <v>5.4488540000000002E-2</v>
      </c>
      <c r="K120" s="33">
        <v>3.7237048000000002E-2</v>
      </c>
      <c r="L120" s="33">
        <v>4.9077271999999998E-2</v>
      </c>
      <c r="M120" s="33">
        <v>-5.3788424000000001E-3</v>
      </c>
      <c r="N120" s="33">
        <v>2.9921650000000001E-2</v>
      </c>
      <c r="O120" s="33">
        <v>4.632783E-2</v>
      </c>
      <c r="P120" s="33">
        <v>-2.0030499E-2</v>
      </c>
      <c r="Q120" s="33">
        <v>4.609108E-2</v>
      </c>
      <c r="R120" s="33">
        <v>3.6898016999999998E-2</v>
      </c>
      <c r="S120" s="33">
        <v>-8.8794229999999988E-2</v>
      </c>
      <c r="T120" s="33">
        <v>1.2023568E-2</v>
      </c>
      <c r="U120" s="33">
        <v>3.193736E-3</v>
      </c>
      <c r="V120" s="33">
        <v>8.8773970000000008E-2</v>
      </c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</row>
    <row r="121" spans="1:38" x14ac:dyDescent="0.35">
      <c r="A121" s="2">
        <v>45324</v>
      </c>
      <c r="B121" s="33">
        <v>-7.7569009999999994E-2</v>
      </c>
      <c r="C121" s="33">
        <v>-7.2431620000000002E-2</v>
      </c>
      <c r="D121" s="33">
        <v>-1.4738739000000001E-2</v>
      </c>
      <c r="E121" s="33">
        <v>8.3365439999999996E-3</v>
      </c>
      <c r="F121" s="33">
        <v>3.7951470000000001E-2</v>
      </c>
      <c r="G121" s="33">
        <v>-3.7636757E-3</v>
      </c>
      <c r="H121" s="33">
        <v>-3.2895207E-3</v>
      </c>
      <c r="I121" s="33">
        <v>9.9277496000000007E-3</v>
      </c>
      <c r="J121" s="33">
        <v>3.9791941999999997E-2</v>
      </c>
      <c r="K121" s="33">
        <v>-1.753807E-3</v>
      </c>
      <c r="L121" s="33">
        <v>-4.1091920000000004E-2</v>
      </c>
      <c r="M121" s="33">
        <v>-1.340419E-2</v>
      </c>
      <c r="N121" s="33">
        <v>5.8413744000000004E-2</v>
      </c>
      <c r="O121" s="33">
        <v>2.7851461999999997E-2</v>
      </c>
      <c r="P121" s="33">
        <v>-9.3789280000000003E-2</v>
      </c>
      <c r="Q121" s="33">
        <v>-4.2387066000000001E-2</v>
      </c>
      <c r="R121" s="33">
        <v>-3.5208702000000001E-2</v>
      </c>
      <c r="S121" s="33">
        <v>0.11310803999999999</v>
      </c>
      <c r="T121" s="33">
        <v>-1.3568401E-3</v>
      </c>
      <c r="U121" s="33">
        <v>7.7331066E-4</v>
      </c>
      <c r="V121" s="33">
        <v>-1.751107E-2</v>
      </c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</row>
    <row r="122" spans="1:38" x14ac:dyDescent="0.35">
      <c r="A122" s="2">
        <v>45355</v>
      </c>
      <c r="B122" s="33">
        <v>0.13263977000000002</v>
      </c>
      <c r="C122" s="33">
        <v>1.9920349E-2</v>
      </c>
      <c r="D122" s="33">
        <v>5.4397583000000008E-3</v>
      </c>
      <c r="E122" s="33">
        <v>4.0962100000000001E-2</v>
      </c>
      <c r="F122" s="33">
        <v>1.9823789999999997E-2</v>
      </c>
      <c r="G122" s="33">
        <v>5.8666587000000006E-2</v>
      </c>
      <c r="H122" s="33">
        <v>1.8387555999999999E-2</v>
      </c>
      <c r="I122" s="33">
        <v>5.6300282E-2</v>
      </c>
      <c r="J122" s="33">
        <v>-3.4000635000000001E-2</v>
      </c>
      <c r="K122" s="33">
        <v>4.7755957000000002E-2</v>
      </c>
      <c r="L122" s="33">
        <v>9.7950696999999989E-3</v>
      </c>
      <c r="M122" s="33">
        <v>-2.6403427E-2</v>
      </c>
      <c r="N122" s="33">
        <v>3.3417702000000001E-2</v>
      </c>
      <c r="O122" s="33">
        <v>3.0471444E-2</v>
      </c>
      <c r="P122" s="33">
        <v>7.9633713000000009E-2</v>
      </c>
      <c r="Q122" s="33">
        <v>5.3581833999999995E-2</v>
      </c>
      <c r="R122" s="33">
        <v>-1.5526533E-2</v>
      </c>
      <c r="S122" s="33">
        <v>7.7952147000000006E-3</v>
      </c>
      <c r="T122" s="33">
        <v>-5.7744384000000008E-3</v>
      </c>
      <c r="U122" s="33">
        <v>4.9459099999999999E-2</v>
      </c>
      <c r="V122" s="33">
        <v>4.4201493000000001E-2</v>
      </c>
      <c r="W122" s="33"/>
      <c r="X122" s="33"/>
      <c r="Y122" s="33"/>
    </row>
    <row r="123" spans="1:38" x14ac:dyDescent="0.35">
      <c r="A123" s="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</row>
    <row r="124" spans="1:38" x14ac:dyDescent="0.35">
      <c r="A124" s="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</row>
    <row r="125" spans="1:38" x14ac:dyDescent="0.35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</row>
    <row r="126" spans="1:38" x14ac:dyDescent="0.35">
      <c r="A126" t="s">
        <v>813</v>
      </c>
      <c r="B126" s="33" cm="1">
        <f t="array" ref="B126">MAX(_xlfn._xlws.FILTER(B1:B122, ISNUMBER(B1:B122)))</f>
        <v>0.17324829999999999</v>
      </c>
      <c r="C126" s="33" cm="1">
        <f t="array" ref="C126">MAX(_xlfn._xlws.FILTER(C1:C122, ISNUMBER(C1:C122)))</f>
        <v>0.20466387</v>
      </c>
      <c r="D126" s="33" cm="1">
        <f t="array" ref="D126">MAX(_xlfn._xlws.FILTER(D1:D122, ISNUMBER(D1:D122)))</f>
        <v>0.18816303000000001</v>
      </c>
      <c r="E126" s="33" cm="1">
        <f t="array" ref="E126">MAX(_xlfn._xlws.FILTER(E1:E122, ISNUMBER(E1:E122)))</f>
        <v>0.18912136000000002</v>
      </c>
      <c r="F126" s="33" cm="1">
        <f t="array" ref="F126">MAX(_xlfn._xlws.FILTER(F1:F122, ISNUMBER(F1:F122)))</f>
        <v>0.23735405000000001</v>
      </c>
      <c r="G126" s="33" cm="1">
        <f t="array" ref="G126">MAX(_xlfn._xlws.FILTER(G1:G122, ISNUMBER(G1:G122)))</f>
        <v>0.20699999999999999</v>
      </c>
      <c r="H126" s="33" cm="1">
        <f t="array" ref="H126">MAX(_xlfn._xlws.FILTER(H1:H122, ISNUMBER(H1:H122)))</f>
        <v>0.14980793000000001</v>
      </c>
      <c r="I126" s="33" cm="1">
        <f t="array" ref="I126">MAX(_xlfn._xlws.FILTER(I1:I122, ISNUMBER(I1:I122)))</f>
        <v>0.17716812000000001</v>
      </c>
      <c r="J126" s="33" cm="1">
        <f t="array" ref="J126">MAX(_xlfn._xlws.FILTER(J1:J122, ISNUMBER(J1:J122)))</f>
        <v>0.23354327999999999</v>
      </c>
      <c r="K126" s="33" cm="1">
        <f t="array" ref="K126">MAX(_xlfn._xlws.FILTER(K1:K122, ISNUMBER(K1:K122)))</f>
        <v>0.20589946999999997</v>
      </c>
      <c r="L126" s="33" cm="1">
        <f t="array" ref="L126">MAX(_xlfn._xlws.FILTER(L1:L122, ISNUMBER(L1:L122)))</f>
        <v>0.27333582000000001</v>
      </c>
      <c r="M126" s="33" cm="1">
        <f t="array" ref="M126">MAX(_xlfn._xlws.FILTER(M1:M122, ISNUMBER(M1:M122)))</f>
        <v>0.18065012</v>
      </c>
      <c r="N126" s="33" cm="1">
        <f t="array" ref="N126">MAX(_xlfn._xlws.FILTER(N1:N122, ISNUMBER(N1:N122)))</f>
        <v>0.39052463999999998</v>
      </c>
      <c r="O126" s="33" cm="1">
        <f t="array" ref="O126">MAX(_xlfn._xlws.FILTER(O1:O122, ISNUMBER(O1:O122)))</f>
        <v>0.20854164</v>
      </c>
      <c r="P126" s="33" cm="1">
        <f t="array" ref="P126">MAX(_xlfn._xlws.FILTER(P1:P122, ISNUMBER(P1:P122)))</f>
        <v>0.17375278000000002</v>
      </c>
      <c r="Q126" s="33" cm="1">
        <f t="array" ref="Q126">MAX(_xlfn._xlws.FILTER(Q1:Q122, ISNUMBER(Q1:Q122)))</f>
        <v>0.14883221000000002</v>
      </c>
      <c r="R126" s="33" cm="1">
        <f t="array" ref="R126">MAX(_xlfn._xlws.FILTER(R1:R122, ISNUMBER(R1:R122)))</f>
        <v>0.18601322000000001</v>
      </c>
      <c r="S126" s="33" cm="1">
        <f t="array" ref="S126">MAX(_xlfn._xlws.FILTER(S1:S122, ISNUMBER(S1:S122)))</f>
        <v>0.24731182000000002</v>
      </c>
      <c r="T126" s="33" cm="1">
        <f t="array" ref="T126">MAX(_xlfn._xlws.FILTER(T1:T122, ISNUMBER(T1:T122)))</f>
        <v>0.11034811</v>
      </c>
      <c r="U126" s="33" cm="1">
        <f t="array" ref="U126">MAX(_xlfn._xlws.FILTER(U1:U122, ISNUMBER(U1:U122)))</f>
        <v>0.17140471999999998</v>
      </c>
      <c r="V126" s="33" cm="1">
        <f t="array" ref="V126">MAX(_xlfn._xlws.FILTER(V1:V122, ISNUMBER(V1:V122)))</f>
        <v>0.1754868</v>
      </c>
    </row>
    <row r="127" spans="1:38" x14ac:dyDescent="0.35">
      <c r="A127" t="s">
        <v>89</v>
      </c>
      <c r="B127" s="33" cm="1">
        <f t="array" ref="B127">MIN(_xlfn._xlws.FILTER(B2:B122, ISNUMBER(B2:B122)))</f>
        <v>-0.14335858999999998</v>
      </c>
      <c r="C127" s="33" cm="1">
        <f t="array" ref="C127">MIN(_xlfn._xlws.FILTER(C2:C122, ISNUMBER(C2:C122)))</f>
        <v>-0.22714632000000001</v>
      </c>
      <c r="D127" s="33" cm="1">
        <f t="array" ref="D127">MIN(_xlfn._xlws.FILTER(D2:D122, ISNUMBER(D2:D122)))</f>
        <v>-0.38349514000000001</v>
      </c>
      <c r="E127" s="33" cm="1">
        <f t="array" ref="E127">MIN(_xlfn._xlws.FILTER(E2:E122, ISNUMBER(E2:E122)))</f>
        <v>-0.24824589</v>
      </c>
      <c r="F127" s="33" cm="1">
        <f t="array" ref="F127">MIN(_xlfn._xlws.FILTER(F2:F122, ISNUMBER(F2:F122)))</f>
        <v>-0.27377683999999997</v>
      </c>
      <c r="G127" s="33" cm="1">
        <f t="array" ref="G127">MIN(_xlfn._xlws.FILTER(G2:G122, ISNUMBER(G2:G122)))</f>
        <v>-0.32887756000000001</v>
      </c>
      <c r="H127" s="33" cm="1">
        <f t="array" ref="H127">MIN(_xlfn._xlws.FILTER(H2:H122, ISNUMBER(H2:H122)))</f>
        <v>-0.18786854000000003</v>
      </c>
      <c r="I127" s="33" cm="1">
        <f t="array" ref="I127">MIN(_xlfn._xlws.FILTER(I2:I122, ISNUMBER(I2:I122)))</f>
        <v>-0.17095542999999999</v>
      </c>
      <c r="J127" s="33" cm="1">
        <f t="array" ref="J127">MIN(_xlfn._xlws.FILTER(J2:J122, ISNUMBER(J2:J122)))</f>
        <v>-0.41672359999999997</v>
      </c>
      <c r="K127" s="33" cm="1">
        <f t="array" ref="K127">MIN(_xlfn._xlws.FILTER(K2:K122, ISNUMBER(K2:K122)))</f>
        <v>-0.21587355</v>
      </c>
      <c r="L127" s="33" cm="1">
        <f t="array" ref="L127">MIN(_xlfn._xlws.FILTER(L2:L122, ISNUMBER(L2:L122)))</f>
        <v>-0.43811236999999997</v>
      </c>
      <c r="M127" s="33" cm="1">
        <f t="array" ref="M127">MIN(_xlfn._xlws.FILTER(M2:M122, ISNUMBER(M2:M122)))</f>
        <v>-0.36969990000000003</v>
      </c>
      <c r="N127" s="33" cm="1">
        <f t="array" ref="N127">MIN(_xlfn._xlws.FILTER(N2:N122, ISNUMBER(N2:N122)))</f>
        <v>-0.34039900000000001</v>
      </c>
      <c r="O127" s="33" cm="1">
        <f t="array" ref="O127">MIN(_xlfn._xlws.FILTER(O2:O122, ISNUMBER(O2:O122)))</f>
        <v>-0.31197249999999999</v>
      </c>
      <c r="P127" s="33" cm="1">
        <f t="array" ref="P127">MIN(_xlfn._xlws.FILTER(P2:P122, ISNUMBER(P2:P122)))</f>
        <v>-0.15818184999999998</v>
      </c>
      <c r="Q127" s="33" cm="1">
        <f t="array" ref="Q127">MIN(_xlfn._xlws.FILTER(Q2:Q122, ISNUMBER(Q2:Q122)))</f>
        <v>-0.10121548000000001</v>
      </c>
      <c r="R127" s="33" cm="1">
        <f t="array" ref="R127">MIN(_xlfn._xlws.FILTER(R2:R122, ISNUMBER(R2:R122)))</f>
        <v>-0.17392158999999999</v>
      </c>
      <c r="S127" s="33" cm="1">
        <f t="array" ref="S127">MIN(_xlfn._xlws.FILTER(S2:S122, ISNUMBER(S2:S122)))</f>
        <v>-0.27091480000000001</v>
      </c>
      <c r="T127" s="33" cm="1">
        <f t="array" ref="T127">MIN(_xlfn._xlws.FILTER(T2:T122, ISNUMBER(T2:T122)))</f>
        <v>-0.23789643999999999</v>
      </c>
      <c r="U127" s="33" cm="1">
        <f t="array" ref="U127">MIN(_xlfn._xlws.FILTER(U2:U122, ISNUMBER(U2:U122)))</f>
        <v>-0.2321173</v>
      </c>
      <c r="V127" s="33" cm="1">
        <f t="array" ref="V127">MIN(_xlfn._xlws.FILTER(V2:V122, ISNUMBER(V2:V122)))</f>
        <v>-0.10858482</v>
      </c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</row>
    <row r="129" spans="1:29" x14ac:dyDescent="0.35">
      <c r="A129" t="s">
        <v>91</v>
      </c>
      <c r="B129">
        <f>COUNTIF(B2:B122, "&lt;"&amp;Assumption!$E$49)</f>
        <v>14</v>
      </c>
      <c r="C129">
        <f>COUNTIF(C2:C122, "&lt;"&amp;Assumption!$E$49)</f>
        <v>26</v>
      </c>
      <c r="D129">
        <f>COUNTIF(D2:D122, "&lt;"&amp;Assumption!$E$49)</f>
        <v>19</v>
      </c>
      <c r="E129">
        <f>COUNTIF(E2:E122, "&lt;"&amp;Assumption!$E$49)</f>
        <v>20</v>
      </c>
      <c r="F129">
        <f>COUNTIF(F2:F122, "&lt;"&amp;Assumption!$E$49)</f>
        <v>21</v>
      </c>
      <c r="G129">
        <f>COUNTIF(G2:G122, "&lt;"&amp;Assumption!$E$49)</f>
        <v>21</v>
      </c>
      <c r="H129">
        <f>COUNTIF(H2:H122, "&lt;"&amp;Assumption!$E$49)</f>
        <v>15</v>
      </c>
      <c r="I129">
        <f>COUNTIF(I2:I122, "&lt;"&amp;Assumption!$E$49)</f>
        <v>16</v>
      </c>
      <c r="J129">
        <f>COUNTIF(J2:J122, "&lt;"&amp;Assumption!$E$49)</f>
        <v>21</v>
      </c>
      <c r="K129">
        <f>COUNTIF(K2:K122, "&lt;"&amp;Assumption!$E$49)</f>
        <v>19</v>
      </c>
      <c r="L129">
        <f>COUNTIF(L2:L122, "&lt;"&amp;Assumption!$E$49)</f>
        <v>32</v>
      </c>
      <c r="M129">
        <f>COUNTIF(M2:M122, "&lt;"&amp;Assumption!$E$49)</f>
        <v>22</v>
      </c>
      <c r="N129">
        <f>COUNTIF(N2:N122, "&lt;"&amp;Assumption!$E$49)</f>
        <v>30</v>
      </c>
      <c r="O129">
        <f>COUNTIF(O2:O122, "&lt;"&amp;Assumption!$E$49)</f>
        <v>12</v>
      </c>
      <c r="P129">
        <f>COUNTIF(P2:P122, "&lt;"&amp;Assumption!$E$49)</f>
        <v>25</v>
      </c>
      <c r="Q129">
        <f>COUNTIF(Q2:Q122, "&lt;"&amp;Assumption!$E$49)</f>
        <v>16</v>
      </c>
      <c r="R129">
        <f>COUNTIF(R2:R122, "&lt;"&amp;Assumption!$E$49)</f>
        <v>10</v>
      </c>
      <c r="S129">
        <f>COUNTIF(S2:S122, "&lt;"&amp;Assumption!$E$49)</f>
        <v>33</v>
      </c>
      <c r="T129">
        <f>COUNTIF(T2:T122, "&lt;"&amp;Assumption!$E$49)</f>
        <v>14</v>
      </c>
      <c r="U129">
        <f>COUNTIF(U2:U122, "&lt;"&amp;Assumption!$E$49)</f>
        <v>25</v>
      </c>
      <c r="V129">
        <f>COUNTIF(V2:V122, "&lt;"&amp;Assumption!$E$49)</f>
        <v>13</v>
      </c>
    </row>
    <row r="130" spans="1:29" x14ac:dyDescent="0.35">
      <c r="A130" t="s">
        <v>90</v>
      </c>
      <c r="B130">
        <f>COUNT(B1:B122)</f>
        <v>92</v>
      </c>
      <c r="C130">
        <f t="shared" ref="C130:V130" si="0">COUNT(C1:C122)</f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si="0"/>
        <v>121</v>
      </c>
      <c r="L130">
        <f t="shared" si="0"/>
        <v>121</v>
      </c>
      <c r="M130">
        <f t="shared" si="0"/>
        <v>121</v>
      </c>
      <c r="N130">
        <f t="shared" si="0"/>
        <v>121</v>
      </c>
      <c r="O130">
        <f t="shared" si="0"/>
        <v>121</v>
      </c>
      <c r="P130">
        <f t="shared" si="0"/>
        <v>121</v>
      </c>
      <c r="Q130">
        <f t="shared" si="0"/>
        <v>118</v>
      </c>
      <c r="R130">
        <f t="shared" si="0"/>
        <v>121</v>
      </c>
      <c r="S130">
        <f t="shared" si="0"/>
        <v>121</v>
      </c>
      <c r="T130">
        <f t="shared" si="0"/>
        <v>118</v>
      </c>
      <c r="U130">
        <f t="shared" si="0"/>
        <v>121</v>
      </c>
      <c r="V130">
        <f t="shared" si="0"/>
        <v>101</v>
      </c>
    </row>
    <row r="132" spans="1:29" x14ac:dyDescent="0.35">
      <c r="A132" t="s">
        <v>92</v>
      </c>
      <c r="B132" s="9">
        <f t="shared" ref="B132:V132" si="1">B129/B130</f>
        <v>0.15217391304347827</v>
      </c>
      <c r="C132" s="9">
        <f t="shared" si="1"/>
        <v>0.21487603305785125</v>
      </c>
      <c r="D132" s="9">
        <f t="shared" si="1"/>
        <v>0.15702479338842976</v>
      </c>
      <c r="E132" s="9">
        <f t="shared" si="1"/>
        <v>0.16528925619834711</v>
      </c>
      <c r="F132" s="9">
        <f t="shared" si="1"/>
        <v>0.17355371900826447</v>
      </c>
      <c r="G132" s="9">
        <f t="shared" si="1"/>
        <v>0.17355371900826447</v>
      </c>
      <c r="H132" s="9">
        <f t="shared" si="1"/>
        <v>0.12396694214876033</v>
      </c>
      <c r="I132" s="9">
        <f t="shared" si="1"/>
        <v>0.13223140495867769</v>
      </c>
      <c r="J132" s="9">
        <f t="shared" si="1"/>
        <v>0.17355371900826447</v>
      </c>
      <c r="K132" s="9">
        <f t="shared" si="1"/>
        <v>0.15702479338842976</v>
      </c>
      <c r="L132" s="9">
        <f t="shared" si="1"/>
        <v>0.26446280991735538</v>
      </c>
      <c r="M132" s="9">
        <f t="shared" si="1"/>
        <v>0.18181818181818182</v>
      </c>
      <c r="N132" s="9">
        <f t="shared" si="1"/>
        <v>0.24793388429752067</v>
      </c>
      <c r="O132" s="9">
        <f t="shared" si="1"/>
        <v>9.9173553719008267E-2</v>
      </c>
      <c r="P132" s="9">
        <f t="shared" si="1"/>
        <v>0.20661157024793389</v>
      </c>
      <c r="Q132" s="9">
        <f t="shared" si="1"/>
        <v>0.13559322033898305</v>
      </c>
      <c r="R132" s="9">
        <f t="shared" si="1"/>
        <v>8.2644628099173556E-2</v>
      </c>
      <c r="S132" s="9">
        <f t="shared" si="1"/>
        <v>0.27272727272727271</v>
      </c>
      <c r="T132" s="9">
        <f t="shared" si="1"/>
        <v>0.11864406779661017</v>
      </c>
      <c r="U132" s="9">
        <f t="shared" si="1"/>
        <v>0.20661157024793389</v>
      </c>
      <c r="V132" s="9">
        <f t="shared" si="1"/>
        <v>0.12871287128712872</v>
      </c>
      <c r="W132" s="9"/>
      <c r="X132" s="9"/>
      <c r="Y132" s="9"/>
      <c r="Z132" s="9"/>
      <c r="AA132" s="9"/>
      <c r="AB132" s="9"/>
      <c r="AC132" s="9"/>
    </row>
    <row r="134" spans="1:29" x14ac:dyDescent="0.35">
      <c r="A134" t="s">
        <v>99</v>
      </c>
      <c r="B134" s="9" cm="1">
        <f t="array" ref="B134">_xlfn.PERCENTRANK.EXC(_xlfn._xlws.FILTER(B2:B122, ISNUMBER(B2:B122)),B122)</f>
        <v>0.97799999999999998</v>
      </c>
      <c r="C134" s="9" cm="1">
        <f t="array" ref="C134">_xlfn.PERCENTRANK.EXC(_xlfn._xlws.FILTER(C2:C122, ISNUMBER(C2:C122)),C122)</f>
        <v>0.60599999999999998</v>
      </c>
      <c r="D134" s="9" cm="1">
        <f t="array" ref="D134">_xlfn.PERCENTRANK.EXC(_xlfn._xlws.FILTER(D2:D122, ISNUMBER(D2:D122)),D122)</f>
        <v>0.52400000000000002</v>
      </c>
      <c r="E134" s="9" cm="1">
        <f t="array" ref="E134">_xlfn.PERCENTRANK.EXC(_xlfn._xlws.FILTER(E2:E122, ISNUMBER(E2:E122)),E122)</f>
        <v>0.78600000000000003</v>
      </c>
      <c r="F134" s="9" cm="1">
        <f t="array" ref="F134">_xlfn.PERCENTRANK.EXC(_xlfn._xlws.FILTER(F2:F122, ISNUMBER(F2:F122)),F122)</f>
        <v>0.66300000000000003</v>
      </c>
      <c r="G134" s="9" cm="1">
        <f t="array" ref="G134">_xlfn.PERCENTRANK.EXC(_xlfn._xlws.FILTER(G2:G122, ISNUMBER(G2:G122)),G122)</f>
        <v>0.81100000000000005</v>
      </c>
      <c r="H134" s="9" cm="1">
        <f t="array" ref="H134">_xlfn.PERCENTRANK.EXC(_xlfn._xlws.FILTER(H2:H122, ISNUMBER(H2:H122)),H122)</f>
        <v>0.69599999999999995</v>
      </c>
      <c r="I134" s="9" cm="1">
        <f t="array" ref="I134">_xlfn.PERCENTRANK.EXC(_xlfn._xlws.FILTER(I2:I122, ISNUMBER(I2:I122)),I122)</f>
        <v>0.81899999999999995</v>
      </c>
      <c r="J134" s="9" cm="1">
        <f t="array" ref="J134">_xlfn.PERCENTRANK.EXC(_xlfn._xlws.FILTER(J2:J122, ISNUMBER(J2:J122)),J122)</f>
        <v>0.254</v>
      </c>
      <c r="K134" s="9" cm="1">
        <f t="array" ref="K134">_xlfn.PERCENTRANK.EXC(_xlfn._xlws.FILTER(K2:K122, ISNUMBER(K2:K122)),K122)</f>
        <v>0.81100000000000005</v>
      </c>
      <c r="L134" s="9" cm="1">
        <f t="array" ref="L134">_xlfn.PERCENTRANK.EXC(_xlfn._xlws.FILTER(L2:L122, ISNUMBER(L2:L122)),L122)</f>
        <v>0.5</v>
      </c>
      <c r="M134" s="9" cm="1">
        <f t="array" ref="M134">_xlfn.PERCENTRANK.EXC(_xlfn._xlws.FILTER(M2:M122, ISNUMBER(M2:M122)),M122)</f>
        <v>0.31900000000000001</v>
      </c>
      <c r="N134" s="9" cm="1">
        <f t="array" ref="N134">_xlfn.PERCENTRANK.EXC(_xlfn._xlws.FILTER(N2:N122, ISNUMBER(N2:N122)),N122)</f>
        <v>0.622</v>
      </c>
      <c r="O134" s="9" cm="1">
        <f t="array" ref="O134">_xlfn.PERCENTRANK.EXC(_xlfn._xlws.FILTER(O2:O122, ISNUMBER(O2:O122)),O122)</f>
        <v>0.67200000000000004</v>
      </c>
      <c r="P134" s="9" cm="1">
        <f t="array" ref="P134">_xlfn.PERCENTRANK.EXC(_xlfn._xlws.FILTER(P2:P122, ISNUMBER(P2:P122)),P122)</f>
        <v>0.84399999999999997</v>
      </c>
      <c r="Q134" s="9" cm="1">
        <f t="array" ref="Q134">_xlfn.PERCENTRANK.EXC(_xlfn._xlws.FILTER(Q2:Q122, ISNUMBER(Q2:Q122)),Q122)</f>
        <v>0.86499999999999999</v>
      </c>
      <c r="R134" s="9" cm="1">
        <f t="array" ref="R134">_xlfn.PERCENTRANK.EXC(_xlfn._xlws.FILTER(R2:R122, ISNUMBER(R2:R122)),R122)</f>
        <v>0.31900000000000001</v>
      </c>
      <c r="S134" s="9" cm="1">
        <f t="array" ref="S134">_xlfn.PERCENTRANK.EXC(_xlfn._xlws.FILTER(S2:S122, ISNUMBER(S2:S122)),S122)</f>
        <v>0.52400000000000002</v>
      </c>
      <c r="T134" s="9" cm="1">
        <f t="array" ref="T134">_xlfn.PERCENTRANK.EXC(_xlfn._xlws.FILTER(T2:T122, ISNUMBER(T2:T122)),T122)</f>
        <v>0.40300000000000002</v>
      </c>
      <c r="U134" s="9" cm="1">
        <f t="array" ref="U134">_xlfn.PERCENTRANK.EXC(_xlfn._xlws.FILTER(U2:U122, ISNUMBER(U2:U122)),U122)</f>
        <v>0.77800000000000002</v>
      </c>
      <c r="V134" s="9" cm="1">
        <f t="array" ref="V134">_xlfn.PERCENTRANK.EXC(_xlfn._xlws.FILTER(V2:V122, ISNUMBER(V2:V122)),V122)</f>
        <v>0.754</v>
      </c>
      <c r="W134" s="9"/>
      <c r="X134" s="9"/>
      <c r="Y134" s="9"/>
      <c r="Z134" s="9"/>
      <c r="AA134" s="9"/>
      <c r="AB134" s="9"/>
      <c r="AC134" s="9"/>
    </row>
    <row r="136" spans="1:29" x14ac:dyDescent="0.35">
      <c r="A136" s="9"/>
      <c r="B136" s="9" cm="1">
        <f t="array" ref="B136">_xlfn.PERCENTRANK.EXC(_xlfn._xlws.FILTER(B4:B125, ISNUMBER(B4:B125)),B113)</f>
        <v>0.11799999999999999</v>
      </c>
      <c r="C136" s="9" cm="1">
        <f t="array" ref="C136">_xlfn.PERCENTRANK.EXC(_xlfn._xlws.FILTER(C4:C125, ISNUMBER(C4:C125)),C113)</f>
        <v>0.72499999999999998</v>
      </c>
      <c r="D136" s="9" cm="1">
        <f t="array" ref="D136">_xlfn.PERCENTRANK.EXC(_xlfn._xlws.FILTER(D4:D125, ISNUMBER(D4:D125)),D113)</f>
        <v>0.35799999999999998</v>
      </c>
      <c r="E136" s="9" cm="1">
        <f t="array" ref="E136">_xlfn.PERCENTRANK.EXC(_xlfn._xlws.FILTER(E4:E125, ISNUMBER(E4:E125)),E113)</f>
        <v>0.22500000000000001</v>
      </c>
      <c r="F136" s="9" cm="1">
        <f t="array" ref="F136">_xlfn.PERCENTRANK.EXC(_xlfn._xlws.FILTER(F4:F125, ISNUMBER(F4:F125)),F113)</f>
        <v>0.78300000000000003</v>
      </c>
      <c r="G136" s="9" cm="1">
        <f t="array" ref="G136">_xlfn.PERCENTRANK.EXC(_xlfn._xlws.FILTER(G4:G125, ISNUMBER(G4:G125)),G113)</f>
        <v>0.47499999999999998</v>
      </c>
      <c r="H136" s="9" cm="1">
        <f t="array" ref="H136">_xlfn.PERCENTRANK.EXC(_xlfn._xlws.FILTER(H4:H125, ISNUMBER(H4:H125)),H113)</f>
        <v>0.1</v>
      </c>
      <c r="I136" s="9" cm="1">
        <f t="array" ref="I136">_xlfn.PERCENTRANK.EXC(_xlfn._xlws.FILTER(I4:I125, ISNUMBER(I4:I125)),I113)</f>
        <v>0.93300000000000005</v>
      </c>
      <c r="J136" s="9" cm="1">
        <f t="array" ref="J136">_xlfn.PERCENTRANK.EXC(_xlfn._xlws.FILTER(J4:J125, ISNUMBER(J4:J125)),J113)</f>
        <v>0.41599999999999998</v>
      </c>
      <c r="K136" s="9" cm="1">
        <f t="array" ref="K136">_xlfn.PERCENTRANK.EXC(_xlfn._xlws.FILTER(K4:K125, ISNUMBER(K4:K125)),K113)</f>
        <v>0.88300000000000001</v>
      </c>
      <c r="L136" s="9" cm="1">
        <f t="array" ref="L136">_xlfn.PERCENTRANK.EXC(_xlfn._xlws.FILTER(L4:L125, ISNUMBER(L4:L125)),L113)</f>
        <v>0.875</v>
      </c>
      <c r="M136" s="9" cm="1">
        <f t="array" ref="M136">_xlfn.PERCENTRANK.EXC(_xlfn._xlws.FILTER(M4:M125, ISNUMBER(M4:M125)),M113)</f>
        <v>0.13300000000000001</v>
      </c>
      <c r="N136" s="9" cm="1">
        <f t="array" ref="N136">_xlfn.PERCENTRANK.EXC(_xlfn._xlws.FILTER(N4:N125, ISNUMBER(N4:N125)),N113)</f>
        <v>0.86599999999999999</v>
      </c>
      <c r="O136" s="9" cm="1">
        <f t="array" ref="O136">_xlfn.PERCENTRANK.EXC(_xlfn._xlws.FILTER(O4:O125, ISNUMBER(O4:O125)),O113)</f>
        <v>0.6</v>
      </c>
      <c r="P136" s="9" cm="1">
        <f t="array" ref="P136">_xlfn.PERCENTRANK.EXC(_xlfn._xlws.FILTER(P4:P125, ISNUMBER(P4:P125)),P113)</f>
        <v>0.23300000000000001</v>
      </c>
      <c r="Q136" s="9" cm="1">
        <f t="array" ref="Q136">_xlfn.PERCENTRANK.EXC(_xlfn._xlws.FILTER(Q4:Q125, ISNUMBER(Q4:Q125)),Q113)</f>
        <v>0.495</v>
      </c>
      <c r="R136" s="9" cm="1">
        <f t="array" ref="R136">_xlfn.PERCENTRANK.EXC(_xlfn._xlws.FILTER(R4:R125, ISNUMBER(R4:R125)),R113)</f>
        <v>0.49099999999999999</v>
      </c>
      <c r="S136" s="9" cm="1">
        <f t="array" ref="S136">_xlfn.PERCENTRANK.EXC(_xlfn._xlws.FILTER(S4:S125, ISNUMBER(S4:S125)),S113)</f>
        <v>0.74099999999999999</v>
      </c>
      <c r="T136" s="9" cm="1">
        <f t="array" ref="T136">_xlfn.PERCENTRANK.EXC(_xlfn._xlws.FILTER(T4:T125, ISNUMBER(T4:T125)),T113)</f>
        <v>0.27700000000000002</v>
      </c>
      <c r="U136" s="9" cm="1">
        <f t="array" ref="U136">_xlfn.PERCENTRANK.EXC(_xlfn._xlws.FILTER(U4:U125, ISNUMBER(U4:U125)),U113)</f>
        <v>0.9</v>
      </c>
      <c r="V136" s="9" cm="1">
        <f t="array" ref="V136">_xlfn.PERCENTRANK.EXC(_xlfn._xlws.FILTER(V4:V125, ISNUMBER(V4:V125)),V113)</f>
        <v>0.57799999999999996</v>
      </c>
    </row>
    <row r="138" spans="1:29" x14ac:dyDescent="0.35">
      <c r="A138" t="s">
        <v>863</v>
      </c>
      <c r="B138">
        <f>STDEV(B40:B122)</f>
        <v>5.9641988040287537E-2</v>
      </c>
      <c r="C138">
        <f t="shared" ref="C138:V138" si="2">STDEV(C40:C122)</f>
        <v>8.0337638192502489E-2</v>
      </c>
      <c r="D138">
        <f t="shared" si="2"/>
        <v>7.1233838940137975E-2</v>
      </c>
      <c r="E138">
        <f t="shared" si="2"/>
        <v>6.2091635276845678E-2</v>
      </c>
      <c r="F138">
        <f t="shared" si="2"/>
        <v>8.7857861310946903E-2</v>
      </c>
      <c r="G138">
        <f t="shared" si="2"/>
        <v>7.5767545658291871E-2</v>
      </c>
      <c r="H138">
        <f t="shared" si="2"/>
        <v>4.5761909624947431E-2</v>
      </c>
      <c r="I138">
        <f t="shared" si="2"/>
        <v>5.6315255819915117E-2</v>
      </c>
      <c r="J138">
        <f t="shared" si="2"/>
        <v>7.8065622964295409E-2</v>
      </c>
      <c r="K138">
        <f t="shared" si="2"/>
        <v>6.3046408047297942E-2</v>
      </c>
      <c r="L138">
        <f t="shared" si="2"/>
        <v>0.10461601543621941</v>
      </c>
      <c r="M138">
        <f t="shared" si="2"/>
        <v>7.5606708386198776E-2</v>
      </c>
      <c r="N138">
        <f t="shared" si="2"/>
        <v>9.0128110534240344E-2</v>
      </c>
      <c r="O138">
        <f t="shared" si="2"/>
        <v>6.29571941353817E-2</v>
      </c>
      <c r="P138">
        <f t="shared" si="2"/>
        <v>6.5218634467729714E-2</v>
      </c>
      <c r="Q138">
        <f t="shared" si="2"/>
        <v>4.6296213124340152E-2</v>
      </c>
      <c r="R138">
        <f t="shared" si="2"/>
        <v>4.5586261380224757E-2</v>
      </c>
      <c r="S138">
        <f t="shared" si="2"/>
        <v>9.9186542632694802E-2</v>
      </c>
      <c r="T138">
        <f t="shared" si="2"/>
        <v>4.9620521696729002E-2</v>
      </c>
      <c r="U138">
        <f t="shared" si="2"/>
        <v>7.037451452442714E-2</v>
      </c>
      <c r="V138">
        <f t="shared" si="2"/>
        <v>4.8595875557699439E-2</v>
      </c>
    </row>
    <row r="139" spans="1:29" x14ac:dyDescent="0.35">
      <c r="A139" t="s">
        <v>864</v>
      </c>
      <c r="B139" s="87">
        <f>B138*SQRT(12)</f>
        <v>0.20660590710038668</v>
      </c>
      <c r="C139" s="87">
        <f t="shared" ref="C139:V139" si="3">C138*SQRT(12)</f>
        <v>0.27829774221900039</v>
      </c>
      <c r="D139" s="87">
        <f t="shared" si="3"/>
        <v>0.24676125652499462</v>
      </c>
      <c r="E139" s="87">
        <f t="shared" si="3"/>
        <v>0.21509173404906548</v>
      </c>
      <c r="F139" s="87">
        <f t="shared" si="3"/>
        <v>0.30434855926979998</v>
      </c>
      <c r="G139" s="87">
        <f t="shared" si="3"/>
        <v>0.2624664772899124</v>
      </c>
      <c r="H139" s="87">
        <f t="shared" si="3"/>
        <v>0.15852390504356834</v>
      </c>
      <c r="I139" s="87">
        <f t="shared" si="3"/>
        <v>0.19508176864266377</v>
      </c>
      <c r="J139" s="87">
        <f t="shared" si="3"/>
        <v>0.27042725059735068</v>
      </c>
      <c r="K139" s="87">
        <f t="shared" si="3"/>
        <v>0.21839916394527872</v>
      </c>
      <c r="L139" s="87">
        <f t="shared" si="3"/>
        <v>0.3624005080418839</v>
      </c>
      <c r="M139" s="87">
        <f t="shared" si="3"/>
        <v>0.2619093206358804</v>
      </c>
      <c r="N139" s="87">
        <f t="shared" si="3"/>
        <v>0.31221293327097605</v>
      </c>
      <c r="O139" s="87">
        <f t="shared" si="3"/>
        <v>0.21809011788891691</v>
      </c>
      <c r="P139" s="87">
        <f t="shared" si="3"/>
        <v>0.22592397699674133</v>
      </c>
      <c r="Q139" s="87">
        <f t="shared" si="3"/>
        <v>0.16037478665878843</v>
      </c>
      <c r="R139" s="87">
        <f t="shared" si="3"/>
        <v>0.15791544167532842</v>
      </c>
      <c r="S139" s="87">
        <f t="shared" si="3"/>
        <v>0.34359226253384778</v>
      </c>
      <c r="T139" s="87">
        <f t="shared" si="3"/>
        <v>0.17189052935361693</v>
      </c>
      <c r="U139" s="87">
        <f t="shared" si="3"/>
        <v>0.24378446942860341</v>
      </c>
      <c r="V139" s="87">
        <f t="shared" si="3"/>
        <v>0.16834105100845995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613"/>
  <sheetViews>
    <sheetView topLeftCell="I1" zoomScaleNormal="100" workbookViewId="0">
      <pane ySplit="1" topLeftCell="A41" activePane="bottomLeft" state="frozen"/>
      <selection pane="bottomLeft" activeCell="W1" sqref="W1:AF1048576"/>
    </sheetView>
  </sheetViews>
  <sheetFormatPr defaultRowHeight="14.5" x14ac:dyDescent="0.35"/>
  <cols>
    <col min="1" max="1" width="24.6328125" customWidth="1"/>
    <col min="2" max="2" width="10.6328125" customWidth="1"/>
    <col min="22" max="22" width="9.08984375" style="1"/>
  </cols>
  <sheetData>
    <row r="1" spans="1:23" x14ac:dyDescent="0.35">
      <c r="A1" s="2" t="s">
        <v>394</v>
      </c>
      <c r="B1" s="3" t="s">
        <v>437</v>
      </c>
      <c r="C1" s="3" t="s">
        <v>27</v>
      </c>
      <c r="D1" s="3" t="s">
        <v>35</v>
      </c>
      <c r="E1" s="3" t="s">
        <v>30</v>
      </c>
      <c r="F1" s="3" t="s">
        <v>23</v>
      </c>
      <c r="G1" s="3" t="s">
        <v>29</v>
      </c>
      <c r="H1" s="3" t="s">
        <v>33</v>
      </c>
      <c r="I1" s="3" t="s">
        <v>24</v>
      </c>
      <c r="J1" s="3" t="s">
        <v>7</v>
      </c>
      <c r="K1" s="3" t="s">
        <v>21</v>
      </c>
      <c r="L1" s="3" t="s">
        <v>12</v>
      </c>
      <c r="M1" s="3" t="s">
        <v>22</v>
      </c>
      <c r="N1" s="3" t="s">
        <v>28</v>
      </c>
      <c r="O1" s="3" t="s">
        <v>32</v>
      </c>
      <c r="P1" s="3" t="s">
        <v>26</v>
      </c>
      <c r="Q1" s="3" t="s">
        <v>31</v>
      </c>
      <c r="R1" s="3" t="s">
        <v>764</v>
      </c>
      <c r="S1" s="3" t="s">
        <v>25</v>
      </c>
      <c r="T1" s="3" t="s">
        <v>34</v>
      </c>
      <c r="U1" s="3" t="s">
        <v>37</v>
      </c>
      <c r="V1" s="63" t="s">
        <v>36</v>
      </c>
    </row>
    <row r="2" spans="1:23" x14ac:dyDescent="0.35">
      <c r="A2" s="2" cm="1">
        <f t="array" ref="A2:A122">_xll.FDS(C1,"JULIAN(P_PRICE_RETURNS_PR('52W',2,-10AY,0,AM).dates)")</f>
        <v>41702</v>
      </c>
      <c r="B2" s="7" t="e" cm="1">
        <f t="array" ref="B2:B122">_xll.FDS(B1,"P_PRICE_RETURNS_PR('52W',2,-10AY,0,AM)")</f>
        <v>#N/A</v>
      </c>
      <c r="C2" s="7" cm="1">
        <f t="array" ref="C2:C122">_xll.FDS(C1,"P_PRICE_RETURNS_PR('52W',2,-10AY,0,AM)")</f>
        <v>-33.470725999999999</v>
      </c>
      <c r="D2" s="7" cm="1">
        <f t="array" ref="D2:D122">_xll.FDS(D1,"P_PRICE_RETURNS_PR('52W',2,-10AY,0,AM)")</f>
        <v>-22.202836999999999</v>
      </c>
      <c r="E2" s="7" cm="1">
        <f t="array" ref="E2:E122">_xll.FDS(E1,"P_PRICE_RETURNS_PR('52W',2,-10AY,0,AM)")</f>
        <v>-12.472391</v>
      </c>
      <c r="F2" s="7" cm="1">
        <f t="array" ref="F2:F122">_xll.FDS(F1,"P_PRICE_RETURNS_PR('52W',2,-10AY,0,AM)")</f>
        <v>13.876128</v>
      </c>
      <c r="G2" s="7" cm="1">
        <f t="array" ref="G2:G122">_xll.FDS(G1,"P_PRICE_RETURNS_PR('52W',2,-10AY,0,AM)")</f>
        <v>-24.97691</v>
      </c>
      <c r="H2" s="7" cm="1">
        <f t="array" ref="H2:H122">_xll.FDS(H1,"P_PRICE_RETURNS_PR('52W',2,-10AY,0,AM)")</f>
        <v>8.5294609999999995</v>
      </c>
      <c r="I2" s="7" cm="1">
        <f t="array" ref="I2:I122">_xll.FDS(I1,"P_PRICE_RETURNS_PR('52W',2,-10AY,0,AM)")</f>
        <v>6.5940856999999999</v>
      </c>
      <c r="J2" s="7" cm="1">
        <f t="array" ref="J2:J122">_xll.FDS(J1,"P_PRICE_RETURNS_PR('52W',2,-10AY,0,AM)")</f>
        <v>-13.361649999999999</v>
      </c>
      <c r="K2" s="7" cm="1">
        <f t="array" ref="K2:K122">_xll.FDS(K1,"P_PRICE_RETURNS_PR('52W',2,-10AY,0,AM)")</f>
        <v>0.48816204000000002</v>
      </c>
      <c r="L2" s="7" cm="1">
        <f t="array" ref="L2:L122">_xll.FDS(L1,"P_PRICE_RETURNS_PR('52W',2,-10AY,0,AM)")</f>
        <v>-23.521077999999999</v>
      </c>
      <c r="M2" s="7" cm="1">
        <f t="array" ref="M2:M122">_xll.FDS(M1,"P_PRICE_RETURNS_PR('52W',2,-10AY,0,AM)")</f>
        <v>0.66710709999999995</v>
      </c>
      <c r="N2" s="7" cm="1">
        <f t="array" ref="N2:N122">_xll.FDS(N1,"P_PRICE_RETURNS_PR('52W',2,-10AY,0,AM)")</f>
        <v>38.620852999999997</v>
      </c>
      <c r="O2" s="7" cm="1">
        <f t="array" ref="O2:O122">_xll.FDS(O1,"P_PRICE_RETURNS_PR('52W',2,-10AY,0,AM)")</f>
        <v>-1.4168441000000001</v>
      </c>
      <c r="P2" s="7" cm="1">
        <f t="array" ref="P2:P122">_xll.FDS(P1,"P_PRICE_RETURNS_PR('52W',2,-10AY,0,AM)")</f>
        <v>0.22207499</v>
      </c>
      <c r="Q2" s="7" t="e" cm="1">
        <f t="array" ref="Q2:Q122">_xll.FDS(Q1,"P_PRICE_RETURNS_PR('52W',2,-10AY,0,AM)")</f>
        <v>#N/A</v>
      </c>
      <c r="R2" s="7" cm="1">
        <f t="array" ref="R2:R122">_xll.FDS(R1,"P_PRICE_RETURNS_PR('52W',2,-10AY,0,AM)")</f>
        <v>-12.649929</v>
      </c>
      <c r="S2" s="7" cm="1">
        <f t="array" ref="S2:S122">_xll.FDS(S1,"P_PRICE_RETURNS_PR('52W',2,-10AY,0,AM)")</f>
        <v>-35.145465999999999</v>
      </c>
      <c r="T2" s="7" t="e" cm="1">
        <f t="array" ref="T2:T122">_xll.FDS(T1,"P_PRICE_RETURNS_PR('52W',2,-10AY,0,AM)")</f>
        <v>#N/A</v>
      </c>
      <c r="U2" s="7" cm="1">
        <f t="array" ref="U2:U122">_xll.FDS(U1,"P_PRICE_RETURNS_PR('52W',2,-10AY,0,AM)")</f>
        <v>12.261521999999999</v>
      </c>
      <c r="V2" s="164" t="e" cm="1">
        <f t="array" ref="V2:V122">_xll.FDS(V1,"P_PRICE_RETURNS_PR('52W',2,-10AY,0,AM)")</f>
        <v>#N/A</v>
      </c>
      <c r="W2" s="33"/>
    </row>
    <row r="3" spans="1:23" x14ac:dyDescent="0.35">
      <c r="A3" s="2">
        <v>41733</v>
      </c>
      <c r="B3" s="7" t="e">
        <v>#N/A</v>
      </c>
      <c r="C3" s="7">
        <v>-27.61975</v>
      </c>
      <c r="D3" s="49">
        <v>-15.657603999999999</v>
      </c>
      <c r="E3" s="49">
        <v>-13.174618000000001</v>
      </c>
      <c r="F3" s="49">
        <v>21.491776999999999</v>
      </c>
      <c r="G3" s="49">
        <v>-23.213953</v>
      </c>
      <c r="H3" s="49">
        <v>6.0276509999999996</v>
      </c>
      <c r="I3" s="49">
        <v>11.151457000000001</v>
      </c>
      <c r="J3" s="49">
        <v>-10.62541</v>
      </c>
      <c r="K3" s="49">
        <v>11.145842</v>
      </c>
      <c r="L3" s="49">
        <v>-10.468883</v>
      </c>
      <c r="M3" s="49">
        <v>7.2543860000000002</v>
      </c>
      <c r="N3" s="49">
        <v>68.868576000000004</v>
      </c>
      <c r="O3" s="49">
        <v>8.485341</v>
      </c>
      <c r="P3" s="49">
        <v>4.4849040000000002</v>
      </c>
      <c r="Q3" s="49" t="e">
        <v>#N/A</v>
      </c>
      <c r="R3" s="49">
        <v>-8.9272860000000005</v>
      </c>
      <c r="S3" s="49">
        <v>-25.272364</v>
      </c>
      <c r="T3" s="49" t="e">
        <v>#N/A</v>
      </c>
      <c r="U3" s="49">
        <v>8.5757019999999997</v>
      </c>
      <c r="V3" s="165" t="e">
        <v>#N/A</v>
      </c>
      <c r="W3" s="33"/>
    </row>
    <row r="4" spans="1:23" x14ac:dyDescent="0.35">
      <c r="A4" s="2">
        <v>41761</v>
      </c>
      <c r="B4" s="7" t="e">
        <v>#N/A</v>
      </c>
      <c r="C4" s="7">
        <v>-24.877596</v>
      </c>
      <c r="D4" s="49">
        <v>-20.163233000000002</v>
      </c>
      <c r="E4" s="49">
        <v>-14.53436</v>
      </c>
      <c r="F4" s="49">
        <v>21.479773999999999</v>
      </c>
      <c r="G4" s="49">
        <v>-11.844837</v>
      </c>
      <c r="H4" s="49">
        <v>4.1514993000000002</v>
      </c>
      <c r="I4" s="49">
        <v>7.2360515999999997</v>
      </c>
      <c r="J4" s="49">
        <v>-8.3158969999999997</v>
      </c>
      <c r="K4" s="49">
        <v>9.2882630000000006</v>
      </c>
      <c r="L4" s="49">
        <v>-8.4427240000000001</v>
      </c>
      <c r="M4" s="49">
        <v>6.8508386999999997</v>
      </c>
      <c r="N4" s="49">
        <v>27.917957000000001</v>
      </c>
      <c r="O4" s="49">
        <v>-0.15670060999999999</v>
      </c>
      <c r="P4" s="49">
        <v>-1.0472475999999999</v>
      </c>
      <c r="Q4" s="49" t="e">
        <v>#N/A</v>
      </c>
      <c r="R4" s="49">
        <v>-10.553175</v>
      </c>
      <c r="S4" s="49">
        <v>-26.861858000000002</v>
      </c>
      <c r="T4" s="49" t="e">
        <v>#N/A</v>
      </c>
      <c r="U4" s="49">
        <v>7.2279929999999997</v>
      </c>
      <c r="V4" s="165" t="e">
        <v>#N/A</v>
      </c>
      <c r="W4" s="33"/>
    </row>
    <row r="5" spans="1:23" x14ac:dyDescent="0.35">
      <c r="A5" s="2">
        <v>41794</v>
      </c>
      <c r="B5" s="7" t="e">
        <v>#N/A</v>
      </c>
      <c r="C5" s="7">
        <v>-16.663550999999998</v>
      </c>
      <c r="D5" s="49">
        <v>-17.589075000000001</v>
      </c>
      <c r="E5" s="49">
        <v>-1.3528228</v>
      </c>
      <c r="F5" s="49">
        <v>16.794968000000001</v>
      </c>
      <c r="G5" s="49">
        <v>-4.1291656000000003</v>
      </c>
      <c r="H5" s="49">
        <v>1.4406920000000001</v>
      </c>
      <c r="I5" s="49">
        <v>12.89171</v>
      </c>
      <c r="J5" s="49">
        <v>0.89668035999999995</v>
      </c>
      <c r="K5" s="49">
        <v>12.997997</v>
      </c>
      <c r="L5" s="49">
        <v>-7.2764160000000002</v>
      </c>
      <c r="M5" s="49">
        <v>15.071593999999999</v>
      </c>
      <c r="N5" s="49">
        <v>34.222244000000003</v>
      </c>
      <c r="O5" s="49">
        <v>17.365658</v>
      </c>
      <c r="P5" s="49">
        <v>5.9745910000000002</v>
      </c>
      <c r="Q5" s="49" t="e">
        <v>#N/A</v>
      </c>
      <c r="R5" s="49">
        <v>-6.8275449999999998</v>
      </c>
      <c r="S5" s="49">
        <v>-10.772461</v>
      </c>
      <c r="T5" s="49" t="e">
        <v>#N/A</v>
      </c>
      <c r="U5" s="49">
        <v>-0.68073269999999997</v>
      </c>
      <c r="V5" s="165" t="e">
        <v>#N/A</v>
      </c>
      <c r="W5" s="33"/>
    </row>
    <row r="6" spans="1:23" x14ac:dyDescent="0.35">
      <c r="A6" s="2">
        <v>41823</v>
      </c>
      <c r="B6" s="7" t="e">
        <v>#N/A</v>
      </c>
      <c r="C6" s="7">
        <v>-9.8142569999999996</v>
      </c>
      <c r="D6" s="49">
        <v>-9.1014330000000001</v>
      </c>
      <c r="E6" s="49">
        <v>8.0644609999999997</v>
      </c>
      <c r="F6" s="49">
        <v>20.417618000000001</v>
      </c>
      <c r="G6" s="49">
        <v>11.357975</v>
      </c>
      <c r="H6" s="49">
        <v>7.8563093999999998</v>
      </c>
      <c r="I6" s="49">
        <v>25.322783000000001</v>
      </c>
      <c r="J6" s="49">
        <v>8.1728459999999998</v>
      </c>
      <c r="K6" s="49">
        <v>27.604723</v>
      </c>
      <c r="L6" s="49">
        <v>17.596005999999999</v>
      </c>
      <c r="M6" s="49">
        <v>24.824332999999999</v>
      </c>
      <c r="N6" s="49">
        <v>56.000053000000001</v>
      </c>
      <c r="O6" s="49">
        <v>33.157919999999997</v>
      </c>
      <c r="P6" s="49">
        <v>22.496212</v>
      </c>
      <c r="Q6" s="49" t="e">
        <v>#N/A</v>
      </c>
      <c r="R6" s="49">
        <v>4.5391560000000002</v>
      </c>
      <c r="S6" s="49">
        <v>-0.99312069999999997</v>
      </c>
      <c r="T6" s="49" t="e">
        <v>#N/A</v>
      </c>
      <c r="U6" s="49">
        <v>14.927554000000001</v>
      </c>
      <c r="V6" s="165" t="e">
        <v>#N/A</v>
      </c>
      <c r="W6" s="33"/>
    </row>
    <row r="7" spans="1:23" x14ac:dyDescent="0.35">
      <c r="A7" s="2">
        <v>41855</v>
      </c>
      <c r="B7" s="7" t="e">
        <v>#N/A</v>
      </c>
      <c r="C7" s="7">
        <v>-10.042214</v>
      </c>
      <c r="D7" s="49">
        <v>-2.0773709999999999</v>
      </c>
      <c r="E7" s="49">
        <v>7.0625663000000003</v>
      </c>
      <c r="F7" s="49">
        <v>6.5289735999999996</v>
      </c>
      <c r="G7" s="49">
        <v>13.976514999999999</v>
      </c>
      <c r="H7" s="49">
        <v>7.9711556000000003</v>
      </c>
      <c r="I7" s="49">
        <v>18.518388999999999</v>
      </c>
      <c r="J7" s="49">
        <v>2.5310516000000001</v>
      </c>
      <c r="K7" s="49">
        <v>19.469154</v>
      </c>
      <c r="L7" s="49">
        <v>15.445339000000001</v>
      </c>
      <c r="M7" s="49">
        <v>20.099031</v>
      </c>
      <c r="N7" s="49">
        <v>22.151433999999998</v>
      </c>
      <c r="O7" s="49">
        <v>32.551909999999999</v>
      </c>
      <c r="P7" s="49">
        <v>17.991257000000001</v>
      </c>
      <c r="Q7" s="49" t="e">
        <v>#N/A</v>
      </c>
      <c r="R7" s="49">
        <v>6.9278120000000003</v>
      </c>
      <c r="S7" s="49">
        <v>1.4252543</v>
      </c>
      <c r="T7" s="49" t="e">
        <v>#N/A</v>
      </c>
      <c r="U7" s="49">
        <v>17.172574999999998</v>
      </c>
      <c r="V7" s="165" t="e">
        <v>#N/A</v>
      </c>
      <c r="W7" s="33"/>
    </row>
    <row r="8" spans="1:23" x14ac:dyDescent="0.35">
      <c r="A8" s="2">
        <v>41886</v>
      </c>
      <c r="B8" s="7" t="e">
        <v>#N/A</v>
      </c>
      <c r="C8" s="7">
        <v>-6.1248779999999998</v>
      </c>
      <c r="D8" s="49">
        <v>30.474208999999998</v>
      </c>
      <c r="E8" s="49">
        <v>25.284576000000001</v>
      </c>
      <c r="F8" s="49">
        <v>11.696695999999999</v>
      </c>
      <c r="G8" s="49">
        <v>6.3618063999999999</v>
      </c>
      <c r="H8" s="49">
        <v>14.163315000000001</v>
      </c>
      <c r="I8" s="49">
        <v>20.811260000000001</v>
      </c>
      <c r="J8" s="49">
        <v>18.113399999999999</v>
      </c>
      <c r="K8" s="49">
        <v>11.853218</v>
      </c>
      <c r="L8" s="49">
        <v>26.962042</v>
      </c>
      <c r="M8" s="49">
        <v>23.961662</v>
      </c>
      <c r="N8" s="49">
        <v>21.130741</v>
      </c>
      <c r="O8" s="49">
        <v>54.45496</v>
      </c>
      <c r="P8" s="49">
        <v>16.818356000000001</v>
      </c>
      <c r="Q8" s="49" t="e">
        <v>#N/A</v>
      </c>
      <c r="R8" s="49">
        <v>21.218384</v>
      </c>
      <c r="S8" s="49">
        <v>17.413235</v>
      </c>
      <c r="T8" s="49" t="e">
        <v>#N/A</v>
      </c>
      <c r="U8" s="49">
        <v>40.212322</v>
      </c>
      <c r="V8" s="165" t="e">
        <v>#N/A</v>
      </c>
      <c r="W8" s="33"/>
    </row>
    <row r="9" spans="1:23" x14ac:dyDescent="0.35">
      <c r="A9" s="2">
        <v>41915</v>
      </c>
      <c r="B9" s="7" t="e">
        <v>#N/A</v>
      </c>
      <c r="C9" s="7">
        <v>-16.090941999999998</v>
      </c>
      <c r="D9" s="49">
        <v>7.6630830000000003</v>
      </c>
      <c r="E9" s="49">
        <v>12.7213955</v>
      </c>
      <c r="F9" s="49">
        <v>-2.2337020000000001</v>
      </c>
      <c r="G9" s="49">
        <v>3.7308693000000002</v>
      </c>
      <c r="H9" s="49">
        <v>3.3848405000000001</v>
      </c>
      <c r="I9" s="49">
        <v>10.422694999999999</v>
      </c>
      <c r="J9" s="49">
        <v>6.9183706999999997</v>
      </c>
      <c r="K9" s="49">
        <v>-4.2666792999999998</v>
      </c>
      <c r="L9" s="49">
        <v>-7.3792400000000002</v>
      </c>
      <c r="M9" s="49">
        <v>2.6846169999999998</v>
      </c>
      <c r="N9" s="49">
        <v>-8.5667369999999998</v>
      </c>
      <c r="O9" s="49">
        <v>32.128480000000003</v>
      </c>
      <c r="P9" s="49">
        <v>3.1669019999999999</v>
      </c>
      <c r="Q9" s="49" t="e">
        <v>#N/A</v>
      </c>
      <c r="R9" s="49">
        <v>9.8727940000000007</v>
      </c>
      <c r="S9" s="49">
        <v>-13.514816</v>
      </c>
      <c r="T9" s="49" t="e">
        <v>#N/A</v>
      </c>
      <c r="U9" s="49">
        <v>27.079032999999999</v>
      </c>
      <c r="V9" s="165" t="e">
        <v>#N/A</v>
      </c>
      <c r="W9" s="33"/>
    </row>
    <row r="10" spans="1:23" x14ac:dyDescent="0.35">
      <c r="A10" s="2">
        <v>41947</v>
      </c>
      <c r="B10" s="7" t="e">
        <v>#N/A</v>
      </c>
      <c r="C10" s="7">
        <v>-15.842485</v>
      </c>
      <c r="D10" s="49">
        <v>9.3929650000000002</v>
      </c>
      <c r="E10" s="49">
        <v>8.5181950000000004</v>
      </c>
      <c r="F10" s="49">
        <v>-9.0675120000000007</v>
      </c>
      <c r="G10" s="49">
        <v>-4.6215830000000002</v>
      </c>
      <c r="H10" s="49">
        <v>-2.4256706000000001</v>
      </c>
      <c r="I10" s="49">
        <v>11.008108</v>
      </c>
      <c r="J10" s="49">
        <v>4.5637964999999996</v>
      </c>
      <c r="K10" s="49">
        <v>-9.2920960000000008</v>
      </c>
      <c r="L10" s="49">
        <v>-12.382930999999999</v>
      </c>
      <c r="M10" s="49">
        <v>7.048762</v>
      </c>
      <c r="N10" s="49">
        <v>-26.278179999999999</v>
      </c>
      <c r="O10" s="49">
        <v>29.294765000000002</v>
      </c>
      <c r="P10" s="49">
        <v>5.7995915</v>
      </c>
      <c r="Q10" s="49" t="e">
        <v>#N/A</v>
      </c>
      <c r="R10" s="49">
        <v>14.170992</v>
      </c>
      <c r="S10" s="49">
        <v>-3.5069644000000002</v>
      </c>
      <c r="T10" s="49" t="e">
        <v>#N/A</v>
      </c>
      <c r="U10" s="49">
        <v>15.154481000000001</v>
      </c>
      <c r="V10" s="165" t="e">
        <v>#N/A</v>
      </c>
      <c r="W10" s="33"/>
    </row>
    <row r="11" spans="1:23" x14ac:dyDescent="0.35">
      <c r="A11" s="2">
        <v>41977</v>
      </c>
      <c r="B11" s="7" t="e">
        <v>#N/A</v>
      </c>
      <c r="C11" s="7">
        <v>-9.4687169999999998</v>
      </c>
      <c r="D11" s="49">
        <v>24.197196999999999</v>
      </c>
      <c r="E11" s="49">
        <v>21.902287000000001</v>
      </c>
      <c r="F11" s="49">
        <v>-7.6596679999999999</v>
      </c>
      <c r="G11" s="49">
        <v>9.746874</v>
      </c>
      <c r="H11" s="49">
        <v>-9.3749640000000003</v>
      </c>
      <c r="I11" s="49">
        <v>11.822069000000001</v>
      </c>
      <c r="J11" s="49">
        <v>-5.6734442999999999</v>
      </c>
      <c r="K11" s="49">
        <v>-7.9240320000000004</v>
      </c>
      <c r="L11" s="49">
        <v>-9.1517739999999996</v>
      </c>
      <c r="M11" s="49">
        <v>13.08887</v>
      </c>
      <c r="N11" s="49">
        <v>-25.347244</v>
      </c>
      <c r="O11" s="49">
        <v>32.755721999999999</v>
      </c>
      <c r="P11" s="49">
        <v>4.4119954000000003</v>
      </c>
      <c r="Q11" s="49" t="e">
        <v>#N/A</v>
      </c>
      <c r="R11" s="49">
        <v>16.063140000000001</v>
      </c>
      <c r="S11" s="49">
        <v>9.5621349999999996</v>
      </c>
      <c r="T11" s="49" t="e">
        <v>#N/A</v>
      </c>
      <c r="U11" s="49">
        <v>7.1381209999999999</v>
      </c>
      <c r="V11" s="165" t="e">
        <v>#N/A</v>
      </c>
      <c r="W11" s="33"/>
    </row>
    <row r="12" spans="1:23" x14ac:dyDescent="0.35">
      <c r="A12" s="2">
        <v>42006</v>
      </c>
      <c r="B12" s="7" t="e">
        <v>#N/A</v>
      </c>
      <c r="C12" s="7">
        <v>-13.141995</v>
      </c>
      <c r="D12" s="49">
        <v>22.318290000000001</v>
      </c>
      <c r="E12" s="49">
        <v>23.999655000000001</v>
      </c>
      <c r="F12" s="49">
        <v>-16.142935000000001</v>
      </c>
      <c r="G12" s="49">
        <v>-4.0342092999999997</v>
      </c>
      <c r="H12" s="49">
        <v>-11.344582000000001</v>
      </c>
      <c r="I12" s="49">
        <v>8.4396120000000003</v>
      </c>
      <c r="J12" s="49">
        <v>-11.387051</v>
      </c>
      <c r="K12" s="49">
        <v>-10.17704</v>
      </c>
      <c r="L12" s="49">
        <v>-15.495901999999999</v>
      </c>
      <c r="M12" s="49">
        <v>4.7131299999999996</v>
      </c>
      <c r="N12" s="49">
        <v>-38.980877</v>
      </c>
      <c r="O12" s="49">
        <v>29.651892</v>
      </c>
      <c r="P12" s="49">
        <v>10.111879999999999</v>
      </c>
      <c r="Q12" s="49" t="e">
        <v>#N/A</v>
      </c>
      <c r="R12" s="49">
        <v>15.319824000000001</v>
      </c>
      <c r="S12" s="49">
        <v>19.007265</v>
      </c>
      <c r="T12" s="49" t="e">
        <v>#N/A</v>
      </c>
      <c r="U12" s="49">
        <v>5.0242661999999996</v>
      </c>
      <c r="V12" s="165" t="e">
        <v>#N/A</v>
      </c>
      <c r="W12" s="33"/>
    </row>
    <row r="13" spans="1:23" x14ac:dyDescent="0.35">
      <c r="A13" s="2">
        <v>42039</v>
      </c>
      <c r="B13" s="7" t="e">
        <v>#N/A</v>
      </c>
      <c r="C13" s="7">
        <v>-1.0459125</v>
      </c>
      <c r="D13" s="49">
        <v>19.244575999999999</v>
      </c>
      <c r="E13" s="49">
        <v>34.049545000000002</v>
      </c>
      <c r="F13" s="49">
        <v>-15.006232000000001</v>
      </c>
      <c r="G13" s="49">
        <v>-2.4215162000000001</v>
      </c>
      <c r="H13" s="49">
        <v>-5.8266280000000004</v>
      </c>
      <c r="I13" s="49">
        <v>19.342756000000001</v>
      </c>
      <c r="J13" s="49">
        <v>-5.7225285000000001</v>
      </c>
      <c r="K13" s="49">
        <v>8.2218650000000004E-2</v>
      </c>
      <c r="L13" s="49">
        <v>-7.1684957000000002</v>
      </c>
      <c r="M13" s="49">
        <v>23.900746999999999</v>
      </c>
      <c r="N13" s="49">
        <v>-45.987946000000001</v>
      </c>
      <c r="O13" s="49">
        <v>39.111674999999998</v>
      </c>
      <c r="P13" s="49">
        <v>23.586727</v>
      </c>
      <c r="Q13" s="49" t="e">
        <v>#N/A</v>
      </c>
      <c r="R13" s="49">
        <v>25.294483</v>
      </c>
      <c r="S13" s="49">
        <v>23.414252999999999</v>
      </c>
      <c r="T13" s="49" t="e">
        <v>#N/A</v>
      </c>
      <c r="U13" s="49">
        <v>-10.872757</v>
      </c>
      <c r="V13" s="165" t="e">
        <v>#N/A</v>
      </c>
      <c r="W13" s="33"/>
    </row>
    <row r="14" spans="1:23" x14ac:dyDescent="0.35">
      <c r="A14" s="2">
        <v>42067</v>
      </c>
      <c r="B14" s="7" t="e">
        <v>#N/A</v>
      </c>
      <c r="C14" s="7">
        <v>-4.8749924</v>
      </c>
      <c r="D14" s="49">
        <v>6.7975760000000003</v>
      </c>
      <c r="E14" s="49">
        <v>24.000395000000001</v>
      </c>
      <c r="F14" s="49">
        <v>-19.487649999999999</v>
      </c>
      <c r="G14" s="49">
        <v>-8.1728570000000005</v>
      </c>
      <c r="H14" s="49">
        <v>-10.497294999999999</v>
      </c>
      <c r="I14" s="49">
        <v>15.922510000000001</v>
      </c>
      <c r="J14" s="49">
        <v>-2.3530364000000001</v>
      </c>
      <c r="K14" s="49">
        <v>-5.4930450000000004</v>
      </c>
      <c r="L14" s="49">
        <v>-15.38139</v>
      </c>
      <c r="M14" s="49">
        <v>8.5619449999999997</v>
      </c>
      <c r="N14" s="49">
        <v>-49.180424000000002</v>
      </c>
      <c r="O14" s="49">
        <v>36.883617000000001</v>
      </c>
      <c r="P14" s="49">
        <v>16.467880000000001</v>
      </c>
      <c r="Q14" s="49" t="e">
        <v>#N/A</v>
      </c>
      <c r="R14" s="49">
        <v>16.698647000000001</v>
      </c>
      <c r="S14" s="49">
        <v>11.47846</v>
      </c>
      <c r="T14" s="49" t="e">
        <v>#N/A</v>
      </c>
      <c r="U14" s="49">
        <v>-9.5205490000000008</v>
      </c>
      <c r="V14" s="165" t="e">
        <v>#N/A</v>
      </c>
      <c r="W14" s="33"/>
    </row>
    <row r="15" spans="1:23" x14ac:dyDescent="0.35">
      <c r="A15" s="2">
        <v>42096</v>
      </c>
      <c r="B15" s="7" t="e">
        <v>#N/A</v>
      </c>
      <c r="C15" s="7">
        <v>-8.6261089999999996</v>
      </c>
      <c r="D15" s="49">
        <v>-1.5916764999999999</v>
      </c>
      <c r="E15" s="49">
        <v>23.740756999999999</v>
      </c>
      <c r="F15" s="49">
        <v>-19.414950000000001</v>
      </c>
      <c r="G15" s="49">
        <v>-8.1724940000000004</v>
      </c>
      <c r="H15" s="49">
        <v>-10.020929000000001</v>
      </c>
      <c r="I15" s="49">
        <v>12.247503</v>
      </c>
      <c r="J15" s="49">
        <v>-5.9315800000000003</v>
      </c>
      <c r="K15" s="49">
        <v>-5.7680607000000004</v>
      </c>
      <c r="L15" s="49">
        <v>-25.802052</v>
      </c>
      <c r="M15" s="49">
        <v>6.2897204999999996</v>
      </c>
      <c r="N15" s="49">
        <v>-55.059936999999998</v>
      </c>
      <c r="O15" s="49">
        <v>21.864426000000002</v>
      </c>
      <c r="P15" s="49">
        <v>26.433789999999998</v>
      </c>
      <c r="Q15" s="49" t="e">
        <v>#N/A</v>
      </c>
      <c r="R15" s="49">
        <v>10.410297</v>
      </c>
      <c r="S15" s="49">
        <v>-4.2293310000000002</v>
      </c>
      <c r="T15" s="49" t="e">
        <v>#N/A</v>
      </c>
      <c r="U15" s="49">
        <v>-21.134663</v>
      </c>
      <c r="V15" s="165" t="e">
        <v>#N/A</v>
      </c>
      <c r="W15" s="33"/>
    </row>
    <row r="16" spans="1:23" x14ac:dyDescent="0.35">
      <c r="A16" s="2">
        <v>42128</v>
      </c>
      <c r="B16" s="7" t="e">
        <v>#N/A</v>
      </c>
      <c r="C16" s="7">
        <v>-7.7438473999999999</v>
      </c>
      <c r="D16" s="49">
        <v>-6.5811099999999998</v>
      </c>
      <c r="E16" s="49">
        <v>15.74831</v>
      </c>
      <c r="F16" s="49">
        <v>-11.356979000000001</v>
      </c>
      <c r="G16" s="49">
        <v>-8.3719140000000003</v>
      </c>
      <c r="H16" s="49">
        <v>-10.091078</v>
      </c>
      <c r="I16" s="49">
        <v>14.407814</v>
      </c>
      <c r="J16" s="49">
        <v>-7.4726876999999998</v>
      </c>
      <c r="K16" s="49">
        <v>-0.42980312999999998</v>
      </c>
      <c r="L16" s="49">
        <v>-23.077380999999999</v>
      </c>
      <c r="M16" s="49">
        <v>5.2700043000000001</v>
      </c>
      <c r="N16" s="49">
        <v>-47.431669999999997</v>
      </c>
      <c r="O16" s="49">
        <v>14.790988</v>
      </c>
      <c r="P16" s="49">
        <v>48.219906000000002</v>
      </c>
      <c r="Q16" s="49">
        <v>-1.7718315</v>
      </c>
      <c r="R16" s="49">
        <v>7.9013944</v>
      </c>
      <c r="S16" s="49">
        <v>-12.07686</v>
      </c>
      <c r="T16" s="49">
        <v>-15.5306225</v>
      </c>
      <c r="U16" s="49">
        <v>-9.9196849999999994</v>
      </c>
      <c r="V16" s="165" t="e">
        <v>#N/A</v>
      </c>
      <c r="W16" s="33"/>
    </row>
    <row r="17" spans="1:23" x14ac:dyDescent="0.35">
      <c r="A17" s="2">
        <v>42159</v>
      </c>
      <c r="B17" s="7" t="e">
        <v>#N/A</v>
      </c>
      <c r="C17" s="7">
        <v>-13.988161</v>
      </c>
      <c r="D17" s="49">
        <v>-8.7296960000000006</v>
      </c>
      <c r="E17" s="49">
        <v>7.4493647000000003</v>
      </c>
      <c r="F17" s="49">
        <v>-19.347989999999999</v>
      </c>
      <c r="G17" s="49">
        <v>-12.086534500000001</v>
      </c>
      <c r="H17" s="49">
        <v>-17.676877999999999</v>
      </c>
      <c r="I17" s="49">
        <v>5.0087929999999998</v>
      </c>
      <c r="J17" s="49">
        <v>-12.114542999999999</v>
      </c>
      <c r="K17" s="49">
        <v>-11.977005</v>
      </c>
      <c r="L17" s="49">
        <v>-26.280425999999999</v>
      </c>
      <c r="M17" s="49">
        <v>-5.3735733000000003</v>
      </c>
      <c r="N17" s="49">
        <v>-47.968586000000002</v>
      </c>
      <c r="O17" s="49">
        <v>0.91719629999999996</v>
      </c>
      <c r="P17" s="49">
        <v>33.818756</v>
      </c>
      <c r="Q17" s="49">
        <v>-9.4853760000000005</v>
      </c>
      <c r="R17" s="49">
        <v>2.8632521999999998</v>
      </c>
      <c r="S17" s="49">
        <v>-16.495847999999999</v>
      </c>
      <c r="T17" s="49">
        <v>-18.432898000000002</v>
      </c>
      <c r="U17" s="49">
        <v>-11.183310000000001</v>
      </c>
      <c r="V17" s="165" t="e">
        <v>#N/A</v>
      </c>
      <c r="W17" s="33"/>
    </row>
    <row r="18" spans="1:23" x14ac:dyDescent="0.35">
      <c r="A18" s="2">
        <v>42187</v>
      </c>
      <c r="B18" s="7" t="e">
        <v>#N/A</v>
      </c>
      <c r="C18" s="7">
        <v>-15.886182</v>
      </c>
      <c r="D18" s="49">
        <v>-10.293203</v>
      </c>
      <c r="E18" s="49">
        <v>6.7668439999999999</v>
      </c>
      <c r="F18" s="49">
        <v>-19.709862000000001</v>
      </c>
      <c r="G18" s="49">
        <v>-17.907793000000002</v>
      </c>
      <c r="H18" s="49">
        <v>-20.156140000000001</v>
      </c>
      <c r="I18" s="49">
        <v>1.0945559</v>
      </c>
      <c r="J18" s="49">
        <v>-14.599216</v>
      </c>
      <c r="K18" s="49">
        <v>-14.199448</v>
      </c>
      <c r="L18" s="49">
        <v>-28.152125999999999</v>
      </c>
      <c r="M18" s="49">
        <v>-3.1947255000000001</v>
      </c>
      <c r="N18" s="49">
        <v>-52.973906999999997</v>
      </c>
      <c r="O18" s="49">
        <v>1.1672138999999999</v>
      </c>
      <c r="P18" s="49">
        <v>19.920134999999998</v>
      </c>
      <c r="Q18" s="49">
        <v>0.45963525999999999</v>
      </c>
      <c r="R18" s="49">
        <v>-0.24242996999999999</v>
      </c>
      <c r="S18" s="49">
        <v>-15.321332</v>
      </c>
      <c r="T18" s="49">
        <v>-5.640352</v>
      </c>
      <c r="U18" s="49">
        <v>-6.080425</v>
      </c>
      <c r="V18" s="165" t="e">
        <v>#N/A</v>
      </c>
      <c r="W18" s="33"/>
    </row>
    <row r="19" spans="1:23" x14ac:dyDescent="0.35">
      <c r="A19" s="2">
        <v>42220</v>
      </c>
      <c r="B19" s="7" t="e">
        <v>#N/A</v>
      </c>
      <c r="C19" s="7">
        <v>-19.771796999999999</v>
      </c>
      <c r="D19" s="49">
        <v>-21.036852</v>
      </c>
      <c r="E19" s="49">
        <v>3.0817985999999999</v>
      </c>
      <c r="F19" s="49">
        <v>-20.739871999999998</v>
      </c>
      <c r="G19" s="49">
        <v>-26.710723999999999</v>
      </c>
      <c r="H19" s="49">
        <v>-23.301893</v>
      </c>
      <c r="I19" s="49">
        <v>-8.0007549999999998</v>
      </c>
      <c r="J19" s="49">
        <v>-17.751629000000001</v>
      </c>
      <c r="K19" s="49">
        <v>-22.713153999999999</v>
      </c>
      <c r="L19" s="49">
        <v>-41.222540000000002</v>
      </c>
      <c r="M19" s="49">
        <v>-10.952114999999999</v>
      </c>
      <c r="N19" s="49">
        <v>-54.340705999999997</v>
      </c>
      <c r="O19" s="49">
        <v>4.1370630000000004</v>
      </c>
      <c r="P19" s="49">
        <v>-3.4511089999999999E-3</v>
      </c>
      <c r="Q19" s="49">
        <v>-8.903276</v>
      </c>
      <c r="R19" s="49">
        <v>-5.7404995000000003</v>
      </c>
      <c r="S19" s="49">
        <v>-26.57883</v>
      </c>
      <c r="T19" s="49">
        <v>-10.774421999999999</v>
      </c>
      <c r="U19" s="49">
        <v>-14.521777999999999</v>
      </c>
      <c r="V19" s="165" t="e">
        <v>#N/A</v>
      </c>
      <c r="W19" s="33"/>
    </row>
    <row r="20" spans="1:23" x14ac:dyDescent="0.35">
      <c r="A20" s="2">
        <v>42251</v>
      </c>
      <c r="B20" s="7" t="e">
        <v>#N/A</v>
      </c>
      <c r="C20" s="7">
        <v>-21.250146999999998</v>
      </c>
      <c r="D20" s="49">
        <v>-33.183352999999997</v>
      </c>
      <c r="E20" s="49">
        <v>-11.763578000000001</v>
      </c>
      <c r="F20" s="49">
        <v>-24.254125999999999</v>
      </c>
      <c r="G20" s="49">
        <v>-36.902493</v>
      </c>
      <c r="H20" s="49">
        <v>-37.672127000000003</v>
      </c>
      <c r="I20" s="49">
        <v>-19.656127999999999</v>
      </c>
      <c r="J20" s="49">
        <v>-28.056764999999999</v>
      </c>
      <c r="K20" s="49">
        <v>-28.343368999999999</v>
      </c>
      <c r="L20" s="49">
        <v>-55.152299999999997</v>
      </c>
      <c r="M20" s="49">
        <v>-24.44145</v>
      </c>
      <c r="N20" s="49">
        <v>-55.316932999999999</v>
      </c>
      <c r="O20" s="49">
        <v>-14.562511000000001</v>
      </c>
      <c r="P20" s="49">
        <v>-18.234539000000002</v>
      </c>
      <c r="Q20" s="49">
        <v>-16.843128</v>
      </c>
      <c r="R20" s="49">
        <v>-13.22884</v>
      </c>
      <c r="S20" s="49">
        <v>-35.93383</v>
      </c>
      <c r="T20" s="49">
        <v>-27.299075999999999</v>
      </c>
      <c r="U20" s="49">
        <v>-32.181420000000003</v>
      </c>
      <c r="V20" s="165" t="e">
        <v>#N/A</v>
      </c>
      <c r="W20" s="33"/>
    </row>
    <row r="21" spans="1:23" x14ac:dyDescent="0.35">
      <c r="A21" s="2">
        <v>42279</v>
      </c>
      <c r="B21" s="49" t="e">
        <v>#N/A</v>
      </c>
      <c r="C21" s="49">
        <v>-18.339516</v>
      </c>
      <c r="D21" s="49">
        <v>-31.581931999999998</v>
      </c>
      <c r="E21" s="49">
        <v>-6.5360839999999998</v>
      </c>
      <c r="F21" s="49">
        <v>-22.478199</v>
      </c>
      <c r="G21" s="49">
        <v>-32.193745</v>
      </c>
      <c r="H21" s="49">
        <v>-32.928837000000001</v>
      </c>
      <c r="I21" s="49">
        <v>-9.4772099999999995</v>
      </c>
      <c r="J21" s="49">
        <v>-22.052723</v>
      </c>
      <c r="K21" s="49">
        <v>-13.692451</v>
      </c>
      <c r="L21" s="49">
        <v>-43.870249999999999</v>
      </c>
      <c r="M21" s="49">
        <v>-9.4411129999999996</v>
      </c>
      <c r="N21" s="49">
        <v>-46.674503000000001</v>
      </c>
      <c r="O21" s="49">
        <v>-3.4284055000000002</v>
      </c>
      <c r="P21" s="49">
        <v>0.81070660000000005</v>
      </c>
      <c r="Q21" s="49">
        <v>-15.132242</v>
      </c>
      <c r="R21" s="49">
        <v>-14.230472000000001</v>
      </c>
      <c r="S21" s="49">
        <v>-20.491909</v>
      </c>
      <c r="T21" s="49">
        <v>-22.78604</v>
      </c>
      <c r="U21" s="49">
        <v>-27.492778999999999</v>
      </c>
      <c r="V21" s="165" t="e">
        <v>#N/A</v>
      </c>
      <c r="W21" s="33"/>
    </row>
    <row r="22" spans="1:23" x14ac:dyDescent="0.35">
      <c r="A22" s="2">
        <v>42312</v>
      </c>
      <c r="B22" s="49" t="e">
        <v>#N/A</v>
      </c>
      <c r="C22" s="49">
        <v>-15.28393</v>
      </c>
      <c r="D22" s="49">
        <v>-20.850569</v>
      </c>
      <c r="E22" s="49">
        <v>-5.8495702999999999</v>
      </c>
      <c r="F22" s="49">
        <v>-23.651789999999998</v>
      </c>
      <c r="G22" s="49">
        <v>-29.298973</v>
      </c>
      <c r="H22" s="49">
        <v>-28.571093000000001</v>
      </c>
      <c r="I22" s="49">
        <v>-5.5455326999999999</v>
      </c>
      <c r="J22" s="49">
        <v>-16.528898000000002</v>
      </c>
      <c r="K22" s="49">
        <v>-2.4854720000000001</v>
      </c>
      <c r="L22" s="49">
        <v>-41.368400000000001</v>
      </c>
      <c r="M22" s="49">
        <v>-14.590363999999999</v>
      </c>
      <c r="N22" s="49">
        <v>-35.388629999999999</v>
      </c>
      <c r="O22" s="49">
        <v>-10.201359</v>
      </c>
      <c r="P22" s="49">
        <v>0.41859150000000001</v>
      </c>
      <c r="Q22" s="49">
        <v>-15.531867999999999</v>
      </c>
      <c r="R22" s="49">
        <v>-10.202819</v>
      </c>
      <c r="S22" s="49">
        <v>-18.717216000000001</v>
      </c>
      <c r="T22" s="49">
        <v>-22.427637000000001</v>
      </c>
      <c r="U22" s="49">
        <v>-16.247199999999999</v>
      </c>
      <c r="V22" s="165" t="e">
        <v>#N/A</v>
      </c>
      <c r="W22" s="33"/>
    </row>
    <row r="23" spans="1:23" x14ac:dyDescent="0.35">
      <c r="A23" s="2">
        <v>42342</v>
      </c>
      <c r="B23" s="49" t="e">
        <v>#N/A</v>
      </c>
      <c r="C23" s="49">
        <v>-20.453430000000001</v>
      </c>
      <c r="D23" s="49">
        <v>-22.837198000000001</v>
      </c>
      <c r="E23" s="49">
        <v>-9.9044439999999998</v>
      </c>
      <c r="F23" s="49">
        <v>-30.213911</v>
      </c>
      <c r="G23" s="49">
        <v>-34.094481999999999</v>
      </c>
      <c r="H23" s="49">
        <v>-18.697388</v>
      </c>
      <c r="I23" s="49">
        <v>-10.994827000000001</v>
      </c>
      <c r="J23" s="49">
        <v>-13.404131</v>
      </c>
      <c r="K23" s="49">
        <v>-7.0134582999999999</v>
      </c>
      <c r="L23" s="49">
        <v>-38.139854</v>
      </c>
      <c r="M23" s="49">
        <v>-22.157060000000001</v>
      </c>
      <c r="N23" s="49">
        <v>-49.380566000000002</v>
      </c>
      <c r="O23" s="49">
        <v>-15.026408</v>
      </c>
      <c r="P23" s="49">
        <v>-5.4089127000000001</v>
      </c>
      <c r="Q23" s="49">
        <v>-16.898375999999999</v>
      </c>
      <c r="R23" s="49">
        <v>-16.535026999999999</v>
      </c>
      <c r="S23" s="49">
        <v>-32.316249999999997</v>
      </c>
      <c r="T23" s="49">
        <v>-21.452444</v>
      </c>
      <c r="U23" s="49">
        <v>-20.629256999999999</v>
      </c>
      <c r="V23" s="165" t="e">
        <v>#N/A</v>
      </c>
      <c r="W23" s="33"/>
    </row>
    <row r="24" spans="1:23" x14ac:dyDescent="0.35">
      <c r="A24" s="2">
        <v>42373</v>
      </c>
      <c r="B24" s="49" t="e">
        <v>#N/A</v>
      </c>
      <c r="C24" s="49">
        <v>-18.423765</v>
      </c>
      <c r="D24" s="49">
        <v>-22.105115999999999</v>
      </c>
      <c r="E24" s="49">
        <v>-11.58874</v>
      </c>
      <c r="F24" s="49">
        <v>-24.183320999999999</v>
      </c>
      <c r="G24" s="49">
        <v>-36.205696000000003</v>
      </c>
      <c r="H24" s="49">
        <v>-21.423292</v>
      </c>
      <c r="I24" s="49">
        <v>-14.575588</v>
      </c>
      <c r="J24" s="49">
        <v>-13.353937999999999</v>
      </c>
      <c r="K24" s="49">
        <v>-9.2289209999999997</v>
      </c>
      <c r="L24" s="49">
        <v>-41.907074000000001</v>
      </c>
      <c r="M24" s="49">
        <v>-26.282803999999999</v>
      </c>
      <c r="N24" s="49">
        <v>-40.466183000000001</v>
      </c>
      <c r="O24" s="49">
        <v>-10.394973</v>
      </c>
      <c r="P24" s="49">
        <v>-12.205755</v>
      </c>
      <c r="Q24" s="49">
        <v>-18.912941</v>
      </c>
      <c r="R24" s="49">
        <v>-15.641629999999999</v>
      </c>
      <c r="S24" s="49">
        <v>-32.799945999999998</v>
      </c>
      <c r="T24" s="49">
        <v>-15.715271</v>
      </c>
      <c r="U24" s="49">
        <v>-18.161774000000001</v>
      </c>
      <c r="V24" s="165" t="e">
        <v>#N/A</v>
      </c>
      <c r="W24" s="33"/>
    </row>
    <row r="25" spans="1:23" x14ac:dyDescent="0.35">
      <c r="A25" s="2">
        <v>42404</v>
      </c>
      <c r="B25" s="49" t="e">
        <v>#N/A</v>
      </c>
      <c r="C25" s="49">
        <v>-14.884096</v>
      </c>
      <c r="D25" s="49">
        <v>-19.802517000000002</v>
      </c>
      <c r="E25" s="49">
        <v>-20.496744</v>
      </c>
      <c r="F25" s="49">
        <v>-24.162822999999999</v>
      </c>
      <c r="G25" s="49">
        <v>-33.523415</v>
      </c>
      <c r="H25" s="49">
        <v>-17.616589000000001</v>
      </c>
      <c r="I25" s="49">
        <v>-17.574715000000001</v>
      </c>
      <c r="J25" s="49">
        <v>-14.164877000000001</v>
      </c>
      <c r="K25" s="49">
        <v>-13.965702</v>
      </c>
      <c r="L25" s="49">
        <v>-39.891930000000002</v>
      </c>
      <c r="M25" s="49">
        <v>-33.002693000000001</v>
      </c>
      <c r="N25" s="49">
        <v>-43.627155000000002</v>
      </c>
      <c r="O25" s="49">
        <v>-20.449596</v>
      </c>
      <c r="P25" s="49">
        <v>-25.986260000000001</v>
      </c>
      <c r="Q25" s="49">
        <v>-21.276772000000001</v>
      </c>
      <c r="R25" s="49">
        <v>-18.920999999999999</v>
      </c>
      <c r="S25" s="49">
        <v>-24.852084999999999</v>
      </c>
      <c r="T25" s="49">
        <v>-18.096965999999998</v>
      </c>
      <c r="U25" s="49">
        <v>-22.663329999999998</v>
      </c>
      <c r="V25" s="165" t="e">
        <v>#N/A</v>
      </c>
      <c r="W25" s="33"/>
    </row>
    <row r="26" spans="1:23" x14ac:dyDescent="0.35">
      <c r="A26" s="2">
        <v>42433</v>
      </c>
      <c r="B26" s="49" t="e">
        <v>#N/A</v>
      </c>
      <c r="C26" s="49">
        <v>-11.967123000000001</v>
      </c>
      <c r="D26" s="49">
        <v>-11.429971999999999</v>
      </c>
      <c r="E26" s="49">
        <v>-17.498552</v>
      </c>
      <c r="F26" s="49">
        <v>-19.882422999999999</v>
      </c>
      <c r="G26" s="49">
        <v>-17.688130999999998</v>
      </c>
      <c r="H26" s="49">
        <v>-12.853026</v>
      </c>
      <c r="I26" s="49">
        <v>-11.971939000000001</v>
      </c>
      <c r="J26" s="49">
        <v>-10.688895</v>
      </c>
      <c r="K26" s="49">
        <v>-10.729247000000001</v>
      </c>
      <c r="L26" s="49">
        <v>-22.597605000000001</v>
      </c>
      <c r="M26" s="49">
        <v>-24.061214</v>
      </c>
      <c r="N26" s="49">
        <v>-41.819989999999997</v>
      </c>
      <c r="O26" s="49">
        <v>-20.380120999999999</v>
      </c>
      <c r="P26" s="49">
        <v>-17.589914</v>
      </c>
      <c r="Q26" s="49">
        <v>-16.449362000000001</v>
      </c>
      <c r="R26" s="49">
        <v>-11.729282</v>
      </c>
      <c r="S26" s="49">
        <v>-13.519245</v>
      </c>
      <c r="T26" s="49">
        <v>-12.400425</v>
      </c>
      <c r="U26" s="49">
        <v>-20.028597000000001</v>
      </c>
      <c r="V26" s="165" t="e">
        <v>#N/A</v>
      </c>
      <c r="W26" s="33"/>
    </row>
    <row r="27" spans="1:23" x14ac:dyDescent="0.35">
      <c r="A27" s="2">
        <v>42464</v>
      </c>
      <c r="B27" s="49" t="e">
        <v>#N/A</v>
      </c>
      <c r="C27" s="49">
        <v>-9.3435469999999992</v>
      </c>
      <c r="D27" s="49">
        <v>-13.143807000000001</v>
      </c>
      <c r="E27" s="49">
        <v>-14.953894</v>
      </c>
      <c r="F27" s="49">
        <v>-13.657731</v>
      </c>
      <c r="G27" s="49">
        <v>-11.587275</v>
      </c>
      <c r="H27" s="49">
        <v>-9.9989229999999996</v>
      </c>
      <c r="I27" s="49">
        <v>-12.371224</v>
      </c>
      <c r="J27" s="49">
        <v>-9.4573260000000001</v>
      </c>
      <c r="K27" s="49">
        <v>-8.7807289999999991</v>
      </c>
      <c r="L27" s="49">
        <v>-20.815498000000002</v>
      </c>
      <c r="M27" s="49">
        <v>-22.084076</v>
      </c>
      <c r="N27" s="49">
        <v>-33.617794000000004</v>
      </c>
      <c r="O27" s="49">
        <v>-16.056787</v>
      </c>
      <c r="P27" s="49">
        <v>-23.495674000000001</v>
      </c>
      <c r="Q27" s="49">
        <v>-13.787186</v>
      </c>
      <c r="R27" s="49">
        <v>-8.8395600000000005</v>
      </c>
      <c r="S27" s="49">
        <v>-4.3359040000000002</v>
      </c>
      <c r="T27" s="49">
        <v>-8.7954410000000003</v>
      </c>
      <c r="U27" s="49">
        <v>-14.556718</v>
      </c>
      <c r="V27" s="165" t="e">
        <v>#N/A</v>
      </c>
      <c r="W27" s="33"/>
    </row>
    <row r="28" spans="1:23" x14ac:dyDescent="0.35">
      <c r="A28" s="2">
        <v>42494</v>
      </c>
      <c r="B28" s="49" t="e">
        <v>#N/A</v>
      </c>
      <c r="C28" s="49">
        <v>-10.337311</v>
      </c>
      <c r="D28" s="49">
        <v>-11.059654</v>
      </c>
      <c r="E28" s="49">
        <v>-16.597301000000002</v>
      </c>
      <c r="F28" s="49">
        <v>-27.249013999999999</v>
      </c>
      <c r="G28" s="49">
        <v>-4.4358969999999998</v>
      </c>
      <c r="H28" s="49">
        <v>-17.322588</v>
      </c>
      <c r="I28" s="49">
        <v>-21.299059</v>
      </c>
      <c r="J28" s="49">
        <v>-10.52525</v>
      </c>
      <c r="K28" s="49">
        <v>-16.117023</v>
      </c>
      <c r="L28" s="49">
        <v>-19.793028</v>
      </c>
      <c r="M28" s="49">
        <v>-26.278687000000001</v>
      </c>
      <c r="N28" s="49">
        <v>-33.534179999999999</v>
      </c>
      <c r="O28" s="49">
        <v>-11.681461000000001</v>
      </c>
      <c r="P28" s="49">
        <v>-34.655349999999999</v>
      </c>
      <c r="Q28" s="49">
        <v>-19.607030000000002</v>
      </c>
      <c r="R28" s="49">
        <v>-8.9104890000000001</v>
      </c>
      <c r="S28" s="49">
        <v>-13.773346</v>
      </c>
      <c r="T28" s="49">
        <v>-17.670673000000001</v>
      </c>
      <c r="U28" s="49">
        <v>-15.803253</v>
      </c>
      <c r="V28" s="165" t="e">
        <v>#N/A</v>
      </c>
      <c r="W28" s="33"/>
    </row>
    <row r="29" spans="1:23" x14ac:dyDescent="0.35">
      <c r="A29" s="2">
        <v>42524</v>
      </c>
      <c r="B29" s="49" t="e">
        <v>#N/A</v>
      </c>
      <c r="C29" s="49">
        <v>-8.7995169999999998</v>
      </c>
      <c r="D29" s="49">
        <v>-6.3362303000000004</v>
      </c>
      <c r="E29" s="49">
        <v>-1.0656178000000001</v>
      </c>
      <c r="F29" s="49">
        <v>-24.888361</v>
      </c>
      <c r="G29" s="49">
        <v>3.6749005000000001</v>
      </c>
      <c r="H29" s="49">
        <v>-12.947488</v>
      </c>
      <c r="I29" s="49">
        <v>-12.677622</v>
      </c>
      <c r="J29" s="49">
        <v>-12.332546000000001</v>
      </c>
      <c r="K29" s="49">
        <v>-7.0884584999999998</v>
      </c>
      <c r="L29" s="49">
        <v>-15.592039</v>
      </c>
      <c r="M29" s="49">
        <v>-11.650264999999999</v>
      </c>
      <c r="N29" s="49">
        <v>-31.201194999999998</v>
      </c>
      <c r="O29" s="49">
        <v>-2.6809394000000002</v>
      </c>
      <c r="P29" s="49">
        <v>-29.131048</v>
      </c>
      <c r="Q29" s="49">
        <v>-20.299465000000001</v>
      </c>
      <c r="R29" s="49">
        <v>-3.0794679999999999</v>
      </c>
      <c r="S29" s="49">
        <v>-10.875583000000001</v>
      </c>
      <c r="T29" s="49">
        <v>-18.198924999999999</v>
      </c>
      <c r="U29" s="49">
        <v>-11.784291</v>
      </c>
      <c r="V29" s="165" t="e">
        <v>#N/A</v>
      </c>
      <c r="W29" s="33"/>
    </row>
    <row r="30" spans="1:23" x14ac:dyDescent="0.35">
      <c r="A30" s="2">
        <v>42552</v>
      </c>
      <c r="B30" s="49" t="e">
        <v>#N/A</v>
      </c>
      <c r="C30" s="49">
        <v>1.0055780000000001</v>
      </c>
      <c r="D30" s="49">
        <v>6.4536689999999997</v>
      </c>
      <c r="E30" s="49">
        <v>2.3720859999999999</v>
      </c>
      <c r="F30" s="49">
        <v>-24.68676</v>
      </c>
      <c r="G30" s="49">
        <v>7.6282740000000002</v>
      </c>
      <c r="H30" s="49">
        <v>-6.9267750000000001</v>
      </c>
      <c r="I30" s="49">
        <v>-8.5013500000000004</v>
      </c>
      <c r="J30" s="49">
        <v>-8.6239159999999995</v>
      </c>
      <c r="K30" s="49">
        <v>-2.9198586999999998</v>
      </c>
      <c r="L30" s="49">
        <v>-3.5873889999999999</v>
      </c>
      <c r="M30" s="49">
        <v>-14.453136000000001</v>
      </c>
      <c r="N30" s="49">
        <v>-32.915835999999999</v>
      </c>
      <c r="O30" s="49">
        <v>-6.3635349999999997</v>
      </c>
      <c r="P30" s="49">
        <v>-21.617429999999999</v>
      </c>
      <c r="Q30" s="49">
        <v>-15.562647999999999</v>
      </c>
      <c r="R30" s="49">
        <v>-2.3516476000000002</v>
      </c>
      <c r="S30" s="49">
        <v>-9.2133160000000007</v>
      </c>
      <c r="T30" s="49">
        <v>-12.657988</v>
      </c>
      <c r="U30" s="49">
        <v>-19.015592999999999</v>
      </c>
      <c r="V30" s="165" t="e">
        <v>#N/A</v>
      </c>
      <c r="W30" s="33"/>
    </row>
    <row r="31" spans="1:23" x14ac:dyDescent="0.35">
      <c r="A31" s="2">
        <v>42586</v>
      </c>
      <c r="B31" s="49" t="e">
        <v>#N/A</v>
      </c>
      <c r="C31" s="49">
        <v>11.189757999999999</v>
      </c>
      <c r="D31" s="49">
        <v>19.327784000000001</v>
      </c>
      <c r="E31" s="49">
        <v>2.5924206000000001</v>
      </c>
      <c r="F31" s="49">
        <v>-15.419065</v>
      </c>
      <c r="G31" s="49">
        <v>34.950090000000003</v>
      </c>
      <c r="H31" s="49">
        <v>-4.5646190000000004</v>
      </c>
      <c r="I31" s="49">
        <v>8.6806540000000005</v>
      </c>
      <c r="J31" s="49">
        <v>-9.7431479999999997</v>
      </c>
      <c r="K31" s="49">
        <v>10.945379000000001</v>
      </c>
      <c r="L31" s="49">
        <v>22.833179999999999</v>
      </c>
      <c r="M31" s="49">
        <v>-2.3290812999999999</v>
      </c>
      <c r="N31" s="49">
        <v>-24.647925999999998</v>
      </c>
      <c r="O31" s="49">
        <v>-4.1830005999999997</v>
      </c>
      <c r="P31" s="49">
        <v>-9.1093060000000001</v>
      </c>
      <c r="Q31" s="49">
        <v>-8.0098509999999994</v>
      </c>
      <c r="R31" s="49">
        <v>5.2906155999999998</v>
      </c>
      <c r="S31" s="49">
        <v>-7.4576140000000004</v>
      </c>
      <c r="T31" s="49">
        <v>-12.354523</v>
      </c>
      <c r="U31" s="49">
        <v>-15.358180000000001</v>
      </c>
      <c r="V31" s="165" t="e">
        <v>#N/A</v>
      </c>
      <c r="W31" s="33"/>
    </row>
    <row r="32" spans="1:23" x14ac:dyDescent="0.35">
      <c r="A32" s="2">
        <v>42615</v>
      </c>
      <c r="B32" s="49" t="e">
        <v>#N/A</v>
      </c>
      <c r="C32" s="49">
        <v>10.358286</v>
      </c>
      <c r="D32" s="49">
        <v>33.514330000000001</v>
      </c>
      <c r="E32" s="49">
        <v>12.794209</v>
      </c>
      <c r="F32" s="49">
        <v>-14.314795</v>
      </c>
      <c r="G32" s="49">
        <v>50.218403000000002</v>
      </c>
      <c r="H32" s="49">
        <v>13.948333999999999</v>
      </c>
      <c r="I32" s="49">
        <v>18.996727</v>
      </c>
      <c r="J32" s="49">
        <v>1.8731236</v>
      </c>
      <c r="K32" s="49">
        <v>22.889852999999999</v>
      </c>
      <c r="L32" s="49">
        <v>46.388053999999997</v>
      </c>
      <c r="M32" s="49">
        <v>2.6994227999999998</v>
      </c>
      <c r="N32" s="49">
        <v>-17.729794999999999</v>
      </c>
      <c r="O32" s="49">
        <v>11.198651999999999</v>
      </c>
      <c r="P32" s="49">
        <v>14.864015999999999</v>
      </c>
      <c r="Q32" s="49">
        <v>-3.2982290000000001</v>
      </c>
      <c r="R32" s="49">
        <v>10.858689999999999</v>
      </c>
      <c r="S32" s="49">
        <v>6.3224077000000003</v>
      </c>
      <c r="T32" s="49">
        <v>1.3694644</v>
      </c>
      <c r="U32" s="49">
        <v>-3.2957733</v>
      </c>
      <c r="V32" s="165" t="e">
        <v>#N/A</v>
      </c>
      <c r="W32" s="33"/>
    </row>
    <row r="33" spans="1:23" x14ac:dyDescent="0.35">
      <c r="A33" s="2">
        <v>42647</v>
      </c>
      <c r="B33" s="49" t="e">
        <v>#N/A</v>
      </c>
      <c r="C33" s="49">
        <v>12.157833</v>
      </c>
      <c r="D33" s="49">
        <v>49.222828</v>
      </c>
      <c r="E33" s="49">
        <v>6.4318059999999999</v>
      </c>
      <c r="F33" s="49">
        <v>-11.928338</v>
      </c>
      <c r="G33" s="49">
        <v>46.278750000000002</v>
      </c>
      <c r="H33" s="49">
        <v>10.463751</v>
      </c>
      <c r="I33" s="49">
        <v>18.184339999999999</v>
      </c>
      <c r="J33" s="49">
        <v>-2.5809646000000002</v>
      </c>
      <c r="K33" s="49">
        <v>16.37782</v>
      </c>
      <c r="L33" s="49">
        <v>50.645290000000003</v>
      </c>
      <c r="M33" s="49">
        <v>1.6067146999999999</v>
      </c>
      <c r="N33" s="49">
        <v>-23.21828</v>
      </c>
      <c r="O33" s="49">
        <v>4.7237159999999996</v>
      </c>
      <c r="P33" s="49">
        <v>7.9290149999999997</v>
      </c>
      <c r="Q33" s="49">
        <v>-8.1428709999999995</v>
      </c>
      <c r="R33" s="49">
        <v>12.138748</v>
      </c>
      <c r="S33" s="49">
        <v>0.13685226</v>
      </c>
      <c r="T33" s="49">
        <v>-2.3355125999999999</v>
      </c>
      <c r="U33" s="49">
        <v>-2.4193107999999999</v>
      </c>
      <c r="V33" s="165">
        <v>-18.747353</v>
      </c>
      <c r="W33" s="33"/>
    </row>
    <row r="34" spans="1:23" x14ac:dyDescent="0.35">
      <c r="A34" s="2">
        <v>42678</v>
      </c>
      <c r="B34" s="49" t="e">
        <v>#N/A</v>
      </c>
      <c r="C34" s="49">
        <v>12.313247</v>
      </c>
      <c r="D34" s="49">
        <v>21.117699000000002</v>
      </c>
      <c r="E34" s="49">
        <v>-2.2233784000000001</v>
      </c>
      <c r="F34" s="49">
        <v>-9.7677949999999996</v>
      </c>
      <c r="G34" s="49">
        <v>43.694589999999998</v>
      </c>
      <c r="H34" s="49">
        <v>3.6114096999999998</v>
      </c>
      <c r="I34" s="49">
        <v>8.3991164999999999</v>
      </c>
      <c r="J34" s="49">
        <v>-9.039479</v>
      </c>
      <c r="K34" s="49">
        <v>0.6875038</v>
      </c>
      <c r="L34" s="49">
        <v>49.350357000000002</v>
      </c>
      <c r="M34" s="49">
        <v>-3.8048147999999999</v>
      </c>
      <c r="N34" s="49">
        <v>-29.987864999999999</v>
      </c>
      <c r="O34" s="49">
        <v>0.24452209999999999</v>
      </c>
      <c r="P34" s="49">
        <v>-3.1450987000000001</v>
      </c>
      <c r="Q34" s="49">
        <v>-10.882968</v>
      </c>
      <c r="R34" s="49">
        <v>4.3753742999999998</v>
      </c>
      <c r="S34" s="49">
        <v>-16.914446000000002</v>
      </c>
      <c r="T34" s="49">
        <v>0.29253960000000001</v>
      </c>
      <c r="U34" s="49">
        <v>-15.845250999999999</v>
      </c>
      <c r="V34" s="165">
        <v>-7.1842074</v>
      </c>
      <c r="W34" s="33"/>
    </row>
    <row r="35" spans="1:23" x14ac:dyDescent="0.35">
      <c r="A35" s="2">
        <v>42706</v>
      </c>
      <c r="B35" s="49" t="e">
        <v>#N/A</v>
      </c>
      <c r="C35" s="49">
        <v>20.778691999999999</v>
      </c>
      <c r="D35" s="49">
        <v>16.871680000000001</v>
      </c>
      <c r="E35" s="49">
        <v>-5.4419219999999999</v>
      </c>
      <c r="F35" s="49">
        <v>-3.9500712999999998</v>
      </c>
      <c r="G35" s="49">
        <v>55.359375</v>
      </c>
      <c r="H35" s="49">
        <v>-3.8781821999999999</v>
      </c>
      <c r="I35" s="49">
        <v>15.511094999999999</v>
      </c>
      <c r="J35" s="49">
        <v>-16.953635999999999</v>
      </c>
      <c r="K35" s="49">
        <v>3.4399986</v>
      </c>
      <c r="L35" s="49">
        <v>39.473976</v>
      </c>
      <c r="M35" s="49">
        <v>0.64029694000000004</v>
      </c>
      <c r="N35" s="49">
        <v>-6.6734733999999998</v>
      </c>
      <c r="O35" s="49">
        <v>-0.85289479999999995</v>
      </c>
      <c r="P35" s="49">
        <v>0.66622495999999998</v>
      </c>
      <c r="Q35" s="49">
        <v>-2.6905298000000002</v>
      </c>
      <c r="R35" s="49">
        <v>12.110196999999999</v>
      </c>
      <c r="S35" s="49">
        <v>-18.794065</v>
      </c>
      <c r="T35" s="49">
        <v>7.0974826999999996</v>
      </c>
      <c r="U35" s="49">
        <v>-10.525352</v>
      </c>
      <c r="V35" s="165">
        <v>3.1193137000000002</v>
      </c>
      <c r="W35" s="33"/>
    </row>
    <row r="36" spans="1:23" x14ac:dyDescent="0.35">
      <c r="A36" s="2">
        <v>42739</v>
      </c>
      <c r="B36" s="49" t="e">
        <v>#N/A</v>
      </c>
      <c r="C36" s="49">
        <v>20.371341999999999</v>
      </c>
      <c r="D36" s="49">
        <v>20.593464000000001</v>
      </c>
      <c r="E36" s="49">
        <v>1.0975957000000001</v>
      </c>
      <c r="F36" s="49">
        <v>8.48062</v>
      </c>
      <c r="G36" s="49">
        <v>69.016940000000005</v>
      </c>
      <c r="H36" s="49">
        <v>-1.9484758000000001E-2</v>
      </c>
      <c r="I36" s="49">
        <v>23.210466</v>
      </c>
      <c r="J36" s="49">
        <v>-10.734391</v>
      </c>
      <c r="K36" s="49">
        <v>13.498473000000001</v>
      </c>
      <c r="L36" s="49">
        <v>78.097430000000003</v>
      </c>
      <c r="M36" s="49">
        <v>22.169208999999999</v>
      </c>
      <c r="N36" s="49">
        <v>3.1120538999999998</v>
      </c>
      <c r="O36" s="49">
        <v>1.4936924</v>
      </c>
      <c r="P36" s="49">
        <v>5.7203293000000004</v>
      </c>
      <c r="Q36" s="49">
        <v>11.428857000000001</v>
      </c>
      <c r="R36" s="49">
        <v>23.758709</v>
      </c>
      <c r="S36" s="49">
        <v>-8.7872869999999992</v>
      </c>
      <c r="T36" s="49">
        <v>14.874660499999999</v>
      </c>
      <c r="U36" s="49">
        <v>-8.4196620000000006</v>
      </c>
      <c r="V36" s="165">
        <v>11.389505</v>
      </c>
      <c r="W36" s="33"/>
    </row>
    <row r="37" spans="1:23" x14ac:dyDescent="0.35">
      <c r="A37" s="2">
        <v>42769</v>
      </c>
      <c r="B37" s="49" t="e">
        <v>#N/A</v>
      </c>
      <c r="C37" s="49">
        <v>27.289187999999999</v>
      </c>
      <c r="D37" s="49">
        <v>17.781807000000001</v>
      </c>
      <c r="E37" s="49">
        <v>9.2149370000000008</v>
      </c>
      <c r="F37" s="49">
        <v>21.494793000000001</v>
      </c>
      <c r="G37" s="49">
        <v>82.839380000000006</v>
      </c>
      <c r="H37" s="49">
        <v>-1.1978268999999999</v>
      </c>
      <c r="I37" s="49">
        <v>30.288136000000002</v>
      </c>
      <c r="J37" s="49">
        <v>-2.1952389999999999</v>
      </c>
      <c r="K37" s="49">
        <v>26.238955000000001</v>
      </c>
      <c r="L37" s="49">
        <v>94.517960000000002</v>
      </c>
      <c r="M37" s="49">
        <v>30.242920000000002</v>
      </c>
      <c r="N37" s="49">
        <v>15.952444</v>
      </c>
      <c r="O37" s="49">
        <v>15.075445</v>
      </c>
      <c r="P37" s="49">
        <v>25.72466</v>
      </c>
      <c r="Q37" s="49">
        <v>12.46978</v>
      </c>
      <c r="R37" s="49">
        <v>22.541153000000001</v>
      </c>
      <c r="S37" s="49">
        <v>-4.9220680000000003</v>
      </c>
      <c r="T37" s="49">
        <v>19.136773999999999</v>
      </c>
      <c r="U37" s="49">
        <v>2.4632095999999999</v>
      </c>
      <c r="V37" s="165">
        <v>24.494016999999999</v>
      </c>
      <c r="W37" s="33"/>
    </row>
    <row r="38" spans="1:23" x14ac:dyDescent="0.35">
      <c r="A38" s="2">
        <v>42797</v>
      </c>
      <c r="B38" s="49" t="e">
        <v>#N/A</v>
      </c>
      <c r="C38" s="49">
        <v>18.751000999999999</v>
      </c>
      <c r="D38" s="49">
        <v>5.961716</v>
      </c>
      <c r="E38" s="49">
        <v>-0.96946359999999998</v>
      </c>
      <c r="F38" s="49">
        <v>21.718634000000002</v>
      </c>
      <c r="G38" s="49">
        <v>46.518528000000003</v>
      </c>
      <c r="H38" s="49">
        <v>-3.9649367</v>
      </c>
      <c r="I38" s="49">
        <v>22.915732999999999</v>
      </c>
      <c r="J38" s="49">
        <v>-3.3474803</v>
      </c>
      <c r="K38" s="49">
        <v>19.387794</v>
      </c>
      <c r="L38" s="49">
        <v>65.790763999999996</v>
      </c>
      <c r="M38" s="49">
        <v>20.456576999999999</v>
      </c>
      <c r="N38" s="49">
        <v>12.430107</v>
      </c>
      <c r="O38" s="49">
        <v>16.365241999999999</v>
      </c>
      <c r="P38" s="49">
        <v>22.718107</v>
      </c>
      <c r="Q38" s="49">
        <v>7.6781034000000004</v>
      </c>
      <c r="R38" s="49">
        <v>13.547886</v>
      </c>
      <c r="S38" s="49">
        <v>-7.727468</v>
      </c>
      <c r="T38" s="49">
        <v>7.9262494999999999</v>
      </c>
      <c r="U38" s="49">
        <v>-4.9062070000000002</v>
      </c>
      <c r="V38" s="165">
        <v>15.744591</v>
      </c>
      <c r="W38" s="33"/>
    </row>
    <row r="39" spans="1:23" x14ac:dyDescent="0.35">
      <c r="A39" s="2">
        <v>42829</v>
      </c>
      <c r="B39" s="49" t="e">
        <v>#N/A</v>
      </c>
      <c r="C39" s="49">
        <v>21.142937</v>
      </c>
      <c r="D39" s="49">
        <v>13.215399</v>
      </c>
      <c r="E39" s="49">
        <v>-2.586919</v>
      </c>
      <c r="F39" s="49">
        <v>11.380528999999999</v>
      </c>
      <c r="G39" s="49">
        <v>36.295807000000003</v>
      </c>
      <c r="H39" s="49">
        <v>-7.8055620000000001</v>
      </c>
      <c r="I39" s="49">
        <v>25.004995000000001</v>
      </c>
      <c r="J39" s="49">
        <v>-0.84526539999999994</v>
      </c>
      <c r="K39" s="49">
        <v>20.437442999999998</v>
      </c>
      <c r="L39" s="49">
        <v>52.688313000000001</v>
      </c>
      <c r="M39" s="49">
        <v>9.8172779999999999</v>
      </c>
      <c r="N39" s="49">
        <v>12.618982000000001</v>
      </c>
      <c r="O39" s="49">
        <v>18.663656</v>
      </c>
      <c r="P39" s="49">
        <v>22.353194999999999</v>
      </c>
      <c r="Q39" s="49">
        <v>2.6149988</v>
      </c>
      <c r="R39" s="49">
        <v>13.108181999999999</v>
      </c>
      <c r="S39" s="49">
        <v>-17.552876000000001</v>
      </c>
      <c r="T39" s="49">
        <v>6.9373727000000001</v>
      </c>
      <c r="U39" s="49">
        <v>5.7492020000000004</v>
      </c>
      <c r="V39" s="165">
        <v>19.401073</v>
      </c>
      <c r="W39" s="33"/>
    </row>
    <row r="40" spans="1:23" x14ac:dyDescent="0.35">
      <c r="A40" s="2">
        <v>42859</v>
      </c>
      <c r="B40" s="49" t="e">
        <v>#N/A</v>
      </c>
      <c r="C40" s="49">
        <v>17.330372000000001</v>
      </c>
      <c r="D40" s="49">
        <v>19.475519999999999</v>
      </c>
      <c r="E40" s="49">
        <v>6.7843913999999996</v>
      </c>
      <c r="F40" s="49">
        <v>32.565734999999997</v>
      </c>
      <c r="G40" s="49">
        <v>14.085436</v>
      </c>
      <c r="H40" s="49">
        <v>1.6551256000000001</v>
      </c>
      <c r="I40" s="49">
        <v>38.02037</v>
      </c>
      <c r="J40" s="49">
        <v>-4.1627883999999997E-2</v>
      </c>
      <c r="K40" s="49">
        <v>26.181757000000001</v>
      </c>
      <c r="L40" s="49">
        <v>33.824444</v>
      </c>
      <c r="M40" s="49">
        <v>17.885303</v>
      </c>
      <c r="N40" s="49">
        <v>20.929993</v>
      </c>
      <c r="O40" s="49">
        <v>22.355986000000001</v>
      </c>
      <c r="P40" s="49">
        <v>26.132370000000002</v>
      </c>
      <c r="Q40" s="49">
        <v>2.2679567</v>
      </c>
      <c r="R40" s="49">
        <v>13.112104</v>
      </c>
      <c r="S40" s="49">
        <v>1.1549592</v>
      </c>
      <c r="T40" s="49">
        <v>7.7590345999999997</v>
      </c>
      <c r="U40" s="49">
        <v>1.2295841999999999</v>
      </c>
      <c r="V40" s="165">
        <v>9.3633649999999999</v>
      </c>
      <c r="W40" s="33"/>
    </row>
    <row r="41" spans="1:23" x14ac:dyDescent="0.35">
      <c r="A41" s="2">
        <v>42888</v>
      </c>
      <c r="B41" s="49" t="e">
        <v>#N/A</v>
      </c>
      <c r="C41" s="49">
        <v>25.895714000000002</v>
      </c>
      <c r="D41" s="49">
        <v>21.412682</v>
      </c>
      <c r="E41" s="49">
        <v>-0.78490375999999995</v>
      </c>
      <c r="F41" s="49">
        <v>45.175944999999999</v>
      </c>
      <c r="G41" s="49">
        <v>17.856766</v>
      </c>
      <c r="H41" s="49">
        <v>9.0311769999999996</v>
      </c>
      <c r="I41" s="49">
        <v>32.613340000000001</v>
      </c>
      <c r="J41" s="49">
        <v>7.0659039999999997</v>
      </c>
      <c r="K41" s="49">
        <v>37.605167000000002</v>
      </c>
      <c r="L41" s="49">
        <v>34.777034999999998</v>
      </c>
      <c r="M41" s="49">
        <v>21.993542000000001</v>
      </c>
      <c r="N41" s="49">
        <v>18.201946</v>
      </c>
      <c r="O41" s="49">
        <v>18.77309</v>
      </c>
      <c r="P41" s="49">
        <v>31.4803</v>
      </c>
      <c r="Q41" s="49">
        <v>6.2918304999999997</v>
      </c>
      <c r="R41" s="49">
        <v>10.079622000000001</v>
      </c>
      <c r="S41" s="49">
        <v>9.6571809999999996</v>
      </c>
      <c r="T41" s="49">
        <v>10.065804999999999</v>
      </c>
      <c r="U41" s="49">
        <v>3.3117532999999999</v>
      </c>
      <c r="V41" s="165">
        <v>8.7766760000000001</v>
      </c>
      <c r="W41" s="33"/>
    </row>
    <row r="42" spans="1:23" x14ac:dyDescent="0.35">
      <c r="A42" s="2">
        <v>42919</v>
      </c>
      <c r="B42" s="49">
        <v>14.10327</v>
      </c>
      <c r="C42" s="49">
        <v>14.667845</v>
      </c>
      <c r="D42" s="49">
        <v>13.562476999999999</v>
      </c>
      <c r="E42" s="49">
        <v>-8.138954</v>
      </c>
      <c r="F42" s="49">
        <v>47.806156000000001</v>
      </c>
      <c r="G42" s="49">
        <v>11.722493</v>
      </c>
      <c r="H42" s="49">
        <v>1.3017415999999999</v>
      </c>
      <c r="I42" s="49">
        <v>29.027866</v>
      </c>
      <c r="J42" s="49">
        <v>8.3827379999999998</v>
      </c>
      <c r="K42" s="49">
        <v>29.888725000000001</v>
      </c>
      <c r="L42" s="49">
        <v>15.061558</v>
      </c>
      <c r="M42" s="49">
        <v>9.0459709999999998</v>
      </c>
      <c r="N42" s="49">
        <v>48.041533999999999</v>
      </c>
      <c r="O42" s="49">
        <v>15.366972000000001</v>
      </c>
      <c r="P42" s="49">
        <v>30.586601000000002</v>
      </c>
      <c r="Q42" s="49">
        <v>-5.9974790000000002</v>
      </c>
      <c r="R42" s="49">
        <v>8.2189800000000002</v>
      </c>
      <c r="S42" s="49">
        <v>6.1492205000000002</v>
      </c>
      <c r="T42" s="49">
        <v>5.8699130000000004</v>
      </c>
      <c r="U42" s="49">
        <v>6.2400102999999998</v>
      </c>
      <c r="V42" s="165">
        <v>20.544682999999999</v>
      </c>
      <c r="W42" s="33"/>
    </row>
    <row r="43" spans="1:23" x14ac:dyDescent="0.35">
      <c r="A43" s="2">
        <v>42951</v>
      </c>
      <c r="B43" s="49">
        <v>14.869869</v>
      </c>
      <c r="C43" s="49">
        <v>21.40503</v>
      </c>
      <c r="D43" s="49">
        <v>2.2965789999999999</v>
      </c>
      <c r="E43" s="49">
        <v>-7.5193824999999999</v>
      </c>
      <c r="F43" s="49">
        <v>44.634630000000001</v>
      </c>
      <c r="G43" s="49">
        <v>4.4108510000000001</v>
      </c>
      <c r="H43" s="49">
        <v>3.0630229999999998</v>
      </c>
      <c r="I43" s="49">
        <v>25.264119999999998</v>
      </c>
      <c r="J43" s="49">
        <v>15.610493</v>
      </c>
      <c r="K43" s="49">
        <v>27.003264999999999</v>
      </c>
      <c r="L43" s="49">
        <v>15.849709499999999</v>
      </c>
      <c r="M43" s="49">
        <v>5.625248</v>
      </c>
      <c r="N43" s="49">
        <v>49.893783999999997</v>
      </c>
      <c r="O43" s="49">
        <v>19.828748999999998</v>
      </c>
      <c r="P43" s="49">
        <v>37.096809999999998</v>
      </c>
      <c r="Q43" s="49">
        <v>-6.7839980000000004</v>
      </c>
      <c r="R43" s="49">
        <v>4.6640040000000003</v>
      </c>
      <c r="S43" s="49">
        <v>22.285843</v>
      </c>
      <c r="T43" s="49">
        <v>8.9647880000000004</v>
      </c>
      <c r="U43" s="49">
        <v>4.3737890000000004</v>
      </c>
      <c r="V43" s="165">
        <v>16.651249</v>
      </c>
      <c r="W43" s="33"/>
    </row>
    <row r="44" spans="1:23" x14ac:dyDescent="0.35">
      <c r="A44" s="2">
        <v>42979</v>
      </c>
      <c r="B44" s="49">
        <v>18.900085000000001</v>
      </c>
      <c r="C44" s="49">
        <v>34.669376</v>
      </c>
      <c r="D44" s="49">
        <v>8.5512280000000001</v>
      </c>
      <c r="E44" s="49">
        <v>-6.645626</v>
      </c>
      <c r="F44" s="49">
        <v>56.205759999999998</v>
      </c>
      <c r="G44" s="49">
        <v>17.57189</v>
      </c>
      <c r="H44" s="49">
        <v>3.7670016</v>
      </c>
      <c r="I44" s="49">
        <v>27.897358000000001</v>
      </c>
      <c r="J44" s="49">
        <v>13.661087</v>
      </c>
      <c r="K44" s="49">
        <v>22.753250000000001</v>
      </c>
      <c r="L44" s="49">
        <v>23.311828999999999</v>
      </c>
      <c r="M44" s="49">
        <v>20.884598</v>
      </c>
      <c r="N44" s="49">
        <v>39.141272999999998</v>
      </c>
      <c r="O44" s="49">
        <v>16.957913999999999</v>
      </c>
      <c r="P44" s="49">
        <v>33.640335</v>
      </c>
      <c r="Q44" s="49">
        <v>-14.604139</v>
      </c>
      <c r="R44" s="49">
        <v>6.4167740000000002</v>
      </c>
      <c r="S44" s="49">
        <v>26.733291999999999</v>
      </c>
      <c r="T44" s="49">
        <v>9.520721</v>
      </c>
      <c r="U44" s="49">
        <v>0.67645310000000003</v>
      </c>
      <c r="V44" s="165">
        <v>24.208714000000001</v>
      </c>
      <c r="W44" s="33"/>
    </row>
    <row r="45" spans="1:23" x14ac:dyDescent="0.35">
      <c r="A45" s="2">
        <v>43012</v>
      </c>
      <c r="B45" s="49">
        <v>22.406981999999999</v>
      </c>
      <c r="C45" s="49">
        <v>38.013312999999997</v>
      </c>
      <c r="D45" s="49">
        <v>2.8718471999999999</v>
      </c>
      <c r="E45" s="49">
        <v>2.0773291999999999</v>
      </c>
      <c r="F45" s="49">
        <v>46.960735</v>
      </c>
      <c r="G45" s="49">
        <v>27.973248000000002</v>
      </c>
      <c r="H45" s="49">
        <v>6.4299106999999998</v>
      </c>
      <c r="I45" s="49">
        <v>19.193290000000001</v>
      </c>
      <c r="J45" s="49">
        <v>12.339473</v>
      </c>
      <c r="K45" s="49">
        <v>24.414026</v>
      </c>
      <c r="L45" s="49">
        <v>29.956351999999999</v>
      </c>
      <c r="M45" s="49">
        <v>9.8952054999999994</v>
      </c>
      <c r="N45" s="49">
        <v>30.755054000000001</v>
      </c>
      <c r="O45" s="49">
        <v>12.620056</v>
      </c>
      <c r="P45" s="49">
        <v>35.675002999999997</v>
      </c>
      <c r="Q45" s="49">
        <v>-16.737901999999998</v>
      </c>
      <c r="R45" s="49">
        <v>11.789130999999999</v>
      </c>
      <c r="S45" s="49">
        <v>16.795933000000002</v>
      </c>
      <c r="T45" s="49">
        <v>9.1535930000000008</v>
      </c>
      <c r="U45" s="49">
        <v>2.3254036999999999</v>
      </c>
      <c r="V45" s="165">
        <v>32.469223</v>
      </c>
      <c r="W45" s="33"/>
    </row>
    <row r="46" spans="1:23" x14ac:dyDescent="0.35">
      <c r="A46" s="2">
        <v>43042</v>
      </c>
      <c r="B46" s="49">
        <v>20.309972999999999</v>
      </c>
      <c r="C46" s="49">
        <v>29.617632</v>
      </c>
      <c r="D46" s="49">
        <v>7.3786497000000004</v>
      </c>
      <c r="E46" s="49">
        <v>8.42483</v>
      </c>
      <c r="F46" s="49">
        <v>49.878610000000002</v>
      </c>
      <c r="G46" s="49">
        <v>33.608044</v>
      </c>
      <c r="H46" s="49">
        <v>6.9131612999999996</v>
      </c>
      <c r="I46" s="49">
        <v>26.00422</v>
      </c>
      <c r="J46" s="49">
        <v>4.2273880000000004</v>
      </c>
      <c r="K46" s="49">
        <v>40.643321999999998</v>
      </c>
      <c r="L46" s="49">
        <v>13.044917999999999</v>
      </c>
      <c r="M46" s="49">
        <v>11.530054</v>
      </c>
      <c r="N46" s="49">
        <v>32.990326000000003</v>
      </c>
      <c r="O46" s="49">
        <v>25.471067000000001</v>
      </c>
      <c r="P46" s="49">
        <v>44.255721999999999</v>
      </c>
      <c r="Q46" s="49">
        <v>-15.487396</v>
      </c>
      <c r="R46" s="49">
        <v>13.95706</v>
      </c>
      <c r="S46" s="49">
        <v>16.517817999999998</v>
      </c>
      <c r="T46" s="49">
        <v>15.370917</v>
      </c>
      <c r="U46" s="49">
        <v>18.695736</v>
      </c>
      <c r="V46" s="165">
        <v>16.792465</v>
      </c>
      <c r="W46" s="33"/>
    </row>
    <row r="47" spans="1:23" x14ac:dyDescent="0.35">
      <c r="A47" s="2">
        <v>43073</v>
      </c>
      <c r="B47" s="49">
        <v>16.846478000000001</v>
      </c>
      <c r="C47" s="49">
        <v>21.002625999999999</v>
      </c>
      <c r="D47" s="49">
        <v>12.783849999999999</v>
      </c>
      <c r="E47" s="49">
        <v>10.567009000000001</v>
      </c>
      <c r="F47" s="49">
        <v>58.511555000000001</v>
      </c>
      <c r="G47" s="49">
        <v>26.245259999999998</v>
      </c>
      <c r="H47" s="49">
        <v>17.35736</v>
      </c>
      <c r="I47" s="49">
        <v>23.987818000000001</v>
      </c>
      <c r="J47" s="49">
        <v>18.344915</v>
      </c>
      <c r="K47" s="49">
        <v>43.08766</v>
      </c>
      <c r="L47" s="49">
        <v>27.775359999999999</v>
      </c>
      <c r="M47" s="49">
        <v>29.311287</v>
      </c>
      <c r="N47" s="49">
        <v>20.455276000000001</v>
      </c>
      <c r="O47" s="49">
        <v>30.326916000000001</v>
      </c>
      <c r="P47" s="49">
        <v>43.611587999999998</v>
      </c>
      <c r="Q47" s="49">
        <v>-18.001694000000001</v>
      </c>
      <c r="R47" s="49">
        <v>13.048887000000001</v>
      </c>
      <c r="S47" s="49">
        <v>30.594301000000002</v>
      </c>
      <c r="T47" s="49">
        <v>7.5859069999999997</v>
      </c>
      <c r="U47" s="49">
        <v>32.223022</v>
      </c>
      <c r="V47" s="165">
        <v>0.92673300000000003</v>
      </c>
      <c r="W47" s="33"/>
    </row>
    <row r="48" spans="1:23" x14ac:dyDescent="0.35">
      <c r="A48" s="2">
        <v>43104</v>
      </c>
      <c r="B48" s="49">
        <v>32.962893999999999</v>
      </c>
      <c r="C48" s="49">
        <v>47.311233999999999</v>
      </c>
      <c r="D48" s="49">
        <v>18.506468000000002</v>
      </c>
      <c r="E48" s="49">
        <v>19.068156999999999</v>
      </c>
      <c r="F48" s="49">
        <v>54.550052999999998</v>
      </c>
      <c r="G48" s="49">
        <v>30.585979999999999</v>
      </c>
      <c r="H48" s="49">
        <v>26.672816999999998</v>
      </c>
      <c r="I48" s="49">
        <v>28.29833</v>
      </c>
      <c r="J48" s="49">
        <v>19.562529999999999</v>
      </c>
      <c r="K48" s="49">
        <v>43.860363</v>
      </c>
      <c r="L48" s="49">
        <v>24.347925</v>
      </c>
      <c r="M48" s="49">
        <v>33.106388000000003</v>
      </c>
      <c r="N48" s="49">
        <v>33.219549999999998</v>
      </c>
      <c r="O48" s="49">
        <v>36.065950000000001</v>
      </c>
      <c r="P48" s="49">
        <v>59.194552999999999</v>
      </c>
      <c r="Q48" s="49">
        <v>-13.478410999999999</v>
      </c>
      <c r="R48" s="49">
        <v>14.546108</v>
      </c>
      <c r="S48" s="49">
        <v>44.425190000000001</v>
      </c>
      <c r="T48" s="49">
        <v>7.0299744999999998</v>
      </c>
      <c r="U48" s="49">
        <v>39.787247000000001</v>
      </c>
      <c r="V48" s="165">
        <v>7.4059366999999998</v>
      </c>
      <c r="W48" s="33"/>
    </row>
    <row r="49" spans="1:23" x14ac:dyDescent="0.35">
      <c r="A49" s="2">
        <v>43133</v>
      </c>
      <c r="B49" s="49">
        <v>32.715490000000003</v>
      </c>
      <c r="C49" s="49">
        <v>41.657195999999999</v>
      </c>
      <c r="D49" s="49">
        <v>19.617498000000001</v>
      </c>
      <c r="E49" s="49">
        <v>8.5570570000000004</v>
      </c>
      <c r="F49" s="49">
        <v>43.705629999999999</v>
      </c>
      <c r="G49" s="49">
        <v>23.162210000000002</v>
      </c>
      <c r="H49" s="49">
        <v>27.624559999999999</v>
      </c>
      <c r="I49" s="49">
        <v>23.884641999999999</v>
      </c>
      <c r="J49" s="49">
        <v>18.372858000000001</v>
      </c>
      <c r="K49" s="49">
        <v>30.478774999999999</v>
      </c>
      <c r="L49" s="49">
        <v>23.090982</v>
      </c>
      <c r="M49" s="49">
        <v>27.413166</v>
      </c>
      <c r="N49" s="49">
        <v>47.857346</v>
      </c>
      <c r="O49" s="49">
        <v>24.079917999999999</v>
      </c>
      <c r="P49" s="49">
        <v>54.772640000000003</v>
      </c>
      <c r="Q49" s="49">
        <v>-11.692232000000001</v>
      </c>
      <c r="R49" s="49">
        <v>16.194105</v>
      </c>
      <c r="S49" s="49">
        <v>33.384884</v>
      </c>
      <c r="T49" s="49">
        <v>5.4228899999999998</v>
      </c>
      <c r="U49" s="49">
        <v>37.191330000000001</v>
      </c>
      <c r="V49" s="165">
        <v>10.523569</v>
      </c>
      <c r="W49" s="33"/>
    </row>
    <row r="50" spans="1:23" x14ac:dyDescent="0.35">
      <c r="A50" s="2">
        <v>43161</v>
      </c>
      <c r="B50" s="49">
        <v>25.833023000000001</v>
      </c>
      <c r="C50" s="49">
        <v>34.401670000000003</v>
      </c>
      <c r="D50" s="49">
        <v>18.851804999999999</v>
      </c>
      <c r="E50" s="49">
        <v>8.9751130000000003</v>
      </c>
      <c r="F50" s="49">
        <v>25.232970999999999</v>
      </c>
      <c r="G50" s="49">
        <v>29.836582</v>
      </c>
      <c r="H50" s="49">
        <v>25.276316000000001</v>
      </c>
      <c r="I50" s="49">
        <v>19.24615</v>
      </c>
      <c r="J50" s="49">
        <v>9.6725100000000008</v>
      </c>
      <c r="K50" s="49">
        <v>28.025818000000001</v>
      </c>
      <c r="L50" s="49">
        <v>24.199940000000002</v>
      </c>
      <c r="M50" s="49">
        <v>31.983602999999999</v>
      </c>
      <c r="N50" s="49">
        <v>34.008670000000002</v>
      </c>
      <c r="O50" s="49">
        <v>17.909754</v>
      </c>
      <c r="P50" s="49">
        <v>44.791829999999997</v>
      </c>
      <c r="Q50" s="49">
        <v>-17.028648</v>
      </c>
      <c r="R50" s="49">
        <v>15.417158000000001</v>
      </c>
      <c r="S50" s="49">
        <v>29.804075000000001</v>
      </c>
      <c r="T50" s="49">
        <v>1.0283589</v>
      </c>
      <c r="U50" s="49">
        <v>39.740634999999997</v>
      </c>
      <c r="V50" s="165">
        <v>10.429131999999999</v>
      </c>
      <c r="W50" s="33"/>
    </row>
    <row r="51" spans="1:23" x14ac:dyDescent="0.35">
      <c r="A51" s="2">
        <v>43194</v>
      </c>
      <c r="B51" s="49">
        <v>20.980978</v>
      </c>
      <c r="C51" s="49">
        <v>24.200571</v>
      </c>
      <c r="D51" s="49">
        <v>4.743099</v>
      </c>
      <c r="E51" s="49">
        <v>-0.27433634000000001</v>
      </c>
      <c r="F51" s="49">
        <v>17.013622000000002</v>
      </c>
      <c r="G51" s="49">
        <v>30.301416</v>
      </c>
      <c r="H51" s="49">
        <v>23.096775000000001</v>
      </c>
      <c r="I51" s="49">
        <v>17.475283000000001</v>
      </c>
      <c r="J51" s="49">
        <v>4.0216089999999998</v>
      </c>
      <c r="K51" s="49">
        <v>24.887360000000001</v>
      </c>
      <c r="L51" s="49">
        <v>16.712498</v>
      </c>
      <c r="M51" s="49">
        <v>24.868857999999999</v>
      </c>
      <c r="N51" s="49">
        <v>24.243904000000001</v>
      </c>
      <c r="O51" s="49">
        <v>9.4341869999999997</v>
      </c>
      <c r="P51" s="49">
        <v>36.530982999999999</v>
      </c>
      <c r="Q51" s="49">
        <v>-10.421205</v>
      </c>
      <c r="R51" s="49">
        <v>8.9126349999999999</v>
      </c>
      <c r="S51" s="49">
        <v>20.886505</v>
      </c>
      <c r="T51" s="49">
        <v>2.4461746</v>
      </c>
      <c r="U51" s="49">
        <v>45.502758</v>
      </c>
      <c r="V51" s="165">
        <v>19.273603000000001</v>
      </c>
      <c r="W51" s="33"/>
    </row>
    <row r="52" spans="1:23" x14ac:dyDescent="0.35">
      <c r="A52" s="2">
        <v>43224</v>
      </c>
      <c r="B52" s="49">
        <v>19.373035000000002</v>
      </c>
      <c r="C52" s="49">
        <v>23.790682</v>
      </c>
      <c r="D52" s="49">
        <v>-5.6897044000000001</v>
      </c>
      <c r="E52" s="49">
        <v>-8.2984919999999995</v>
      </c>
      <c r="F52" s="49">
        <v>4.0107489999999997</v>
      </c>
      <c r="G52" s="49">
        <v>35.597946</v>
      </c>
      <c r="H52" s="49">
        <v>17.083024999999999</v>
      </c>
      <c r="I52" s="49">
        <v>8.7992670000000004</v>
      </c>
      <c r="J52" s="49">
        <v>-1.9365190999999999</v>
      </c>
      <c r="K52" s="49">
        <v>21.473026000000001</v>
      </c>
      <c r="L52" s="49">
        <v>12.554157</v>
      </c>
      <c r="M52" s="49">
        <v>17.738903000000001</v>
      </c>
      <c r="N52" s="49">
        <v>13.512492</v>
      </c>
      <c r="O52" s="49">
        <v>8.088673</v>
      </c>
      <c r="P52" s="49">
        <v>35.407710000000002</v>
      </c>
      <c r="Q52" s="49">
        <v>-6.7213773999999997</v>
      </c>
      <c r="R52" s="49">
        <v>13.147698999999999</v>
      </c>
      <c r="S52" s="49">
        <v>-5.7769719999999998</v>
      </c>
      <c r="T52" s="49">
        <v>-1.2770056999999999</v>
      </c>
      <c r="U52" s="49">
        <v>27.773738999999999</v>
      </c>
      <c r="V52" s="165">
        <v>23.986816000000001</v>
      </c>
      <c r="W52" s="33"/>
    </row>
    <row r="53" spans="1:23" x14ac:dyDescent="0.35">
      <c r="A53" s="2">
        <v>43255</v>
      </c>
      <c r="B53" s="49">
        <v>15.092278</v>
      </c>
      <c r="C53" s="49">
        <v>18.819786000000001</v>
      </c>
      <c r="D53" s="49">
        <v>-2.8098643000000001</v>
      </c>
      <c r="E53" s="49">
        <v>-12.289453</v>
      </c>
      <c r="F53" s="49">
        <v>-2.121216</v>
      </c>
      <c r="G53" s="49">
        <v>29.237090999999999</v>
      </c>
      <c r="H53" s="49">
        <v>7.6317906000000004</v>
      </c>
      <c r="I53" s="49">
        <v>11.571586999999999</v>
      </c>
      <c r="J53" s="49">
        <v>-11.665433999999999</v>
      </c>
      <c r="K53" s="49">
        <v>10.667085999999999</v>
      </c>
      <c r="L53" s="49">
        <v>6.2677860000000001</v>
      </c>
      <c r="M53" s="49">
        <v>9.6114999999999995</v>
      </c>
      <c r="N53" s="49">
        <v>-1.5236080000000001</v>
      </c>
      <c r="O53" s="49">
        <v>2.3715614999999999</v>
      </c>
      <c r="P53" s="49">
        <v>32.618201999999997</v>
      </c>
      <c r="Q53" s="49">
        <v>-1.9464611999999999</v>
      </c>
      <c r="R53" s="49">
        <v>9.8041649999999994</v>
      </c>
      <c r="S53" s="49">
        <v>-21.863634000000001</v>
      </c>
      <c r="T53" s="49">
        <v>-1.2770056999999999</v>
      </c>
      <c r="U53" s="49">
        <v>22.209119999999999</v>
      </c>
      <c r="V53" s="165">
        <v>30.585182</v>
      </c>
      <c r="W53" s="33"/>
    </row>
    <row r="54" spans="1:23" x14ac:dyDescent="0.35">
      <c r="A54" s="2">
        <v>43284</v>
      </c>
      <c r="B54" s="49">
        <v>-4.6721640000000004</v>
      </c>
      <c r="C54" s="49">
        <v>12.86931</v>
      </c>
      <c r="D54" s="49">
        <v>-18.262702999999998</v>
      </c>
      <c r="E54" s="49">
        <v>-15.730786</v>
      </c>
      <c r="F54" s="49">
        <v>-8.2393055000000004</v>
      </c>
      <c r="G54" s="49">
        <v>17.578900000000001</v>
      </c>
      <c r="H54" s="49">
        <v>3.1539798000000001</v>
      </c>
      <c r="I54" s="49">
        <v>2.1691560000000001</v>
      </c>
      <c r="J54" s="49">
        <v>-10.08305</v>
      </c>
      <c r="K54" s="49">
        <v>-0.14182924999999999</v>
      </c>
      <c r="L54" s="49">
        <v>-2.8155030000000001</v>
      </c>
      <c r="M54" s="49">
        <v>3.593099</v>
      </c>
      <c r="N54" s="49">
        <v>-9.4539170000000006</v>
      </c>
      <c r="O54" s="49">
        <v>3.2910943000000001</v>
      </c>
      <c r="P54" s="49">
        <v>17.50723</v>
      </c>
      <c r="Q54" s="49">
        <v>6.0723900000000004</v>
      </c>
      <c r="R54" s="49">
        <v>3.4997582</v>
      </c>
      <c r="S54" s="49">
        <v>-25.891124999999999</v>
      </c>
      <c r="T54" s="49">
        <v>-6.5416812999999996</v>
      </c>
      <c r="U54" s="49">
        <v>0.71295500000000001</v>
      </c>
      <c r="V54" s="165">
        <v>14.497709</v>
      </c>
      <c r="W54" s="33"/>
    </row>
    <row r="55" spans="1:23" x14ac:dyDescent="0.35">
      <c r="A55" s="2">
        <v>43315</v>
      </c>
      <c r="B55" s="49">
        <v>-10.540706</v>
      </c>
      <c r="C55" s="49">
        <v>6.3493490000000001</v>
      </c>
      <c r="D55" s="49">
        <v>-7.4391365</v>
      </c>
      <c r="E55" s="49">
        <v>-7.7501416000000001</v>
      </c>
      <c r="F55" s="49">
        <v>-6.6029787000000004</v>
      </c>
      <c r="G55" s="49">
        <v>13.499414</v>
      </c>
      <c r="H55" s="49">
        <v>9.2623599999999993</v>
      </c>
      <c r="I55" s="49">
        <v>5.2008866999999999</v>
      </c>
      <c r="J55" s="49">
        <v>-5.799264</v>
      </c>
      <c r="K55" s="49">
        <v>-1.0914147000000001</v>
      </c>
      <c r="L55" s="49">
        <v>0.35614966999999997</v>
      </c>
      <c r="M55" s="49">
        <v>2.286327</v>
      </c>
      <c r="N55" s="49">
        <v>-10.821671</v>
      </c>
      <c r="O55" s="49">
        <v>4.307747</v>
      </c>
      <c r="P55" s="49">
        <v>5.8147190000000002</v>
      </c>
      <c r="Q55" s="49">
        <v>8.2990530000000007</v>
      </c>
      <c r="R55" s="49">
        <v>8.4802739999999996</v>
      </c>
      <c r="S55" s="49">
        <v>-36.446370000000002</v>
      </c>
      <c r="T55" s="49">
        <v>-6.9046617000000001</v>
      </c>
      <c r="U55" s="49">
        <v>12.181187</v>
      </c>
      <c r="V55" s="165">
        <v>26.136744</v>
      </c>
      <c r="W55" s="33"/>
    </row>
    <row r="56" spans="1:23" x14ac:dyDescent="0.35">
      <c r="A56" s="2">
        <v>43347</v>
      </c>
      <c r="B56" s="49">
        <v>-15.475148000000001</v>
      </c>
      <c r="C56" s="49">
        <v>-11.717295999999999</v>
      </c>
      <c r="D56" s="49">
        <v>-15.790391</v>
      </c>
      <c r="E56" s="49">
        <v>-8.2621990000000007</v>
      </c>
      <c r="F56" s="49">
        <v>-12.032098</v>
      </c>
      <c r="G56" s="49">
        <v>-1.8017529999999999</v>
      </c>
      <c r="H56" s="49">
        <v>7.4497103999999998</v>
      </c>
      <c r="I56" s="49">
        <v>2.6141999999999999</v>
      </c>
      <c r="J56" s="49">
        <v>-11.602879</v>
      </c>
      <c r="K56" s="49">
        <v>0.13735294000000001</v>
      </c>
      <c r="L56" s="49">
        <v>-21.698087999999998</v>
      </c>
      <c r="M56" s="49">
        <v>-17.298805000000002</v>
      </c>
      <c r="N56" s="49">
        <v>-16.949451</v>
      </c>
      <c r="O56" s="49">
        <v>1.3323426</v>
      </c>
      <c r="P56" s="49">
        <v>-1.7201900000000001</v>
      </c>
      <c r="Q56" s="49">
        <v>14.221679999999999</v>
      </c>
      <c r="R56" s="49">
        <v>5.8859586999999998</v>
      </c>
      <c r="S56" s="49">
        <v>-56.335064000000003</v>
      </c>
      <c r="T56" s="49">
        <v>-7.6913539999999996</v>
      </c>
      <c r="U56" s="49">
        <v>12.219213999999999</v>
      </c>
      <c r="V56" s="165">
        <v>14.779555999999999</v>
      </c>
      <c r="W56" s="33"/>
    </row>
    <row r="57" spans="1:23" x14ac:dyDescent="0.35">
      <c r="A57" s="2">
        <v>43377</v>
      </c>
      <c r="B57" s="49">
        <v>-18.111371999999999</v>
      </c>
      <c r="C57" s="49">
        <v>-9.6022130000000008</v>
      </c>
      <c r="D57" s="49">
        <v>-19.408982999999999</v>
      </c>
      <c r="E57" s="49">
        <v>-22.579609999999999</v>
      </c>
      <c r="F57" s="49">
        <v>-9.6428279999999997</v>
      </c>
      <c r="G57" s="49">
        <v>-7.1974039999999997</v>
      </c>
      <c r="H57" s="49">
        <v>4.9349666000000001</v>
      </c>
      <c r="I57" s="49">
        <v>1.9513965</v>
      </c>
      <c r="J57" s="49">
        <v>-7.6299786999999997</v>
      </c>
      <c r="K57" s="49">
        <v>-5.2993893999999999</v>
      </c>
      <c r="L57" s="49">
        <v>-13.437891</v>
      </c>
      <c r="M57" s="49">
        <v>-14.144861000000001</v>
      </c>
      <c r="N57" s="49">
        <v>-11.394691</v>
      </c>
      <c r="O57" s="49">
        <v>-7.8793470000000001</v>
      </c>
      <c r="P57" s="49">
        <v>-11.018537999999999</v>
      </c>
      <c r="Q57" s="49">
        <v>19.708490000000001</v>
      </c>
      <c r="R57" s="49">
        <v>2.4665713</v>
      </c>
      <c r="S57" s="49">
        <v>-46.53302</v>
      </c>
      <c r="T57" s="49">
        <v>-9.4780259999999998</v>
      </c>
      <c r="U57" s="49">
        <v>11.660444</v>
      </c>
      <c r="V57" s="165">
        <v>17.152667999999998</v>
      </c>
      <c r="W57" s="33"/>
    </row>
    <row r="58" spans="1:23" x14ac:dyDescent="0.35">
      <c r="A58" s="2">
        <v>43406</v>
      </c>
      <c r="B58" s="49">
        <v>-19.388432000000002</v>
      </c>
      <c r="C58" s="49">
        <v>-12.309813500000001</v>
      </c>
      <c r="D58" s="49">
        <v>-13.996726000000001</v>
      </c>
      <c r="E58" s="49">
        <v>-18.570661999999999</v>
      </c>
      <c r="F58" s="49">
        <v>-15.762788</v>
      </c>
      <c r="G58" s="49">
        <v>-13.428879</v>
      </c>
      <c r="H58" s="49">
        <v>2.2148967000000002</v>
      </c>
      <c r="I58" s="49">
        <v>-8.0685800000000008</v>
      </c>
      <c r="J58" s="49">
        <v>-10.135115000000001</v>
      </c>
      <c r="K58" s="49">
        <v>-17.496151000000001</v>
      </c>
      <c r="L58" s="49">
        <v>7.1098090000000003</v>
      </c>
      <c r="M58" s="49">
        <v>-11.496168000000001</v>
      </c>
      <c r="N58" s="49">
        <v>-18.701136000000002</v>
      </c>
      <c r="O58" s="49">
        <v>-11.576319</v>
      </c>
      <c r="P58" s="49">
        <v>-13.314486</v>
      </c>
      <c r="Q58" s="49">
        <v>28.008343</v>
      </c>
      <c r="R58" s="49">
        <v>-1.1804283</v>
      </c>
      <c r="S58" s="49">
        <v>-39.930660000000003</v>
      </c>
      <c r="T58" s="49">
        <v>-9.4103154999999994</v>
      </c>
      <c r="U58" s="49">
        <v>-4.0475903000000004</v>
      </c>
      <c r="V58" s="165">
        <v>21.389842999999999</v>
      </c>
      <c r="W58" s="33"/>
    </row>
    <row r="59" spans="1:23" x14ac:dyDescent="0.35">
      <c r="A59" s="2">
        <v>43438</v>
      </c>
      <c r="B59" s="49">
        <v>-19.624794000000001</v>
      </c>
      <c r="C59" s="49">
        <v>-1.3833462999999999</v>
      </c>
      <c r="D59" s="49">
        <v>-5.0307693000000002</v>
      </c>
      <c r="E59" s="49">
        <v>-9.5148740000000007</v>
      </c>
      <c r="F59" s="49">
        <v>-9.0822219999999998</v>
      </c>
      <c r="G59" s="49">
        <v>-8.2703705000000003</v>
      </c>
      <c r="H59" s="49">
        <v>-0.90071559999999995</v>
      </c>
      <c r="I59" s="49">
        <v>-7.0003985999999996</v>
      </c>
      <c r="J59" s="49">
        <v>-18.941794999999999</v>
      </c>
      <c r="K59" s="49">
        <v>-16.943085</v>
      </c>
      <c r="L59" s="49">
        <v>1.7752767</v>
      </c>
      <c r="M59" s="49">
        <v>-14.134079</v>
      </c>
      <c r="N59" s="49">
        <v>-15.833824999999999</v>
      </c>
      <c r="O59" s="49">
        <v>-3.7454426000000001</v>
      </c>
      <c r="P59" s="49">
        <v>-10.153854000000001</v>
      </c>
      <c r="Q59" s="49">
        <v>39.817776000000002</v>
      </c>
      <c r="R59" s="49">
        <v>-1.4897465999999999</v>
      </c>
      <c r="S59" s="49">
        <v>-34.525905999999999</v>
      </c>
      <c r="T59" s="49">
        <v>-9.8528020000000005</v>
      </c>
      <c r="U59" s="49">
        <v>-7.4976500000000001</v>
      </c>
      <c r="V59" s="165">
        <v>16.229534000000001</v>
      </c>
      <c r="W59" s="33"/>
    </row>
    <row r="60" spans="1:23" x14ac:dyDescent="0.35">
      <c r="A60" s="2">
        <v>43469</v>
      </c>
      <c r="B60" s="49">
        <v>-26.902781999999998</v>
      </c>
      <c r="C60" s="49">
        <v>-18.982081999999998</v>
      </c>
      <c r="D60" s="49">
        <v>-7.4818189999999998</v>
      </c>
      <c r="E60" s="49">
        <v>-14.239025</v>
      </c>
      <c r="F60" s="49">
        <v>-16.861397</v>
      </c>
      <c r="G60" s="49">
        <v>-13.302773</v>
      </c>
      <c r="H60" s="49">
        <v>-7.8712043999999999</v>
      </c>
      <c r="I60" s="49">
        <v>-14.253491</v>
      </c>
      <c r="J60" s="49">
        <v>-13.5719595</v>
      </c>
      <c r="K60" s="49">
        <v>-21.815037</v>
      </c>
      <c r="L60" s="49">
        <v>1.5936375</v>
      </c>
      <c r="M60" s="49">
        <v>-21.142261999999999</v>
      </c>
      <c r="N60" s="49">
        <v>-31.763726999999999</v>
      </c>
      <c r="O60" s="49">
        <v>-7.7252090000000004</v>
      </c>
      <c r="P60" s="49">
        <v>-23.208397000000001</v>
      </c>
      <c r="Q60" s="49">
        <v>20.168627000000001</v>
      </c>
      <c r="R60" s="49">
        <v>-12.054026</v>
      </c>
      <c r="S60" s="49">
        <v>-43.074480000000001</v>
      </c>
      <c r="T60" s="49">
        <v>-15.197301</v>
      </c>
      <c r="U60" s="49">
        <v>-18.791609999999999</v>
      </c>
      <c r="V60" s="165">
        <v>13.045239</v>
      </c>
      <c r="W60" s="33"/>
    </row>
    <row r="61" spans="1:23" x14ac:dyDescent="0.35">
      <c r="A61" s="2">
        <v>43500</v>
      </c>
      <c r="B61" s="49">
        <v>-24.183304</v>
      </c>
      <c r="C61" s="49">
        <v>-12.290615000000001</v>
      </c>
      <c r="D61" s="49">
        <v>-4.2618694000000001</v>
      </c>
      <c r="E61" s="49">
        <v>-5.2894589999999999</v>
      </c>
      <c r="F61" s="49">
        <v>-14.058882000000001</v>
      </c>
      <c r="G61" s="49">
        <v>-8.4639434999999992</v>
      </c>
      <c r="H61" s="49">
        <v>-9.7622509999999991</v>
      </c>
      <c r="I61" s="49">
        <v>-9.2236759999999993</v>
      </c>
      <c r="J61" s="49">
        <v>-12.826282000000001</v>
      </c>
      <c r="K61" s="49">
        <v>-12.049049</v>
      </c>
      <c r="L61" s="49">
        <v>4.0885449999999999</v>
      </c>
      <c r="M61" s="49">
        <v>-16.052591</v>
      </c>
      <c r="N61" s="49">
        <v>-32.248817000000003</v>
      </c>
      <c r="O61" s="49">
        <v>-7.1837068000000004</v>
      </c>
      <c r="P61" s="49">
        <v>-16.362826999999999</v>
      </c>
      <c r="Q61" s="49">
        <v>23.684691999999998</v>
      </c>
      <c r="R61" s="49">
        <v>-9.5072089999999996</v>
      </c>
      <c r="S61" s="49">
        <v>-34.429527</v>
      </c>
      <c r="T61" s="49">
        <v>-14.280891</v>
      </c>
      <c r="U61" s="49">
        <v>-14.827818000000001</v>
      </c>
      <c r="V61" s="165">
        <v>20.189689999999999</v>
      </c>
      <c r="W61" s="33"/>
    </row>
    <row r="62" spans="1:23" x14ac:dyDescent="0.35">
      <c r="A62" s="2">
        <v>43528</v>
      </c>
      <c r="B62" s="49">
        <v>-6.9343386000000002</v>
      </c>
      <c r="C62" s="49">
        <v>-14.786148000000001</v>
      </c>
      <c r="D62" s="49">
        <v>-8.0308860000000006</v>
      </c>
      <c r="E62" s="49">
        <v>-7.6775193000000002</v>
      </c>
      <c r="F62" s="49">
        <v>-10.184455</v>
      </c>
      <c r="G62" s="49">
        <v>-6.7547980000000001</v>
      </c>
      <c r="H62" s="49">
        <v>-10.230010999999999</v>
      </c>
      <c r="I62" s="49">
        <v>-7.183427</v>
      </c>
      <c r="J62" s="49">
        <v>-12.149058999999999</v>
      </c>
      <c r="K62" s="49">
        <v>-12.315493999999999</v>
      </c>
      <c r="L62" s="49">
        <v>-4.1353759999999999</v>
      </c>
      <c r="M62" s="49">
        <v>-23.405987</v>
      </c>
      <c r="N62" s="49">
        <v>-21.813880000000001</v>
      </c>
      <c r="O62" s="49">
        <v>-4.9400750000000002</v>
      </c>
      <c r="P62" s="49">
        <v>-9.0230580000000007</v>
      </c>
      <c r="Q62" s="49">
        <v>21.584713000000001</v>
      </c>
      <c r="R62" s="49">
        <v>-9.7506579999999996</v>
      </c>
      <c r="S62" s="49">
        <v>-35.533079999999998</v>
      </c>
      <c r="T62" s="49">
        <v>-8.6256079999999997</v>
      </c>
      <c r="U62" s="49">
        <v>-8.0169259999999998</v>
      </c>
      <c r="V62" s="165">
        <v>23.413933</v>
      </c>
      <c r="W62" s="33"/>
    </row>
    <row r="63" spans="1:23" x14ac:dyDescent="0.35">
      <c r="A63" s="2">
        <v>43559</v>
      </c>
      <c r="B63" s="49">
        <v>0.97030400000000006</v>
      </c>
      <c r="C63" s="49">
        <v>-15.57281</v>
      </c>
      <c r="D63" s="49">
        <v>-1.6999245000000001</v>
      </c>
      <c r="E63" s="49">
        <v>-0.31816362999999998</v>
      </c>
      <c r="F63" s="49">
        <v>-4.3816090000000001</v>
      </c>
      <c r="G63" s="49">
        <v>-6.6120744</v>
      </c>
      <c r="H63" s="49">
        <v>-12.894917</v>
      </c>
      <c r="I63" s="49">
        <v>-4.5127153</v>
      </c>
      <c r="J63" s="49">
        <v>-12.725835999999999</v>
      </c>
      <c r="K63" s="49">
        <v>-14.015585</v>
      </c>
      <c r="L63" s="49">
        <v>-0.80909730000000002</v>
      </c>
      <c r="M63" s="49">
        <v>-15.938174999999999</v>
      </c>
      <c r="N63" s="49">
        <v>-13.472038</v>
      </c>
      <c r="O63" s="49">
        <v>4.4777274</v>
      </c>
      <c r="P63" s="49">
        <v>-3.7403762</v>
      </c>
      <c r="Q63" s="49">
        <v>16.561436</v>
      </c>
      <c r="R63" s="49">
        <v>-4.6817960000000003</v>
      </c>
      <c r="S63" s="49">
        <v>-36.481920000000002</v>
      </c>
      <c r="T63" s="49">
        <v>-7.8873277000000002</v>
      </c>
      <c r="U63" s="49">
        <v>-15.747636999999999</v>
      </c>
      <c r="V63" s="165">
        <v>19.975090000000002</v>
      </c>
      <c r="W63" s="33"/>
    </row>
    <row r="64" spans="1:23" x14ac:dyDescent="0.35">
      <c r="A64" s="2">
        <v>43588</v>
      </c>
      <c r="B64" s="49">
        <v>0.73648690000000006</v>
      </c>
      <c r="C64" s="49">
        <v>-17.537497999999999</v>
      </c>
      <c r="D64" s="49">
        <v>5.4592850000000004</v>
      </c>
      <c r="E64" s="49">
        <v>7.9861044999999997</v>
      </c>
      <c r="F64" s="49">
        <v>-4.2481955999999998</v>
      </c>
      <c r="G64" s="49">
        <v>-10.744916999999999</v>
      </c>
      <c r="H64" s="49">
        <v>-11.556279999999999</v>
      </c>
      <c r="I64" s="49">
        <v>5.1426290000000003</v>
      </c>
      <c r="J64" s="49">
        <v>-4.7634783000000001</v>
      </c>
      <c r="K64" s="49">
        <v>-16.381252</v>
      </c>
      <c r="L64" s="49">
        <v>4.3379070000000004</v>
      </c>
      <c r="M64" s="49">
        <v>-7.9869089999999998</v>
      </c>
      <c r="N64" s="49">
        <v>-16.587012999999999</v>
      </c>
      <c r="O64" s="49">
        <v>4.5323729999999998</v>
      </c>
      <c r="P64" s="49">
        <v>-1.4807701</v>
      </c>
      <c r="Q64" s="49">
        <v>22.152495999999999</v>
      </c>
      <c r="R64" s="49">
        <v>-6.2402249999999997</v>
      </c>
      <c r="S64" s="49">
        <v>-34.049999999999997</v>
      </c>
      <c r="T64" s="49">
        <v>-1.5964328999999999</v>
      </c>
      <c r="U64" s="49">
        <v>-4.6662090000000003</v>
      </c>
      <c r="V64" s="165">
        <v>22.574376999999998</v>
      </c>
      <c r="W64" s="33"/>
    </row>
    <row r="65" spans="1:23" x14ac:dyDescent="0.35">
      <c r="A65" s="2">
        <v>43620</v>
      </c>
      <c r="B65" s="49">
        <v>-10.509931999999999</v>
      </c>
      <c r="C65" s="49">
        <v>-19.471247000000002</v>
      </c>
      <c r="D65" s="49">
        <v>-0.94997286999999997</v>
      </c>
      <c r="E65" s="49">
        <v>8.1978559999999998</v>
      </c>
      <c r="F65" s="49">
        <v>-2.7203083000000001</v>
      </c>
      <c r="G65" s="49">
        <v>-15.798741</v>
      </c>
      <c r="H65" s="49">
        <v>-6.9641469999999996</v>
      </c>
      <c r="I65" s="49">
        <v>-9.1779709999999994</v>
      </c>
      <c r="J65" s="49">
        <v>-1.1984885000000001</v>
      </c>
      <c r="K65" s="49">
        <v>-21.671032</v>
      </c>
      <c r="L65" s="49">
        <v>20.56644</v>
      </c>
      <c r="M65" s="49">
        <v>-15.97321</v>
      </c>
      <c r="N65" s="49">
        <v>-1.5775680000000001</v>
      </c>
      <c r="O65" s="49">
        <v>9.8169799999999992</v>
      </c>
      <c r="P65" s="49">
        <v>-20.537430000000001</v>
      </c>
      <c r="Q65" s="49">
        <v>10.156691</v>
      </c>
      <c r="R65" s="49">
        <v>-4.8568306000000003</v>
      </c>
      <c r="S65" s="49">
        <v>-25.908894</v>
      </c>
      <c r="T65" s="49">
        <v>-8.04739</v>
      </c>
      <c r="U65" s="49">
        <v>-7.3428034999999996</v>
      </c>
      <c r="V65" s="165">
        <v>4.4619203000000001</v>
      </c>
      <c r="W65" s="33"/>
    </row>
    <row r="66" spans="1:23" x14ac:dyDescent="0.35">
      <c r="A66" s="2">
        <v>43649</v>
      </c>
      <c r="B66" s="49">
        <v>13.376904</v>
      </c>
      <c r="C66" s="49">
        <v>-10.910481000000001</v>
      </c>
      <c r="D66" s="49">
        <v>21.210182</v>
      </c>
      <c r="E66" s="49">
        <v>20.789622999999999</v>
      </c>
      <c r="F66" s="49">
        <v>10.325766</v>
      </c>
      <c r="G66" s="49">
        <v>-1.80071</v>
      </c>
      <c r="H66" s="49">
        <v>1.5709995999999999</v>
      </c>
      <c r="I66" s="49">
        <v>2.2232056</v>
      </c>
      <c r="J66" s="49">
        <v>-4.3631789999999997</v>
      </c>
      <c r="K66" s="49">
        <v>-10.303008999999999</v>
      </c>
      <c r="L66" s="49">
        <v>38.607059999999997</v>
      </c>
      <c r="M66" s="49">
        <v>-0.46125053999999999</v>
      </c>
      <c r="N66" s="49">
        <v>11.084854</v>
      </c>
      <c r="O66" s="49">
        <v>9.7010850000000008</v>
      </c>
      <c r="P66" s="49">
        <v>-3.4164607999999999</v>
      </c>
      <c r="Q66" s="49">
        <v>15.032792000000001</v>
      </c>
      <c r="R66" s="49">
        <v>5.8415173999999999</v>
      </c>
      <c r="S66" s="49">
        <v>-11.540502999999999</v>
      </c>
      <c r="T66" s="49">
        <v>-6.169009</v>
      </c>
      <c r="U66" s="49">
        <v>8.2740419999999997</v>
      </c>
      <c r="V66" s="165">
        <v>10.992884999999999</v>
      </c>
      <c r="W66" s="33"/>
    </row>
    <row r="67" spans="1:23" x14ac:dyDescent="0.35">
      <c r="A67" s="2">
        <v>43679</v>
      </c>
      <c r="B67" s="49">
        <v>8.4287639999999993</v>
      </c>
      <c r="C67" s="49">
        <v>-19.321923999999999</v>
      </c>
      <c r="D67" s="49">
        <v>7.201314</v>
      </c>
      <c r="E67" s="49">
        <v>7.2547554999999999</v>
      </c>
      <c r="F67" s="49">
        <v>-7.2242856</v>
      </c>
      <c r="G67" s="49">
        <v>-8.8374729999999992</v>
      </c>
      <c r="H67" s="49">
        <v>-9.9722749999999998</v>
      </c>
      <c r="I67" s="49">
        <v>-5.9228180000000004</v>
      </c>
      <c r="J67" s="49">
        <v>-18.999815000000002</v>
      </c>
      <c r="K67" s="49">
        <v>-16.651022000000001</v>
      </c>
      <c r="L67" s="49">
        <v>24.6418</v>
      </c>
      <c r="M67" s="49">
        <v>-10.349631</v>
      </c>
      <c r="N67" s="49">
        <v>7.1712493999999998</v>
      </c>
      <c r="O67" s="49">
        <v>-6.5702319999999999</v>
      </c>
      <c r="P67" s="49">
        <v>-8.0051780000000008</v>
      </c>
      <c r="Q67" s="49">
        <v>-0.69815516</v>
      </c>
      <c r="R67" s="49">
        <v>-1.3797522</v>
      </c>
      <c r="S67" s="49">
        <v>-1.0987282</v>
      </c>
      <c r="T67" s="49">
        <v>-7.8500214000000001</v>
      </c>
      <c r="U67" s="49">
        <v>0.13064145999999999</v>
      </c>
      <c r="V67" s="165">
        <v>4.6781420000000002</v>
      </c>
      <c r="W67" s="33"/>
    </row>
    <row r="68" spans="1:23" x14ac:dyDescent="0.35">
      <c r="A68" s="2">
        <v>43712</v>
      </c>
      <c r="B68" s="49">
        <v>13.222384</v>
      </c>
      <c r="C68" s="49">
        <v>-14.045202</v>
      </c>
      <c r="D68" s="49">
        <v>14.121627999999999</v>
      </c>
      <c r="E68" s="49">
        <v>4.6594977000000002</v>
      </c>
      <c r="F68" s="49">
        <v>-11.415613</v>
      </c>
      <c r="G68" s="49">
        <v>-3.1209647999999999</v>
      </c>
      <c r="H68" s="49">
        <v>-10.43374</v>
      </c>
      <c r="I68" s="49">
        <v>-2.9972672</v>
      </c>
      <c r="J68" s="49">
        <v>-12.07366</v>
      </c>
      <c r="K68" s="49">
        <v>-17.624647</v>
      </c>
      <c r="L68" s="49">
        <v>36.791969999999999</v>
      </c>
      <c r="M68" s="49">
        <v>0.97854140000000001</v>
      </c>
      <c r="N68" s="49">
        <v>12.565958</v>
      </c>
      <c r="O68" s="49">
        <v>-7.3639574000000003</v>
      </c>
      <c r="P68" s="49">
        <v>-3.0708850000000001</v>
      </c>
      <c r="Q68" s="49">
        <v>1.4036774999999999</v>
      </c>
      <c r="R68" s="49">
        <v>-3.2530130000000002</v>
      </c>
      <c r="S68" s="49">
        <v>31.885921</v>
      </c>
      <c r="T68" s="49">
        <v>-6.5909863</v>
      </c>
      <c r="U68" s="49">
        <v>-2.5300384</v>
      </c>
      <c r="V68" s="165">
        <v>6.9599985999999996</v>
      </c>
      <c r="W68" s="33"/>
    </row>
    <row r="69" spans="1:23" x14ac:dyDescent="0.35">
      <c r="A69" s="2">
        <v>43742</v>
      </c>
      <c r="B69" s="49">
        <v>12.715780000000001</v>
      </c>
      <c r="C69" s="49">
        <v>-12.70917</v>
      </c>
      <c r="D69" s="49">
        <v>16.205929999999999</v>
      </c>
      <c r="E69" s="49">
        <v>16.643476</v>
      </c>
      <c r="F69" s="49">
        <v>-9.9151319999999998</v>
      </c>
      <c r="G69" s="49">
        <v>-3.8613200000000001</v>
      </c>
      <c r="H69" s="49">
        <v>-10.168063999999999</v>
      </c>
      <c r="I69" s="49">
        <v>5.3318380000000003</v>
      </c>
      <c r="J69" s="49">
        <v>-8.8737910000000007</v>
      </c>
      <c r="K69" s="49">
        <v>-11.596292500000001</v>
      </c>
      <c r="L69" s="49">
        <v>18.588674999999999</v>
      </c>
      <c r="M69" s="49">
        <v>2.4337768999999998</v>
      </c>
      <c r="N69" s="49">
        <v>14.711618</v>
      </c>
      <c r="O69" s="49">
        <v>9.4803449999999998</v>
      </c>
      <c r="P69" s="49">
        <v>1.5855789</v>
      </c>
      <c r="Q69" s="49">
        <v>4.1363835</v>
      </c>
      <c r="R69" s="49">
        <v>-7.1377397</v>
      </c>
      <c r="S69" s="49">
        <v>24.360716</v>
      </c>
      <c r="T69" s="49">
        <v>-6.9127083000000002</v>
      </c>
      <c r="U69" s="49">
        <v>-0.22835135000000001</v>
      </c>
      <c r="V69" s="165">
        <v>2.7741432000000001</v>
      </c>
      <c r="W69" s="33"/>
    </row>
    <row r="70" spans="1:23" x14ac:dyDescent="0.35">
      <c r="A70" s="2">
        <v>43773</v>
      </c>
      <c r="B70" s="49">
        <v>20.603323</v>
      </c>
      <c r="C70" s="49">
        <v>-18.53894</v>
      </c>
      <c r="D70" s="49">
        <v>11.621261000000001</v>
      </c>
      <c r="E70" s="49">
        <v>18.324268</v>
      </c>
      <c r="F70" s="49">
        <v>1.9689441000000001</v>
      </c>
      <c r="G70" s="49">
        <v>3.1016707000000001</v>
      </c>
      <c r="H70" s="49">
        <v>-3.3004224</v>
      </c>
      <c r="I70" s="49">
        <v>21.651436</v>
      </c>
      <c r="J70" s="49">
        <v>4.9682139999999997</v>
      </c>
      <c r="K70" s="49">
        <v>1.1355877000000001</v>
      </c>
      <c r="L70" s="49">
        <v>11.244237999999999</v>
      </c>
      <c r="M70" s="49">
        <v>2.1528839999999998</v>
      </c>
      <c r="N70" s="49">
        <v>36.705337999999998</v>
      </c>
      <c r="O70" s="49">
        <v>13.766598999999999</v>
      </c>
      <c r="P70" s="49">
        <v>9.3576320000000006</v>
      </c>
      <c r="Q70" s="49">
        <v>-1.0314464999999999</v>
      </c>
      <c r="R70" s="49">
        <v>-3.5431385</v>
      </c>
      <c r="S70" s="49">
        <v>3.7246345999999999</v>
      </c>
      <c r="T70" s="49">
        <v>-5.5959104999999996</v>
      </c>
      <c r="U70" s="49">
        <v>10.263432</v>
      </c>
      <c r="V70" s="165">
        <v>-1.2916744</v>
      </c>
      <c r="W70" s="33"/>
    </row>
    <row r="71" spans="1:23" x14ac:dyDescent="0.35">
      <c r="A71" s="2">
        <v>43803</v>
      </c>
      <c r="B71" s="49">
        <v>17.811381999999998</v>
      </c>
      <c r="C71" s="49">
        <v>-26.181602000000002</v>
      </c>
      <c r="D71" s="49">
        <v>1.4142752000000001</v>
      </c>
      <c r="E71" s="49">
        <v>7.6444270000000003</v>
      </c>
      <c r="F71" s="49">
        <v>-11.292982</v>
      </c>
      <c r="G71" s="49">
        <v>-2.3824274999999999</v>
      </c>
      <c r="H71" s="49">
        <v>-5.9762955</v>
      </c>
      <c r="I71" s="49">
        <v>22.8917</v>
      </c>
      <c r="J71" s="49">
        <v>11.196852</v>
      </c>
      <c r="K71" s="49">
        <v>-4.0188430000000004</v>
      </c>
      <c r="L71" s="49">
        <v>14.152217</v>
      </c>
      <c r="M71" s="49">
        <v>-2.8326988000000002</v>
      </c>
      <c r="N71" s="49">
        <v>31.581402000000001</v>
      </c>
      <c r="O71" s="49">
        <v>8.0294369999999997</v>
      </c>
      <c r="P71" s="49">
        <v>5.1964044999999999</v>
      </c>
      <c r="Q71" s="49">
        <v>-2.1244824000000002</v>
      </c>
      <c r="R71" s="49">
        <v>-6.3905240000000001</v>
      </c>
      <c r="S71" s="49">
        <v>10.833347</v>
      </c>
      <c r="T71" s="49">
        <v>-0.52556396000000005</v>
      </c>
      <c r="U71" s="49">
        <v>2.2287726000000001</v>
      </c>
      <c r="V71" s="165">
        <v>4.6423316000000003</v>
      </c>
      <c r="W71" s="33"/>
    </row>
    <row r="72" spans="1:23" x14ac:dyDescent="0.35">
      <c r="A72" s="2">
        <v>43833</v>
      </c>
      <c r="B72" s="49">
        <v>38.723520000000001</v>
      </c>
      <c r="C72" s="49">
        <v>-16.559564999999999</v>
      </c>
      <c r="D72" s="49">
        <v>4.4701456999999998</v>
      </c>
      <c r="E72" s="49">
        <v>4.3842673000000003</v>
      </c>
      <c r="F72" s="49">
        <v>-3.9749682000000002</v>
      </c>
      <c r="G72" s="49">
        <v>6.7211986000000001</v>
      </c>
      <c r="H72" s="49">
        <v>-0.74061750000000004</v>
      </c>
      <c r="I72" s="49">
        <v>38.904285000000002</v>
      </c>
      <c r="J72" s="49">
        <v>13.1875515</v>
      </c>
      <c r="K72" s="49">
        <v>9.5224270000000004</v>
      </c>
      <c r="L72" s="49">
        <v>20.583141000000001</v>
      </c>
      <c r="M72" s="49">
        <v>7.6323986000000001</v>
      </c>
      <c r="N72" s="49">
        <v>50.387264000000002</v>
      </c>
      <c r="O72" s="49">
        <v>9.4905489999999997</v>
      </c>
      <c r="P72" s="49">
        <v>29.42183</v>
      </c>
      <c r="Q72" s="49">
        <v>1.316154</v>
      </c>
      <c r="R72" s="49">
        <v>2.2396921999999999</v>
      </c>
      <c r="S72" s="49">
        <v>20.33745</v>
      </c>
      <c r="T72" s="49">
        <v>-1.0410786000000001</v>
      </c>
      <c r="U72" s="49">
        <v>11.969481999999999</v>
      </c>
      <c r="V72" s="165">
        <v>8.4430329999999998</v>
      </c>
      <c r="W72" s="33"/>
    </row>
    <row r="73" spans="1:23" x14ac:dyDescent="0.35">
      <c r="A73" s="2">
        <v>43865</v>
      </c>
      <c r="B73" s="49">
        <v>15.838884999999999</v>
      </c>
      <c r="C73" s="49">
        <v>-31.41864</v>
      </c>
      <c r="D73" s="49">
        <v>-8.8986634999999996</v>
      </c>
      <c r="E73" s="49">
        <v>-8.584797</v>
      </c>
      <c r="F73" s="49">
        <v>-13.553554</v>
      </c>
      <c r="G73" s="49">
        <v>-5.2957478</v>
      </c>
      <c r="H73" s="49">
        <v>-9.0118829999999992</v>
      </c>
      <c r="I73" s="49">
        <v>22.554016000000001</v>
      </c>
      <c r="J73" s="49">
        <v>7.9192280000000004</v>
      </c>
      <c r="K73" s="49">
        <v>-4.208386</v>
      </c>
      <c r="L73" s="49">
        <v>1.0954261000000001</v>
      </c>
      <c r="M73" s="49">
        <v>-6.7968010000000003</v>
      </c>
      <c r="N73" s="49">
        <v>32.029105999999999</v>
      </c>
      <c r="O73" s="49">
        <v>8.2738639999999997</v>
      </c>
      <c r="P73" s="49">
        <v>8.7599750000000007</v>
      </c>
      <c r="Q73" s="49">
        <v>-4.7633830000000001</v>
      </c>
      <c r="R73" s="49">
        <v>-8.1179439999999996</v>
      </c>
      <c r="S73" s="49">
        <v>4.3579460000000001</v>
      </c>
      <c r="T73" s="49">
        <v>-5.0967989999999999</v>
      </c>
      <c r="U73" s="49">
        <v>-2.961719</v>
      </c>
      <c r="V73" s="165">
        <v>-5.0417303999999996</v>
      </c>
      <c r="W73" s="33"/>
    </row>
    <row r="74" spans="1:23" x14ac:dyDescent="0.35">
      <c r="A74" s="2">
        <v>43894</v>
      </c>
      <c r="B74" s="49">
        <v>8.8972329999999999</v>
      </c>
      <c r="C74" s="49">
        <v>-34.054478000000003</v>
      </c>
      <c r="D74" s="49">
        <v>-10.747671</v>
      </c>
      <c r="E74" s="49">
        <v>-9.2248619999999999</v>
      </c>
      <c r="F74" s="49">
        <v>-19.947344000000001</v>
      </c>
      <c r="G74" s="49">
        <v>-13.531661</v>
      </c>
      <c r="H74" s="49">
        <v>-12.103868</v>
      </c>
      <c r="I74" s="49">
        <v>20.746338000000002</v>
      </c>
      <c r="J74" s="49">
        <v>4.9930810000000001</v>
      </c>
      <c r="K74" s="49">
        <v>-5.9497299999999997</v>
      </c>
      <c r="L74" s="49">
        <v>-5.9392449999999997</v>
      </c>
      <c r="M74" s="49">
        <v>-10.641831</v>
      </c>
      <c r="N74" s="49">
        <v>4.7877789999999996</v>
      </c>
      <c r="O74" s="49">
        <v>-0.42384863</v>
      </c>
      <c r="P74" s="49">
        <v>4.4515609999999999</v>
      </c>
      <c r="Q74" s="49">
        <v>-9.0090090000000007</v>
      </c>
      <c r="R74" s="49">
        <v>-15.696816999999999</v>
      </c>
      <c r="S74" s="49">
        <v>-3.9984643000000002</v>
      </c>
      <c r="T74" s="49">
        <v>-14.268027999999999</v>
      </c>
      <c r="U74" s="49">
        <v>-16.496580000000002</v>
      </c>
      <c r="V74" s="165">
        <v>-13.402647</v>
      </c>
      <c r="W74" s="33"/>
    </row>
    <row r="75" spans="1:23" x14ac:dyDescent="0.35">
      <c r="A75" s="2">
        <v>43924</v>
      </c>
      <c r="B75" s="49">
        <v>-8.3953380000000006</v>
      </c>
      <c r="C75" s="49">
        <v>-48.291077000000001</v>
      </c>
      <c r="D75" s="49">
        <v>-45.564906999999998</v>
      </c>
      <c r="E75" s="49">
        <v>-34.271464999999999</v>
      </c>
      <c r="F75" s="49">
        <v>-43.252163000000003</v>
      </c>
      <c r="G75" s="49">
        <v>-43.186073</v>
      </c>
      <c r="H75" s="49">
        <v>-25.240444</v>
      </c>
      <c r="I75" s="49">
        <v>-4.8639894000000004</v>
      </c>
      <c r="J75" s="49">
        <v>-40.37997</v>
      </c>
      <c r="K75" s="49">
        <v>-26.964950000000002</v>
      </c>
      <c r="L75" s="49">
        <v>-45.62115</v>
      </c>
      <c r="M75" s="49">
        <v>-45.795760000000001</v>
      </c>
      <c r="N75" s="49">
        <v>-35.030630000000002</v>
      </c>
      <c r="O75" s="49">
        <v>-38.107289999999999</v>
      </c>
      <c r="P75" s="49">
        <v>-10.170221</v>
      </c>
      <c r="Q75" s="49">
        <v>-15.022696</v>
      </c>
      <c r="R75" s="49">
        <v>-30.940055999999998</v>
      </c>
      <c r="S75" s="49">
        <v>-20.813638999999998</v>
      </c>
      <c r="T75" s="49">
        <v>-35.989983000000002</v>
      </c>
      <c r="U75" s="49">
        <v>-36.219425000000001</v>
      </c>
      <c r="V75" s="165">
        <v>-23.687671999999999</v>
      </c>
      <c r="W75" s="33"/>
    </row>
    <row r="76" spans="1:23" x14ac:dyDescent="0.35">
      <c r="A76" s="2">
        <v>43955</v>
      </c>
      <c r="B76" s="49">
        <v>-6.1394032999999997</v>
      </c>
      <c r="C76" s="49">
        <v>-40.481316</v>
      </c>
      <c r="D76" s="49">
        <v>-36.075256000000003</v>
      </c>
      <c r="E76" s="49">
        <v>-31.783306</v>
      </c>
      <c r="F76" s="49">
        <v>-34.931660000000001</v>
      </c>
      <c r="G76" s="49">
        <v>-30.596917999999999</v>
      </c>
      <c r="H76" s="49">
        <v>-18.654198000000001</v>
      </c>
      <c r="I76" s="49">
        <v>3.2351969999999999</v>
      </c>
      <c r="J76" s="49">
        <v>-34.388660000000002</v>
      </c>
      <c r="K76" s="49">
        <v>-16.57263</v>
      </c>
      <c r="L76" s="49">
        <v>-40.419846</v>
      </c>
      <c r="M76" s="49">
        <v>-38.613585999999998</v>
      </c>
      <c r="N76" s="49">
        <v>-27.784431000000001</v>
      </c>
      <c r="O76" s="49">
        <v>-24.485308</v>
      </c>
      <c r="P76" s="49">
        <v>-8.9433369999999996</v>
      </c>
      <c r="Q76" s="49">
        <v>-13.771439000000001</v>
      </c>
      <c r="R76" s="49">
        <v>-22.220230000000001</v>
      </c>
      <c r="S76" s="49">
        <v>-11.235982</v>
      </c>
      <c r="T76" s="49">
        <v>-31.886313999999999</v>
      </c>
      <c r="U76" s="49">
        <v>-27.048646999999999</v>
      </c>
      <c r="V76" s="165">
        <v>-30.41919</v>
      </c>
      <c r="W76" s="33"/>
    </row>
    <row r="77" spans="1:23" x14ac:dyDescent="0.35">
      <c r="A77" s="2">
        <v>43986</v>
      </c>
      <c r="B77" s="49">
        <v>12.219763</v>
      </c>
      <c r="C77" s="49">
        <v>-32.463180000000001</v>
      </c>
      <c r="D77" s="49">
        <v>-23.305304</v>
      </c>
      <c r="E77" s="49">
        <v>-18.743991999999999</v>
      </c>
      <c r="F77" s="49">
        <v>-20.373190000000001</v>
      </c>
      <c r="G77" s="49">
        <v>-16.095286999999999</v>
      </c>
      <c r="H77" s="49">
        <v>-6.4048170000000004</v>
      </c>
      <c r="I77" s="49">
        <v>18.998837000000002</v>
      </c>
      <c r="J77" s="49">
        <v>-20.125281999999999</v>
      </c>
      <c r="K77" s="49">
        <v>2.9744864</v>
      </c>
      <c r="L77" s="49">
        <v>-26.763110999999999</v>
      </c>
      <c r="M77" s="49">
        <v>-21.621715999999999</v>
      </c>
      <c r="N77" s="49">
        <v>-23.308681</v>
      </c>
      <c r="O77" s="49">
        <v>-20.541107</v>
      </c>
      <c r="P77" s="49">
        <v>16.068256000000002</v>
      </c>
      <c r="Q77" s="49">
        <v>-7.0029497000000003</v>
      </c>
      <c r="R77" s="49">
        <v>-13.841443999999999</v>
      </c>
      <c r="S77" s="49">
        <v>2.8623462000000002</v>
      </c>
      <c r="T77" s="49">
        <v>-23.924064999999999</v>
      </c>
      <c r="U77" s="49">
        <v>-13.071066</v>
      </c>
      <c r="V77" s="165">
        <v>-14.666468</v>
      </c>
      <c r="W77" s="33"/>
    </row>
    <row r="78" spans="1:23" x14ac:dyDescent="0.35">
      <c r="A78" s="2">
        <v>44014</v>
      </c>
      <c r="B78" s="49">
        <v>15.210140000000001</v>
      </c>
      <c r="C78" s="49">
        <v>-31.033294999999999</v>
      </c>
      <c r="D78" s="49">
        <v>-28.421337000000001</v>
      </c>
      <c r="E78" s="49">
        <v>-20.896523999999999</v>
      </c>
      <c r="F78" s="49">
        <v>-25.864262</v>
      </c>
      <c r="G78" s="49">
        <v>-22.584485999999998</v>
      </c>
      <c r="H78" s="49">
        <v>-10.205596999999999</v>
      </c>
      <c r="I78" s="49">
        <v>19.256008000000001</v>
      </c>
      <c r="J78" s="49">
        <v>-24.502748</v>
      </c>
      <c r="K78" s="49">
        <v>0.77025889999999997</v>
      </c>
      <c r="L78" s="49">
        <v>-30.412500000000001</v>
      </c>
      <c r="M78" s="49">
        <v>-24.894957999999999</v>
      </c>
      <c r="N78" s="49">
        <v>-29.153835000000001</v>
      </c>
      <c r="O78" s="49">
        <v>-14.977789</v>
      </c>
      <c r="P78" s="49">
        <v>14.048088</v>
      </c>
      <c r="Q78" s="49">
        <v>-6.170833</v>
      </c>
      <c r="R78" s="49">
        <v>-21.066314999999999</v>
      </c>
      <c r="S78" s="49">
        <v>-5.5291769999999998</v>
      </c>
      <c r="T78" s="49">
        <v>-21.566313000000001</v>
      </c>
      <c r="U78" s="49">
        <v>-14.618004000000001</v>
      </c>
      <c r="V78" s="165">
        <v>-16.054838</v>
      </c>
      <c r="W78" s="33"/>
    </row>
    <row r="79" spans="1:23" x14ac:dyDescent="0.35">
      <c r="A79" s="2">
        <v>44047</v>
      </c>
      <c r="B79" s="49">
        <v>37.285400000000003</v>
      </c>
      <c r="C79" s="49">
        <v>-26.529157999999999</v>
      </c>
      <c r="D79" s="49">
        <v>-25.355689999999999</v>
      </c>
      <c r="E79" s="49">
        <v>-25.949805999999999</v>
      </c>
      <c r="F79" s="49">
        <v>-14.270246500000001</v>
      </c>
      <c r="G79" s="49">
        <v>-10.649901</v>
      </c>
      <c r="H79" s="49">
        <v>-0.47920942</v>
      </c>
      <c r="I79" s="49">
        <v>35.679839999999999</v>
      </c>
      <c r="J79" s="49">
        <v>-18.641770000000001</v>
      </c>
      <c r="K79" s="49">
        <v>17.355609999999999</v>
      </c>
      <c r="L79" s="49">
        <v>-26.315843999999998</v>
      </c>
      <c r="M79" s="49">
        <v>-16.872161999999999</v>
      </c>
      <c r="N79" s="49">
        <v>-27.346104</v>
      </c>
      <c r="O79" s="49">
        <v>0.23989677000000001</v>
      </c>
      <c r="P79" s="49">
        <v>33.873832999999998</v>
      </c>
      <c r="Q79" s="49">
        <v>6.3526630000000001E-2</v>
      </c>
      <c r="R79" s="49">
        <v>-21.006578000000001</v>
      </c>
      <c r="S79" s="49">
        <v>-14.909494</v>
      </c>
      <c r="T79" s="49">
        <v>-21.365117999999999</v>
      </c>
      <c r="U79" s="49">
        <v>-9.9568250000000003</v>
      </c>
      <c r="V79" s="165">
        <v>-13.645087999999999</v>
      </c>
      <c r="W79" s="33"/>
    </row>
    <row r="80" spans="1:23" x14ac:dyDescent="0.35">
      <c r="A80" s="2">
        <v>44078</v>
      </c>
      <c r="B80" s="49">
        <v>36.347473000000001</v>
      </c>
      <c r="C80" s="49">
        <v>-25.539238000000001</v>
      </c>
      <c r="D80" s="49">
        <v>-21.723831000000001</v>
      </c>
      <c r="E80" s="49">
        <v>-23.692046999999999</v>
      </c>
      <c r="F80" s="49">
        <v>-12.979639000000001</v>
      </c>
      <c r="G80" s="49">
        <v>-6.5122960000000001</v>
      </c>
      <c r="H80" s="49">
        <v>-3.6315917999999998</v>
      </c>
      <c r="I80" s="49">
        <v>28.289079999999998</v>
      </c>
      <c r="J80" s="49">
        <v>-19.679539999999999</v>
      </c>
      <c r="K80" s="49">
        <v>20.018435</v>
      </c>
      <c r="L80" s="49">
        <v>-22.230090000000001</v>
      </c>
      <c r="M80" s="49">
        <v>-15.259558</v>
      </c>
      <c r="N80" s="49">
        <v>-21.789390000000001</v>
      </c>
      <c r="O80" s="49">
        <v>6.2431692999999999</v>
      </c>
      <c r="P80" s="49">
        <v>32.435702999999997</v>
      </c>
      <c r="Q80" s="49">
        <v>2.4410485999999998</v>
      </c>
      <c r="R80" s="49">
        <v>-20.112652000000001</v>
      </c>
      <c r="S80" s="49">
        <v>-19.823193</v>
      </c>
      <c r="T80" s="49">
        <v>-18.673211999999999</v>
      </c>
      <c r="U80" s="49">
        <v>-3.846705</v>
      </c>
      <c r="V80" s="165">
        <v>-3.7194191999999999</v>
      </c>
      <c r="W80" s="33"/>
    </row>
    <row r="81" spans="1:23" x14ac:dyDescent="0.35">
      <c r="A81" s="2">
        <v>44106</v>
      </c>
      <c r="B81" s="49">
        <v>36.096775000000001</v>
      </c>
      <c r="C81" s="49">
        <v>-33.783880000000003</v>
      </c>
      <c r="D81" s="49">
        <v>-26.049596999999999</v>
      </c>
      <c r="E81" s="49">
        <v>-16.617190999999998</v>
      </c>
      <c r="F81" s="49">
        <v>-15.859842</v>
      </c>
      <c r="G81" s="49">
        <v>-10.737932000000001</v>
      </c>
      <c r="H81" s="49">
        <v>-2.0675302000000002</v>
      </c>
      <c r="I81" s="49">
        <v>27.371894999999999</v>
      </c>
      <c r="J81" s="49">
        <v>-19.293087</v>
      </c>
      <c r="K81" s="49">
        <v>21.053146000000002</v>
      </c>
      <c r="L81" s="49">
        <v>-31.597715000000001</v>
      </c>
      <c r="M81" s="49">
        <v>-10.582579000000001</v>
      </c>
      <c r="N81" s="49">
        <v>-23.93037</v>
      </c>
      <c r="O81" s="49">
        <v>4.7915340000000004</v>
      </c>
      <c r="P81" s="49">
        <v>34.389614000000002</v>
      </c>
      <c r="Q81" s="49">
        <v>4.6190860000000002</v>
      </c>
      <c r="R81" s="49">
        <v>-23.307549999999999</v>
      </c>
      <c r="S81" s="49">
        <v>-22.997109999999999</v>
      </c>
      <c r="T81" s="49">
        <v>-17.275500999999998</v>
      </c>
      <c r="U81" s="49">
        <v>-6.3598813999999999</v>
      </c>
      <c r="V81" s="165">
        <v>1.3436317</v>
      </c>
      <c r="W81" s="33"/>
    </row>
    <row r="82" spans="1:23" x14ac:dyDescent="0.35">
      <c r="A82" s="2">
        <v>44139</v>
      </c>
      <c r="B82" s="49">
        <v>37.071120000000001</v>
      </c>
      <c r="C82" s="49">
        <v>-29.136091</v>
      </c>
      <c r="D82" s="49">
        <v>-21.714699</v>
      </c>
      <c r="E82" s="49">
        <v>-16.777609999999999</v>
      </c>
      <c r="F82" s="49">
        <v>-28.936904999999999</v>
      </c>
      <c r="G82" s="49">
        <v>-15.424585</v>
      </c>
      <c r="H82" s="49">
        <v>-6.0047569999999997</v>
      </c>
      <c r="I82" s="49">
        <v>19.963622999999998</v>
      </c>
      <c r="J82" s="49">
        <v>-21.373325000000001</v>
      </c>
      <c r="K82" s="49">
        <v>15.930975</v>
      </c>
      <c r="L82" s="49">
        <v>-35.233870000000003</v>
      </c>
      <c r="M82" s="49">
        <v>-12.682491000000001</v>
      </c>
      <c r="N82" s="49">
        <v>-35.831769999999999</v>
      </c>
      <c r="O82" s="49">
        <v>-9.3758109999999995E-3</v>
      </c>
      <c r="P82" s="49">
        <v>36.672719999999998</v>
      </c>
      <c r="Q82" s="49">
        <v>1.1003137000000001</v>
      </c>
      <c r="R82" s="49">
        <v>-24.645406999999999</v>
      </c>
      <c r="S82" s="49">
        <v>-24.652773</v>
      </c>
      <c r="T82" s="49">
        <v>-17.795753000000001</v>
      </c>
      <c r="U82" s="49">
        <v>-6.6605270000000001</v>
      </c>
      <c r="V82" s="165">
        <v>5.301571</v>
      </c>
      <c r="W82" s="33"/>
    </row>
    <row r="83" spans="1:23" x14ac:dyDescent="0.35">
      <c r="A83" s="2">
        <v>44169</v>
      </c>
      <c r="B83" s="49">
        <v>47.401584999999997</v>
      </c>
      <c r="C83" s="49">
        <v>-5.8085084</v>
      </c>
      <c r="D83" s="49">
        <v>-6.7001580000000001</v>
      </c>
      <c r="E83" s="49">
        <v>-3.9654791</v>
      </c>
      <c r="F83" s="49">
        <v>-4.4014572999999997</v>
      </c>
      <c r="G83" s="49">
        <v>3.3430814999999998</v>
      </c>
      <c r="H83" s="49">
        <v>7.7821730000000002</v>
      </c>
      <c r="I83" s="49">
        <v>34.481273999999999</v>
      </c>
      <c r="J83" s="49">
        <v>1.403141</v>
      </c>
      <c r="K83" s="49">
        <v>47.357259999999997</v>
      </c>
      <c r="L83" s="49">
        <v>-14.864582</v>
      </c>
      <c r="M83" s="49">
        <v>-0.75774790000000003</v>
      </c>
      <c r="N83" s="49">
        <v>-9.5912819999999996</v>
      </c>
      <c r="O83" s="49">
        <v>9.6475720000000003</v>
      </c>
      <c r="P83" s="49">
        <v>37.595190000000002</v>
      </c>
      <c r="Q83" s="49">
        <v>7.9350949999999996</v>
      </c>
      <c r="R83" s="49">
        <v>-7.3857365000000001</v>
      </c>
      <c r="S83" s="49">
        <v>-11.478453999999999</v>
      </c>
      <c r="T83" s="49">
        <v>-8.9653910000000003</v>
      </c>
      <c r="U83" s="49">
        <v>3.9303303000000001</v>
      </c>
      <c r="V83" s="165">
        <v>9.4984289999999998</v>
      </c>
      <c r="W83" s="33"/>
    </row>
    <row r="84" spans="1:23" x14ac:dyDescent="0.35">
      <c r="A84" s="2">
        <v>44200</v>
      </c>
      <c r="B84" s="49">
        <v>43.853462</v>
      </c>
      <c r="C84" s="49">
        <v>-6.5662979999999997</v>
      </c>
      <c r="D84" s="49">
        <v>-5.2158116999999997</v>
      </c>
      <c r="E84" s="49">
        <v>-2.5999367000000002</v>
      </c>
      <c r="F84" s="49">
        <v>-7.4419316999999996</v>
      </c>
      <c r="G84" s="49">
        <v>-2.8609990000000001</v>
      </c>
      <c r="H84" s="49">
        <v>1.5200615</v>
      </c>
      <c r="I84" s="49">
        <v>33.463585000000002</v>
      </c>
      <c r="J84" s="49">
        <v>-4.1813190000000002</v>
      </c>
      <c r="K84" s="49">
        <v>46.124220000000001</v>
      </c>
      <c r="L84" s="49">
        <v>-22.286266000000001</v>
      </c>
      <c r="M84" s="49">
        <v>-2.9783487000000002</v>
      </c>
      <c r="N84" s="49">
        <v>-12.249147000000001</v>
      </c>
      <c r="O84" s="49">
        <v>15.643537500000001</v>
      </c>
      <c r="P84" s="49">
        <v>26.434422000000001</v>
      </c>
      <c r="Q84" s="49">
        <v>6.7782879999999999</v>
      </c>
      <c r="R84" s="49">
        <v>-7.9456034000000004</v>
      </c>
      <c r="S84" s="49">
        <v>0.96530914000000001</v>
      </c>
      <c r="T84" s="49">
        <v>-5.5025696999999996</v>
      </c>
      <c r="U84" s="49">
        <v>9.5276239999999994</v>
      </c>
      <c r="V84" s="165">
        <v>3.9059876999999998</v>
      </c>
      <c r="W84" s="33"/>
    </row>
    <row r="85" spans="1:23" x14ac:dyDescent="0.35">
      <c r="A85" s="2">
        <v>44231</v>
      </c>
      <c r="B85" s="49">
        <v>60.793888000000003</v>
      </c>
      <c r="C85" s="49">
        <v>-1.3544083</v>
      </c>
      <c r="D85" s="49">
        <v>-1.9126415000000001</v>
      </c>
      <c r="E85" s="49">
        <v>-1.0201275000000001</v>
      </c>
      <c r="F85" s="49">
        <v>-6.5550623000000003</v>
      </c>
      <c r="G85" s="49">
        <v>2.7094602999999999</v>
      </c>
      <c r="H85" s="49">
        <v>4.0118099999999997</v>
      </c>
      <c r="I85" s="49">
        <v>48.369872999999998</v>
      </c>
      <c r="J85" s="49">
        <v>-10.77097</v>
      </c>
      <c r="K85" s="49">
        <v>53.253258000000002</v>
      </c>
      <c r="L85" s="49">
        <v>-19.089407000000001</v>
      </c>
      <c r="M85" s="49">
        <v>6.3758610000000004</v>
      </c>
      <c r="N85" s="49">
        <v>-15.207356000000001</v>
      </c>
      <c r="O85" s="49">
        <v>21.476364</v>
      </c>
      <c r="P85" s="49">
        <v>46.70814</v>
      </c>
      <c r="Q85" s="49">
        <v>6.6415905999999998</v>
      </c>
      <c r="R85" s="49">
        <v>-2.3957133000000002</v>
      </c>
      <c r="S85" s="49">
        <v>2.42517</v>
      </c>
      <c r="T85" s="49">
        <v>7.5255394000000004</v>
      </c>
      <c r="U85" s="49">
        <v>18.703603999999999</v>
      </c>
      <c r="V85" s="165">
        <v>6.5715193999999997</v>
      </c>
      <c r="W85" s="33"/>
    </row>
    <row r="86" spans="1:23" x14ac:dyDescent="0.35">
      <c r="A86" s="2">
        <v>44259</v>
      </c>
      <c r="B86" s="49">
        <v>37.626530000000002</v>
      </c>
      <c r="C86" s="49">
        <v>14.734030000000001</v>
      </c>
      <c r="D86" s="49">
        <v>2.3285627</v>
      </c>
      <c r="E86" s="49">
        <v>2.4686694</v>
      </c>
      <c r="F86" s="49">
        <v>3.9003133999999999</v>
      </c>
      <c r="G86" s="49">
        <v>14.725852</v>
      </c>
      <c r="H86" s="49">
        <v>7.6788069999999999</v>
      </c>
      <c r="I86" s="49">
        <v>49.119937999999998</v>
      </c>
      <c r="J86" s="49">
        <v>-3.520769</v>
      </c>
      <c r="K86" s="49">
        <v>53.227339999999998</v>
      </c>
      <c r="L86" s="49">
        <v>-15.006227000000001</v>
      </c>
      <c r="M86" s="49">
        <v>19.392513000000001</v>
      </c>
      <c r="N86" s="49">
        <v>8.5286500000000007</v>
      </c>
      <c r="O86" s="49">
        <v>32.914555</v>
      </c>
      <c r="P86" s="49">
        <v>34.816859999999998</v>
      </c>
      <c r="Q86" s="49">
        <v>14.95961</v>
      </c>
      <c r="R86" s="49">
        <v>11.279476000000001</v>
      </c>
      <c r="S86" s="49">
        <v>8.8211650000000006</v>
      </c>
      <c r="T86" s="49">
        <v>14.536476</v>
      </c>
      <c r="U86" s="49">
        <v>24.765718</v>
      </c>
      <c r="V86" s="165">
        <v>24.336290000000002</v>
      </c>
      <c r="W86" s="33"/>
    </row>
    <row r="87" spans="1:23" x14ac:dyDescent="0.35">
      <c r="A87" s="2">
        <v>44287</v>
      </c>
      <c r="B87" s="49">
        <v>57.189582999999999</v>
      </c>
      <c r="C87" s="49">
        <v>66.908010000000004</v>
      </c>
      <c r="D87" s="49">
        <v>63.702454000000003</v>
      </c>
      <c r="E87" s="49">
        <v>32.758235999999997</v>
      </c>
      <c r="F87" s="49">
        <v>42.438409999999998</v>
      </c>
      <c r="G87" s="49">
        <v>58.76943</v>
      </c>
      <c r="H87" s="49">
        <v>25.994289999999999</v>
      </c>
      <c r="I87" s="49">
        <v>90.910300000000007</v>
      </c>
      <c r="J87" s="49">
        <v>69.636830000000003</v>
      </c>
      <c r="K87" s="49">
        <v>109.18433</v>
      </c>
      <c r="L87" s="49">
        <v>47.392690000000002</v>
      </c>
      <c r="M87" s="49">
        <v>95.626490000000004</v>
      </c>
      <c r="N87" s="49">
        <v>76.783289999999994</v>
      </c>
      <c r="O87" s="49">
        <v>90.458595000000003</v>
      </c>
      <c r="P87" s="49">
        <v>51.909004000000003</v>
      </c>
      <c r="Q87" s="49">
        <v>34.924779999999998</v>
      </c>
      <c r="R87" s="49">
        <v>40.236496000000002</v>
      </c>
      <c r="S87" s="49">
        <v>33.510494000000001</v>
      </c>
      <c r="T87" s="49">
        <v>57.449924000000003</v>
      </c>
      <c r="U87" s="49">
        <v>80.320930000000004</v>
      </c>
      <c r="V87" s="165">
        <v>54.139539999999997</v>
      </c>
      <c r="W87" s="33"/>
    </row>
    <row r="88" spans="1:23" x14ac:dyDescent="0.35">
      <c r="A88" s="2">
        <v>44320</v>
      </c>
      <c r="B88" s="49">
        <v>53.037323000000001</v>
      </c>
      <c r="C88" s="49">
        <v>37.719893999999996</v>
      </c>
      <c r="D88" s="49">
        <v>36.125827999999998</v>
      </c>
      <c r="E88" s="49">
        <v>22.036325000000001</v>
      </c>
      <c r="F88" s="49">
        <v>35.430300000000003</v>
      </c>
      <c r="G88" s="49">
        <v>26.920425000000002</v>
      </c>
      <c r="H88" s="49">
        <v>19.388532999999999</v>
      </c>
      <c r="I88" s="49">
        <v>72.049970000000002</v>
      </c>
      <c r="J88" s="49">
        <v>58.834778</v>
      </c>
      <c r="K88" s="49">
        <v>81.482950000000002</v>
      </c>
      <c r="L88" s="49">
        <v>50.410651999999999</v>
      </c>
      <c r="M88" s="49">
        <v>66.380619999999993</v>
      </c>
      <c r="N88" s="49">
        <v>60.595047000000001</v>
      </c>
      <c r="O88" s="49">
        <v>54.565548</v>
      </c>
      <c r="P88" s="49">
        <v>41.13053</v>
      </c>
      <c r="Q88" s="49">
        <v>27.410746</v>
      </c>
      <c r="R88" s="49">
        <v>21.623919999999998</v>
      </c>
      <c r="S88" s="49">
        <v>20.613838000000001</v>
      </c>
      <c r="T88" s="49">
        <v>42.99953</v>
      </c>
      <c r="U88" s="49">
        <v>57.08878</v>
      </c>
      <c r="V88" s="165">
        <v>57.769584999999999</v>
      </c>
      <c r="W88" s="33"/>
    </row>
    <row r="89" spans="1:23" x14ac:dyDescent="0.35">
      <c r="A89" s="2">
        <v>44351</v>
      </c>
      <c r="B89" s="49">
        <v>53.357100000000003</v>
      </c>
      <c r="C89" s="49">
        <v>13.159216000000001</v>
      </c>
      <c r="D89" s="49">
        <v>20.414114000000001</v>
      </c>
      <c r="E89" s="49">
        <v>12.063492</v>
      </c>
      <c r="F89" s="49">
        <v>33.884501999999998</v>
      </c>
      <c r="G89" s="49">
        <v>22.733996999999999</v>
      </c>
      <c r="H89" s="49">
        <v>3.9850829999999999</v>
      </c>
      <c r="I89" s="49">
        <v>67.890529999999998</v>
      </c>
      <c r="J89" s="49">
        <v>46.021523000000002</v>
      </c>
      <c r="K89" s="49">
        <v>64.480119999999999</v>
      </c>
      <c r="L89" s="49">
        <v>40.111767</v>
      </c>
      <c r="M89" s="49">
        <v>57.758699999999997</v>
      </c>
      <c r="N89" s="49">
        <v>47.800148</v>
      </c>
      <c r="O89" s="49">
        <v>59.565460000000002</v>
      </c>
      <c r="P89" s="49">
        <v>31.498885999999999</v>
      </c>
      <c r="Q89" s="49">
        <v>20.935928000000001</v>
      </c>
      <c r="R89" s="49">
        <v>14.211093999999999</v>
      </c>
      <c r="S89" s="49">
        <v>2.0728588000000001</v>
      </c>
      <c r="T89" s="49">
        <v>47.569572000000001</v>
      </c>
      <c r="U89" s="49">
        <v>44.280697000000004</v>
      </c>
      <c r="V89" s="165">
        <v>48.023926000000003</v>
      </c>
      <c r="W89" s="33"/>
    </row>
    <row r="90" spans="1:23" x14ac:dyDescent="0.35">
      <c r="A90" s="2">
        <v>44379</v>
      </c>
      <c r="B90" s="49">
        <v>31.936299999999999</v>
      </c>
      <c r="C90" s="49">
        <v>8.1836815000000005</v>
      </c>
      <c r="D90" s="49">
        <v>13.658486999999999</v>
      </c>
      <c r="E90" s="49">
        <v>11.920845</v>
      </c>
      <c r="F90" s="49">
        <v>30.098320000000001</v>
      </c>
      <c r="G90" s="49">
        <v>4.2500495999999996</v>
      </c>
      <c r="H90" s="49">
        <v>0.70040226000000005</v>
      </c>
      <c r="I90" s="49">
        <v>58.068300000000001</v>
      </c>
      <c r="J90" s="49">
        <v>50.906585999999997</v>
      </c>
      <c r="K90" s="49">
        <v>60.507846999999998</v>
      </c>
      <c r="L90" s="49">
        <v>39.845024000000002</v>
      </c>
      <c r="M90" s="49">
        <v>40.683129999999998</v>
      </c>
      <c r="N90" s="49">
        <v>43.180622</v>
      </c>
      <c r="O90" s="49">
        <v>46.419131999999998</v>
      </c>
      <c r="P90" s="49">
        <v>19.234418999999999</v>
      </c>
      <c r="Q90" s="49">
        <v>18.851756999999999</v>
      </c>
      <c r="R90" s="49">
        <v>14.871955</v>
      </c>
      <c r="S90" s="49">
        <v>-5.6723236999999997</v>
      </c>
      <c r="T90" s="49">
        <v>46.338154000000003</v>
      </c>
      <c r="U90" s="49">
        <v>51.786434</v>
      </c>
      <c r="V90" s="165">
        <v>50.272644</v>
      </c>
      <c r="W90" s="33"/>
    </row>
    <row r="91" spans="1:23" x14ac:dyDescent="0.35">
      <c r="A91" s="2">
        <v>44412</v>
      </c>
      <c r="B91" s="49">
        <v>17.011143000000001</v>
      </c>
      <c r="C91" s="49">
        <v>1.5409946000000001</v>
      </c>
      <c r="D91" s="49">
        <v>10.989343999999999</v>
      </c>
      <c r="E91" s="49">
        <v>13.287067</v>
      </c>
      <c r="F91" s="49">
        <v>22.195805</v>
      </c>
      <c r="G91" s="49">
        <v>-11.495274999999999</v>
      </c>
      <c r="H91" s="49">
        <v>-7.2029949999999996</v>
      </c>
      <c r="I91" s="49">
        <v>46.763134000000001</v>
      </c>
      <c r="J91" s="49">
        <v>54.827117999999999</v>
      </c>
      <c r="K91" s="49">
        <v>49.007572000000003</v>
      </c>
      <c r="L91" s="49">
        <v>22.207916000000001</v>
      </c>
      <c r="M91" s="49">
        <v>38.715946000000002</v>
      </c>
      <c r="N91" s="49">
        <v>41.043723999999997</v>
      </c>
      <c r="O91" s="49">
        <v>41.259148000000003</v>
      </c>
      <c r="P91" s="49">
        <v>-1.2094319</v>
      </c>
      <c r="Q91" s="49">
        <v>15.147102</v>
      </c>
      <c r="R91" s="49">
        <v>16.159320000000001</v>
      </c>
      <c r="S91" s="49">
        <v>7.3975444000000001</v>
      </c>
      <c r="T91" s="49">
        <v>40.569603000000001</v>
      </c>
      <c r="U91" s="49">
        <v>38.806130000000003</v>
      </c>
      <c r="V91" s="165">
        <v>51.914287999999999</v>
      </c>
      <c r="W91" s="33"/>
    </row>
    <row r="92" spans="1:23" x14ac:dyDescent="0.35">
      <c r="A92" s="2">
        <v>44442</v>
      </c>
      <c r="B92" s="49">
        <v>13.240933</v>
      </c>
      <c r="C92" s="49">
        <v>13.900494999999999</v>
      </c>
      <c r="D92" s="49">
        <v>13.196075</v>
      </c>
      <c r="E92" s="49">
        <v>20.431540999999999</v>
      </c>
      <c r="F92" s="49">
        <v>35.799812000000003</v>
      </c>
      <c r="G92" s="49">
        <v>-13.022368999999999</v>
      </c>
      <c r="H92" s="49">
        <v>4.895365</v>
      </c>
      <c r="I92" s="49">
        <v>51.368583999999998</v>
      </c>
      <c r="J92" s="49">
        <v>55.986606999999999</v>
      </c>
      <c r="K92" s="49">
        <v>39.620007000000001</v>
      </c>
      <c r="L92" s="49">
        <v>17.930686999999999</v>
      </c>
      <c r="M92" s="49">
        <v>41.123497</v>
      </c>
      <c r="N92" s="49">
        <v>45.498646000000001</v>
      </c>
      <c r="O92" s="49">
        <v>48.174903999999998</v>
      </c>
      <c r="P92" s="49">
        <v>-3.0369937</v>
      </c>
      <c r="Q92" s="49">
        <v>15.424526</v>
      </c>
      <c r="R92" s="49">
        <v>25.792145000000001</v>
      </c>
      <c r="S92" s="49">
        <v>25.558067000000001</v>
      </c>
      <c r="T92" s="49">
        <v>41.684139999999999</v>
      </c>
      <c r="U92" s="49">
        <v>36.500785999999998</v>
      </c>
      <c r="V92" s="165">
        <v>47.290289999999999</v>
      </c>
      <c r="W92" s="33"/>
    </row>
    <row r="93" spans="1:23" x14ac:dyDescent="0.35">
      <c r="A93" s="2">
        <v>44473</v>
      </c>
      <c r="B93" s="49">
        <v>14.512992000000001</v>
      </c>
      <c r="C93" s="49">
        <v>9.4536669999999994</v>
      </c>
      <c r="D93" s="49">
        <v>30.149830000000001</v>
      </c>
      <c r="E93" s="49">
        <v>11.932409</v>
      </c>
      <c r="F93" s="49">
        <v>38.596820000000001</v>
      </c>
      <c r="G93" s="49">
        <v>-9.1628969999999992</v>
      </c>
      <c r="H93" s="49">
        <v>-0.98252295999999995</v>
      </c>
      <c r="I93" s="49">
        <v>36.632919999999999</v>
      </c>
      <c r="J93" s="49">
        <v>47.446133000000003</v>
      </c>
      <c r="K93" s="49">
        <v>22.679625999999999</v>
      </c>
      <c r="L93" s="49">
        <v>20.724761999999998</v>
      </c>
      <c r="M93" s="49">
        <v>31.133687999999999</v>
      </c>
      <c r="N93" s="49">
        <v>40.320160000000001</v>
      </c>
      <c r="O93" s="49">
        <v>43.765810000000002</v>
      </c>
      <c r="P93" s="49">
        <v>-10.6686535</v>
      </c>
      <c r="Q93" s="49">
        <v>17.390059999999998</v>
      </c>
      <c r="R93" s="49">
        <v>30.458808999999999</v>
      </c>
      <c r="S93" s="49">
        <v>11.366928</v>
      </c>
      <c r="T93" s="49">
        <v>45.005000000000003</v>
      </c>
      <c r="U93" s="49">
        <v>29.154491</v>
      </c>
      <c r="V93" s="165">
        <v>44.402059999999999</v>
      </c>
      <c r="W93" s="33"/>
    </row>
    <row r="94" spans="1:23" x14ac:dyDescent="0.35">
      <c r="A94" s="2">
        <v>44504</v>
      </c>
      <c r="B94" s="49">
        <v>9.2772249999999996</v>
      </c>
      <c r="C94" s="49">
        <v>13.066077</v>
      </c>
      <c r="D94" s="49">
        <v>22.088277999999999</v>
      </c>
      <c r="E94" s="49">
        <v>8.468318</v>
      </c>
      <c r="F94" s="49">
        <v>53.606605999999999</v>
      </c>
      <c r="G94" s="49">
        <v>-0.38674473999999998</v>
      </c>
      <c r="H94" s="49">
        <v>1.5646696</v>
      </c>
      <c r="I94" s="49">
        <v>38.330640000000002</v>
      </c>
      <c r="J94" s="49">
        <v>43.011949999999999</v>
      </c>
      <c r="K94" s="49">
        <v>16.516245000000001</v>
      </c>
      <c r="L94" s="49">
        <v>5.4764270000000002</v>
      </c>
      <c r="M94" s="49">
        <v>27.161158</v>
      </c>
      <c r="N94" s="49">
        <v>53.384853</v>
      </c>
      <c r="O94" s="49">
        <v>42.699897999999997</v>
      </c>
      <c r="P94" s="49">
        <v>-14.723663999999999</v>
      </c>
      <c r="Q94" s="49">
        <v>23.846388000000001</v>
      </c>
      <c r="R94" s="49">
        <v>33.034750000000003</v>
      </c>
      <c r="S94" s="49">
        <v>22.751545</v>
      </c>
      <c r="T94" s="49">
        <v>51.179110000000001</v>
      </c>
      <c r="U94" s="49">
        <v>31.203222</v>
      </c>
      <c r="V94" s="165">
        <v>48.207507999999997</v>
      </c>
      <c r="W94" s="33"/>
    </row>
    <row r="95" spans="1:23" x14ac:dyDescent="0.35">
      <c r="A95" s="2">
        <v>44533</v>
      </c>
      <c r="B95" s="49">
        <v>7.3354600000000003</v>
      </c>
      <c r="C95" s="49">
        <v>-10.102086999999999</v>
      </c>
      <c r="D95" s="49">
        <v>2.9893637000000002</v>
      </c>
      <c r="E95" s="49">
        <v>-3.5096169000000002</v>
      </c>
      <c r="F95" s="49">
        <v>13.350163999999999</v>
      </c>
      <c r="G95" s="49">
        <v>-17.750067000000001</v>
      </c>
      <c r="H95" s="49">
        <v>-11.611568</v>
      </c>
      <c r="I95" s="49">
        <v>30.907976000000001</v>
      </c>
      <c r="J95" s="49">
        <v>10.728382999999999</v>
      </c>
      <c r="K95" s="49">
        <v>-1.8082499999999999</v>
      </c>
      <c r="L95" s="49">
        <v>-14.13508</v>
      </c>
      <c r="M95" s="49">
        <v>10.46027</v>
      </c>
      <c r="N95" s="49">
        <v>8.0189229999999991</v>
      </c>
      <c r="O95" s="49">
        <v>26.926804000000001</v>
      </c>
      <c r="P95" s="49">
        <v>-21.049606000000001</v>
      </c>
      <c r="Q95" s="49">
        <v>13.114034999999999</v>
      </c>
      <c r="R95" s="49">
        <v>10.419798</v>
      </c>
      <c r="S95" s="49">
        <v>-16.896975000000001</v>
      </c>
      <c r="T95" s="49">
        <v>44.391452999999998</v>
      </c>
      <c r="U95" s="49">
        <v>24.496185000000001</v>
      </c>
      <c r="V95" s="165">
        <v>29.588366000000001</v>
      </c>
      <c r="W95" s="33"/>
    </row>
    <row r="96" spans="1:23" x14ac:dyDescent="0.35">
      <c r="A96" s="2">
        <v>44565</v>
      </c>
      <c r="B96" s="49">
        <v>-0.14343262000000001</v>
      </c>
      <c r="C96" s="49">
        <v>-21.898257999999998</v>
      </c>
      <c r="D96" s="49">
        <v>-1.1632681</v>
      </c>
      <c r="E96" s="49">
        <v>-3.3901691</v>
      </c>
      <c r="F96" s="49">
        <v>12.666702000000001</v>
      </c>
      <c r="G96" s="49">
        <v>-9.9976059999999993</v>
      </c>
      <c r="H96" s="49">
        <v>-7.0726212999999998</v>
      </c>
      <c r="I96" s="49">
        <v>29.482507999999999</v>
      </c>
      <c r="J96" s="49">
        <v>19.218838000000002</v>
      </c>
      <c r="K96" s="49">
        <v>-10.143566</v>
      </c>
      <c r="L96" s="49">
        <v>-18.624168000000001</v>
      </c>
      <c r="M96" s="49">
        <v>8.4455010000000001</v>
      </c>
      <c r="N96" s="49">
        <v>5.9596179999999999</v>
      </c>
      <c r="O96" s="49">
        <v>23.681592999999999</v>
      </c>
      <c r="P96" s="49">
        <v>-23.459344999999999</v>
      </c>
      <c r="Q96" s="49">
        <v>11.869204</v>
      </c>
      <c r="R96" s="49">
        <v>13.760698</v>
      </c>
      <c r="S96" s="49">
        <v>-24.050384999999999</v>
      </c>
      <c r="T96" s="49">
        <v>42.840755000000001</v>
      </c>
      <c r="U96" s="49">
        <v>23.292052999999999</v>
      </c>
      <c r="V96" s="165">
        <v>35.187469999999998</v>
      </c>
      <c r="W96" s="33"/>
    </row>
    <row r="97" spans="1:23" x14ac:dyDescent="0.35">
      <c r="A97" s="2">
        <v>44596</v>
      </c>
      <c r="B97" s="49">
        <v>-10.497051000000001</v>
      </c>
      <c r="C97" s="49">
        <v>-15.684396</v>
      </c>
      <c r="D97" s="49">
        <v>-0.5006254</v>
      </c>
      <c r="E97" s="49">
        <v>3.9299965000000001</v>
      </c>
      <c r="F97" s="49">
        <v>12.356626500000001</v>
      </c>
      <c r="G97" s="49">
        <v>-7.7173829999999999</v>
      </c>
      <c r="H97" s="49">
        <v>-5.6964516999999999</v>
      </c>
      <c r="I97" s="49">
        <v>14.529180999999999</v>
      </c>
      <c r="J97" s="49">
        <v>18.856503</v>
      </c>
      <c r="K97" s="49">
        <v>-18.912458000000001</v>
      </c>
      <c r="L97" s="49">
        <v>-2.4527907</v>
      </c>
      <c r="M97" s="49">
        <v>10.29402</v>
      </c>
      <c r="N97" s="49">
        <v>25.786448</v>
      </c>
      <c r="O97" s="49">
        <v>14.603972000000001</v>
      </c>
      <c r="P97" s="49">
        <v>-31.395614999999999</v>
      </c>
      <c r="Q97" s="49">
        <v>24.766970000000001</v>
      </c>
      <c r="R97" s="49">
        <v>12.895656000000001</v>
      </c>
      <c r="S97" s="49">
        <v>-31.570613999999999</v>
      </c>
      <c r="T97" s="49">
        <v>31.384218000000001</v>
      </c>
      <c r="U97" s="49">
        <v>11.029112</v>
      </c>
      <c r="V97" s="165">
        <v>46.558475000000001</v>
      </c>
      <c r="W97" s="33"/>
    </row>
    <row r="98" spans="1:23" x14ac:dyDescent="0.35">
      <c r="A98" s="2">
        <v>44624</v>
      </c>
      <c r="B98" s="49">
        <v>-6.1106324000000001</v>
      </c>
      <c r="C98" s="49">
        <v>-12.078457999999999</v>
      </c>
      <c r="D98" s="49">
        <v>7.0380209999999996</v>
      </c>
      <c r="E98" s="49">
        <v>6.4316272999999997</v>
      </c>
      <c r="F98" s="49">
        <v>-12.049215999999999</v>
      </c>
      <c r="G98" s="49">
        <v>2.2217392999999999</v>
      </c>
      <c r="H98" s="49">
        <v>0.11276007</v>
      </c>
      <c r="I98" s="49">
        <v>11.751032</v>
      </c>
      <c r="J98" s="49">
        <v>20.275831</v>
      </c>
      <c r="K98" s="49">
        <v>-18.337446</v>
      </c>
      <c r="L98" s="49">
        <v>15.906942000000001</v>
      </c>
      <c r="M98" s="49">
        <v>12.407291000000001</v>
      </c>
      <c r="N98" s="49">
        <v>-1.9970298</v>
      </c>
      <c r="O98" s="49">
        <v>4.4095279999999999</v>
      </c>
      <c r="P98" s="49">
        <v>-33.958919999999999</v>
      </c>
      <c r="Q98" s="49">
        <v>37.514732000000002</v>
      </c>
      <c r="R98" s="49">
        <v>8.9700220000000002</v>
      </c>
      <c r="S98" s="49">
        <v>-29.705465</v>
      </c>
      <c r="T98" s="49">
        <v>47.548996000000002</v>
      </c>
      <c r="U98" s="49">
        <v>13.634396000000001</v>
      </c>
      <c r="V98" s="165">
        <v>43.11477</v>
      </c>
      <c r="W98" s="33"/>
    </row>
    <row r="99" spans="1:23" x14ac:dyDescent="0.35">
      <c r="A99" s="2">
        <v>44655</v>
      </c>
      <c r="B99" s="49">
        <v>-8.6438769999999998</v>
      </c>
      <c r="C99" s="49">
        <v>-8.7383629999999997</v>
      </c>
      <c r="D99" s="49">
        <v>15.718292999999999</v>
      </c>
      <c r="E99" s="49">
        <v>9.0042349999999995</v>
      </c>
      <c r="F99" s="49">
        <v>5.167961</v>
      </c>
      <c r="G99" s="49">
        <v>12.387598000000001</v>
      </c>
      <c r="H99" s="49">
        <v>1.3383746000000001</v>
      </c>
      <c r="I99" s="49">
        <v>6.3649297000000002</v>
      </c>
      <c r="J99" s="49">
        <v>26.290534999999998</v>
      </c>
      <c r="K99" s="49">
        <v>-18.867075</v>
      </c>
      <c r="L99" s="49">
        <v>32.356822999999999</v>
      </c>
      <c r="M99" s="49">
        <v>13.818991</v>
      </c>
      <c r="N99" s="49">
        <v>2.9818177000000001</v>
      </c>
      <c r="O99" s="49">
        <v>16.810465000000001</v>
      </c>
      <c r="P99" s="49">
        <v>-31.219678999999999</v>
      </c>
      <c r="Q99" s="49">
        <v>31.163895</v>
      </c>
      <c r="R99" s="49">
        <v>6.6818236999999998</v>
      </c>
      <c r="S99" s="49">
        <v>-5.7437715999999996</v>
      </c>
      <c r="T99" s="49">
        <v>50.89141</v>
      </c>
      <c r="U99" s="49">
        <v>5.3765179999999999</v>
      </c>
      <c r="V99" s="165">
        <v>36.159633999999997</v>
      </c>
      <c r="W99" s="33"/>
    </row>
    <row r="100" spans="1:23" x14ac:dyDescent="0.35">
      <c r="A100" s="2">
        <v>44685</v>
      </c>
      <c r="B100" s="49">
        <v>-18.971539</v>
      </c>
      <c r="C100" s="49">
        <v>-15.471916999999999</v>
      </c>
      <c r="D100" s="49">
        <v>20.981110000000001</v>
      </c>
      <c r="E100" s="49">
        <v>1.6789794</v>
      </c>
      <c r="F100" s="49">
        <v>-16.345524000000001</v>
      </c>
      <c r="G100" s="49">
        <v>4.898441</v>
      </c>
      <c r="H100" s="49">
        <v>-2.4061859000000001</v>
      </c>
      <c r="I100" s="49">
        <v>-4.9265385000000004</v>
      </c>
      <c r="J100" s="49">
        <v>12.604010000000001</v>
      </c>
      <c r="K100" s="49">
        <v>-22.824175</v>
      </c>
      <c r="L100" s="49">
        <v>2.6409625999999999</v>
      </c>
      <c r="M100" s="49">
        <v>1.7755628000000001</v>
      </c>
      <c r="N100" s="49">
        <v>-2.3554862000000001</v>
      </c>
      <c r="O100" s="49">
        <v>14.117742</v>
      </c>
      <c r="P100" s="49">
        <v>-35.554676000000001</v>
      </c>
      <c r="Q100" s="49">
        <v>26.315653000000001</v>
      </c>
      <c r="R100" s="49">
        <v>4.3685675000000002</v>
      </c>
      <c r="S100" s="49">
        <v>-0.82589984000000005</v>
      </c>
      <c r="T100" s="49">
        <v>45.166409999999999</v>
      </c>
      <c r="U100" s="49">
        <v>-8.3624659999999995</v>
      </c>
      <c r="V100" s="165">
        <v>36.322628000000002</v>
      </c>
      <c r="W100" s="33"/>
    </row>
    <row r="101" spans="1:23" x14ac:dyDescent="0.35">
      <c r="A101" s="2">
        <v>44715</v>
      </c>
      <c r="B101" s="49">
        <v>-20.827902000000002</v>
      </c>
      <c r="C101" s="49">
        <v>10.922551</v>
      </c>
      <c r="D101" s="49">
        <v>11.228967000000001</v>
      </c>
      <c r="E101" s="49">
        <v>-8.8232219999999995</v>
      </c>
      <c r="F101" s="49">
        <v>-27.2376</v>
      </c>
      <c r="G101" s="49">
        <v>-2.5094986000000001</v>
      </c>
      <c r="H101" s="49">
        <v>-8.5581300000000002</v>
      </c>
      <c r="I101" s="49">
        <v>-8.5646450000000005</v>
      </c>
      <c r="J101" s="49">
        <v>8.9076160000000009</v>
      </c>
      <c r="K101" s="49">
        <v>-26.162994000000001</v>
      </c>
      <c r="L101" s="49">
        <v>-5.7321730000000004</v>
      </c>
      <c r="M101" s="49">
        <v>-9.5722620000000003</v>
      </c>
      <c r="N101" s="49">
        <v>-4.8117757000000001</v>
      </c>
      <c r="O101" s="49">
        <v>-1.9352019</v>
      </c>
      <c r="P101" s="49">
        <v>-36.094814</v>
      </c>
      <c r="Q101" s="49">
        <v>20.333407999999999</v>
      </c>
      <c r="R101" s="49">
        <v>1.8620730000000001</v>
      </c>
      <c r="S101" s="49">
        <v>-1.0930359000000001</v>
      </c>
      <c r="T101" s="49">
        <v>21.871662000000001</v>
      </c>
      <c r="U101" s="49">
        <v>-20.074814</v>
      </c>
      <c r="V101" s="165">
        <v>18.447648999999998</v>
      </c>
      <c r="W101" s="33"/>
    </row>
    <row r="102" spans="1:23" x14ac:dyDescent="0.35">
      <c r="A102" s="2">
        <v>44743</v>
      </c>
      <c r="B102" s="49">
        <v>-12.8353</v>
      </c>
      <c r="C102" s="49">
        <v>-10.536236000000001</v>
      </c>
      <c r="D102" s="49">
        <v>11.132346999999999</v>
      </c>
      <c r="E102" s="49">
        <v>-16.482365000000001</v>
      </c>
      <c r="F102" s="49">
        <v>-32.097189999999998</v>
      </c>
      <c r="G102" s="49">
        <v>-5.4119289999999998</v>
      </c>
      <c r="H102" s="49">
        <v>-8.8006379999999993</v>
      </c>
      <c r="I102" s="49">
        <v>-21.016186000000001</v>
      </c>
      <c r="J102" s="49">
        <v>-0.26921033999999999</v>
      </c>
      <c r="K102" s="49">
        <v>-36.679535000000001</v>
      </c>
      <c r="L102" s="49">
        <v>-23.117811</v>
      </c>
      <c r="M102" s="49">
        <v>-10.001939999999999</v>
      </c>
      <c r="N102" s="49">
        <v>-15.121299</v>
      </c>
      <c r="O102" s="49">
        <v>-4.6787080000000003</v>
      </c>
      <c r="P102" s="49">
        <v>-30.814028</v>
      </c>
      <c r="Q102" s="49">
        <v>14.027691000000001</v>
      </c>
      <c r="R102" s="49">
        <v>-1.1542678</v>
      </c>
      <c r="S102" s="49">
        <v>-6.9938539999999998</v>
      </c>
      <c r="T102" s="49">
        <v>13.558757999999999</v>
      </c>
      <c r="U102" s="49">
        <v>-30.270873999999999</v>
      </c>
      <c r="V102" s="165">
        <v>6.1870694000000004</v>
      </c>
      <c r="W102" s="33"/>
    </row>
    <row r="103" spans="1:23" x14ac:dyDescent="0.35">
      <c r="A103" s="2">
        <v>44777</v>
      </c>
      <c r="B103" s="49">
        <v>-17.950111</v>
      </c>
      <c r="C103" s="49">
        <v>4.4849873000000002</v>
      </c>
      <c r="D103" s="49">
        <v>17.208884999999999</v>
      </c>
      <c r="E103" s="49">
        <v>-7.2347345000000001</v>
      </c>
      <c r="F103" s="49">
        <v>-34.246729999999999</v>
      </c>
      <c r="G103" s="49">
        <v>2.3462296</v>
      </c>
      <c r="H103" s="49">
        <v>-2.4546146000000002</v>
      </c>
      <c r="I103" s="49">
        <v>-20.142454000000001</v>
      </c>
      <c r="J103" s="49">
        <v>-3.7876843999999998</v>
      </c>
      <c r="K103" s="49">
        <v>-32.044719999999998</v>
      </c>
      <c r="L103" s="49">
        <v>-12.222177</v>
      </c>
      <c r="M103" s="49">
        <v>-11.253952999999999</v>
      </c>
      <c r="N103" s="49">
        <v>-10.665905</v>
      </c>
      <c r="O103" s="49">
        <v>0.41233300000000001</v>
      </c>
      <c r="P103" s="49">
        <v>-30.019701000000001</v>
      </c>
      <c r="Q103" s="49">
        <v>22.564851999999998</v>
      </c>
      <c r="R103" s="49">
        <v>3.4214020000000001</v>
      </c>
      <c r="S103" s="49">
        <v>-7.0602536000000002</v>
      </c>
      <c r="T103" s="49">
        <v>19.369305000000001</v>
      </c>
      <c r="U103" s="49">
        <v>-22.738665000000001</v>
      </c>
      <c r="V103" s="165">
        <v>11.08445</v>
      </c>
      <c r="W103" s="33"/>
    </row>
    <row r="104" spans="1:23" x14ac:dyDescent="0.35">
      <c r="A104" s="2">
        <v>44806</v>
      </c>
      <c r="B104" s="49">
        <v>-21.350902999999999</v>
      </c>
      <c r="C104" s="49">
        <v>12.166214</v>
      </c>
      <c r="D104" s="49">
        <v>15.699077000000001</v>
      </c>
      <c r="E104" s="49">
        <v>-12.419086</v>
      </c>
      <c r="F104" s="49">
        <v>-47.148099999999999</v>
      </c>
      <c r="G104" s="49">
        <v>-5.9539080000000001E-2</v>
      </c>
      <c r="H104" s="49">
        <v>-10.807115</v>
      </c>
      <c r="I104" s="49">
        <v>-23.144494999999999</v>
      </c>
      <c r="J104" s="49">
        <v>-7.0415735000000002</v>
      </c>
      <c r="K104" s="49">
        <v>-34.026420000000002</v>
      </c>
      <c r="L104" s="49">
        <v>-3.2042443999999999</v>
      </c>
      <c r="M104" s="49">
        <v>-15.320826</v>
      </c>
      <c r="N104" s="49">
        <v>-20.319694999999999</v>
      </c>
      <c r="O104" s="49">
        <v>-7.1832180000000001</v>
      </c>
      <c r="P104" s="49">
        <v>-32.080215000000003</v>
      </c>
      <c r="Q104" s="49">
        <v>17.949068</v>
      </c>
      <c r="R104" s="49">
        <v>-1.5536308000000001</v>
      </c>
      <c r="S104" s="49">
        <v>-1.848352</v>
      </c>
      <c r="T104" s="49">
        <v>11.216557</v>
      </c>
      <c r="U104" s="49">
        <v>-23.770385999999998</v>
      </c>
      <c r="V104" s="165">
        <v>8.0422759999999993</v>
      </c>
      <c r="W104" s="33"/>
    </row>
    <row r="105" spans="1:23" x14ac:dyDescent="0.35">
      <c r="A105" s="2">
        <v>44838</v>
      </c>
      <c r="B105" s="49">
        <v>-22.834126999999999</v>
      </c>
      <c r="C105" s="49">
        <v>7.1390269999999996</v>
      </c>
      <c r="D105" s="49">
        <v>9.8951100000000007</v>
      </c>
      <c r="E105" s="49">
        <v>-21.080870000000001</v>
      </c>
      <c r="F105" s="49">
        <v>-46.714751999999997</v>
      </c>
      <c r="G105" s="49">
        <v>4.5390367999999999</v>
      </c>
      <c r="H105" s="49">
        <v>-13.368553</v>
      </c>
      <c r="I105" s="49">
        <v>-23.216421</v>
      </c>
      <c r="J105" s="49">
        <v>-1.5235065999999999</v>
      </c>
      <c r="K105" s="49">
        <v>-34.739643000000001</v>
      </c>
      <c r="L105" s="49">
        <v>14.940369</v>
      </c>
      <c r="M105" s="49">
        <v>-14.321947</v>
      </c>
      <c r="N105" s="49">
        <v>-14.690882</v>
      </c>
      <c r="O105" s="49">
        <v>-9.1559519999999992</v>
      </c>
      <c r="P105" s="49">
        <v>-31.088405999999999</v>
      </c>
      <c r="Q105" s="49">
        <v>12.029992999999999</v>
      </c>
      <c r="R105" s="49">
        <v>-2.2595524999999999</v>
      </c>
      <c r="S105" s="49">
        <v>17.707384000000001</v>
      </c>
      <c r="T105" s="49">
        <v>9.824586</v>
      </c>
      <c r="U105" s="49">
        <v>-32.333190000000002</v>
      </c>
      <c r="V105" s="165">
        <v>5.1245212999999996</v>
      </c>
      <c r="W105" s="33"/>
    </row>
    <row r="106" spans="1:23" x14ac:dyDescent="0.35">
      <c r="A106" s="2">
        <v>44869</v>
      </c>
      <c r="B106" s="49">
        <v>-27.412324999999999</v>
      </c>
      <c r="C106" s="49">
        <v>3.3437967</v>
      </c>
      <c r="D106" s="49">
        <v>3.6578773999999998</v>
      </c>
      <c r="E106" s="49">
        <v>-24.218899</v>
      </c>
      <c r="F106" s="49">
        <v>-42.362476000000001</v>
      </c>
      <c r="G106" s="49">
        <v>2.7533650000000001</v>
      </c>
      <c r="H106" s="49">
        <v>-14.71045</v>
      </c>
      <c r="I106" s="49">
        <v>-30.424976000000001</v>
      </c>
      <c r="J106" s="49">
        <v>10.977124999999999</v>
      </c>
      <c r="K106" s="49">
        <v>-30.765236000000002</v>
      </c>
      <c r="L106" s="49">
        <v>30.440066999999999</v>
      </c>
      <c r="M106" s="49">
        <v>-12.477589</v>
      </c>
      <c r="N106" s="49">
        <v>-10.327726</v>
      </c>
      <c r="O106" s="49">
        <v>-7.598382</v>
      </c>
      <c r="P106" s="49">
        <v>-40.043945000000001</v>
      </c>
      <c r="Q106" s="49">
        <v>6.9689392999999997</v>
      </c>
      <c r="R106" s="49">
        <v>3.0755996999999998E-3</v>
      </c>
      <c r="S106" s="49">
        <v>33.865692000000003</v>
      </c>
      <c r="T106" s="49">
        <v>2.8969526000000001</v>
      </c>
      <c r="U106" s="49">
        <v>-43.580418000000002</v>
      </c>
      <c r="V106" s="165">
        <v>0.53368806999999996</v>
      </c>
      <c r="W106" s="33"/>
    </row>
    <row r="107" spans="1:23" x14ac:dyDescent="0.35">
      <c r="A107" s="2">
        <v>44897</v>
      </c>
      <c r="B107" s="49">
        <v>-24.680412</v>
      </c>
      <c r="C107" s="49">
        <v>18.36871</v>
      </c>
      <c r="D107" s="49">
        <v>4.7927499999999998</v>
      </c>
      <c r="E107" s="49">
        <v>-15.083874</v>
      </c>
      <c r="F107" s="49">
        <v>-26.744820000000001</v>
      </c>
      <c r="G107" s="49">
        <v>12.498104</v>
      </c>
      <c r="H107" s="49">
        <v>-0.88466405999999997</v>
      </c>
      <c r="I107" s="49">
        <v>-21.437882999999999</v>
      </c>
      <c r="J107" s="49">
        <v>16.881965999999998</v>
      </c>
      <c r="K107" s="49">
        <v>-23.199314000000001</v>
      </c>
      <c r="L107" s="49">
        <v>18.793189999999999</v>
      </c>
      <c r="M107" s="49">
        <v>-2.7400373999999998</v>
      </c>
      <c r="N107" s="49">
        <v>3.2660007000000002</v>
      </c>
      <c r="O107" s="49">
        <v>-3.5007774999999999</v>
      </c>
      <c r="P107" s="49">
        <v>-25.487428999999999</v>
      </c>
      <c r="Q107" s="49">
        <v>2.6478290000000002</v>
      </c>
      <c r="R107" s="49">
        <v>3.1278253</v>
      </c>
      <c r="S107" s="49">
        <v>87.823260000000005</v>
      </c>
      <c r="T107" s="49">
        <v>-2.9628515000000002</v>
      </c>
      <c r="U107" s="49">
        <v>-37.720734</v>
      </c>
      <c r="V107" s="165">
        <v>-1.0702908</v>
      </c>
      <c r="W107" s="33"/>
    </row>
    <row r="108" spans="1:23" x14ac:dyDescent="0.35">
      <c r="A108" s="2">
        <v>44930</v>
      </c>
      <c r="B108" s="49">
        <v>-23.742073000000001</v>
      </c>
      <c r="C108" s="49">
        <v>21.000146999999998</v>
      </c>
      <c r="D108" s="49">
        <v>-1.5766739999999999</v>
      </c>
      <c r="E108" s="49">
        <v>-11.199707</v>
      </c>
      <c r="F108" s="49">
        <v>-22.535992</v>
      </c>
      <c r="G108" s="49">
        <v>0.68591833000000002</v>
      </c>
      <c r="H108" s="49">
        <v>-5.615926</v>
      </c>
      <c r="I108" s="49">
        <v>-28.721219999999999</v>
      </c>
      <c r="J108" s="49">
        <v>5.7045579999999996</v>
      </c>
      <c r="K108" s="49">
        <v>-24.945467000000001</v>
      </c>
      <c r="L108" s="49">
        <v>9.0292089999999998</v>
      </c>
      <c r="M108" s="49">
        <v>0.5436301</v>
      </c>
      <c r="N108" s="49">
        <v>4.2484760000000001</v>
      </c>
      <c r="O108" s="49">
        <v>-10.498184</v>
      </c>
      <c r="P108" s="49">
        <v>-13.801807</v>
      </c>
      <c r="Q108" s="49">
        <v>-3.7605165999999999</v>
      </c>
      <c r="R108" s="49">
        <v>0.17781258</v>
      </c>
      <c r="S108" s="49">
        <v>97.220299999999995</v>
      </c>
      <c r="T108" s="49">
        <v>-4.9689712999999998</v>
      </c>
      <c r="U108" s="49">
        <v>-41.911879999999996</v>
      </c>
      <c r="V108" s="165">
        <v>-5.8844089999999998</v>
      </c>
      <c r="W108" s="33"/>
    </row>
    <row r="109" spans="1:23" x14ac:dyDescent="0.35">
      <c r="A109" s="2">
        <v>44960</v>
      </c>
      <c r="B109" s="49">
        <v>-13.743781999999999</v>
      </c>
      <c r="C109" s="49">
        <v>26.129460000000002</v>
      </c>
      <c r="D109" s="49">
        <v>3.6732553999999999</v>
      </c>
      <c r="E109" s="49">
        <v>-8.4755599999999998</v>
      </c>
      <c r="F109" s="49">
        <v>-20.557027999999999</v>
      </c>
      <c r="G109" s="49">
        <v>3.3990263999999999</v>
      </c>
      <c r="H109" s="49">
        <v>-0.5421281</v>
      </c>
      <c r="I109" s="49">
        <v>-17.665482000000001</v>
      </c>
      <c r="J109" s="49">
        <v>21.712123999999999</v>
      </c>
      <c r="K109" s="49">
        <v>-10.865413999999999</v>
      </c>
      <c r="L109" s="49">
        <v>1.8313645999999999</v>
      </c>
      <c r="M109" s="49">
        <v>-6.7523299999999997</v>
      </c>
      <c r="N109" s="49">
        <v>8.2099080000000004</v>
      </c>
      <c r="O109" s="49">
        <v>-12.014049999999999</v>
      </c>
      <c r="P109" s="49">
        <v>-13.541073000000001</v>
      </c>
      <c r="Q109" s="49">
        <v>-15.299064</v>
      </c>
      <c r="R109" s="49">
        <v>1.1569381000000001</v>
      </c>
      <c r="S109" s="49">
        <v>81.572749999999999</v>
      </c>
      <c r="T109" s="49">
        <v>-8.3307500000000001</v>
      </c>
      <c r="U109" s="49">
        <v>-37.321629999999999</v>
      </c>
      <c r="V109" s="165">
        <v>-12.150282000000001</v>
      </c>
      <c r="W109" s="33"/>
    </row>
    <row r="110" spans="1:23" x14ac:dyDescent="0.35">
      <c r="A110" s="2">
        <v>44988</v>
      </c>
      <c r="B110" s="49">
        <v>-14.691281</v>
      </c>
      <c r="C110" s="49">
        <v>18.135012</v>
      </c>
      <c r="D110" s="49">
        <v>-3.2564760000000001</v>
      </c>
      <c r="E110" s="49">
        <v>-15.198988</v>
      </c>
      <c r="F110" s="49">
        <v>-4.9144800000000002</v>
      </c>
      <c r="G110" s="49">
        <v>-11.389875</v>
      </c>
      <c r="H110" s="49">
        <v>-12.074691</v>
      </c>
      <c r="I110" s="49">
        <v>-16.825872</v>
      </c>
      <c r="J110" s="49">
        <v>25.153744</v>
      </c>
      <c r="K110" s="49">
        <v>-14.849281</v>
      </c>
      <c r="L110" s="49">
        <v>-11.120563499999999</v>
      </c>
      <c r="M110" s="49">
        <v>-18.844532000000001</v>
      </c>
      <c r="N110" s="49">
        <v>31.136476999999999</v>
      </c>
      <c r="O110" s="49">
        <v>-5.6483926999999996</v>
      </c>
      <c r="P110" s="49">
        <v>-8.9557939999999991</v>
      </c>
      <c r="Q110" s="49">
        <v>-19.704329999999999</v>
      </c>
      <c r="R110" s="49">
        <v>-5.2591859999999997</v>
      </c>
      <c r="S110" s="49">
        <v>92.256929999999997</v>
      </c>
      <c r="T110" s="49">
        <v>-17.751138999999998</v>
      </c>
      <c r="U110" s="49">
        <v>-40.837539999999997</v>
      </c>
      <c r="V110" s="165">
        <v>-18.900929999999999</v>
      </c>
      <c r="W110" s="33"/>
    </row>
    <row r="111" spans="1:23" x14ac:dyDescent="0.35">
      <c r="A111" s="2">
        <v>45020</v>
      </c>
      <c r="B111" s="49">
        <v>-9.6083400000000001</v>
      </c>
      <c r="C111" s="49">
        <v>-0.83001849999999999</v>
      </c>
      <c r="D111" s="49">
        <v>-3.374654</v>
      </c>
      <c r="E111" s="49">
        <v>-13.540924</v>
      </c>
      <c r="F111" s="49">
        <v>-16.022665</v>
      </c>
      <c r="G111" s="49">
        <v>-14.716357</v>
      </c>
      <c r="H111" s="49">
        <v>-11.3228855</v>
      </c>
      <c r="I111" s="49">
        <v>-13.947225</v>
      </c>
      <c r="J111" s="49">
        <v>11.929607000000001</v>
      </c>
      <c r="K111" s="49">
        <v>-14.931345</v>
      </c>
      <c r="L111" s="49">
        <v>-22.053265</v>
      </c>
      <c r="M111" s="49">
        <v>-19.912582</v>
      </c>
      <c r="N111" s="49">
        <v>16.347408000000001</v>
      </c>
      <c r="O111" s="49">
        <v>-14.728683</v>
      </c>
      <c r="P111" s="49">
        <v>-10.157651</v>
      </c>
      <c r="Q111" s="49">
        <v>-22.073381000000001</v>
      </c>
      <c r="R111" s="49">
        <v>-6.3936890000000002</v>
      </c>
      <c r="S111" s="49">
        <v>61.298189999999998</v>
      </c>
      <c r="T111" s="49">
        <v>-24.958573999999999</v>
      </c>
      <c r="U111" s="49">
        <v>-35.544204999999998</v>
      </c>
      <c r="V111" s="165">
        <v>-14.949876</v>
      </c>
      <c r="W111" s="33"/>
    </row>
    <row r="112" spans="1:23" x14ac:dyDescent="0.35">
      <c r="A112" s="2">
        <v>45050</v>
      </c>
      <c r="B112" s="49">
        <v>-1.5399754000000001</v>
      </c>
      <c r="C112" s="49">
        <v>13.880741</v>
      </c>
      <c r="D112" s="49">
        <v>-3.2141983999999999</v>
      </c>
      <c r="E112" s="49">
        <v>-5.2307186000000003</v>
      </c>
      <c r="F112" s="49">
        <v>9.4114540000000009</v>
      </c>
      <c r="G112" s="49">
        <v>7.7188014999999999E-2</v>
      </c>
      <c r="H112" s="49">
        <v>-9.7387905000000003</v>
      </c>
      <c r="I112" s="49">
        <v>-9.94069</v>
      </c>
      <c r="J112" s="49">
        <v>24.299192000000001</v>
      </c>
      <c r="K112" s="49">
        <v>-10.21818</v>
      </c>
      <c r="L112" s="49">
        <v>-5.7141422999999998</v>
      </c>
      <c r="M112" s="49">
        <v>-10.948651999999999</v>
      </c>
      <c r="N112" s="49">
        <v>21.30444</v>
      </c>
      <c r="O112" s="49">
        <v>-5.927956</v>
      </c>
      <c r="P112" s="49">
        <v>-6.2575874000000002</v>
      </c>
      <c r="Q112" s="49">
        <v>-17.430145</v>
      </c>
      <c r="R112" s="49">
        <v>-7.2015165999999997</v>
      </c>
      <c r="S112" s="49">
        <v>38.911175</v>
      </c>
      <c r="T112" s="49">
        <v>-17.670726999999999</v>
      </c>
      <c r="U112" s="49">
        <v>-29.650200000000002</v>
      </c>
      <c r="V112" s="165">
        <v>-18.411345000000001</v>
      </c>
      <c r="W112" s="33"/>
    </row>
    <row r="113" spans="1:23" x14ac:dyDescent="0.35">
      <c r="A113" s="2">
        <v>45079</v>
      </c>
      <c r="B113" s="49">
        <v>-11.9429</v>
      </c>
      <c r="C113" s="49">
        <v>2.6727557000000002</v>
      </c>
      <c r="D113" s="49">
        <v>-2.094525</v>
      </c>
      <c r="E113" s="49">
        <v>-7.9551879999999997</v>
      </c>
      <c r="F113" s="49">
        <v>12.249195</v>
      </c>
      <c r="G113" s="49">
        <v>1.8433212999999999</v>
      </c>
      <c r="H113" s="49">
        <v>-10.865325</v>
      </c>
      <c r="I113" s="49">
        <v>-2.8312086999999999</v>
      </c>
      <c r="J113" s="49">
        <v>22.042549999999999</v>
      </c>
      <c r="K113" s="49">
        <v>-3.8773298</v>
      </c>
      <c r="L113" s="49">
        <v>-2.9498397999999999</v>
      </c>
      <c r="M113" s="49">
        <v>-17.159621999999999</v>
      </c>
      <c r="N113" s="49">
        <v>30.563389999999998</v>
      </c>
      <c r="O113" s="49">
        <v>-0.21241307000000001</v>
      </c>
      <c r="P113" s="49">
        <v>-11.865007</v>
      </c>
      <c r="Q113" s="49">
        <v>-12.497282</v>
      </c>
      <c r="R113" s="49">
        <v>-7.0687769999999999</v>
      </c>
      <c r="S113" s="49">
        <v>52.938400000000001</v>
      </c>
      <c r="T113" s="49">
        <v>-12.278146</v>
      </c>
      <c r="U113" s="49">
        <v>-18.97137</v>
      </c>
      <c r="V113" s="165">
        <v>-8.9698370000000001</v>
      </c>
      <c r="W113" s="33"/>
    </row>
    <row r="114" spans="1:23" x14ac:dyDescent="0.35">
      <c r="A114" s="2">
        <v>45110</v>
      </c>
      <c r="B114" s="49">
        <v>-20.211231000000002</v>
      </c>
      <c r="C114" s="49">
        <v>31.772732000000001</v>
      </c>
      <c r="D114" s="49">
        <v>7.9113720000000001</v>
      </c>
      <c r="E114" s="49">
        <v>4.3491483000000004</v>
      </c>
      <c r="F114" s="49">
        <v>35.50949</v>
      </c>
      <c r="G114" s="49">
        <v>23.651302000000001</v>
      </c>
      <c r="H114" s="49">
        <v>-5.6044935999999996</v>
      </c>
      <c r="I114" s="49">
        <v>14.389086000000001</v>
      </c>
      <c r="J114" s="49">
        <v>39.601179999999999</v>
      </c>
      <c r="K114" s="49">
        <v>14.225970999999999</v>
      </c>
      <c r="L114" s="49">
        <v>33.734478000000003</v>
      </c>
      <c r="M114" s="49">
        <v>-2.7561068999999998</v>
      </c>
      <c r="N114" s="49">
        <v>66.213584999999995</v>
      </c>
      <c r="O114" s="49">
        <v>11.126720000000001</v>
      </c>
      <c r="P114" s="49">
        <v>-16.561634000000002</v>
      </c>
      <c r="Q114" s="49">
        <v>-10.796564999999999</v>
      </c>
      <c r="R114" s="49">
        <v>-2.8815507999999999</v>
      </c>
      <c r="S114" s="49">
        <v>57.712494</v>
      </c>
      <c r="T114" s="49">
        <v>-3.3014953</v>
      </c>
      <c r="U114" s="49">
        <v>-7.3561788000000004</v>
      </c>
      <c r="V114" s="165">
        <v>1.8301725</v>
      </c>
      <c r="W114" s="33"/>
    </row>
    <row r="115" spans="1:23" x14ac:dyDescent="0.35">
      <c r="A115" s="2">
        <v>45142</v>
      </c>
      <c r="B115" s="49">
        <v>-8.5674469999999996</v>
      </c>
      <c r="C115" s="49">
        <v>22.688770000000002</v>
      </c>
      <c r="D115" s="49">
        <v>1.3466954</v>
      </c>
      <c r="E115" s="49">
        <v>0.47606229999999999</v>
      </c>
      <c r="F115" s="49">
        <v>46.563720000000004</v>
      </c>
      <c r="G115" s="49">
        <v>34.440399999999997</v>
      </c>
      <c r="H115" s="49">
        <v>-3.2655240000000001</v>
      </c>
      <c r="I115" s="49">
        <v>9.1464160000000003</v>
      </c>
      <c r="J115" s="49">
        <v>40.779949999999999</v>
      </c>
      <c r="K115" s="49">
        <v>8.0293060000000001</v>
      </c>
      <c r="L115" s="49">
        <v>20.616997000000001</v>
      </c>
      <c r="M115" s="49">
        <v>1.6232728999999999</v>
      </c>
      <c r="N115" s="49">
        <v>62.607216000000001</v>
      </c>
      <c r="O115" s="49">
        <v>2.4698853000000001</v>
      </c>
      <c r="P115" s="49">
        <v>-1.7512441000000001</v>
      </c>
      <c r="Q115" s="49">
        <v>-12.578547</v>
      </c>
      <c r="R115" s="49">
        <v>-4.2714653</v>
      </c>
      <c r="S115" s="49">
        <v>79.169394999999994</v>
      </c>
      <c r="T115" s="49">
        <v>-3.3545433999999998</v>
      </c>
      <c r="U115" s="49">
        <v>-0.25138854999999999</v>
      </c>
      <c r="V115" s="165">
        <v>-5.2934830000000002</v>
      </c>
      <c r="W115" s="33"/>
    </row>
    <row r="116" spans="1:23" x14ac:dyDescent="0.35">
      <c r="A116" s="2">
        <v>45170</v>
      </c>
      <c r="B116" s="49">
        <v>-11.682093</v>
      </c>
      <c r="C116" s="49">
        <v>10.627449</v>
      </c>
      <c r="D116" s="49">
        <v>-0.12212992</v>
      </c>
      <c r="E116" s="49">
        <v>-4.1864815000000002</v>
      </c>
      <c r="F116" s="49">
        <v>61.11815</v>
      </c>
      <c r="G116" s="49">
        <v>36.999405000000003</v>
      </c>
      <c r="H116" s="49">
        <v>-1.5639304999999999</v>
      </c>
      <c r="I116" s="49">
        <v>9.2133409999999998</v>
      </c>
      <c r="J116" s="49">
        <v>41.412280000000003</v>
      </c>
      <c r="K116" s="49">
        <v>12.856030000000001</v>
      </c>
      <c r="L116" s="49">
        <v>13.818645500000001</v>
      </c>
      <c r="M116" s="49">
        <v>2.5607943999999998</v>
      </c>
      <c r="N116" s="49">
        <v>64.499756000000005</v>
      </c>
      <c r="O116" s="49">
        <v>2.3641706</v>
      </c>
      <c r="P116" s="49">
        <v>-4.4820665999999996</v>
      </c>
      <c r="Q116" s="49">
        <v>-15.548170000000001</v>
      </c>
      <c r="R116" s="49">
        <v>-4.529172</v>
      </c>
      <c r="S116" s="49">
        <v>77.543304000000006</v>
      </c>
      <c r="T116" s="49">
        <v>-2.1660149999999998</v>
      </c>
      <c r="U116" s="49">
        <v>0.21067858</v>
      </c>
      <c r="V116" s="165">
        <v>-4.9867686999999998</v>
      </c>
      <c r="W116" s="33"/>
    </row>
    <row r="117" spans="1:23" x14ac:dyDescent="0.35">
      <c r="A117" s="2">
        <v>45203</v>
      </c>
      <c r="B117" s="49">
        <v>-10.858874999999999</v>
      </c>
      <c r="C117" s="49">
        <v>3.4228443999999998</v>
      </c>
      <c r="D117" s="49">
        <v>-5.6845784000000004</v>
      </c>
      <c r="E117" s="49">
        <v>9.1111070000000005</v>
      </c>
      <c r="F117" s="49">
        <v>45.709575999999998</v>
      </c>
      <c r="G117" s="49">
        <v>16.760195</v>
      </c>
      <c r="H117" s="49">
        <v>1.253593</v>
      </c>
      <c r="I117" s="49">
        <v>15.872382999999999</v>
      </c>
      <c r="J117" s="49">
        <v>25.554323</v>
      </c>
      <c r="K117" s="49">
        <v>15.269088999999999</v>
      </c>
      <c r="L117" s="49">
        <v>-1.4378369</v>
      </c>
      <c r="M117" s="49">
        <v>-3.7897408000000001</v>
      </c>
      <c r="N117" s="49">
        <v>46.845089999999999</v>
      </c>
      <c r="O117" s="49">
        <v>5.3523063999999998</v>
      </c>
      <c r="P117" s="49">
        <v>-3.4662305999999998</v>
      </c>
      <c r="Q117" s="49">
        <v>-17.755604000000002</v>
      </c>
      <c r="R117" s="49">
        <v>-8.0323220000000006</v>
      </c>
      <c r="S117" s="49">
        <v>66.556700000000006</v>
      </c>
      <c r="T117" s="49">
        <v>2.8793929999999999</v>
      </c>
      <c r="U117" s="49">
        <v>3.4509539999999999</v>
      </c>
      <c r="V117" s="165">
        <v>-10.143841</v>
      </c>
      <c r="W117" s="33"/>
    </row>
    <row r="118" spans="1:23" x14ac:dyDescent="0.35">
      <c r="A118" s="2">
        <v>45233</v>
      </c>
      <c r="B118" s="49">
        <v>-3.0044436000000001</v>
      </c>
      <c r="C118" s="49">
        <v>10.256517000000001</v>
      </c>
      <c r="D118" s="49">
        <v>-5.0018906999999997</v>
      </c>
      <c r="E118" s="49">
        <v>5.0862429999999996</v>
      </c>
      <c r="F118" s="49">
        <v>65.665610000000001</v>
      </c>
      <c r="G118" s="49">
        <v>16.629373999999999</v>
      </c>
      <c r="H118" s="49">
        <v>7.6122046000000001</v>
      </c>
      <c r="I118" s="49">
        <v>29.609584999999999</v>
      </c>
      <c r="J118" s="49">
        <v>19.226382999999998</v>
      </c>
      <c r="K118" s="49">
        <v>16.056920000000002</v>
      </c>
      <c r="L118" s="49">
        <v>6.4338923000000001</v>
      </c>
      <c r="M118" s="49">
        <v>11.486793</v>
      </c>
      <c r="N118" s="49">
        <v>53.026318000000003</v>
      </c>
      <c r="O118" s="49">
        <v>4.8933267999999996</v>
      </c>
      <c r="P118" s="49">
        <v>16.818522999999999</v>
      </c>
      <c r="Q118" s="49">
        <v>-15.881997</v>
      </c>
      <c r="R118" s="49">
        <v>-12.663478</v>
      </c>
      <c r="S118" s="49">
        <v>30.292368</v>
      </c>
      <c r="T118" s="49">
        <v>-2.4195552</v>
      </c>
      <c r="U118" s="49">
        <v>11.192978</v>
      </c>
      <c r="V118" s="165">
        <v>-3.9469063000000002</v>
      </c>
      <c r="W118" s="33"/>
    </row>
    <row r="119" spans="1:23" x14ac:dyDescent="0.35">
      <c r="A119" s="2">
        <v>45264</v>
      </c>
      <c r="B119" s="49">
        <v>-14.033538</v>
      </c>
      <c r="C119" s="49">
        <v>4.5979140000000003</v>
      </c>
      <c r="D119" s="49">
        <v>-6.0112056999999997</v>
      </c>
      <c r="E119" s="49">
        <v>-1.8078268</v>
      </c>
      <c r="F119" s="49">
        <v>51.384149999999998</v>
      </c>
      <c r="G119" s="49">
        <v>7.9275250000000002</v>
      </c>
      <c r="H119" s="49">
        <v>-5.3736924999999998</v>
      </c>
      <c r="I119" s="49">
        <v>12.495554</v>
      </c>
      <c r="J119" s="49">
        <v>21.609210999999998</v>
      </c>
      <c r="K119" s="49">
        <v>5.6408405000000004</v>
      </c>
      <c r="L119" s="49">
        <v>18.474292999999999</v>
      </c>
      <c r="M119" s="49">
        <v>-3.3834993999999998</v>
      </c>
      <c r="N119" s="49">
        <v>44.246937000000003</v>
      </c>
      <c r="O119" s="49">
        <v>6.6559195999999998</v>
      </c>
      <c r="P119" s="49">
        <v>-10.743081999999999</v>
      </c>
      <c r="Q119" s="49">
        <v>-12.038887000000001</v>
      </c>
      <c r="R119" s="49">
        <v>-15.721565</v>
      </c>
      <c r="S119" s="49">
        <v>10.834073999999999</v>
      </c>
      <c r="T119" s="49">
        <v>-3.0710459000000001</v>
      </c>
      <c r="U119" s="49">
        <v>6.8352339999999998</v>
      </c>
      <c r="V119" s="165">
        <v>3.9957284999999998</v>
      </c>
      <c r="W119" s="33"/>
    </row>
    <row r="120" spans="1:23" x14ac:dyDescent="0.35">
      <c r="A120" s="2">
        <v>45295</v>
      </c>
      <c r="B120" s="49">
        <v>-18.367111000000001</v>
      </c>
      <c r="C120" s="49">
        <v>8.7550159999999995</v>
      </c>
      <c r="D120" s="49">
        <v>3.1750202000000001</v>
      </c>
      <c r="E120" s="49">
        <v>-1.6134739</v>
      </c>
      <c r="F120" s="49">
        <v>38.774979999999999</v>
      </c>
      <c r="G120" s="49">
        <v>20.986916000000001</v>
      </c>
      <c r="H120" s="49">
        <v>-2.8727830000000001</v>
      </c>
      <c r="I120" s="49">
        <v>22.062635</v>
      </c>
      <c r="J120" s="49">
        <v>29.634464000000001</v>
      </c>
      <c r="K120" s="49">
        <v>11.698305</v>
      </c>
      <c r="L120" s="49">
        <v>37.311745000000002</v>
      </c>
      <c r="M120" s="49">
        <v>-10.2310295</v>
      </c>
      <c r="N120" s="49">
        <v>41.693783000000003</v>
      </c>
      <c r="O120" s="49">
        <v>17.302216000000001</v>
      </c>
      <c r="P120" s="49">
        <v>-20.851247999999998</v>
      </c>
      <c r="Q120" s="49">
        <v>-0.93849300000000002</v>
      </c>
      <c r="R120" s="49">
        <v>-14.263260000000001</v>
      </c>
      <c r="S120" s="49">
        <v>-9.7618100000000005</v>
      </c>
      <c r="T120" s="49">
        <v>1.1464715000000001</v>
      </c>
      <c r="U120" s="49">
        <v>10.035539</v>
      </c>
      <c r="V120" s="165">
        <v>14.837503</v>
      </c>
      <c r="W120" s="33"/>
    </row>
    <row r="121" spans="1:23" x14ac:dyDescent="0.35">
      <c r="A121" s="2">
        <v>45324</v>
      </c>
      <c r="B121" s="49">
        <v>-30.199515999999999</v>
      </c>
      <c r="C121" s="49">
        <v>-12.438136</v>
      </c>
      <c r="D121" s="49">
        <v>-3.5708725000000001</v>
      </c>
      <c r="E121" s="49">
        <v>-7.2964133999999996</v>
      </c>
      <c r="F121" s="49">
        <v>39.234577000000002</v>
      </c>
      <c r="G121" s="49">
        <v>13.423192999999999</v>
      </c>
      <c r="H121" s="49">
        <v>-7.9759064000000004</v>
      </c>
      <c r="I121" s="49">
        <v>9.9503760000000003</v>
      </c>
      <c r="J121" s="49">
        <v>20.63738</v>
      </c>
      <c r="K121" s="49">
        <v>-1.3092458</v>
      </c>
      <c r="L121" s="49">
        <v>17.724741000000002</v>
      </c>
      <c r="M121" s="49">
        <v>-13.697915999999999</v>
      </c>
      <c r="N121" s="49">
        <v>32.647452999999999</v>
      </c>
      <c r="O121" s="49">
        <v>25.579239000000001</v>
      </c>
      <c r="P121" s="49">
        <v>-30.699598000000002</v>
      </c>
      <c r="Q121" s="49">
        <v>-2.8621674000000001</v>
      </c>
      <c r="R121" s="49">
        <v>-17.740614000000001</v>
      </c>
      <c r="S121" s="49">
        <v>16.392910000000001</v>
      </c>
      <c r="T121" s="49">
        <v>3.9573908000000002</v>
      </c>
      <c r="U121" s="49">
        <v>8.8033909999999995</v>
      </c>
      <c r="V121" s="165">
        <v>11.14086</v>
      </c>
      <c r="W121" s="33"/>
    </row>
    <row r="122" spans="1:23" x14ac:dyDescent="0.35">
      <c r="A122" s="2">
        <v>45355</v>
      </c>
      <c r="B122">
        <v>-18.313003999999999</v>
      </c>
      <c r="C122">
        <v>-8.5914730000000006</v>
      </c>
      <c r="D122">
        <v>0.94161033999999999</v>
      </c>
      <c r="E122">
        <v>4.5694350000000004</v>
      </c>
      <c r="F122">
        <v>49.853560000000002</v>
      </c>
      <c r="G122">
        <v>22.970295</v>
      </c>
      <c r="H122">
        <v>1.7246722999999999</v>
      </c>
      <c r="I122">
        <v>18.833732999999999</v>
      </c>
      <c r="J122">
        <v>11.318493</v>
      </c>
      <c r="K122">
        <v>11.082314999999999</v>
      </c>
      <c r="L122">
        <v>28.518951000000001</v>
      </c>
      <c r="M122">
        <v>-7.2515369999999999</v>
      </c>
      <c r="N122">
        <v>28.857958</v>
      </c>
      <c r="O122">
        <v>29.728591999999999</v>
      </c>
      <c r="P122">
        <v>-20.263123</v>
      </c>
      <c r="Q122">
        <v>1.8988967000000001</v>
      </c>
      <c r="R122">
        <v>-15.202755</v>
      </c>
      <c r="S122">
        <v>7.4559093000000001</v>
      </c>
      <c r="T122">
        <v>2.5862932000000001</v>
      </c>
      <c r="U122">
        <v>23.757684999999999</v>
      </c>
      <c r="V122" s="1">
        <v>20.653320000000001</v>
      </c>
    </row>
    <row r="123" spans="1:23" x14ac:dyDescent="0.35">
      <c r="A123" s="2"/>
    </row>
    <row r="124" spans="1:23" x14ac:dyDescent="0.35">
      <c r="A124" s="2"/>
    </row>
    <row r="125" spans="1:23" x14ac:dyDescent="0.35">
      <c r="A125" s="2"/>
    </row>
    <row r="126" spans="1:23" x14ac:dyDescent="0.35">
      <c r="A126" s="2" t="s">
        <v>89</v>
      </c>
      <c r="B126" s="49" cm="1">
        <f t="array" ref="B126">MIN(_xlfn._xlws.FILTER(B2:B122, ISNUMBER(B2:B122)))</f>
        <v>-30.199515999999999</v>
      </c>
      <c r="C126" s="49" cm="1">
        <f t="array" ref="C126">MIN(_xlfn._xlws.FILTER(C2:C122, ISNUMBER(C2:C122)))</f>
        <v>-48.291077000000001</v>
      </c>
      <c r="D126" s="49" cm="1">
        <f t="array" ref="D126">MIN(_xlfn._xlws.FILTER(D2:D122, ISNUMBER(D2:D122)))</f>
        <v>-45.564906999999998</v>
      </c>
      <c r="E126" s="49" cm="1">
        <f t="array" ref="E126">MIN(_xlfn._xlws.FILTER(E2:E122, ISNUMBER(E2:E122)))</f>
        <v>-34.271464999999999</v>
      </c>
      <c r="F126" s="49" cm="1">
        <f t="array" ref="F126">MIN(_xlfn._xlws.FILTER(F2:F122, ISNUMBER(F2:F122)))</f>
        <v>-47.148099999999999</v>
      </c>
      <c r="G126" s="49" cm="1">
        <f t="array" ref="G126">MIN(_xlfn._xlws.FILTER(G2:G122, ISNUMBER(G2:G122)))</f>
        <v>-43.186073</v>
      </c>
      <c r="H126" s="49" cm="1">
        <f t="array" ref="H126">MIN(_xlfn._xlws.FILTER(H2:H122, ISNUMBER(H2:H122)))</f>
        <v>-37.672127000000003</v>
      </c>
      <c r="I126" s="49" cm="1">
        <f t="array" ref="I126">MIN(_xlfn._xlws.FILTER(I2:I122, ISNUMBER(I2:I122)))</f>
        <v>-30.424976000000001</v>
      </c>
      <c r="J126" s="49" cm="1">
        <f t="array" ref="J126">MIN(_xlfn._xlws.FILTER(J2:J122, ISNUMBER(J2:J122)))</f>
        <v>-40.37997</v>
      </c>
      <c r="K126" s="49" cm="1">
        <f t="array" ref="K126">MIN(_xlfn._xlws.FILTER(K2:K122, ISNUMBER(K2:K122)))</f>
        <v>-36.679535000000001</v>
      </c>
      <c r="L126" s="49" cm="1">
        <f t="array" ref="L126">MIN(_xlfn._xlws.FILTER(L2:L122, ISNUMBER(L2:L122)))</f>
        <v>-55.152299999999997</v>
      </c>
      <c r="M126" s="49" cm="1">
        <f t="array" ref="M126">MIN(_xlfn._xlws.FILTER(M2:M122, ISNUMBER(M2:M122)))</f>
        <v>-45.795760000000001</v>
      </c>
      <c r="N126" s="49" cm="1">
        <f t="array" ref="N126">MIN(_xlfn._xlws.FILTER(N2:N122, ISNUMBER(N2:N122)))</f>
        <v>-55.316932999999999</v>
      </c>
      <c r="O126" s="49" cm="1">
        <f t="array" ref="O126">MIN(_xlfn._xlws.FILTER(O2:O122, ISNUMBER(O2:O122)))</f>
        <v>-38.107289999999999</v>
      </c>
      <c r="P126" s="49" cm="1">
        <f t="array" ref="P126">MIN(_xlfn._xlws.FILTER(P2:P122, ISNUMBER(P2:P122)))</f>
        <v>-40.043945000000001</v>
      </c>
      <c r="Q126" s="49" cm="1">
        <f t="array" ref="Q126">MIN(_xlfn._xlws.FILTER(Q2:Q122, ISNUMBER(Q2:Q122)))</f>
        <v>-22.073381000000001</v>
      </c>
      <c r="R126" s="49" cm="1">
        <f t="array" ref="R126">MIN(_xlfn._xlws.FILTER(R2:R122, ISNUMBER(R2:R122)))</f>
        <v>-30.940055999999998</v>
      </c>
      <c r="S126" s="49" cm="1">
        <f t="array" ref="S126">MIN(_xlfn._xlws.FILTER(S2:S122, ISNUMBER(S2:S122)))</f>
        <v>-56.335064000000003</v>
      </c>
      <c r="T126" s="49" cm="1">
        <f t="array" ref="T126">MIN(_xlfn._xlws.FILTER(T2:T122, ISNUMBER(T2:T122)))</f>
        <v>-35.989983000000002</v>
      </c>
      <c r="U126" s="49" cm="1">
        <f t="array" ref="U126">MIN(_xlfn._xlws.FILTER(U2:U122, ISNUMBER(U2:U122)))</f>
        <v>-43.580418000000002</v>
      </c>
      <c r="V126" s="165" cm="1">
        <f t="array" ref="V126">MIN(_xlfn._xlws.FILTER(V2:V122, ISNUMBER(V2:V122)))</f>
        <v>-30.41919</v>
      </c>
      <c r="W126" s="33"/>
    </row>
    <row r="127" spans="1:23" x14ac:dyDescent="0.35">
      <c r="A127" s="2" t="s">
        <v>400</v>
      </c>
      <c r="B127" s="51" cm="1">
        <f t="array" ref="B127">MAX(_xlfn._xlws.FILTER(B1:B122, ISNUMBER(B1:B122)))</f>
        <v>60.793888000000003</v>
      </c>
      <c r="C127" s="51" cm="1">
        <f t="array" ref="C127">MAX(_xlfn._xlws.FILTER(C1:C122, ISNUMBER(C1:C122)))</f>
        <v>66.908010000000004</v>
      </c>
      <c r="D127" s="51" cm="1">
        <f t="array" ref="D127">MAX(_xlfn._xlws.FILTER(D1:D122, ISNUMBER(D1:D122)))</f>
        <v>63.702454000000003</v>
      </c>
      <c r="E127" s="51" cm="1">
        <f t="array" ref="E127">MAX(_xlfn._xlws.FILTER(E1:E122, ISNUMBER(E1:E122)))</f>
        <v>34.049545000000002</v>
      </c>
      <c r="F127" s="51" cm="1">
        <f t="array" ref="F127">MAX(_xlfn._xlws.FILTER(F1:F122, ISNUMBER(F1:F122)))</f>
        <v>65.665610000000001</v>
      </c>
      <c r="G127" s="51" cm="1">
        <f t="array" ref="G127">MAX(_xlfn._xlws.FILTER(G1:G122, ISNUMBER(G1:G122)))</f>
        <v>82.839380000000006</v>
      </c>
      <c r="H127" s="51" cm="1">
        <f t="array" ref="H127">MAX(_xlfn._xlws.FILTER(H1:H122, ISNUMBER(H1:H122)))</f>
        <v>27.624559999999999</v>
      </c>
      <c r="I127" s="51" cm="1">
        <f t="array" ref="I127">MAX(_xlfn._xlws.FILTER(I1:I122, ISNUMBER(I1:I122)))</f>
        <v>90.910300000000007</v>
      </c>
      <c r="J127" s="51" cm="1">
        <f t="array" ref="J127">MAX(_xlfn._xlws.FILTER(J1:J122, ISNUMBER(J1:J122)))</f>
        <v>69.636830000000003</v>
      </c>
      <c r="K127" s="51" cm="1">
        <f t="array" ref="K127">MAX(_xlfn._xlws.FILTER(K1:K122, ISNUMBER(K1:K122)))</f>
        <v>109.18433</v>
      </c>
      <c r="L127" s="51" cm="1">
        <f t="array" ref="L127">MAX(_xlfn._xlws.FILTER(L1:L122, ISNUMBER(L1:L122)))</f>
        <v>94.517960000000002</v>
      </c>
      <c r="M127" s="51" cm="1">
        <f t="array" ref="M127">MAX(_xlfn._xlws.FILTER(M1:M122, ISNUMBER(M1:M122)))</f>
        <v>95.626490000000004</v>
      </c>
      <c r="N127" s="51" cm="1">
        <f t="array" ref="N127">MAX(_xlfn._xlws.FILTER(N1:N122, ISNUMBER(N1:N122)))</f>
        <v>76.783289999999994</v>
      </c>
      <c r="O127" s="51" cm="1">
        <f t="array" ref="O127">MAX(_xlfn._xlws.FILTER(O1:O122, ISNUMBER(O1:O122)))</f>
        <v>90.458595000000003</v>
      </c>
      <c r="P127" s="51" cm="1">
        <f t="array" ref="P127">MAX(_xlfn._xlws.FILTER(P1:P122, ISNUMBER(P1:P122)))</f>
        <v>59.194552999999999</v>
      </c>
      <c r="Q127" s="51" cm="1">
        <f t="array" ref="Q127">MAX(_xlfn._xlws.FILTER(Q1:Q122, ISNUMBER(Q1:Q122)))</f>
        <v>39.817776000000002</v>
      </c>
      <c r="R127" s="51" cm="1">
        <f t="array" ref="R127">MAX(_xlfn._xlws.FILTER(R1:R122, ISNUMBER(R1:R122)))</f>
        <v>40.236496000000002</v>
      </c>
      <c r="S127" s="51" cm="1">
        <f t="array" ref="S127">MAX(_xlfn._xlws.FILTER(S1:S122, ISNUMBER(S1:S122)))</f>
        <v>97.220299999999995</v>
      </c>
      <c r="T127" s="51" cm="1">
        <f t="array" ref="T127">MAX(_xlfn._xlws.FILTER(T1:T122, ISNUMBER(T1:T122)))</f>
        <v>57.449924000000003</v>
      </c>
      <c r="U127" s="51" cm="1">
        <f t="array" ref="U127">MAX(_xlfn._xlws.FILTER(U1:U122, ISNUMBER(U1:U122)))</f>
        <v>80.320930000000004</v>
      </c>
      <c r="V127" s="166" cm="1">
        <f t="array" ref="V127">MAX(_xlfn._xlws.FILTER(V1:V122, ISNUMBER(V1:V122)))</f>
        <v>57.769584999999999</v>
      </c>
    </row>
    <row r="128" spans="1:23" x14ac:dyDescent="0.35">
      <c r="A128" s="2" t="s">
        <v>401</v>
      </c>
      <c r="B128" s="49" cm="1">
        <f t="array" ref="B128">MEDIAN(_xlfn._xlws.FILTER(B1:B122, ISNUMBER(B1:B122)))</f>
        <v>0.97030400000000006</v>
      </c>
      <c r="C128" s="49" cm="1">
        <f t="array" ref="C128">MEDIAN(_xlfn._xlws.FILTER(C1:C122, ISNUMBER(C1:C122)))</f>
        <v>-6.5662979999999997</v>
      </c>
      <c r="D128" s="49" cm="1">
        <f t="array" ref="D128">MEDIAN(_xlfn._xlws.FILTER(D1:D122, ISNUMBER(D1:D122)))</f>
        <v>1.3466954</v>
      </c>
      <c r="E128" s="49" cm="1">
        <f t="array" ref="E128">MEDIAN(_xlfn._xlws.FILTER(E1:E122, ISNUMBER(E1:E122)))</f>
        <v>-1.3528228</v>
      </c>
      <c r="F128" s="49" cm="1">
        <f t="array" ref="F128">MEDIAN(_xlfn._xlws.FILTER(F1:F122, ISNUMBER(F1:F122)))</f>
        <v>-6.6029787000000004</v>
      </c>
      <c r="G128" s="49" cm="1">
        <f t="array" ref="G128">MEDIAN(_xlfn._xlws.FILTER(G1:G122, ISNUMBER(G1:G122)))</f>
        <v>7.7188014999999999E-2</v>
      </c>
      <c r="H128" s="49" cm="1">
        <f t="array" ref="H128">MEDIAN(_xlfn._xlws.FILTER(H1:H122, ISNUMBER(H1:H122)))</f>
        <v>-3.2655240000000001</v>
      </c>
      <c r="I128" s="49" cm="1">
        <f t="array" ref="I128">MEDIAN(_xlfn._xlws.FILTER(I1:I122, ISNUMBER(I1:I122)))</f>
        <v>11.751032</v>
      </c>
      <c r="J128" s="49" cm="1">
        <f t="array" ref="J128">MEDIAN(_xlfn._xlws.FILTER(J1:J122, ISNUMBER(J1:J122)))</f>
        <v>-1.5235065999999999</v>
      </c>
      <c r="K128" s="49" cm="1">
        <f t="array" ref="K128">MEDIAN(_xlfn._xlws.FILTER(K1:K122, ISNUMBER(K1:K122)))</f>
        <v>-0.14182924999999999</v>
      </c>
      <c r="L128" s="49" cm="1">
        <f t="array" ref="L128">MEDIAN(_xlfn._xlws.FILTER(L1:L122, ISNUMBER(L1:L122)))</f>
        <v>1.8313645999999999</v>
      </c>
      <c r="M128" s="49" cm="1">
        <f t="array" ref="M128">MEDIAN(_xlfn._xlws.FILTER(M1:M122, ISNUMBER(M1:M122)))</f>
        <v>0.64029694000000004</v>
      </c>
      <c r="N128" s="49" cm="1">
        <f t="array" ref="N128">MEDIAN(_xlfn._xlws.FILTER(N1:N122, ISNUMBER(N1:N122)))</f>
        <v>3.1120538999999998</v>
      </c>
      <c r="O128" s="49" cm="1">
        <f t="array" ref="O128">MEDIAN(_xlfn._xlws.FILTER(O1:O122, ISNUMBER(O1:O122)))</f>
        <v>5.3523063999999998</v>
      </c>
      <c r="P128" s="49" cm="1">
        <f t="array" ref="P128">MEDIAN(_xlfn._xlws.FILTER(P1:P122, ISNUMBER(P1:P122)))</f>
        <v>0.41859150000000001</v>
      </c>
      <c r="Q128" s="49" cm="1">
        <f t="array" ref="Q128">MEDIAN(_xlfn._xlws.FILTER(Q1:Q122, ISNUMBER(Q1:Q122)))</f>
        <v>-0.69815516</v>
      </c>
      <c r="R128" s="49" cm="1">
        <f t="array" ref="R128">MEDIAN(_xlfn._xlws.FILTER(R1:R122, ISNUMBER(R1:R122)))</f>
        <v>0.17781258</v>
      </c>
      <c r="S128" s="49" cm="1">
        <f t="array" ref="S128">MEDIAN(_xlfn._xlws.FILTER(S1:S122, ISNUMBER(S1:S122)))</f>
        <v>-3.9984643000000002</v>
      </c>
      <c r="T128" s="49" cm="1">
        <f t="array" ref="T128">MEDIAN(_xlfn._xlws.FILTER(T1:T122, ISNUMBER(T1:T122)))</f>
        <v>-2.9628515000000002</v>
      </c>
      <c r="U128" s="49" cm="1">
        <f t="array" ref="U128">MEDIAN(_xlfn._xlws.FILTER(U1:U122, ISNUMBER(U1:U122)))</f>
        <v>-0.25138854999999999</v>
      </c>
      <c r="V128" s="165" cm="1">
        <f t="array" ref="V128">MEDIAN(_xlfn._xlws.FILTER(V1:V122, ISNUMBER(V1:V122)))</f>
        <v>10.476350499999999</v>
      </c>
      <c r="W128" s="9"/>
    </row>
    <row r="129" spans="1:22" x14ac:dyDescent="0.35">
      <c r="A129" s="2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167"/>
    </row>
    <row r="130" spans="1:22" x14ac:dyDescent="0.35">
      <c r="A130" s="2" t="s">
        <v>91</v>
      </c>
      <c r="B130">
        <f>COUNTIF(B2:B122, "&lt;"&amp;Assumption!$F$49)</f>
        <v>28</v>
      </c>
      <c r="C130">
        <f>COUNTIF(C2:C122, "&lt;"&amp;Assumption!$F$49)</f>
        <v>51</v>
      </c>
      <c r="D130">
        <f>COUNTIF(D2:D122, "&lt;"&amp;Assumption!$F$49)</f>
        <v>28</v>
      </c>
      <c r="E130">
        <f>COUNTIF(E2:E122, "&lt;"&amp;Assumption!$F$49)</f>
        <v>30</v>
      </c>
      <c r="F130">
        <f>COUNTIF(F2:F122, "&lt;"&amp;Assumption!$F$49)</f>
        <v>51</v>
      </c>
      <c r="G130">
        <f>COUNTIF(G2:G122, "&lt;"&amp;Assumption!$F$49)</f>
        <v>31</v>
      </c>
      <c r="H130">
        <f>COUNTIF(H2:H122, "&lt;"&amp;Assumption!$F$49)</f>
        <v>32</v>
      </c>
      <c r="I130">
        <f>COUNTIF(I2:I122, "&lt;"&amp;Assumption!$F$49)</f>
        <v>19</v>
      </c>
      <c r="J130">
        <f>COUNTIF(J2:J122, "&lt;"&amp;Assumption!$F$49)</f>
        <v>37</v>
      </c>
      <c r="K130">
        <f>COUNTIF(K2:K122, "&lt;"&amp;Assumption!$F$49)</f>
        <v>40</v>
      </c>
      <c r="L130">
        <f>COUNTIF(L2:L122, "&lt;"&amp;Assumption!$F$49)</f>
        <v>40</v>
      </c>
      <c r="M130">
        <f>COUNTIF(M2:M122, "&lt;"&amp;Assumption!$F$49)</f>
        <v>41</v>
      </c>
      <c r="N130">
        <f>COUNTIF(N2:N122, "&lt;"&amp;Assumption!$F$49)</f>
        <v>50</v>
      </c>
      <c r="O130">
        <f>COUNTIF(O2:O122, "&lt;"&amp;Assumption!$F$49)</f>
        <v>16</v>
      </c>
      <c r="P130">
        <f>COUNTIF(P2:P122, "&lt;"&amp;Assumption!$F$49)</f>
        <v>39</v>
      </c>
      <c r="Q130">
        <f>COUNTIF(Q2:Q122, "&lt;"&amp;Assumption!$F$49)</f>
        <v>33</v>
      </c>
      <c r="R130">
        <f>COUNTIF(R2:R122, "&lt;"&amp;Assumption!$F$49)</f>
        <v>24</v>
      </c>
      <c r="S130">
        <f>COUNTIF(S2:S122, "&lt;"&amp;Assumption!$F$49)</f>
        <v>46</v>
      </c>
      <c r="T130">
        <f>COUNTIF(T2:T122, "&lt;"&amp;Assumption!$F$49)</f>
        <v>29</v>
      </c>
      <c r="U130">
        <f>COUNTIF(U2:U122, "&lt;"&amp;Assumption!$F$49)</f>
        <v>39</v>
      </c>
      <c r="V130" s="1">
        <f>COUNTIF(V2:V122, "&lt;"&amp;Assumption!$F$49)</f>
        <v>12</v>
      </c>
    </row>
    <row r="131" spans="1:22" x14ac:dyDescent="0.35">
      <c r="A131" s="2" t="s">
        <v>90</v>
      </c>
      <c r="B131">
        <f>COUNT(B1:B122)</f>
        <v>81</v>
      </c>
      <c r="C131">
        <f t="shared" ref="C131:V131" si="0">COUNT(C1:C122)</f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si="0"/>
        <v>121</v>
      </c>
      <c r="L131">
        <f t="shared" si="0"/>
        <v>121</v>
      </c>
      <c r="M131">
        <f t="shared" si="0"/>
        <v>121</v>
      </c>
      <c r="N131">
        <f t="shared" si="0"/>
        <v>121</v>
      </c>
      <c r="O131">
        <f t="shared" si="0"/>
        <v>121</v>
      </c>
      <c r="P131">
        <f t="shared" si="0"/>
        <v>121</v>
      </c>
      <c r="Q131">
        <f t="shared" si="0"/>
        <v>107</v>
      </c>
      <c r="R131">
        <f t="shared" si="0"/>
        <v>121</v>
      </c>
      <c r="S131">
        <f t="shared" si="0"/>
        <v>121</v>
      </c>
      <c r="T131">
        <f t="shared" si="0"/>
        <v>107</v>
      </c>
      <c r="U131">
        <f t="shared" si="0"/>
        <v>121</v>
      </c>
      <c r="V131" s="1">
        <f t="shared" si="0"/>
        <v>90</v>
      </c>
    </row>
    <row r="132" spans="1:22" x14ac:dyDescent="0.35">
      <c r="A132" s="2"/>
    </row>
    <row r="133" spans="1:22" x14ac:dyDescent="0.35">
      <c r="A133" s="2" t="s">
        <v>404</v>
      </c>
      <c r="B133" s="9">
        <f>B130/B131</f>
        <v>0.34567901234567899</v>
      </c>
      <c r="C133" s="9">
        <f t="shared" ref="C133:V133" si="1">C130/C131</f>
        <v>0.42148760330578511</v>
      </c>
      <c r="D133" s="9">
        <f t="shared" si="1"/>
        <v>0.23140495867768596</v>
      </c>
      <c r="E133" s="9">
        <f t="shared" si="1"/>
        <v>0.24793388429752067</v>
      </c>
      <c r="F133" s="9">
        <f t="shared" si="1"/>
        <v>0.42148760330578511</v>
      </c>
      <c r="G133" s="9">
        <f t="shared" si="1"/>
        <v>0.256198347107438</v>
      </c>
      <c r="H133" s="9">
        <f t="shared" si="1"/>
        <v>0.26446280991735538</v>
      </c>
      <c r="I133" s="9">
        <f t="shared" si="1"/>
        <v>0.15702479338842976</v>
      </c>
      <c r="J133" s="9">
        <f t="shared" si="1"/>
        <v>0.30578512396694213</v>
      </c>
      <c r="K133" s="9">
        <f t="shared" si="1"/>
        <v>0.33057851239669422</v>
      </c>
      <c r="L133" s="9">
        <f t="shared" si="1"/>
        <v>0.33057851239669422</v>
      </c>
      <c r="M133" s="9">
        <f t="shared" si="1"/>
        <v>0.33884297520661155</v>
      </c>
      <c r="N133" s="9">
        <f t="shared" si="1"/>
        <v>0.41322314049586778</v>
      </c>
      <c r="O133" s="9">
        <f t="shared" si="1"/>
        <v>0.13223140495867769</v>
      </c>
      <c r="P133" s="9">
        <f t="shared" si="1"/>
        <v>0.32231404958677684</v>
      </c>
      <c r="Q133" s="9">
        <f t="shared" si="1"/>
        <v>0.30841121495327101</v>
      </c>
      <c r="R133" s="9">
        <f t="shared" si="1"/>
        <v>0.19834710743801653</v>
      </c>
      <c r="S133" s="9">
        <f t="shared" si="1"/>
        <v>0.38016528925619836</v>
      </c>
      <c r="T133" s="9">
        <f t="shared" si="1"/>
        <v>0.27102803738317754</v>
      </c>
      <c r="U133" s="9">
        <f t="shared" si="1"/>
        <v>0.32231404958677684</v>
      </c>
      <c r="V133" s="57">
        <f t="shared" si="1"/>
        <v>0.13333333333333333</v>
      </c>
    </row>
    <row r="134" spans="1:22" x14ac:dyDescent="0.35">
      <c r="A134" s="2"/>
    </row>
    <row r="135" spans="1:22" x14ac:dyDescent="0.35">
      <c r="A135" s="2"/>
      <c r="B135" s="125"/>
      <c r="C135" s="125"/>
      <c r="D135" s="125"/>
      <c r="E135" s="125"/>
      <c r="F135" s="125"/>
      <c r="G135" s="125"/>
      <c r="H135" s="125"/>
      <c r="I135" s="125"/>
      <c r="J135" s="12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57"/>
    </row>
    <row r="136" spans="1:22" x14ac:dyDescent="0.35">
      <c r="A136" s="2" t="s">
        <v>407</v>
      </c>
      <c r="B136" s="49" cm="1">
        <f t="array" ref="B136">_xlfn.PERCENTRANK.EXC(_xlfn._xlws.FILTER(B2:B122, ISNUMBER(B2:B122)),B120)</f>
        <v>0.17</v>
      </c>
      <c r="C136" s="49" cm="1">
        <f t="array" ref="C136">_xlfn.PERCENTRANK.EXC(_xlfn._xlws.FILTER(C2:C122, ISNUMBER(C2:C122)),C120)</f>
        <v>0.64700000000000002</v>
      </c>
      <c r="D136" s="49" cm="1">
        <f t="array" ref="D136">_xlfn.PERCENTRANK.EXC(_xlfn._xlws.FILTER(D2:D122, ISNUMBER(D2:D122)),D120)</f>
        <v>0.54900000000000004</v>
      </c>
      <c r="E136" s="49" cm="1">
        <f t="array" ref="E136">_xlfn.PERCENTRANK.EXC(_xlfn._xlws.FILTER(E2:E122, ISNUMBER(E2:E122)),E120)</f>
        <v>0.49099999999999999</v>
      </c>
      <c r="F136" s="49" cm="1">
        <f t="array" ref="F136">_xlfn.PERCENTRANK.EXC(_xlfn._xlws.FILTER(F2:F122, ISNUMBER(F2:F122)),F120)</f>
        <v>0.84399999999999997</v>
      </c>
      <c r="G136" s="49" cm="1">
        <f t="array" ref="G136">_xlfn.PERCENTRANK.EXC(_xlfn._xlws.FILTER(G2:G122, ISNUMBER(G2:G122)),G120)</f>
        <v>0.78600000000000003</v>
      </c>
      <c r="H136" s="49" cm="1">
        <f t="array" ref="H136">_xlfn.PERCENTRANK.EXC(_xlfn._xlws.FILTER(H2:H122, ISNUMBER(H2:H122)),H120)</f>
        <v>0.50800000000000001</v>
      </c>
      <c r="I136" s="49" cm="1">
        <f t="array" ref="I136">_xlfn.PERCENTRANK.EXC(_xlfn._xlws.FILTER(I2:I122, ISNUMBER(I2:I122)),I120)</f>
        <v>0.70399999999999996</v>
      </c>
      <c r="J136" s="49" cm="1">
        <f t="array" ref="J136">_xlfn.PERCENTRANK.EXC(_xlfn._xlws.FILTER(J2:J122, ISNUMBER(J2:J122)),J120)</f>
        <v>0.90100000000000002</v>
      </c>
      <c r="K136" s="49" cm="1">
        <f t="array" ref="K136">_xlfn.PERCENTRANK.EXC(_xlfn._xlws.FILTER(K2:K122, ISNUMBER(K2:K122)),K120)</f>
        <v>0.63900000000000001</v>
      </c>
      <c r="L136" s="49" cm="1">
        <f t="array" ref="L136">_xlfn.PERCENTRANK.EXC(_xlfn._xlws.FILTER(L2:L122, ISNUMBER(L2:L122)),L120)</f>
        <v>0.88500000000000001</v>
      </c>
      <c r="M136" s="49" cm="1">
        <f t="array" ref="M136">_xlfn.PERCENTRANK.EXC(_xlfn._xlws.FILTER(M2:M122, ISNUMBER(M2:M122)),M120)</f>
        <v>0.32700000000000001</v>
      </c>
      <c r="N136" s="49" cm="1">
        <f t="array" ref="N136">_xlfn.PERCENTRANK.EXC(_xlfn._xlws.FILTER(N2:N122, ISNUMBER(N2:N122)),N120)</f>
        <v>0.84399999999999997</v>
      </c>
      <c r="O136" s="49" cm="1">
        <f t="array" ref="O136">_xlfn.PERCENTRANK.EXC(_xlfn._xlws.FILTER(O2:O122, ISNUMBER(O2:O122)),O120)</f>
        <v>0.71299999999999997</v>
      </c>
      <c r="P136" s="49" cm="1">
        <f t="array" ref="P136">_xlfn.PERCENTRANK.EXC(_xlfn._xlws.FILTER(P2:P122, ISNUMBER(P2:P122)),P120)</f>
        <v>0.17199999999999999</v>
      </c>
      <c r="Q136" s="49" cm="1">
        <f t="array" ref="Q136">_xlfn.PERCENTRANK.EXC(_xlfn._xlws.FILTER(Q2:Q122, ISNUMBER(Q2:Q122)),Q120)</f>
        <v>0.49</v>
      </c>
      <c r="R136" s="49" cm="1">
        <f t="array" ref="R136">_xlfn.PERCENTRANK.EXC(_xlfn._xlws.FILTER(R2:R122, ISNUMBER(R2:R122)),R120)</f>
        <v>0.122</v>
      </c>
      <c r="S136" s="49" cm="1">
        <f t="array" ref="S136">_xlfn.PERCENTRANK.EXC(_xlfn._xlws.FILTER(S2:S122, ISNUMBER(S2:S122)),S120)</f>
        <v>0.38500000000000001</v>
      </c>
      <c r="T136" s="49" cm="1">
        <f t="array" ref="T136">_xlfn.PERCENTRANK.EXC(_xlfn._xlws.FILTER(T2:T122, ISNUMBER(T2:T122)),T120)</f>
        <v>0.60099999999999998</v>
      </c>
      <c r="U136" s="49" cm="1">
        <f t="array" ref="U136">_xlfn.PERCENTRANK.EXC(_xlfn._xlws.FILTER(U2:U122, ISNUMBER(U2:U122)),U120)</f>
        <v>0.70399999999999996</v>
      </c>
      <c r="V136" s="165" cm="1">
        <f t="array" ref="V136">_xlfn.PERCENTRANK.EXC(_xlfn._xlws.FILTER(V2:V122, ISNUMBER(V2:V122)),V120)</f>
        <v>0.59299999999999997</v>
      </c>
    </row>
    <row r="137" spans="1:22" x14ac:dyDescent="0.35">
      <c r="A137" s="2" t="s">
        <v>406</v>
      </c>
      <c r="B137" s="49" cm="1">
        <f t="array" ref="B137">_xlfn.PERCENTRANK.EXC(_xlfn._xlws.FILTER(B2:B122, ISNUMBER(B2:B122)),B121)</f>
        <v>1.2E-2</v>
      </c>
      <c r="C137" s="49" cm="1">
        <f t="array" ref="C137">_xlfn.PERCENTRANK.EXC(_xlfn._xlws.FILTER(C2:C122, ISNUMBER(C2:C122)),C121)</f>
        <v>0.33600000000000002</v>
      </c>
      <c r="D137" s="49" cm="1">
        <f t="array" ref="D137">_xlfn.PERCENTRANK.EXC(_xlfn._xlws.FILTER(D2:D122, ISNUMBER(D2:D122)),D121)</f>
        <v>0.36799999999999999</v>
      </c>
      <c r="E137" s="49" cm="1">
        <f t="array" ref="E137">_xlfn.PERCENTRANK.EXC(_xlfn._xlws.FILTER(E2:E122, ISNUMBER(E2:E122)),E121)</f>
        <v>0.36</v>
      </c>
      <c r="F137" s="49" cm="1">
        <f t="array" ref="F137">_xlfn.PERCENTRANK.EXC(_xlfn._xlws.FILTER(F2:F122, ISNUMBER(F2:F122)),F121)</f>
        <v>0.85199999999999998</v>
      </c>
      <c r="G137" s="49" cm="1">
        <f t="array" ref="G137">_xlfn.PERCENTRANK.EXC(_xlfn._xlws.FILTER(G2:G122, ISNUMBER(G2:G122)),G121)</f>
        <v>0.70399999999999996</v>
      </c>
      <c r="H137" s="49" cm="1">
        <f t="array" ref="H137">_xlfn.PERCENTRANK.EXC(_xlfn._xlws.FILTER(H2:H122, ISNUMBER(H2:H122)),H121)</f>
        <v>0.33600000000000002</v>
      </c>
      <c r="I137" s="49" cm="1">
        <f t="array" ref="I137">_xlfn.PERCENTRANK.EXC(_xlfn._xlws.FILTER(I2:I122, ISNUMBER(I2:I122)),I121)</f>
        <v>0.45900000000000002</v>
      </c>
      <c r="J137" s="49" cm="1">
        <f t="array" ref="J137">_xlfn.PERCENTRANK.EXC(_xlfn._xlws.FILTER(J2:J122, ISNUMBER(J2:J122)),J121)</f>
        <v>0.83599999999999997</v>
      </c>
      <c r="K137" s="49" cm="1">
        <f t="array" ref="K137">_xlfn.PERCENTRANK.EXC(_xlfn._xlws.FILTER(K2:K122, ISNUMBER(K2:K122)),K121)</f>
        <v>0.47499999999999998</v>
      </c>
      <c r="L137" s="49" cm="1">
        <f t="array" ref="L137">_xlfn.PERCENTRANK.EXC(_xlfn._xlws.FILTER(L2:L122, ISNUMBER(L2:L122)),L121)</f>
        <v>0.67200000000000004</v>
      </c>
      <c r="M137" s="49" cm="1">
        <f t="array" ref="M137">_xlfn.PERCENTRANK.EXC(_xlfn._xlws.FILTER(M2:M122, ISNUMBER(M2:M122)),M121)</f>
        <v>0.23699999999999999</v>
      </c>
      <c r="N137" s="49" cm="1">
        <f t="array" ref="N137">_xlfn.PERCENTRANK.EXC(_xlfn._xlws.FILTER(N2:N122, ISNUMBER(N2:N122)),N121)</f>
        <v>0.76200000000000001</v>
      </c>
      <c r="O137" s="49" cm="1">
        <f t="array" ref="O137">_xlfn.PERCENTRANK.EXC(_xlfn._xlws.FILTER(O2:O122, ISNUMBER(O2:O122)),O121)</f>
        <v>0.81100000000000005</v>
      </c>
      <c r="P137" s="49" cm="1">
        <f t="array" ref="P137">_xlfn.PERCENTRANK.EXC(_xlfn._xlws.FILTER(P2:P122, ISNUMBER(P2:P122)),P121)</f>
        <v>0.09</v>
      </c>
      <c r="Q137" s="49" cm="1">
        <f t="array" ref="Q137">_xlfn.PERCENTRANK.EXC(_xlfn._xlws.FILTER(Q2:Q122, ISNUMBER(Q2:Q122)),Q121)</f>
        <v>0.435</v>
      </c>
      <c r="R137" s="49" cm="1">
        <f t="array" ref="R137">_xlfn.PERCENTRANK.EXC(_xlfn._xlws.FILTER(R2:R122, ISNUMBER(R2:R122)),R121)</f>
        <v>7.2999999999999995E-2</v>
      </c>
      <c r="S137" s="49" cm="1">
        <f t="array" ref="S137">_xlfn.PERCENTRANK.EXC(_xlfn._xlws.FILTER(S2:S122, ISNUMBER(S2:S122)),S121)</f>
        <v>0.72099999999999997</v>
      </c>
      <c r="T137" s="49" cm="1">
        <f t="array" ref="T137">_xlfn.PERCENTRANK.EXC(_xlfn._xlws.FILTER(T2:T122, ISNUMBER(T2:T122)),T121)</f>
        <v>0.65700000000000003</v>
      </c>
      <c r="U137" s="49" cm="1">
        <f t="array" ref="U137">_xlfn.PERCENTRANK.EXC(_xlfn._xlws.FILTER(U2:U122, ISNUMBER(U2:U122)),U121)</f>
        <v>0.68799999999999994</v>
      </c>
      <c r="V137" s="165" cm="1">
        <f t="array" ref="V137">_xlfn.PERCENTRANK.EXC(_xlfn._xlws.FILTER(V2:V122, ISNUMBER(V2:V122)),V121)</f>
        <v>0.53800000000000003</v>
      </c>
    </row>
    <row r="138" spans="1:22" x14ac:dyDescent="0.35">
      <c r="A138" s="2" t="s">
        <v>408</v>
      </c>
      <c r="B138" s="49" cm="1">
        <f t="array" ref="B138">_xlfn.PERCENTRANK.EXC(_xlfn._xlws.FILTER(B2:B122, ISNUMBER(B2:B122)),B122)</f>
        <v>0.182</v>
      </c>
      <c r="C138" s="49" cm="1">
        <f t="array" ref="C138">_xlfn.PERCENTRANK.EXC(_xlfn._xlws.FILTER(C2:C122, ISNUMBER(C2:C122)),C122)</f>
        <v>0.48299999999999998</v>
      </c>
      <c r="D138" s="49" cm="1">
        <f t="array" ref="D138">_xlfn.PERCENTRANK.EXC(_xlfn._xlws.FILTER(D2:D122, ISNUMBER(D2:D122)),D122)</f>
        <v>0.49099999999999999</v>
      </c>
      <c r="E138" s="49" cm="1">
        <f t="array" ref="E138">_xlfn.PERCENTRANK.EXC(_xlfn._xlws.FILTER(E2:E122, ISNUMBER(E2:E122)),E122)</f>
        <v>0.64700000000000002</v>
      </c>
      <c r="F138" s="49" cm="1">
        <f t="array" ref="F138">_xlfn.PERCENTRANK.EXC(_xlfn._xlws.FILTER(F2:F122, ISNUMBER(F2:F122)),F122)</f>
        <v>0.92600000000000005</v>
      </c>
      <c r="G138" s="49" cm="1">
        <f t="array" ref="G138">_xlfn.PERCENTRANK.EXC(_xlfn._xlws.FILTER(G2:G122, ISNUMBER(G2:G122)),G122)</f>
        <v>0.80300000000000005</v>
      </c>
      <c r="H138" s="49" cm="1">
        <f t="array" ref="H138">_xlfn.PERCENTRANK.EXC(_xlfn._xlws.FILTER(H2:H122, ISNUMBER(H2:H122)),H122)</f>
        <v>0.70399999999999996</v>
      </c>
      <c r="I138" s="49" cm="1">
        <f t="array" ref="I138">_xlfn.PERCENTRANK.EXC(_xlfn._xlws.FILTER(I2:I122, ISNUMBER(I2:I122)),I122)</f>
        <v>0.61399999999999999</v>
      </c>
      <c r="J138" s="49" cm="1">
        <f t="array" ref="J138">_xlfn.PERCENTRANK.EXC(_xlfn._xlws.FILTER(J2:J122, ISNUMBER(J2:J122)),J122)</f>
        <v>0.70399999999999996</v>
      </c>
      <c r="K138" s="49" cm="1">
        <f t="array" ref="K138">_xlfn.PERCENTRANK.EXC(_xlfn._xlws.FILTER(K2:K122, ISNUMBER(K2:K122)),K122)</f>
        <v>0.622</v>
      </c>
      <c r="L138" s="49" cm="1">
        <f t="array" ref="L138">_xlfn.PERCENTRANK.EXC(_xlfn._xlws.FILTER(L2:L122, ISNUMBER(L2:L122)),L122)</f>
        <v>0.81899999999999995</v>
      </c>
      <c r="M138" s="49" cm="1">
        <f t="array" ref="M138">_xlfn.PERCENTRANK.EXC(_xlfn._xlws.FILTER(M2:M122, ISNUMBER(M2:M122)),M122)</f>
        <v>0.36799999999999999</v>
      </c>
      <c r="N138" s="49" cm="1">
        <f t="array" ref="N138">_xlfn.PERCENTRANK.EXC(_xlfn._xlws.FILTER(N2:N122, ISNUMBER(N2:N122)),N122)</f>
        <v>0.71299999999999997</v>
      </c>
      <c r="O138" s="49" cm="1">
        <f t="array" ref="O138">_xlfn.PERCENTRANK.EXC(_xlfn._xlws.FILTER(O2:O122, ISNUMBER(O2:O122)),O122)</f>
        <v>0.84399999999999997</v>
      </c>
      <c r="P138" s="49" cm="1">
        <f t="array" ref="P138">_xlfn.PERCENTRANK.EXC(_xlfn._xlws.FILTER(P2:P122, ISNUMBER(P2:P122)),P122)</f>
        <v>0.188</v>
      </c>
      <c r="Q138" s="49" cm="1">
        <f t="array" ref="Q138">_xlfn.PERCENTRANK.EXC(_xlfn._xlws.FILTER(Q2:Q122, ISNUMBER(Q2:Q122)),Q122)</f>
        <v>0.55500000000000005</v>
      </c>
      <c r="R138" s="49" cm="1">
        <f t="array" ref="R138">_xlfn.PERCENTRANK.EXC(_xlfn._xlws.FILTER(R2:R122, ISNUMBER(R2:R122)),R122)</f>
        <v>0.114</v>
      </c>
      <c r="S138" s="49" cm="1">
        <f t="array" ref="S138">_xlfn.PERCENTRANK.EXC(_xlfn._xlws.FILTER(S2:S122, ISNUMBER(S2:S122)),S122)</f>
        <v>0.65500000000000003</v>
      </c>
      <c r="T138" s="49" cm="1">
        <f t="array" ref="T138">_xlfn.PERCENTRANK.EXC(_xlfn._xlws.FILTER(T2:T122, ISNUMBER(T2:T122)),T122)</f>
        <v>0.629</v>
      </c>
      <c r="U138" s="49" cm="1">
        <f t="array" ref="U138">_xlfn.PERCENTRANK.EXC(_xlfn._xlws.FILTER(U2:U122, ISNUMBER(U2:U122)),U122)</f>
        <v>0.84399999999999997</v>
      </c>
      <c r="V138" s="165" cm="1">
        <f t="array" ref="V138">_xlfn.PERCENTRANK.EXC(_xlfn._xlws.FILTER(V2:V122, ISNUMBER(V2:V122)),V122)</f>
        <v>0.72499999999999998</v>
      </c>
    </row>
    <row r="139" spans="1:22" x14ac:dyDescent="0.35">
      <c r="A139" s="2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165"/>
    </row>
    <row r="140" spans="1:22" x14ac:dyDescent="0.35">
      <c r="A140" s="2" t="s">
        <v>472</v>
      </c>
      <c r="B140" s="49">
        <f t="shared" ref="B140:V140" si="2">AVERAGE(B136:B138)</f>
        <v>0.12133333333333333</v>
      </c>
      <c r="C140" s="49">
        <f t="shared" si="2"/>
        <v>0.48866666666666675</v>
      </c>
      <c r="D140" s="49">
        <f t="shared" si="2"/>
        <v>0.46933333333333332</v>
      </c>
      <c r="E140" s="49">
        <f t="shared" si="2"/>
        <v>0.49933333333333335</v>
      </c>
      <c r="F140" s="49">
        <f t="shared" si="2"/>
        <v>0.874</v>
      </c>
      <c r="G140" s="49">
        <f t="shared" si="2"/>
        <v>0.76433333333333342</v>
      </c>
      <c r="H140" s="49">
        <f t="shared" si="2"/>
        <v>0.51600000000000001</v>
      </c>
      <c r="I140" s="49">
        <f t="shared" si="2"/>
        <v>0.59233333333333338</v>
      </c>
      <c r="J140" s="49">
        <f t="shared" si="2"/>
        <v>0.81366666666666665</v>
      </c>
      <c r="K140" s="49">
        <f t="shared" si="2"/>
        <v>0.57866666666666655</v>
      </c>
      <c r="L140" s="49">
        <f t="shared" si="2"/>
        <v>0.79199999999999993</v>
      </c>
      <c r="M140" s="49">
        <f t="shared" si="2"/>
        <v>0.3106666666666667</v>
      </c>
      <c r="N140" s="49">
        <f t="shared" si="2"/>
        <v>0.77300000000000002</v>
      </c>
      <c r="O140" s="49">
        <f t="shared" si="2"/>
        <v>0.78933333333333333</v>
      </c>
      <c r="P140" s="49">
        <f t="shared" si="2"/>
        <v>0.15</v>
      </c>
      <c r="Q140" s="49">
        <f t="shared" si="2"/>
        <v>0.49333333333333335</v>
      </c>
      <c r="R140" s="49">
        <f t="shared" si="2"/>
        <v>0.10299999999999999</v>
      </c>
      <c r="S140" s="49">
        <f t="shared" si="2"/>
        <v>0.58699999999999997</v>
      </c>
      <c r="T140" s="49">
        <f t="shared" si="2"/>
        <v>0.629</v>
      </c>
      <c r="U140" s="49">
        <f t="shared" si="2"/>
        <v>0.74533333333333329</v>
      </c>
      <c r="V140" s="165">
        <f t="shared" si="2"/>
        <v>0.61866666666666659</v>
      </c>
    </row>
    <row r="141" spans="1:22" x14ac:dyDescent="0.35">
      <c r="A141" s="2"/>
    </row>
    <row r="142" spans="1:22" x14ac:dyDescent="0.35">
      <c r="A142" s="2"/>
    </row>
    <row r="143" spans="1:22" x14ac:dyDescent="0.35">
      <c r="A143" s="2"/>
    </row>
    <row r="144" spans="1:22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6"/>
  <sheetViews>
    <sheetView workbookViewId="0">
      <selection activeCell="G3" sqref="G3"/>
    </sheetView>
  </sheetViews>
  <sheetFormatPr defaultRowHeight="14.5" x14ac:dyDescent="0.35"/>
  <cols>
    <col min="1" max="1" width="10.6328125" customWidth="1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x14ac:dyDescent="0.35">
      <c r="B2" t="s">
        <v>872</v>
      </c>
      <c r="C2" t="s">
        <v>873</v>
      </c>
      <c r="D2" t="s">
        <v>874</v>
      </c>
      <c r="E2" t="s">
        <v>875</v>
      </c>
      <c r="F2" t="s">
        <v>876</v>
      </c>
      <c r="G2" t="s">
        <v>877</v>
      </c>
      <c r="H2" t="s">
        <v>878</v>
      </c>
      <c r="I2" t="s">
        <v>879</v>
      </c>
      <c r="J2" t="s">
        <v>880</v>
      </c>
      <c r="K2" t="s">
        <v>881</v>
      </c>
      <c r="L2" t="s">
        <v>882</v>
      </c>
      <c r="M2" t="s">
        <v>883</v>
      </c>
      <c r="N2" t="s">
        <v>884</v>
      </c>
      <c r="O2" t="s">
        <v>885</v>
      </c>
      <c r="P2" t="s">
        <v>872</v>
      </c>
      <c r="Q2" t="s">
        <v>886</v>
      </c>
      <c r="R2" t="s">
        <v>922</v>
      </c>
      <c r="S2" t="s">
        <v>887</v>
      </c>
      <c r="T2" t="s">
        <v>888</v>
      </c>
      <c r="U2" t="s">
        <v>37</v>
      </c>
      <c r="V2" t="s">
        <v>890</v>
      </c>
    </row>
    <row r="3" spans="1:22" x14ac:dyDescent="0.35">
      <c r="A3" s="2" cm="1">
        <f t="array" ref="A3:A22">_xll.FDSB(C2,"JULIAN(FMA_EPS(NTMA,-20AY,0,CY,,""PORTAGG"",""MEANR"").dates)")</f>
        <v>38352</v>
      </c>
      <c r="B3" t="str" cm="1">
        <f t="array" ref="B3:B22">_xll.FDSB(B2,"FMA_EPS(NTMA,-20AY,0,CY,,""PORTAGG"",""MEANR"")")</f>
        <v/>
      </c>
      <c r="C3" cm="1">
        <f t="array" ref="C3:C22">_xll.FDSB(C2,"FMA_EPS(NTMA,-20AY,0,CY,,""PORTAGG"",""MEANR"")")</f>
        <v>13.434564576232701</v>
      </c>
      <c r="D3" cm="1">
        <f t="array" ref="D3:D22">_xll.FDSB(D2,"FMA_EPS(NTMA,-20AY,0,CY,,""PORTAGG"",""MEANR"")")</f>
        <v>29.328407388037199</v>
      </c>
      <c r="E3" cm="1">
        <f t="array" ref="E3:E22">_xll.FDSB(E2,"FMA_EPS(NTMA,-20AY,0,CY,,""PORTAGG"",""MEANR"")")</f>
        <v>8.5922008253969793</v>
      </c>
      <c r="F3" cm="1">
        <f t="array" ref="F3:F22">_xll.FDSB(F2,"FMA_EPS(NTMA,-20AY,0,CY,,""PORTAGG"",""MEANR"")")</f>
        <v>11.3956611787009</v>
      </c>
      <c r="G3" cm="1">
        <f t="array" ref="G3:G22">_xll.FDSB(G2,"FMA_EPS(NTMA,-20AY,0,CY,,""PORTAGG"",""MEANR"")")</f>
        <v>24.758381998285898</v>
      </c>
      <c r="H3" cm="1">
        <f t="array" ref="H3:H22">_xll.FDSB(H2,"FMA_EPS(NTMA,-20AY,0,CY,,""PORTAGG"",""MEANR"")")</f>
        <v>10.1502703335633</v>
      </c>
      <c r="I3" cm="1">
        <f t="array" ref="I3:I22">_xll.FDSB(I2,"FMA_EPS(NTMA,-20AY,0,CY,,""PORTAGG"",""MEANR"")")</f>
        <v>9.1203142637957306</v>
      </c>
      <c r="J3" cm="1">
        <f t="array" ref="J3:J22">_xll.FDSB(J2,"FMA_EPS(NTMA,-20AY,0,CY,,""PORTAGG"",""MEANR"")")</f>
        <v>12.7623750851153</v>
      </c>
      <c r="K3" cm="1">
        <f t="array" ref="K3:K22">_xll.FDSB(K2,"FMA_EPS(NTMA,-20AY,0,CY,,""PORTAGG"",""MEANR"")")</f>
        <v>25.662347195809001</v>
      </c>
      <c r="L3" cm="1">
        <f t="array" ref="L3:L22">_xll.FDSB(L2,"FMA_EPS(NTMA,-20AY,0,CY,,""PORTAGG"",""MEANR"")")</f>
        <v>15.9634949001004</v>
      </c>
      <c r="M3" cm="1">
        <f t="array" ref="M3:M22">_xll.FDSB(M2,"FMA_EPS(NTMA,-20AY,0,CY,,""PORTAGG"",""MEANR"")")</f>
        <v>21.173858585297399</v>
      </c>
      <c r="N3" cm="1">
        <f t="array" ref="N3:N22">_xll.FDSB(N2,"FMA_EPS(NTMA,-20AY,0,CY,,""PORTAGG"",""MEANR"")")</f>
        <v>10.0263829592273</v>
      </c>
      <c r="O3" cm="1">
        <f t="array" ref="O3:O22">_xll.FDSB(O2,"FMA_EPS(NTMA,-20AY,0,CY,,""PORTAGG"",""MEANR"")")</f>
        <v>17.002762686970801</v>
      </c>
      <c r="P3" t="str" cm="1">
        <f t="array" ref="P3:P22">_xll.FDSB(P2,"FMA_EPS(NTMA,-20AY,0,CY,,""PORTAGG"",""MEANR"")")</f>
        <v/>
      </c>
      <c r="Q3" t="str" cm="1">
        <f t="array" ref="Q3:Q22">_xll.FDSB(Q2,"FMA_EPS(NTMA,-20AY,0,CY,,""PORTAGG"",""MEANR"")")</f>
        <v/>
      </c>
      <c r="R3" cm="1">
        <f t="array" ref="R3:R22">_xll.FDSB(R2,"FMA_EPS(NTMA,-20AY,0,CY,,""PORTAGG"",""MEANR"")")</f>
        <v>31.2696221195453</v>
      </c>
      <c r="S3" cm="1">
        <f t="array" ref="S3:S22">_xll.FDSB(S2,"FMA_EPS(NTMA,-20AY,0,CY,,""PORTAGG"",""MEANR"")")</f>
        <v>9.8646328541385593</v>
      </c>
      <c r="T3" t="str" cm="1">
        <f t="array" ref="T3:T22">_xll.FDSB(T2,"FMA_EPS(NTMA,-20AY,0,CY,,""PORTAGG"",""MEANR"")")</f>
        <v/>
      </c>
      <c r="U3" t="str" cm="1">
        <f t="array" ref="U3:U22">_xll.FDSB(U2,"FMA_EPS(NTMA,-20AY,0,CY,,""PORTAGG"",""MEANR"")")</f>
        <v/>
      </c>
      <c r="V3" t="str" cm="1">
        <f t="array" ref="V3:V22">_xll.FDSB(V2,"FMA_EPS(NTMA,-20AY,0,CY,,""PORTAGG"",""MEANR"")")</f>
        <v/>
      </c>
    </row>
    <row r="4" spans="1:22" x14ac:dyDescent="0.35">
      <c r="A4" s="2">
        <v>38716</v>
      </c>
      <c r="B4">
        <v>5.0849569667120598</v>
      </c>
      <c r="C4">
        <v>13.9377456000386</v>
      </c>
      <c r="D4">
        <v>28.502304622053899</v>
      </c>
      <c r="E4">
        <v>10.2584058872744</v>
      </c>
      <c r="F4">
        <v>13.1552545733141</v>
      </c>
      <c r="G4">
        <v>29.052160173403099</v>
      </c>
      <c r="H4">
        <v>10.4437641251748</v>
      </c>
      <c r="I4">
        <v>8.9303476254385998</v>
      </c>
      <c r="J4">
        <v>17.492700987289101</v>
      </c>
      <c r="K4">
        <v>29.7949627913341</v>
      </c>
      <c r="L4">
        <v>22.269679165579401</v>
      </c>
      <c r="M4">
        <v>23.7133706065956</v>
      </c>
      <c r="N4">
        <v>10.1383155721295</v>
      </c>
      <c r="O4">
        <v>19.822720636055699</v>
      </c>
      <c r="P4">
        <v>5.0849569667120598</v>
      </c>
      <c r="Q4" t="str">
        <v/>
      </c>
      <c r="R4">
        <v>27.830708973543</v>
      </c>
      <c r="S4">
        <v>13.697013097437001</v>
      </c>
      <c r="T4" t="str">
        <v/>
      </c>
      <c r="U4" t="str">
        <v/>
      </c>
      <c r="V4" t="str">
        <v/>
      </c>
    </row>
    <row r="5" spans="1:22" x14ac:dyDescent="0.35">
      <c r="A5" s="2">
        <v>39080</v>
      </c>
      <c r="B5">
        <v>6.0338155171964196</v>
      </c>
      <c r="C5">
        <v>16.9673771165975</v>
      </c>
      <c r="D5">
        <v>34.685901402476503</v>
      </c>
      <c r="E5">
        <v>13.469280972785601</v>
      </c>
      <c r="F5">
        <v>20.138294009379599</v>
      </c>
      <c r="G5">
        <v>45.770707779815297</v>
      </c>
      <c r="H5">
        <v>12.9724796418955</v>
      </c>
      <c r="I5">
        <v>10.2763772347485</v>
      </c>
      <c r="J5">
        <v>24.322714007841299</v>
      </c>
      <c r="K5">
        <v>31.250374805375401</v>
      </c>
      <c r="L5">
        <v>25.3174251708984</v>
      </c>
      <c r="M5">
        <v>27.645162928456401</v>
      </c>
      <c r="N5">
        <v>13.780296395743999</v>
      </c>
      <c r="O5">
        <v>24.865697095124499</v>
      </c>
      <c r="P5">
        <v>6.0338155171964196</v>
      </c>
      <c r="Q5">
        <v>8.1997996508561393</v>
      </c>
      <c r="R5">
        <v>28.9087147679287</v>
      </c>
      <c r="S5">
        <v>15.4857358154397</v>
      </c>
      <c r="T5">
        <v>9.51942202383999</v>
      </c>
      <c r="U5" t="str">
        <v/>
      </c>
      <c r="V5" t="str">
        <v/>
      </c>
    </row>
    <row r="6" spans="1:22" x14ac:dyDescent="0.35">
      <c r="A6" s="2">
        <v>39447</v>
      </c>
      <c r="B6">
        <v>10.2264803534379</v>
      </c>
      <c r="C6">
        <v>22.3266043070326</v>
      </c>
      <c r="D6">
        <v>3676.2417673763898</v>
      </c>
      <c r="E6">
        <v>18.211056811030801</v>
      </c>
      <c r="F6">
        <v>27.2509703511728</v>
      </c>
      <c r="G6">
        <v>47.188955571168698</v>
      </c>
      <c r="H6">
        <v>18.250339618841501</v>
      </c>
      <c r="I6">
        <v>12.364251957099199</v>
      </c>
      <c r="J6">
        <v>28.635869198830701</v>
      </c>
      <c r="K6">
        <v>35.671095666108002</v>
      </c>
      <c r="L6">
        <v>34.973662117333703</v>
      </c>
      <c r="M6">
        <v>34.561632181906702</v>
      </c>
      <c r="N6">
        <v>19.068788451230098</v>
      </c>
      <c r="O6">
        <v>36.988283944428701</v>
      </c>
      <c r="P6">
        <v>10.2264803534379</v>
      </c>
      <c r="Q6">
        <v>9.8686300832495508</v>
      </c>
      <c r="R6">
        <v>30.297662290330599</v>
      </c>
      <c r="S6">
        <v>22.335232530358301</v>
      </c>
      <c r="T6">
        <v>6.2741725599174698</v>
      </c>
      <c r="U6" t="str">
        <v/>
      </c>
      <c r="V6">
        <v>3.96336847567451</v>
      </c>
    </row>
    <row r="7" spans="1:22" x14ac:dyDescent="0.35">
      <c r="A7" s="2">
        <v>39813</v>
      </c>
      <c r="B7">
        <v>9.2256018344914992</v>
      </c>
      <c r="C7">
        <v>16.972614299954699</v>
      </c>
      <c r="D7">
        <v>35.3597916554534</v>
      </c>
      <c r="E7">
        <v>13.051550229378901</v>
      </c>
      <c r="F7">
        <v>17.815469153300199</v>
      </c>
      <c r="G7">
        <v>33.686515670731701</v>
      </c>
      <c r="H7">
        <v>14.0466581252587</v>
      </c>
      <c r="I7">
        <v>4.81199406443955</v>
      </c>
      <c r="J7">
        <v>18.398112178707098</v>
      </c>
      <c r="K7">
        <v>19.0450116297318</v>
      </c>
      <c r="L7">
        <v>24.6574673527732</v>
      </c>
      <c r="M7">
        <v>25.2671072778123</v>
      </c>
      <c r="N7">
        <v>14.4348202091653</v>
      </c>
      <c r="O7">
        <v>27.436164618174999</v>
      </c>
      <c r="P7">
        <v>9.2256018344914992</v>
      </c>
      <c r="Q7">
        <v>11.841618351085501</v>
      </c>
      <c r="R7">
        <v>23.8840282811916</v>
      </c>
      <c r="S7">
        <v>17.019420756228701</v>
      </c>
      <c r="T7">
        <v>8.0207481936270408</v>
      </c>
      <c r="U7" t="str">
        <v/>
      </c>
      <c r="V7">
        <v>3.2662604239358299</v>
      </c>
    </row>
    <row r="8" spans="1:22" x14ac:dyDescent="0.35">
      <c r="A8" s="2">
        <v>40178</v>
      </c>
      <c r="B8">
        <v>11.172170635010501</v>
      </c>
      <c r="C8">
        <v>22.045037488644301</v>
      </c>
      <c r="D8">
        <v>47.736144700177597</v>
      </c>
      <c r="E8">
        <v>16.0518603317777</v>
      </c>
      <c r="F8">
        <v>15.6334740740598</v>
      </c>
      <c r="G8">
        <v>51.830125697230699</v>
      </c>
      <c r="H8">
        <v>15.3757138406976</v>
      </c>
      <c r="I8">
        <v>7.9148861520771696</v>
      </c>
      <c r="J8">
        <v>21.122558654936402</v>
      </c>
      <c r="K8">
        <v>29.953975453925199</v>
      </c>
      <c r="L8">
        <v>33.0231081589585</v>
      </c>
      <c r="M8">
        <v>27.848981543161202</v>
      </c>
      <c r="N8">
        <v>11.777677999312401</v>
      </c>
      <c r="O8">
        <v>31.175992210796799</v>
      </c>
      <c r="P8">
        <v>11.172170635010501</v>
      </c>
      <c r="Q8">
        <v>9.7651145501040304</v>
      </c>
      <c r="R8">
        <v>35.389277737747101</v>
      </c>
      <c r="S8">
        <v>19.583149948253201</v>
      </c>
      <c r="T8">
        <v>5.6130526578387299</v>
      </c>
      <c r="U8">
        <v>1.7655692979856199</v>
      </c>
      <c r="V8">
        <v>2.53989246401814</v>
      </c>
    </row>
    <row r="9" spans="1:22" x14ac:dyDescent="0.35">
      <c r="A9" s="2">
        <v>40543</v>
      </c>
      <c r="B9">
        <v>14.2299143361003</v>
      </c>
      <c r="C9">
        <v>30.880542839610801</v>
      </c>
      <c r="D9">
        <v>65.769342621641997</v>
      </c>
      <c r="E9">
        <v>24.458649668672901</v>
      </c>
      <c r="F9">
        <v>20.0842977011357</v>
      </c>
      <c r="G9" t="str">
        <v/>
      </c>
      <c r="H9">
        <v>21.430664410270701</v>
      </c>
      <c r="I9">
        <v>11.891895954229099</v>
      </c>
      <c r="J9">
        <v>25.2833135475083</v>
      </c>
      <c r="K9">
        <v>37.906953014038002</v>
      </c>
      <c r="L9">
        <v>41.0114711872356</v>
      </c>
      <c r="M9">
        <v>37.978963069454203</v>
      </c>
      <c r="N9">
        <v>7.8987242847613599</v>
      </c>
      <c r="O9">
        <v>39.399448287295499</v>
      </c>
      <c r="P9">
        <v>14.2299143361003</v>
      </c>
      <c r="Q9">
        <v>8.6719190289465793</v>
      </c>
      <c r="R9">
        <v>41.786625850275499</v>
      </c>
      <c r="S9">
        <v>23.345771630522901</v>
      </c>
      <c r="T9">
        <v>4.4877335446446303</v>
      </c>
      <c r="U9">
        <v>1.77344510490664</v>
      </c>
      <c r="V9">
        <v>2.77600916912685</v>
      </c>
    </row>
    <row r="10" spans="1:22" x14ac:dyDescent="0.35">
      <c r="A10" s="2">
        <v>40907</v>
      </c>
      <c r="B10">
        <v>15.4690015453803</v>
      </c>
      <c r="C10">
        <v>24.552408537181201</v>
      </c>
      <c r="D10">
        <v>77.346909090614204</v>
      </c>
      <c r="E10">
        <v>25.970387374977399</v>
      </c>
      <c r="F10">
        <v>17.725643748249102</v>
      </c>
      <c r="G10">
        <v>93.155065183275198</v>
      </c>
      <c r="H10">
        <v>21.349017614840399</v>
      </c>
      <c r="I10">
        <v>8.7872843312793307</v>
      </c>
      <c r="J10">
        <v>25.363261988991599</v>
      </c>
      <c r="K10">
        <v>39.165024540945602</v>
      </c>
      <c r="L10">
        <v>37.007882634304003</v>
      </c>
      <c r="M10">
        <v>35.9045018487394</v>
      </c>
      <c r="N10">
        <v>4.2553200766717696</v>
      </c>
      <c r="O10">
        <v>33.207570085117901</v>
      </c>
      <c r="P10">
        <v>15.4690015453803</v>
      </c>
      <c r="Q10">
        <v>9.6607184301562992</v>
      </c>
      <c r="R10">
        <v>42.213108357164799</v>
      </c>
      <c r="S10">
        <v>19.9467070950164</v>
      </c>
      <c r="T10">
        <v>4.3627653297222899</v>
      </c>
      <c r="U10">
        <v>1.79926295005356</v>
      </c>
      <c r="V10">
        <v>3.2952128280511599</v>
      </c>
    </row>
    <row r="11" spans="1:22" x14ac:dyDescent="0.35">
      <c r="A11" s="2">
        <v>41274</v>
      </c>
      <c r="B11">
        <v>14.1959016123051</v>
      </c>
      <c r="C11">
        <v>26.169136062574299</v>
      </c>
      <c r="D11">
        <v>77.305189144590102</v>
      </c>
      <c r="E11">
        <v>28.057121050887599</v>
      </c>
      <c r="F11">
        <v>16.740047713355001</v>
      </c>
      <c r="G11">
        <v>85.656687187292604</v>
      </c>
      <c r="H11">
        <v>22.688480628153599</v>
      </c>
      <c r="I11">
        <v>9.2480782933114796</v>
      </c>
      <c r="J11">
        <v>28.0716519822771</v>
      </c>
      <c r="K11">
        <v>44.428480693781999</v>
      </c>
      <c r="L11">
        <v>30.109429091146598</v>
      </c>
      <c r="M11">
        <v>33.843661536537198</v>
      </c>
      <c r="N11">
        <v>3.4875799233974099</v>
      </c>
      <c r="O11">
        <v>33.401599807044498</v>
      </c>
      <c r="P11">
        <v>14.1959016123051</v>
      </c>
      <c r="Q11">
        <v>10.032167550511801</v>
      </c>
      <c r="R11">
        <v>48.114746973891002</v>
      </c>
      <c r="S11">
        <v>22.867118795456701</v>
      </c>
      <c r="T11">
        <v>4.5777608941325196</v>
      </c>
      <c r="U11">
        <v>2.1935186011017</v>
      </c>
      <c r="V11">
        <v>3.6105144468135402</v>
      </c>
    </row>
    <row r="12" spans="1:22" x14ac:dyDescent="0.35">
      <c r="A12" s="2">
        <v>41639</v>
      </c>
      <c r="B12">
        <v>16.0802582554231</v>
      </c>
      <c r="C12">
        <v>23.683868392776201</v>
      </c>
      <c r="D12">
        <v>63.441435673400598</v>
      </c>
      <c r="E12">
        <v>26.002546336643899</v>
      </c>
      <c r="F12">
        <v>17.3182407358996</v>
      </c>
      <c r="G12">
        <v>59.354476367326498</v>
      </c>
      <c r="H12">
        <v>22.317891358013298</v>
      </c>
      <c r="I12">
        <v>10.335608729129101</v>
      </c>
      <c r="J12">
        <v>26.2005304543781</v>
      </c>
      <c r="K12">
        <v>44.151808890174003</v>
      </c>
      <c r="L12">
        <v>25.624881086071898</v>
      </c>
      <c r="M12">
        <v>28.3585622697464</v>
      </c>
      <c r="N12">
        <v>1.35869561359766</v>
      </c>
      <c r="O12">
        <v>29.9102522143572</v>
      </c>
      <c r="P12">
        <v>16.0802582554231</v>
      </c>
      <c r="Q12">
        <v>9.6964761998417899</v>
      </c>
      <c r="R12">
        <v>45.5007724746185</v>
      </c>
      <c r="S12">
        <v>20.082880330268502</v>
      </c>
      <c r="T12">
        <v>5.6185255603787096</v>
      </c>
      <c r="U12">
        <v>2.0345477246873198</v>
      </c>
      <c r="V12">
        <v>3.7978958686548001</v>
      </c>
    </row>
    <row r="13" spans="1:22" x14ac:dyDescent="0.35">
      <c r="A13" s="2">
        <v>42004</v>
      </c>
      <c r="B13">
        <v>16.6306210914505</v>
      </c>
      <c r="C13">
        <v>20.4877824093345</v>
      </c>
      <c r="D13">
        <v>63.874105605238</v>
      </c>
      <c r="E13">
        <v>28.327573023517299</v>
      </c>
      <c r="F13">
        <v>14.552565432564201</v>
      </c>
      <c r="G13">
        <v>56.525655594745103</v>
      </c>
      <c r="H13">
        <v>20.491120731199398</v>
      </c>
      <c r="I13">
        <v>11.5748258148764</v>
      </c>
      <c r="J13">
        <v>23.6403453539385</v>
      </c>
      <c r="K13">
        <v>37.529910720556103</v>
      </c>
      <c r="L13">
        <v>21.0352241233002</v>
      </c>
      <c r="M13">
        <v>25.4355494971776</v>
      </c>
      <c r="N13">
        <v>2.30816157475713</v>
      </c>
      <c r="O13">
        <v>32.635673377426201</v>
      </c>
      <c r="P13">
        <v>16.6306210914505</v>
      </c>
      <c r="Q13">
        <v>9.7275664879185797</v>
      </c>
      <c r="R13">
        <v>42.846065697040999</v>
      </c>
      <c r="S13">
        <v>19.5514117112726</v>
      </c>
      <c r="T13">
        <v>6.6276583968020901</v>
      </c>
      <c r="U13">
        <v>1.5703955829648499</v>
      </c>
      <c r="V13">
        <v>3.7500511590498902</v>
      </c>
    </row>
    <row r="14" spans="1:22" x14ac:dyDescent="0.35">
      <c r="A14" s="2">
        <v>42369</v>
      </c>
      <c r="B14">
        <v>16.640425298627001</v>
      </c>
      <c r="C14">
        <v>18.4268311165022</v>
      </c>
      <c r="D14">
        <v>48.752618492065203</v>
      </c>
      <c r="E14">
        <v>26.217086843705498</v>
      </c>
      <c r="F14">
        <v>12.491276881256599</v>
      </c>
      <c r="G14">
        <v>54.926102535222498</v>
      </c>
      <c r="H14">
        <v>16.012857621985699</v>
      </c>
      <c r="I14">
        <v>10.818274707680301</v>
      </c>
      <c r="J14">
        <v>20.954555901450501</v>
      </c>
      <c r="K14">
        <v>33.459612643889997</v>
      </c>
      <c r="L14">
        <v>13.1501919917959</v>
      </c>
      <c r="M14">
        <v>19.9580367513956</v>
      </c>
      <c r="N14">
        <v>1.4022964691147199</v>
      </c>
      <c r="O14">
        <v>32.803372477551903</v>
      </c>
      <c r="P14">
        <v>16.640425298627001</v>
      </c>
      <c r="Q14">
        <v>9.2580209054864202</v>
      </c>
      <c r="R14">
        <v>39.047339763588397</v>
      </c>
      <c r="S14">
        <v>17.401191947957599</v>
      </c>
      <c r="T14">
        <v>6.4932849928941803</v>
      </c>
      <c r="U14">
        <v>1.29980601244052</v>
      </c>
      <c r="V14">
        <v>3.2910319076638199</v>
      </c>
    </row>
    <row r="15" spans="1:22" x14ac:dyDescent="0.35">
      <c r="A15" s="2">
        <v>42734</v>
      </c>
      <c r="B15">
        <v>16.5240809032362</v>
      </c>
      <c r="C15">
        <v>17.2536219467367</v>
      </c>
      <c r="D15">
        <v>55.988904163635198</v>
      </c>
      <c r="E15">
        <v>26.557287186914401</v>
      </c>
      <c r="F15">
        <v>13.2484078165723</v>
      </c>
      <c r="G15">
        <v>78.526017537831507</v>
      </c>
      <c r="H15">
        <v>14.379141073513299</v>
      </c>
      <c r="I15">
        <v>11.1314122132999</v>
      </c>
      <c r="J15">
        <v>19.8032110904755</v>
      </c>
      <c r="K15">
        <v>36.537927929167203</v>
      </c>
      <c r="L15">
        <v>17.125192658189</v>
      </c>
      <c r="M15">
        <v>24.096632837755202</v>
      </c>
      <c r="N15">
        <v>0.48515441037968599</v>
      </c>
      <c r="O15">
        <v>33.358186869155702</v>
      </c>
      <c r="P15">
        <v>16.5240809032362</v>
      </c>
      <c r="Q15">
        <v>8.1341841933758605</v>
      </c>
      <c r="R15">
        <v>39.7546846722989</v>
      </c>
      <c r="S15">
        <v>16.482662150029899</v>
      </c>
      <c r="T15">
        <v>6.0861078287768198</v>
      </c>
      <c r="U15">
        <v>1.0361948033030399</v>
      </c>
      <c r="V15">
        <v>2.8201608521155102</v>
      </c>
    </row>
    <row r="16" spans="1:22" x14ac:dyDescent="0.35">
      <c r="A16" s="2">
        <v>43098</v>
      </c>
      <c r="B16">
        <v>19.021710790433701</v>
      </c>
      <c r="C16">
        <v>26.363304905960199</v>
      </c>
      <c r="D16">
        <v>62.060562018711998</v>
      </c>
      <c r="E16">
        <v>30.208789832529</v>
      </c>
      <c r="F16">
        <v>19.471618619553499</v>
      </c>
      <c r="G16" t="str">
        <v/>
      </c>
      <c r="H16">
        <v>17.421806582670801</v>
      </c>
      <c r="I16">
        <v>13.688243472002901</v>
      </c>
      <c r="J16">
        <v>23.417378316250598</v>
      </c>
      <c r="K16">
        <v>53.6332908559232</v>
      </c>
      <c r="L16">
        <v>19.018321624573499</v>
      </c>
      <c r="M16">
        <v>27.723577253282201</v>
      </c>
      <c r="N16">
        <v>0.50597941155248904</v>
      </c>
      <c r="O16">
        <v>38.022971364529099</v>
      </c>
      <c r="P16">
        <v>19.021710790433701</v>
      </c>
      <c r="Q16">
        <v>7.8063683836513604</v>
      </c>
      <c r="R16">
        <v>47.2983820623366</v>
      </c>
      <c r="S16">
        <v>20.8864123256607</v>
      </c>
      <c r="T16">
        <v>7.1196723903505896</v>
      </c>
      <c r="U16">
        <v>0.937220389578586</v>
      </c>
      <c r="V16">
        <v>3.2115537135205399</v>
      </c>
    </row>
    <row r="17" spans="1:22" x14ac:dyDescent="0.35">
      <c r="A17" s="2">
        <v>43465</v>
      </c>
      <c r="B17">
        <v>18.005603285854001</v>
      </c>
      <c r="C17">
        <v>21.6808239098782</v>
      </c>
      <c r="D17">
        <v>62.720518466032097</v>
      </c>
      <c r="E17">
        <v>29.617777137877201</v>
      </c>
      <c r="F17">
        <v>18.0244220851928</v>
      </c>
      <c r="G17" t="str">
        <v/>
      </c>
      <c r="H17">
        <v>16.346373454046699</v>
      </c>
      <c r="I17">
        <v>12.893459081837699</v>
      </c>
      <c r="J17">
        <v>25.545457616017199</v>
      </c>
      <c r="K17">
        <v>45.924113688163203</v>
      </c>
      <c r="L17">
        <v>20.421960422512399</v>
      </c>
      <c r="M17">
        <v>26.704915589881299</v>
      </c>
      <c r="N17">
        <v>0.451702417206922</v>
      </c>
      <c r="O17">
        <v>36.620398667265697</v>
      </c>
      <c r="P17">
        <v>18.005603285854001</v>
      </c>
      <c r="Q17">
        <v>8.3367750968187107</v>
      </c>
      <c r="R17">
        <v>49.708084418047697</v>
      </c>
      <c r="S17">
        <v>19.084889838822601</v>
      </c>
      <c r="T17">
        <v>7.1378854296696597</v>
      </c>
      <c r="U17">
        <v>1.0390404741058199</v>
      </c>
      <c r="V17">
        <v>3.27157784678448</v>
      </c>
    </row>
    <row r="18" spans="1:22" x14ac:dyDescent="0.35">
      <c r="A18" s="2">
        <v>43830</v>
      </c>
      <c r="B18">
        <v>17.637359718743902</v>
      </c>
      <c r="C18">
        <v>17.386192150320198</v>
      </c>
      <c r="D18">
        <v>63.732476692739603</v>
      </c>
      <c r="E18">
        <v>33.663276001734197</v>
      </c>
      <c r="F18">
        <v>16.918160023137599</v>
      </c>
      <c r="G18" t="str">
        <v/>
      </c>
      <c r="H18">
        <v>15.698795476448501</v>
      </c>
      <c r="I18">
        <v>12.9786240170966</v>
      </c>
      <c r="J18">
        <v>25.369127378041401</v>
      </c>
      <c r="K18">
        <v>35.903964676767501</v>
      </c>
      <c r="L18">
        <v>20.1300196594025</v>
      </c>
      <c r="M18">
        <v>31.803341123560699</v>
      </c>
      <c r="N18">
        <v>0.58009613257671799</v>
      </c>
      <c r="O18">
        <v>36.306652078399999</v>
      </c>
      <c r="P18">
        <v>17.637359718743902</v>
      </c>
      <c r="Q18">
        <v>7.7374565221448997</v>
      </c>
      <c r="R18">
        <v>48.124032379911597</v>
      </c>
      <c r="S18">
        <v>22.565965383258501</v>
      </c>
      <c r="T18">
        <v>7.0206655012913197</v>
      </c>
      <c r="U18">
        <v>1.1160182264929299</v>
      </c>
      <c r="V18">
        <v>2.35319343646412</v>
      </c>
    </row>
    <row r="19" spans="1:22" x14ac:dyDescent="0.35">
      <c r="A19" s="2">
        <v>44196</v>
      </c>
      <c r="B19">
        <v>17.494770702936499</v>
      </c>
      <c r="C19">
        <v>15.4747210424778</v>
      </c>
      <c r="D19">
        <v>51.526922598559203</v>
      </c>
      <c r="E19">
        <v>25.625710926113101</v>
      </c>
      <c r="F19">
        <v>12.725119300051601</v>
      </c>
      <c r="G19" t="str">
        <v/>
      </c>
      <c r="H19">
        <v>16.388226157627699</v>
      </c>
      <c r="I19">
        <v>15.9439970065549</v>
      </c>
      <c r="J19">
        <v>22.356960911938302</v>
      </c>
      <c r="K19">
        <v>42.801614648665499</v>
      </c>
      <c r="L19">
        <v>14.9311683661002</v>
      </c>
      <c r="M19">
        <v>34.321902015430901</v>
      </c>
      <c r="N19">
        <v>0.55741767368310902</v>
      </c>
      <c r="O19">
        <v>33.704787644209198</v>
      </c>
      <c r="P19">
        <v>17.494770702936499</v>
      </c>
      <c r="Q19">
        <v>7.7846531590948196</v>
      </c>
      <c r="R19">
        <v>34.710630746476298</v>
      </c>
      <c r="S19">
        <v>23.281427883573102</v>
      </c>
      <c r="T19">
        <v>5.1277339653251497</v>
      </c>
      <c r="U19">
        <v>1.03737377793235</v>
      </c>
      <c r="V19">
        <v>1.93303150117598</v>
      </c>
    </row>
    <row r="20" spans="1:22" x14ac:dyDescent="0.35">
      <c r="A20" s="2">
        <v>44561</v>
      </c>
      <c r="B20">
        <v>21.276244856703801</v>
      </c>
      <c r="C20">
        <v>18.685686268485899</v>
      </c>
      <c r="D20">
        <v>58.771705582256502</v>
      </c>
      <c r="E20">
        <v>24.890007199499401</v>
      </c>
      <c r="F20">
        <v>16.795925418676902</v>
      </c>
      <c r="G20">
        <v>59.664423905694001</v>
      </c>
      <c r="H20">
        <v>16.010960210894499</v>
      </c>
      <c r="I20">
        <v>24.305116439372402</v>
      </c>
      <c r="J20">
        <v>28.181628167862499</v>
      </c>
      <c r="K20">
        <v>51.3050659025632</v>
      </c>
      <c r="L20">
        <v>18.5635369775184</v>
      </c>
      <c r="M20">
        <v>36.779911725976703</v>
      </c>
      <c r="N20">
        <v>0.62188546902171704</v>
      </c>
      <c r="O20">
        <v>47.017142995944504</v>
      </c>
      <c r="P20">
        <v>21.276244856703801</v>
      </c>
      <c r="Q20">
        <v>9.3577310145755703</v>
      </c>
      <c r="R20">
        <v>40.272341531212099</v>
      </c>
      <c r="S20">
        <v>19.758356629899801</v>
      </c>
      <c r="T20">
        <v>7.5479683630346104</v>
      </c>
      <c r="U20">
        <v>1.28884335629541</v>
      </c>
      <c r="V20">
        <v>3.0736788271556299</v>
      </c>
    </row>
    <row r="21" spans="1:22" x14ac:dyDescent="0.35">
      <c r="A21" s="2">
        <v>44925</v>
      </c>
      <c r="B21">
        <v>20.372399316016701</v>
      </c>
      <c r="C21">
        <v>25.909162089116698</v>
      </c>
      <c r="D21">
        <v>64.972794209119996</v>
      </c>
      <c r="E21">
        <v>26.8368786417054</v>
      </c>
      <c r="F21">
        <v>17.088924383662398</v>
      </c>
      <c r="G21">
        <v>84.444227608503994</v>
      </c>
      <c r="H21">
        <v>16.707562704462202</v>
      </c>
      <c r="I21">
        <v>19.760160852025798</v>
      </c>
      <c r="J21">
        <v>32.531987108244799</v>
      </c>
      <c r="K21">
        <v>35.388927094016303</v>
      </c>
      <c r="L21">
        <v>21.079502254298099</v>
      </c>
      <c r="M21">
        <v>38.543131768041199</v>
      </c>
      <c r="N21">
        <v>0.86953187662514597</v>
      </c>
      <c r="O21">
        <v>46.035209590537299</v>
      </c>
      <c r="P21">
        <v>20.372399316016701</v>
      </c>
      <c r="Q21">
        <v>9.9739874595000497</v>
      </c>
      <c r="R21">
        <v>42.481578271294197</v>
      </c>
      <c r="S21">
        <v>36.400826514230097</v>
      </c>
      <c r="T21">
        <v>11.3918613611305</v>
      </c>
      <c r="U21">
        <v>1.1112749295061899</v>
      </c>
      <c r="V21">
        <v>3.6287787957355899</v>
      </c>
    </row>
    <row r="22" spans="1:22" x14ac:dyDescent="0.35">
      <c r="A22" s="2">
        <v>45289</v>
      </c>
      <c r="B22">
        <v>19.149741788135898</v>
      </c>
      <c r="C22">
        <v>28.7106028961196</v>
      </c>
      <c r="D22">
        <v>68.010993762859897</v>
      </c>
      <c r="E22">
        <v>30.831567947575198</v>
      </c>
      <c r="F22">
        <v>23.395588724849102</v>
      </c>
      <c r="G22" t="str">
        <v/>
      </c>
      <c r="H22">
        <v>16.774490742613398</v>
      </c>
      <c r="I22">
        <v>19.096081665623998</v>
      </c>
      <c r="J22">
        <v>39.366218630144097</v>
      </c>
      <c r="K22">
        <v>41.6847962652121</v>
      </c>
      <c r="L22">
        <v>24.059459210198099</v>
      </c>
      <c r="M22">
        <v>33.885208453724402</v>
      </c>
      <c r="N22">
        <v>1.21959709581891</v>
      </c>
      <c r="O22">
        <v>54.6770306960927</v>
      </c>
      <c r="P22">
        <v>19.149741788135898</v>
      </c>
      <c r="Q22">
        <v>9.6132080179228101</v>
      </c>
      <c r="R22">
        <v>40.181577372163503</v>
      </c>
      <c r="S22">
        <v>47.716877016372699</v>
      </c>
      <c r="T22">
        <v>11.056046216247401</v>
      </c>
      <c r="U22">
        <v>0.88605728251453697</v>
      </c>
      <c r="V22">
        <v>3.0115180925471901</v>
      </c>
    </row>
    <row r="24" spans="1:22" x14ac:dyDescent="0.35">
      <c r="B24" s="8">
        <f t="shared" ref="B24:V24" si="0">COUNT(B1:B22)</f>
        <v>19</v>
      </c>
      <c r="C24" s="8">
        <f t="shared" si="0"/>
        <v>20</v>
      </c>
      <c r="D24" s="8">
        <f t="shared" si="0"/>
        <v>20</v>
      </c>
      <c r="E24" s="8">
        <f t="shared" si="0"/>
        <v>20</v>
      </c>
      <c r="F24" s="8">
        <f t="shared" si="0"/>
        <v>20</v>
      </c>
      <c r="G24" s="8">
        <f t="shared" si="0"/>
        <v>14</v>
      </c>
      <c r="H24" s="8">
        <f t="shared" si="0"/>
        <v>20</v>
      </c>
      <c r="I24" s="8">
        <f t="shared" si="0"/>
        <v>20</v>
      </c>
      <c r="J24" s="8">
        <f t="shared" si="0"/>
        <v>20</v>
      </c>
      <c r="K24" s="8">
        <f t="shared" si="0"/>
        <v>20</v>
      </c>
      <c r="L24" s="8">
        <f t="shared" si="0"/>
        <v>20</v>
      </c>
      <c r="M24" s="8">
        <f t="shared" si="0"/>
        <v>20</v>
      </c>
      <c r="N24" s="8">
        <f t="shared" si="0"/>
        <v>20</v>
      </c>
      <c r="O24" s="8">
        <f t="shared" si="0"/>
        <v>20</v>
      </c>
      <c r="P24" s="8">
        <f t="shared" si="0"/>
        <v>19</v>
      </c>
      <c r="Q24" s="8">
        <f t="shared" si="0"/>
        <v>18</v>
      </c>
      <c r="R24" s="8">
        <f t="shared" si="0"/>
        <v>20</v>
      </c>
      <c r="S24" s="8">
        <f t="shared" si="0"/>
        <v>20</v>
      </c>
      <c r="T24" s="8">
        <f t="shared" si="0"/>
        <v>18</v>
      </c>
      <c r="U24" s="8">
        <f t="shared" si="0"/>
        <v>15</v>
      </c>
      <c r="V24" s="8">
        <f t="shared" si="0"/>
        <v>17</v>
      </c>
    </row>
    <row r="26" spans="1:22" x14ac:dyDescent="0.35">
      <c r="A26" t="s">
        <v>94</v>
      </c>
      <c r="B26" s="59" cm="1">
        <f t="array" ref="B26">(B22/INDEX(B3:B22,MATCH(TRUE,INDEX(ISNUMBER(B3:B22),0),0)))^(1/B24)-1</f>
        <v>7.2282564237734714E-2</v>
      </c>
      <c r="C26" s="59" cm="1">
        <f t="array" ref="C26">(C22/INDEX(C3:C22,MATCH(TRUE,INDEX(ISNUMBER(C3:C22),0),0)))^(1/C24)-1</f>
        <v>3.8701923493088319E-2</v>
      </c>
      <c r="D26" s="59" cm="1">
        <f t="array" ref="D26">(D22/INDEX(D3:D22,MATCH(TRUE,INDEX(ISNUMBER(D3:D22),0),0)))^(1/D24)-1</f>
        <v>4.2952506144938951E-2</v>
      </c>
      <c r="E26" s="59" cm="1">
        <f t="array" ref="E26">(E22/INDEX(E3:E22,MATCH(TRUE,INDEX(ISNUMBER(E3:E22),0),0)))^(1/E24)-1</f>
        <v>6.5968962399152176E-2</v>
      </c>
      <c r="F26" s="59" cm="1">
        <f t="array" ref="F26">(F22/INDEX(F3:F22,MATCH(TRUE,INDEX(ISNUMBER(F3:F22),0),0)))^(1/F24)-1</f>
        <v>3.6620331475524681E-2</v>
      </c>
      <c r="G26" s="59" t="e" cm="1">
        <f t="array" ref="G26">(G22/INDEX(G3:G22,MATCH(TRUE,INDEX(ISNUMBER(G3:G22),0),0)))^(1/G24)-1</f>
        <v>#VALUE!</v>
      </c>
      <c r="H26" s="59" cm="1">
        <f t="array" ref="H26">(H22/INDEX(H3:H22,MATCH(TRUE,INDEX(ISNUMBER(H3:H22),0),0)))^(1/H24)-1</f>
        <v>2.5436062821663219E-2</v>
      </c>
      <c r="I26" s="59" cm="1">
        <f t="array" ref="I26">(I22/INDEX(I3:I22,MATCH(TRUE,INDEX(ISNUMBER(I3:I22),0),0)))^(1/I24)-1</f>
        <v>3.7640042948128061E-2</v>
      </c>
      <c r="J26" s="59" cm="1">
        <f t="array" ref="J26">(J22/INDEX(J3:J22,MATCH(TRUE,INDEX(ISNUMBER(J3:J22),0),0)))^(1/J24)-1</f>
        <v>5.793652131411231E-2</v>
      </c>
      <c r="K26" s="59" cm="1">
        <f t="array" ref="K26">(K22/INDEX(K3:K22,MATCH(TRUE,INDEX(ISNUMBER(K3:K22),0),0)))^(1/K24)-1</f>
        <v>2.4552141332303545E-2</v>
      </c>
      <c r="L26" s="59" cm="1">
        <f t="array" ref="L26">(L22/INDEX(L3:L22,MATCH(TRUE,INDEX(ISNUMBER(L3:L22),0),0)))^(1/L24)-1</f>
        <v>2.0722984293528368E-2</v>
      </c>
      <c r="M26" s="59" cm="1">
        <f t="array" ref="M26">(M22/INDEX(M3:M22,MATCH(TRUE,INDEX(ISNUMBER(M3:M22),0),0)))^(1/M24)-1</f>
        <v>2.3789114726455285E-2</v>
      </c>
      <c r="N26" s="59" cm="1">
        <f t="array" ref="N26">(N22/INDEX(N3:N22,MATCH(TRUE,INDEX(ISNUMBER(N3:N22),0),0)))^(1/N24)-1</f>
        <v>-9.9977006807554725E-2</v>
      </c>
      <c r="O26" s="59" cm="1">
        <f t="array" ref="O26">(O22/INDEX(O3:O22,MATCH(TRUE,INDEX(ISNUMBER(O3:O22),0),0)))^(1/O24)-1</f>
        <v>6.0142563832452867E-2</v>
      </c>
      <c r="P26" s="59" cm="1">
        <f t="array" ref="P26">(P22/INDEX(P3:P22,MATCH(TRUE,INDEX(ISNUMBER(P3:P22),0),0)))^(1/P24)-1</f>
        <v>7.2282564237734714E-2</v>
      </c>
      <c r="Q26" s="59" cm="1">
        <f t="array" ref="Q26">(Q22/INDEX(Q3:Q22,MATCH(TRUE,INDEX(ISNUMBER(Q3:Q22),0),0)))^(1/Q24)-1</f>
        <v>8.8740466700483189E-3</v>
      </c>
      <c r="R26" s="59" cm="1">
        <f t="array" ref="R26">(R22/INDEX(R3:R22,MATCH(TRUE,INDEX(ISNUMBER(R3:R22),0),0)))^(1/R24)-1</f>
        <v>1.2617007682877768E-2</v>
      </c>
      <c r="S26" s="59" cm="1">
        <f t="array" ref="S26">(S22/INDEX(S3:S22,MATCH(TRUE,INDEX(ISNUMBER(S3:S22),0),0)))^(1/S24)-1</f>
        <v>8.2005714106922367E-2</v>
      </c>
      <c r="T26" s="59" cm="1">
        <f t="array" ref="T26">(T22/INDEX(T3:T22,MATCH(TRUE,INDEX(ISNUMBER(T3:T22),0),0)))^(1/T24)-1</f>
        <v>8.3481705840200426E-3</v>
      </c>
      <c r="U26" s="59" cm="1">
        <f t="array" ref="U26">(U22/INDEX(U3:U22,MATCH(TRUE,INDEX(ISNUMBER(U3:U22),0),0)))^(1/U24)-1</f>
        <v>-4.4922819308067519E-2</v>
      </c>
      <c r="V26" s="59" cm="1">
        <f t="array" ref="V26">(V22/INDEX(V3:V22,MATCH(TRUE,INDEX(ISNUMBER(V3:V22),0),0)))^(1/V24)-1</f>
        <v>-1.6026075350590196E-2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6328125" customWidth="1"/>
    <col min="3" max="3" width="16.08984375" customWidth="1"/>
    <col min="4" max="4" width="14" customWidth="1"/>
    <col min="5" max="5" width="14.6328125" customWidth="1"/>
    <col min="6" max="6" width="15.453125" style="124" customWidth="1"/>
    <col min="23" max="23" width="9.36328125" customWidth="1"/>
  </cols>
  <sheetData>
    <row r="1" spans="1:24" ht="18.5" x14ac:dyDescent="0.45">
      <c r="A1" s="96" t="s">
        <v>576</v>
      </c>
      <c r="B1" s="97"/>
      <c r="C1" s="94"/>
      <c r="D1" s="94"/>
      <c r="E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</row>
    <row r="2" spans="1:24" x14ac:dyDescent="0.35">
      <c r="A2" s="94"/>
      <c r="B2" s="97"/>
      <c r="C2" s="94"/>
      <c r="D2" s="94"/>
      <c r="E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</row>
    <row r="3" spans="1:24" ht="21" x14ac:dyDescent="0.5">
      <c r="A3" s="98" t="s">
        <v>747</v>
      </c>
      <c r="B3" s="99"/>
      <c r="C3" s="94"/>
      <c r="D3" s="94"/>
      <c r="E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4" spans="1:24" x14ac:dyDescent="0.35">
      <c r="A4" s="116" t="s">
        <v>577</v>
      </c>
      <c r="B4" s="99"/>
      <c r="C4" s="94"/>
      <c r="D4" s="94"/>
      <c r="E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</row>
    <row r="5" spans="1:24" x14ac:dyDescent="0.35">
      <c r="A5" s="94"/>
      <c r="B5" s="97"/>
      <c r="C5" s="94"/>
      <c r="D5" s="94"/>
      <c r="E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</row>
    <row r="6" spans="1:24" x14ac:dyDescent="0.35">
      <c r="A6" s="106"/>
      <c r="B6" s="109"/>
      <c r="C6" s="94"/>
      <c r="D6" s="94"/>
      <c r="E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</row>
    <row r="7" spans="1:24" x14ac:dyDescent="0.35">
      <c r="A7" s="210"/>
      <c r="B7" s="210"/>
      <c r="C7" s="94"/>
      <c r="D7" s="94"/>
      <c r="E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</row>
    <row r="8" spans="1:24" x14ac:dyDescent="0.35">
      <c r="A8" s="114"/>
      <c r="B8" s="114"/>
      <c r="C8" s="211" t="s">
        <v>578</v>
      </c>
      <c r="D8" s="212"/>
      <c r="E8" s="213"/>
      <c r="G8" s="94"/>
      <c r="H8" s="94"/>
      <c r="I8" s="94"/>
      <c r="J8" s="94"/>
      <c r="K8" s="94"/>
      <c r="L8" s="211" t="s">
        <v>579</v>
      </c>
      <c r="M8" s="212"/>
      <c r="N8" s="212"/>
      <c r="O8" s="212"/>
      <c r="P8" s="212"/>
      <c r="Q8" s="212"/>
      <c r="R8" s="212"/>
      <c r="S8" s="212"/>
      <c r="T8" s="212"/>
      <c r="U8" s="212"/>
      <c r="V8" s="213"/>
    </row>
    <row r="9" spans="1:24" ht="43.5" x14ac:dyDescent="0.35">
      <c r="A9" s="100" t="s">
        <v>580</v>
      </c>
      <c r="B9" s="100" t="s">
        <v>581</v>
      </c>
      <c r="C9" s="118" t="s">
        <v>582</v>
      </c>
      <c r="D9" s="119" t="s">
        <v>583</v>
      </c>
      <c r="E9" s="120" t="s">
        <v>584</v>
      </c>
      <c r="F9" s="124" t="s">
        <v>752</v>
      </c>
      <c r="G9" s="110" t="s">
        <v>748</v>
      </c>
      <c r="H9" s="112" t="s">
        <v>749</v>
      </c>
      <c r="I9" s="112" t="s">
        <v>750</v>
      </c>
      <c r="J9" s="111" t="s">
        <v>751</v>
      </c>
      <c r="K9" s="113"/>
      <c r="L9" s="123">
        <v>2012</v>
      </c>
      <c r="M9" s="101">
        <v>2013</v>
      </c>
      <c r="N9" s="101">
        <v>2014</v>
      </c>
      <c r="O9" s="101">
        <v>2015</v>
      </c>
      <c r="P9" s="101">
        <v>2016</v>
      </c>
      <c r="Q9" s="101">
        <v>2017</v>
      </c>
      <c r="R9" s="101">
        <v>2018</v>
      </c>
      <c r="S9" s="101">
        <v>2019</v>
      </c>
      <c r="T9" s="101">
        <v>2020</v>
      </c>
      <c r="U9" s="101">
        <v>2021</v>
      </c>
      <c r="V9" s="102">
        <v>2022</v>
      </c>
      <c r="W9" s="111" t="s">
        <v>758</v>
      </c>
      <c r="X9" s="111" t="s">
        <v>759</v>
      </c>
    </row>
    <row r="10" spans="1:24" x14ac:dyDescent="0.35">
      <c r="A10" s="95" t="s">
        <v>585</v>
      </c>
      <c r="B10" s="95" t="s">
        <v>586</v>
      </c>
      <c r="C10" s="103">
        <v>-6.330015897488761</v>
      </c>
      <c r="D10" s="104">
        <v>-1.9803203632740796</v>
      </c>
      <c r="E10" s="105">
        <v>1.4438839505667156</v>
      </c>
      <c r="G10" s="117" t="s">
        <v>587</v>
      </c>
      <c r="H10" s="115">
        <v>34.781666666666666</v>
      </c>
      <c r="I10" s="107">
        <v>154</v>
      </c>
      <c r="J10" s="108">
        <v>32</v>
      </c>
      <c r="K10" s="95"/>
      <c r="L10" s="103">
        <v>19.865459911417584</v>
      </c>
      <c r="M10" s="104">
        <v>9.8957883924851959</v>
      </c>
      <c r="N10" s="104">
        <v>6.5854081038949879</v>
      </c>
      <c r="O10" s="104">
        <v>0.98799999999999999</v>
      </c>
      <c r="P10" s="104">
        <v>2.1640000000000001</v>
      </c>
      <c r="Q10" s="104">
        <v>2.6469999999999998</v>
      </c>
      <c r="R10" s="104">
        <v>1.1890000000000001</v>
      </c>
      <c r="S10" s="104">
        <v>3.9119999999999999</v>
      </c>
      <c r="T10" s="104">
        <v>-2.351</v>
      </c>
      <c r="U10" s="104">
        <v>-2.4</v>
      </c>
      <c r="V10" s="105">
        <v>-5</v>
      </c>
      <c r="W10" s="105">
        <f>AVERAGE(D10,E10)</f>
        <v>-0.26821820635368199</v>
      </c>
    </row>
    <row r="11" spans="1:24" x14ac:dyDescent="0.35">
      <c r="A11" s="95" t="s">
        <v>231</v>
      </c>
      <c r="B11" s="95" t="s">
        <v>588</v>
      </c>
      <c r="C11" s="103">
        <v>2.8369230771995602</v>
      </c>
      <c r="D11" s="104">
        <v>2.527708680261509</v>
      </c>
      <c r="E11" s="105">
        <v>2.499335307066497</v>
      </c>
      <c r="G11" s="117" t="s">
        <v>405</v>
      </c>
      <c r="H11" s="115">
        <v>71.94876523650197</v>
      </c>
      <c r="I11" s="107">
        <v>80</v>
      </c>
      <c r="J11" s="108">
        <v>40</v>
      </c>
      <c r="K11" s="95"/>
      <c r="L11" s="103">
        <v>1.4329514555018943</v>
      </c>
      <c r="M11" s="104">
        <v>1.0096624423848639</v>
      </c>
      <c r="N11" s="104">
        <v>1.7987489151280414</v>
      </c>
      <c r="O11" s="104">
        <v>2.2189999999999999</v>
      </c>
      <c r="P11" s="104">
        <v>3.3149999999999999</v>
      </c>
      <c r="Q11" s="104">
        <v>3.802</v>
      </c>
      <c r="R11" s="104">
        <v>4.0190000000000001</v>
      </c>
      <c r="S11" s="104">
        <v>2.0880000000000001</v>
      </c>
      <c r="T11" s="104">
        <v>-3.4820000000000002</v>
      </c>
      <c r="U11" s="104">
        <v>8.516</v>
      </c>
      <c r="V11" s="105">
        <v>3.74</v>
      </c>
      <c r="W11" s="105">
        <f t="shared" ref="W11:W74" si="0">AVERAGE(D11,E11)</f>
        <v>2.513521993664003</v>
      </c>
    </row>
    <row r="12" spans="1:24" x14ac:dyDescent="0.35">
      <c r="A12" s="95" t="s">
        <v>589</v>
      </c>
      <c r="B12" s="95" t="s">
        <v>590</v>
      </c>
      <c r="C12" s="103">
        <v>0.36545353196819619</v>
      </c>
      <c r="D12" s="104">
        <v>0.98216884294510809</v>
      </c>
      <c r="E12" s="105">
        <v>1.9643097765769557</v>
      </c>
      <c r="G12" s="117" t="s">
        <v>591</v>
      </c>
      <c r="H12" s="115">
        <v>77.429986450518911</v>
      </c>
      <c r="I12" s="107">
        <v>59</v>
      </c>
      <c r="J12" s="108">
        <v>2</v>
      </c>
      <c r="K12" s="95"/>
      <c r="L12" s="103">
        <v>3.3999999982054412</v>
      </c>
      <c r="M12" s="104">
        <v>2.8000000002529002</v>
      </c>
      <c r="N12" s="104">
        <v>3.8000000007790273</v>
      </c>
      <c r="O12" s="104">
        <v>3.7</v>
      </c>
      <c r="P12" s="104">
        <v>3.2</v>
      </c>
      <c r="Q12" s="104">
        <v>1.4</v>
      </c>
      <c r="R12" s="104">
        <v>1.2</v>
      </c>
      <c r="S12" s="104">
        <v>1</v>
      </c>
      <c r="T12" s="104">
        <v>-5.0999999999999996</v>
      </c>
      <c r="U12" s="104">
        <v>3.4</v>
      </c>
      <c r="V12" s="105">
        <v>2.931</v>
      </c>
      <c r="W12" s="105">
        <f t="shared" si="0"/>
        <v>1.4732393097610319</v>
      </c>
    </row>
    <row r="13" spans="1:24" x14ac:dyDescent="0.35">
      <c r="A13" s="95" t="s">
        <v>589</v>
      </c>
      <c r="B13" s="95" t="s">
        <v>592</v>
      </c>
      <c r="C13" s="103">
        <v>-0.62057485054567429</v>
      </c>
      <c r="D13" s="104">
        <v>-0.7759815069387388</v>
      </c>
      <c r="E13" s="105">
        <v>0.38358743648301274</v>
      </c>
      <c r="G13" s="117" t="s">
        <v>587</v>
      </c>
      <c r="H13" s="115">
        <v>43.142397643089645</v>
      </c>
      <c r="I13" s="107">
        <v>147</v>
      </c>
      <c r="J13" s="108">
        <v>42</v>
      </c>
      <c r="K13" s="95"/>
      <c r="L13" s="103">
        <v>8.5421473366219605</v>
      </c>
      <c r="M13" s="104">
        <v>4.9545904703972692</v>
      </c>
      <c r="N13" s="104">
        <v>4.8226255512268246</v>
      </c>
      <c r="O13" s="104">
        <v>0.94399999999999995</v>
      </c>
      <c r="P13" s="104">
        <v>-2.58</v>
      </c>
      <c r="Q13" s="104">
        <v>-0.15</v>
      </c>
      <c r="R13" s="104">
        <v>-1.3160000000000001</v>
      </c>
      <c r="S13" s="104">
        <v>-0.70199999999999996</v>
      </c>
      <c r="T13" s="104">
        <v>-5.6379999999999999</v>
      </c>
      <c r="U13" s="104">
        <v>1.0920000000000001</v>
      </c>
      <c r="V13" s="105">
        <v>2.8410000000000002</v>
      </c>
      <c r="W13" s="105">
        <f t="shared" si="0"/>
        <v>-0.19619703522786303</v>
      </c>
    </row>
    <row r="14" spans="1:24" x14ac:dyDescent="0.35">
      <c r="A14" s="95" t="s">
        <v>593</v>
      </c>
      <c r="B14" s="95" t="s">
        <v>594</v>
      </c>
      <c r="C14" s="103">
        <v>1.5213184649000233</v>
      </c>
      <c r="D14" s="104">
        <v>2.4231703477095579E-4</v>
      </c>
      <c r="E14" s="105">
        <v>0.30638889849419204</v>
      </c>
      <c r="G14" s="117" t="s">
        <v>429</v>
      </c>
      <c r="H14" s="115">
        <v>63.902477118742887</v>
      </c>
      <c r="I14" s="107">
        <v>116</v>
      </c>
      <c r="J14" s="108">
        <v>16</v>
      </c>
      <c r="K14" s="95"/>
      <c r="L14" s="103">
        <v>-1.0264204544320839</v>
      </c>
      <c r="M14" s="104">
        <v>2.4053237807943506</v>
      </c>
      <c r="N14" s="104">
        <v>-2.5126153208139428</v>
      </c>
      <c r="O14" s="104">
        <v>2.7309999999999999</v>
      </c>
      <c r="P14" s="104">
        <v>-2.08</v>
      </c>
      <c r="Q14" s="104">
        <v>2.819</v>
      </c>
      <c r="R14" s="104">
        <v>-2.617</v>
      </c>
      <c r="S14" s="104">
        <v>-2.0009999999999999</v>
      </c>
      <c r="T14" s="104">
        <v>-9.9429999999999996</v>
      </c>
      <c r="U14" s="104">
        <v>10.398</v>
      </c>
      <c r="V14" s="105">
        <v>5.2430000000000003</v>
      </c>
      <c r="W14" s="105">
        <f t="shared" si="0"/>
        <v>0.1533156077644815</v>
      </c>
    </row>
    <row r="15" spans="1:24" x14ac:dyDescent="0.35">
      <c r="A15" s="95" t="s">
        <v>231</v>
      </c>
      <c r="B15" s="95" t="s">
        <v>595</v>
      </c>
      <c r="C15" s="103">
        <v>3.3694630969417716</v>
      </c>
      <c r="D15" s="104">
        <v>4.5685193344935815</v>
      </c>
      <c r="E15" s="105">
        <v>4.0499977792169295</v>
      </c>
      <c r="G15" s="117" t="s">
        <v>591</v>
      </c>
      <c r="H15" s="115">
        <v>81.866330149150926</v>
      </c>
      <c r="I15" s="107">
        <v>42</v>
      </c>
      <c r="J15" s="108">
        <v>28</v>
      </c>
      <c r="K15" s="95"/>
      <c r="L15" s="103">
        <v>7.200000000964871</v>
      </c>
      <c r="M15" s="104">
        <v>3.2999999999999674</v>
      </c>
      <c r="N15" s="104">
        <v>3.6000000005899464</v>
      </c>
      <c r="O15" s="104">
        <v>3.254</v>
      </c>
      <c r="P15" s="104">
        <v>0.19500000000000001</v>
      </c>
      <c r="Q15" s="104">
        <v>7.5179999999999998</v>
      </c>
      <c r="R15" s="104">
        <v>5.2249999999999996</v>
      </c>
      <c r="S15" s="104">
        <v>7.6310000000000002</v>
      </c>
      <c r="T15" s="104">
        <v>-7.1509999999999998</v>
      </c>
      <c r="U15" s="104">
        <v>5.6840000000000002</v>
      </c>
      <c r="V15" s="105">
        <v>12.603999999999999</v>
      </c>
      <c r="W15" s="105">
        <f t="shared" si="0"/>
        <v>4.3092585568552551</v>
      </c>
    </row>
    <row r="16" spans="1:24" x14ac:dyDescent="0.35">
      <c r="A16" s="95" t="s">
        <v>585</v>
      </c>
      <c r="B16" s="95" t="s">
        <v>596</v>
      </c>
      <c r="C16" s="103">
        <v>1.9372779726990919</v>
      </c>
      <c r="D16" s="104">
        <v>1.9542949107595797</v>
      </c>
      <c r="E16" s="105">
        <v>2.221593328352145</v>
      </c>
      <c r="G16" s="117" t="s">
        <v>422</v>
      </c>
      <c r="H16" s="115">
        <v>96.36744549025839</v>
      </c>
      <c r="I16" s="107">
        <v>11</v>
      </c>
      <c r="J16" s="108">
        <v>3</v>
      </c>
      <c r="K16" s="95"/>
      <c r="L16" s="103">
        <v>3.9181617722068416</v>
      </c>
      <c r="M16" s="104">
        <v>2.5848751108311681</v>
      </c>
      <c r="N16" s="104">
        <v>2.5331154467594699</v>
      </c>
      <c r="O16" s="104">
        <v>2.2829999999999999</v>
      </c>
      <c r="P16" s="104">
        <v>2.6909999999999998</v>
      </c>
      <c r="Q16" s="104">
        <v>2.383</v>
      </c>
      <c r="R16" s="104">
        <v>2.8149999999999999</v>
      </c>
      <c r="S16" s="104">
        <v>1.9430000000000001</v>
      </c>
      <c r="T16" s="104">
        <v>-1.8140000000000001</v>
      </c>
      <c r="U16" s="104">
        <v>5.1959999999999997</v>
      </c>
      <c r="V16" s="105">
        <v>3.661</v>
      </c>
      <c r="W16" s="105">
        <f t="shared" si="0"/>
        <v>2.0879441195558623</v>
      </c>
    </row>
    <row r="17" spans="1:23" x14ac:dyDescent="0.35">
      <c r="A17" s="95" t="s">
        <v>231</v>
      </c>
      <c r="B17" s="95" t="s">
        <v>597</v>
      </c>
      <c r="C17" s="103">
        <v>0.89080434606740866</v>
      </c>
      <c r="D17" s="104">
        <v>1.1485693717847134</v>
      </c>
      <c r="E17" s="105">
        <v>1.1982825816158282</v>
      </c>
      <c r="G17" s="117" t="s">
        <v>422</v>
      </c>
      <c r="H17" s="115">
        <v>95.913594407477049</v>
      </c>
      <c r="I17" s="107">
        <v>15</v>
      </c>
      <c r="J17" s="108">
        <v>10</v>
      </c>
      <c r="K17" s="95"/>
      <c r="L17" s="103">
        <v>0.68044557681670037</v>
      </c>
      <c r="M17" s="104">
        <v>2.5504712197222973E-2</v>
      </c>
      <c r="N17" s="104">
        <v>0.66127284885259119</v>
      </c>
      <c r="O17" s="104">
        <v>1.0149999999999999</v>
      </c>
      <c r="P17" s="104">
        <v>1.9890000000000001</v>
      </c>
      <c r="Q17" s="104">
        <v>2.2589999999999999</v>
      </c>
      <c r="R17" s="104">
        <v>2.4249999999999998</v>
      </c>
      <c r="S17" s="104">
        <v>1.5169999999999999</v>
      </c>
      <c r="T17" s="104">
        <v>-6.4539999999999997</v>
      </c>
      <c r="U17" s="104">
        <v>4.5570000000000004</v>
      </c>
      <c r="V17" s="105">
        <v>4.9969999999999999</v>
      </c>
      <c r="W17" s="105">
        <f t="shared" si="0"/>
        <v>1.1734259767002708</v>
      </c>
    </row>
    <row r="18" spans="1:23" x14ac:dyDescent="0.35">
      <c r="A18" s="95" t="s">
        <v>585</v>
      </c>
      <c r="B18" s="95" t="s">
        <v>598</v>
      </c>
      <c r="C18" s="103">
        <v>1.8824891899037688</v>
      </c>
      <c r="D18" s="104">
        <v>1.9289874111129146</v>
      </c>
      <c r="E18" s="105">
        <v>1.6182050869221642</v>
      </c>
      <c r="G18" s="117" t="s">
        <v>429</v>
      </c>
      <c r="H18" s="115">
        <v>66.732349416312132</v>
      </c>
      <c r="I18" s="107">
        <v>106</v>
      </c>
      <c r="J18" s="108">
        <v>20</v>
      </c>
      <c r="K18" s="95"/>
      <c r="L18" s="103">
        <v>2.1652394301296014</v>
      </c>
      <c r="M18" s="104">
        <v>5.8098009451315624</v>
      </c>
      <c r="N18" s="104">
        <v>2.7505070296654104</v>
      </c>
      <c r="O18" s="104">
        <v>1.05</v>
      </c>
      <c r="P18" s="104">
        <v>-3.0640000000000001</v>
      </c>
      <c r="Q18" s="104">
        <v>0.154</v>
      </c>
      <c r="R18" s="104">
        <v>1.5</v>
      </c>
      <c r="S18" s="104">
        <v>2.48</v>
      </c>
      <c r="T18" s="104">
        <v>-4.1989999999999998</v>
      </c>
      <c r="U18" s="104">
        <v>5.6</v>
      </c>
      <c r="V18" s="105">
        <v>4.6459999999999999</v>
      </c>
      <c r="W18" s="105">
        <f t="shared" si="0"/>
        <v>1.7735962490175394</v>
      </c>
    </row>
    <row r="19" spans="1:23" x14ac:dyDescent="0.35">
      <c r="A19" s="95" t="s">
        <v>593</v>
      </c>
      <c r="B19" s="95" t="s">
        <v>599</v>
      </c>
      <c r="C19" s="103">
        <v>-1.3025041762945944</v>
      </c>
      <c r="D19" s="104">
        <v>-5.1450420089638182E-2</v>
      </c>
      <c r="E19" s="105">
        <v>0.16369977541730307</v>
      </c>
      <c r="G19" s="117" t="s">
        <v>591</v>
      </c>
      <c r="H19" s="115">
        <v>79.378460082017611</v>
      </c>
      <c r="I19" s="107">
        <v>54</v>
      </c>
      <c r="J19" s="108">
        <v>8</v>
      </c>
      <c r="K19" s="95"/>
      <c r="L19" s="103">
        <v>3.0868791768834938</v>
      </c>
      <c r="M19" s="104">
        <v>-3.5838746627962172</v>
      </c>
      <c r="N19" s="104">
        <v>2.2881473175630553</v>
      </c>
      <c r="O19" s="104">
        <v>0.997</v>
      </c>
      <c r="P19" s="104">
        <v>-0.85799999999999998</v>
      </c>
      <c r="Q19" s="104">
        <v>3.05</v>
      </c>
      <c r="R19" s="104">
        <v>1.831</v>
      </c>
      <c r="S19" s="104">
        <v>1.8959999999999999</v>
      </c>
      <c r="T19" s="104">
        <v>-23.823</v>
      </c>
      <c r="U19" s="104">
        <v>13.72</v>
      </c>
      <c r="V19" s="105">
        <v>10.983000000000001</v>
      </c>
      <c r="W19" s="105">
        <f t="shared" si="0"/>
        <v>5.6124677663832445E-2</v>
      </c>
    </row>
    <row r="20" spans="1:23" x14ac:dyDescent="0.35">
      <c r="A20" s="95" t="s">
        <v>600</v>
      </c>
      <c r="B20" s="95" t="s">
        <v>601</v>
      </c>
      <c r="C20" s="103">
        <v>0.41671802598486352</v>
      </c>
      <c r="D20" s="104">
        <v>1.1307360567982316</v>
      </c>
      <c r="E20" s="105">
        <v>2.5452347834856504</v>
      </c>
      <c r="G20" s="117" t="s">
        <v>591</v>
      </c>
      <c r="H20" s="115">
        <v>77.128033983685327</v>
      </c>
      <c r="I20" s="107">
        <v>60</v>
      </c>
      <c r="J20" s="108">
        <v>7</v>
      </c>
      <c r="K20" s="95"/>
      <c r="L20" s="103">
        <v>3.7281084304601642</v>
      </c>
      <c r="M20" s="104">
        <v>5.41683981012069</v>
      </c>
      <c r="N20" s="104">
        <v>4.3503908525296939</v>
      </c>
      <c r="O20" s="104">
        <v>2.4849999999999999</v>
      </c>
      <c r="P20" s="104">
        <v>3.5579999999999998</v>
      </c>
      <c r="Q20" s="104">
        <v>4.2919999999999998</v>
      </c>
      <c r="R20" s="104">
        <v>2.11</v>
      </c>
      <c r="S20" s="104">
        <v>2.1669999999999998</v>
      </c>
      <c r="T20" s="104">
        <v>-4.6449999999999996</v>
      </c>
      <c r="U20" s="104">
        <v>2.67</v>
      </c>
      <c r="V20" s="105">
        <v>4.194</v>
      </c>
      <c r="W20" s="105">
        <f t="shared" si="0"/>
        <v>1.837985420141941</v>
      </c>
    </row>
    <row r="21" spans="1:23" x14ac:dyDescent="0.35">
      <c r="A21" s="95" t="s">
        <v>585</v>
      </c>
      <c r="B21" s="95" t="s">
        <v>602</v>
      </c>
      <c r="C21" s="103">
        <v>8.4780836054535911</v>
      </c>
      <c r="D21" s="104">
        <v>9.4495577005361255</v>
      </c>
      <c r="E21" s="105">
        <v>9.0902336923363691</v>
      </c>
      <c r="G21" s="117" t="s">
        <v>429</v>
      </c>
      <c r="H21" s="115">
        <v>59.78425810407569</v>
      </c>
      <c r="I21" s="107">
        <v>125</v>
      </c>
      <c r="J21" s="108">
        <v>25</v>
      </c>
      <c r="K21" s="95"/>
      <c r="L21" s="103">
        <v>15.458182784890836</v>
      </c>
      <c r="M21" s="104">
        <v>8.997951209804727</v>
      </c>
      <c r="N21" s="104">
        <v>9.1371359215878698</v>
      </c>
      <c r="O21" s="104">
        <v>6.5529999999999999</v>
      </c>
      <c r="P21" s="104">
        <v>7.1139999999999999</v>
      </c>
      <c r="Q21" s="104">
        <v>6.59</v>
      </c>
      <c r="R21" s="104">
        <v>7.319</v>
      </c>
      <c r="S21" s="104">
        <v>7.8819999999999997</v>
      </c>
      <c r="T21" s="104">
        <v>3.448</v>
      </c>
      <c r="U21" s="104">
        <v>6.9390000000000001</v>
      </c>
      <c r="V21" s="105">
        <v>7.1</v>
      </c>
      <c r="W21" s="105">
        <f t="shared" si="0"/>
        <v>9.2698956964362473</v>
      </c>
    </row>
    <row r="22" spans="1:23" x14ac:dyDescent="0.35">
      <c r="A22" s="95" t="s">
        <v>231</v>
      </c>
      <c r="B22" s="95" t="s">
        <v>603</v>
      </c>
      <c r="C22" s="103">
        <v>-1.0891270418666776</v>
      </c>
      <c r="D22" s="104">
        <v>0.24141365794498881</v>
      </c>
      <c r="E22" s="105">
        <v>-4.7343951578571186E-3</v>
      </c>
      <c r="G22" s="117" t="s">
        <v>591</v>
      </c>
      <c r="H22" s="115">
        <v>78.939379492547943</v>
      </c>
      <c r="I22" s="107">
        <v>55</v>
      </c>
      <c r="J22" s="108">
        <v>34</v>
      </c>
      <c r="K22" s="95"/>
      <c r="L22" s="103">
        <v>1.6871355364283958</v>
      </c>
      <c r="M22" s="104">
        <v>1.0034708408564619</v>
      </c>
      <c r="N22" s="104">
        <v>1.7263848541700804</v>
      </c>
      <c r="O22" s="104">
        <v>-3.83</v>
      </c>
      <c r="P22" s="104">
        <v>-2.536</v>
      </c>
      <c r="Q22" s="104">
        <v>2.5409999999999999</v>
      </c>
      <c r="R22" s="104">
        <v>3.1379999999999999</v>
      </c>
      <c r="S22" s="104">
        <v>1.446</v>
      </c>
      <c r="T22" s="104">
        <v>-0.67300000000000004</v>
      </c>
      <c r="U22" s="104">
        <v>2.2730000000000001</v>
      </c>
      <c r="V22" s="105">
        <v>-4.7409999999999997</v>
      </c>
      <c r="W22" s="105">
        <f t="shared" si="0"/>
        <v>0.11833963139356585</v>
      </c>
    </row>
    <row r="23" spans="1:23" x14ac:dyDescent="0.35">
      <c r="A23" s="95" t="s">
        <v>231</v>
      </c>
      <c r="B23" s="95" t="s">
        <v>604</v>
      </c>
      <c r="C23" s="103">
        <v>1.1690569098094628</v>
      </c>
      <c r="D23" s="104">
        <v>1.3937649310878042</v>
      </c>
      <c r="E23" s="105">
        <v>1.4413818728578276</v>
      </c>
      <c r="G23" s="117" t="s">
        <v>422</v>
      </c>
      <c r="H23" s="115">
        <v>93.483251457156101</v>
      </c>
      <c r="I23" s="107">
        <v>21</v>
      </c>
      <c r="J23" s="108">
        <v>14</v>
      </c>
      <c r="K23" s="95"/>
      <c r="L23" s="103">
        <v>0.73922990508162567</v>
      </c>
      <c r="M23" s="104">
        <v>0.45922805011605522</v>
      </c>
      <c r="N23" s="104">
        <v>1.578523229524472</v>
      </c>
      <c r="O23" s="104">
        <v>2.0409999999999999</v>
      </c>
      <c r="P23" s="104">
        <v>1.2669999999999999</v>
      </c>
      <c r="Q23" s="104">
        <v>1.62</v>
      </c>
      <c r="R23" s="104">
        <v>1.7929999999999999</v>
      </c>
      <c r="S23" s="104">
        <v>2.2410000000000001</v>
      </c>
      <c r="T23" s="104">
        <v>-5.3620000000000001</v>
      </c>
      <c r="U23" s="104">
        <v>6.1340000000000003</v>
      </c>
      <c r="V23" s="105">
        <v>3.0910000000000002</v>
      </c>
      <c r="W23" s="105">
        <f t="shared" si="0"/>
        <v>1.4175734019728159</v>
      </c>
    </row>
    <row r="24" spans="1:23" x14ac:dyDescent="0.35">
      <c r="A24" s="95" t="s">
        <v>589</v>
      </c>
      <c r="B24" s="95" t="s">
        <v>605</v>
      </c>
      <c r="C24" s="103">
        <v>5.666147255627263</v>
      </c>
      <c r="D24" s="104">
        <v>6.110859714036887</v>
      </c>
      <c r="E24" s="105">
        <v>5.477732246862832</v>
      </c>
      <c r="G24" s="117" t="s">
        <v>405</v>
      </c>
      <c r="H24" s="115">
        <v>73.01184037118577</v>
      </c>
      <c r="I24" s="107">
        <v>75</v>
      </c>
      <c r="J24" s="108">
        <v>7</v>
      </c>
      <c r="K24" s="95"/>
      <c r="L24" s="103">
        <v>4.811223315687994</v>
      </c>
      <c r="M24" s="104">
        <v>7.1914337214494379</v>
      </c>
      <c r="N24" s="104">
        <v>6.3576790979193039</v>
      </c>
      <c r="O24" s="104">
        <v>1.778</v>
      </c>
      <c r="P24" s="104">
        <v>3.34</v>
      </c>
      <c r="Q24" s="104">
        <v>5.6719999999999997</v>
      </c>
      <c r="R24" s="104">
        <v>6.6970000000000001</v>
      </c>
      <c r="S24" s="104">
        <v>6.8659999999999997</v>
      </c>
      <c r="T24" s="104">
        <v>3.8490000000000002</v>
      </c>
      <c r="U24" s="104">
        <v>7.1550000000000002</v>
      </c>
      <c r="V24" s="105">
        <v>6.0209999999999999</v>
      </c>
      <c r="W24" s="105">
        <f t="shared" si="0"/>
        <v>5.7942959804498599</v>
      </c>
    </row>
    <row r="25" spans="1:23" x14ac:dyDescent="0.35">
      <c r="A25" s="95" t="s">
        <v>585</v>
      </c>
      <c r="B25" s="95" t="s">
        <v>606</v>
      </c>
      <c r="C25" s="103">
        <v>-0.76587225840651918</v>
      </c>
      <c r="D25" s="104">
        <v>1.2676841708430198</v>
      </c>
      <c r="E25" s="105">
        <v>3.3347663550896245</v>
      </c>
      <c r="G25" s="117" t="s">
        <v>587</v>
      </c>
      <c r="H25" s="115">
        <v>55.154482190816807</v>
      </c>
      <c r="I25" s="107">
        <v>132</v>
      </c>
      <c r="J25" s="108">
        <v>28</v>
      </c>
      <c r="K25" s="95"/>
      <c r="L25" s="103">
        <v>5.1184008580053391</v>
      </c>
      <c r="M25" s="104">
        <v>2.1199726329821678</v>
      </c>
      <c r="N25" s="104">
        <v>5.7764956801372422</v>
      </c>
      <c r="O25" s="104">
        <v>6.2210000000000001</v>
      </c>
      <c r="P25" s="104">
        <v>7.4080000000000004</v>
      </c>
      <c r="Q25" s="104">
        <v>6.3220000000000001</v>
      </c>
      <c r="R25" s="104">
        <v>3.835</v>
      </c>
      <c r="S25" s="104">
        <v>4.4249999999999998</v>
      </c>
      <c r="T25" s="104">
        <v>-2.3479999999999999</v>
      </c>
      <c r="U25" s="104">
        <v>-3.3319999999999999</v>
      </c>
      <c r="V25" s="105">
        <v>4.3250000000000002</v>
      </c>
      <c r="W25" s="105">
        <f t="shared" si="0"/>
        <v>2.3012252629663221</v>
      </c>
    </row>
    <row r="26" spans="1:23" x14ac:dyDescent="0.35">
      <c r="A26" s="95" t="s">
        <v>593</v>
      </c>
      <c r="B26" s="95" t="s">
        <v>607</v>
      </c>
      <c r="C26" s="103">
        <v>-2.2304131763273283E-2</v>
      </c>
      <c r="D26" s="104">
        <v>1.2603639469641159</v>
      </c>
      <c r="E26" s="105">
        <v>3.1673454908146104</v>
      </c>
      <c r="G26" s="117" t="s">
        <v>587</v>
      </c>
      <c r="H26" s="115">
        <v>31.085526545532133</v>
      </c>
      <c r="I26" s="107">
        <v>155</v>
      </c>
      <c r="J26" s="108">
        <v>25</v>
      </c>
      <c r="K26" s="95"/>
      <c r="L26" s="103">
        <v>5.122274660983769</v>
      </c>
      <c r="M26" s="104">
        <v>6.7960117055974338</v>
      </c>
      <c r="N26" s="104">
        <v>5.4605671536850453</v>
      </c>
      <c r="O26" s="104">
        <v>4.8570000000000002</v>
      </c>
      <c r="P26" s="104">
        <v>4.2640000000000002</v>
      </c>
      <c r="Q26" s="104">
        <v>4.1950000000000003</v>
      </c>
      <c r="R26" s="104">
        <v>4.2240000000000002</v>
      </c>
      <c r="S26" s="104">
        <v>2.2170000000000001</v>
      </c>
      <c r="T26" s="104">
        <v>-8.7379999999999995</v>
      </c>
      <c r="U26" s="104">
        <v>6.1059999999999999</v>
      </c>
      <c r="V26" s="105">
        <v>3.2</v>
      </c>
      <c r="W26" s="105">
        <f t="shared" si="0"/>
        <v>2.2138547188893631</v>
      </c>
    </row>
    <row r="27" spans="1:23" x14ac:dyDescent="0.35">
      <c r="A27" s="95" t="s">
        <v>231</v>
      </c>
      <c r="B27" s="95" t="s">
        <v>608</v>
      </c>
      <c r="C27" s="103">
        <v>2.6460933550704002</v>
      </c>
      <c r="D27" s="104">
        <v>2.9046927076515017</v>
      </c>
      <c r="E27" s="105">
        <v>2.7421493700034771</v>
      </c>
      <c r="G27" s="117" t="s">
        <v>429</v>
      </c>
      <c r="H27" s="115">
        <v>66.414016463166035</v>
      </c>
      <c r="I27" s="107">
        <v>108</v>
      </c>
      <c r="J27" s="108">
        <v>41</v>
      </c>
      <c r="K27" s="95"/>
      <c r="L27" s="103">
        <v>-0.82183647421687545</v>
      </c>
      <c r="M27" s="104">
        <v>2.3498566632458062</v>
      </c>
      <c r="N27" s="104">
        <v>1.1538510920040257</v>
      </c>
      <c r="O27" s="104">
        <v>4.3140000000000001</v>
      </c>
      <c r="P27" s="104">
        <v>3.242</v>
      </c>
      <c r="Q27" s="104">
        <v>3.2440000000000002</v>
      </c>
      <c r="R27" s="104">
        <v>3.8290000000000002</v>
      </c>
      <c r="S27" s="104">
        <v>2.8860000000000001</v>
      </c>
      <c r="T27" s="104">
        <v>-3.0150000000000001</v>
      </c>
      <c r="U27" s="104">
        <v>7.3920000000000003</v>
      </c>
      <c r="V27" s="105">
        <v>3.8</v>
      </c>
      <c r="W27" s="105">
        <f t="shared" si="0"/>
        <v>2.8234210388274894</v>
      </c>
    </row>
    <row r="28" spans="1:23" x14ac:dyDescent="0.35">
      <c r="A28" s="95" t="s">
        <v>589</v>
      </c>
      <c r="B28" s="95" t="s">
        <v>609</v>
      </c>
      <c r="C28" s="103">
        <v>2.6588943634134665</v>
      </c>
      <c r="D28" s="104">
        <v>1.4503583241093798</v>
      </c>
      <c r="E28" s="105">
        <v>2.7752039527026096</v>
      </c>
      <c r="G28" s="117" t="s">
        <v>405</v>
      </c>
      <c r="H28" s="115">
        <v>74.531513757725932</v>
      </c>
      <c r="I28" s="107">
        <v>70</v>
      </c>
      <c r="J28" s="108">
        <v>6</v>
      </c>
      <c r="K28" s="95"/>
      <c r="L28" s="103">
        <v>4.4561672130978769</v>
      </c>
      <c r="M28" s="104">
        <v>11.343424252775241</v>
      </c>
      <c r="N28" s="104">
        <v>4.149289893135184</v>
      </c>
      <c r="O28" s="104">
        <v>-4.851</v>
      </c>
      <c r="P28" s="104">
        <v>7.202</v>
      </c>
      <c r="Q28" s="104">
        <v>4.1130000000000004</v>
      </c>
      <c r="R28" s="104">
        <v>4.1900000000000004</v>
      </c>
      <c r="S28" s="104">
        <v>3.0329999999999999</v>
      </c>
      <c r="T28" s="104">
        <v>-8.7260000000000009</v>
      </c>
      <c r="U28" s="104">
        <v>11.84</v>
      </c>
      <c r="V28" s="105">
        <v>6.4329999999999998</v>
      </c>
      <c r="W28" s="105">
        <f t="shared" si="0"/>
        <v>2.1127811384059947</v>
      </c>
    </row>
    <row r="29" spans="1:23" x14ac:dyDescent="0.35">
      <c r="A29" s="95" t="s">
        <v>593</v>
      </c>
      <c r="B29" s="95" t="s">
        <v>610</v>
      </c>
      <c r="C29" s="103">
        <v>1.146428167182445</v>
      </c>
      <c r="D29" s="104">
        <v>1.295085878975577</v>
      </c>
      <c r="E29" s="105">
        <v>0.42795301380476047</v>
      </c>
      <c r="G29" s="117" t="s">
        <v>591</v>
      </c>
      <c r="H29" s="115">
        <v>79.569249143394813</v>
      </c>
      <c r="I29" s="107">
        <v>51</v>
      </c>
      <c r="J29" s="108">
        <v>7</v>
      </c>
      <c r="K29" s="95"/>
      <c r="L29" s="103">
        <v>1.9211503183629988</v>
      </c>
      <c r="M29" s="104">
        <v>3.0048463050570873</v>
      </c>
      <c r="N29" s="104">
        <v>0.50395574024224987</v>
      </c>
      <c r="O29" s="104">
        <v>-3.5459999999999998</v>
      </c>
      <c r="P29" s="104">
        <v>-3.2759999999999998</v>
      </c>
      <c r="Q29" s="104">
        <v>1.323</v>
      </c>
      <c r="R29" s="104">
        <v>1.784</v>
      </c>
      <c r="S29" s="104">
        <v>1.2210000000000001</v>
      </c>
      <c r="T29" s="104">
        <v>-3.2770000000000001</v>
      </c>
      <c r="U29" s="104">
        <v>4.9889999999999999</v>
      </c>
      <c r="V29" s="105">
        <v>2.9009999999999998</v>
      </c>
      <c r="W29" s="105">
        <f t="shared" si="0"/>
        <v>0.86151944639016875</v>
      </c>
    </row>
    <row r="30" spans="1:23" x14ac:dyDescent="0.35">
      <c r="A30" s="95" t="s">
        <v>585</v>
      </c>
      <c r="B30" s="95" t="s">
        <v>611</v>
      </c>
      <c r="C30" s="103">
        <v>-0.66374440025495085</v>
      </c>
      <c r="D30" s="104">
        <v>0.37078358077795581</v>
      </c>
      <c r="E30" s="105">
        <v>-0.44114896551331606</v>
      </c>
      <c r="G30" s="117" t="s">
        <v>587</v>
      </c>
      <c r="H30" s="115">
        <v>47.581995606084838</v>
      </c>
      <c r="I30" s="107">
        <v>142</v>
      </c>
      <c r="J30" s="108">
        <v>30</v>
      </c>
      <c r="K30" s="95"/>
      <c r="L30" s="103">
        <v>0.91284167096442625</v>
      </c>
      <c r="M30" s="104">
        <v>-2.1260285174017546</v>
      </c>
      <c r="N30" s="104">
        <v>-2.5083525664456063</v>
      </c>
      <c r="O30" s="104">
        <v>-0.40500000000000003</v>
      </c>
      <c r="P30" s="104">
        <v>-2.4649999999999999</v>
      </c>
      <c r="Q30" s="104">
        <v>1.329</v>
      </c>
      <c r="R30" s="104">
        <v>5.1999999999999998E-2</v>
      </c>
      <c r="S30" s="104">
        <v>3.8690000000000002</v>
      </c>
      <c r="T30" s="104">
        <v>1.1339999999999999</v>
      </c>
      <c r="U30" s="104">
        <v>-1.591</v>
      </c>
      <c r="V30" s="105">
        <v>-1.51</v>
      </c>
      <c r="W30" s="105">
        <f t="shared" si="0"/>
        <v>-3.5182692367680124E-2</v>
      </c>
    </row>
    <row r="31" spans="1:23" x14ac:dyDescent="0.35">
      <c r="A31" s="95" t="s">
        <v>231</v>
      </c>
      <c r="B31" s="95" t="s">
        <v>612</v>
      </c>
      <c r="C31" s="103">
        <v>2.2325090532704595</v>
      </c>
      <c r="D31" s="104">
        <v>2.7879873369299979</v>
      </c>
      <c r="E31" s="105">
        <v>2.7412414949005814</v>
      </c>
      <c r="G31" s="117" t="s">
        <v>591</v>
      </c>
      <c r="H31" s="115">
        <v>82.826908120877093</v>
      </c>
      <c r="I31" s="107">
        <v>40</v>
      </c>
      <c r="J31" s="108">
        <v>26</v>
      </c>
      <c r="K31" s="95"/>
      <c r="L31" s="103">
        <v>0.36058318828756941</v>
      </c>
      <c r="M31" s="104">
        <v>0.31873576132258219</v>
      </c>
      <c r="N31" s="104">
        <v>1.8945471424192788</v>
      </c>
      <c r="O31" s="104">
        <v>3.4279999999999999</v>
      </c>
      <c r="P31" s="104">
        <v>3.04</v>
      </c>
      <c r="Q31" s="104">
        <v>2.762</v>
      </c>
      <c r="R31" s="104">
        <v>2.6850000000000001</v>
      </c>
      <c r="S31" s="104">
        <v>4.0380000000000003</v>
      </c>
      <c r="T31" s="104">
        <v>-3.9590000000000001</v>
      </c>
      <c r="U31" s="104">
        <v>7.6349999999999998</v>
      </c>
      <c r="V31" s="105">
        <v>3.3610000000000002</v>
      </c>
      <c r="W31" s="105">
        <f t="shared" si="0"/>
        <v>2.7646144159152897</v>
      </c>
    </row>
    <row r="32" spans="1:23" x14ac:dyDescent="0.35">
      <c r="A32" s="95" t="s">
        <v>589</v>
      </c>
      <c r="B32" s="95" t="s">
        <v>613</v>
      </c>
      <c r="C32" s="103">
        <v>3.7461786866062718</v>
      </c>
      <c r="D32" s="104">
        <v>4.6060819779328632</v>
      </c>
      <c r="E32" s="105">
        <v>4.9153359042722222</v>
      </c>
      <c r="G32" s="117" t="s">
        <v>405</v>
      </c>
      <c r="H32" s="115">
        <v>71.439342263551737</v>
      </c>
      <c r="I32" s="107">
        <v>81</v>
      </c>
      <c r="J32" s="108">
        <v>11</v>
      </c>
      <c r="K32" s="95"/>
      <c r="L32" s="103">
        <v>6.4526723809054332</v>
      </c>
      <c r="M32" s="104">
        <v>5.7926055919056534</v>
      </c>
      <c r="N32" s="104">
        <v>4.3268456132150384</v>
      </c>
      <c r="O32" s="104">
        <v>3.9209999999999998</v>
      </c>
      <c r="P32" s="104">
        <v>5.9580000000000002</v>
      </c>
      <c r="Q32" s="104">
        <v>6.2030000000000003</v>
      </c>
      <c r="R32" s="104">
        <v>6.6029999999999998</v>
      </c>
      <c r="S32" s="104">
        <v>5.6890000000000001</v>
      </c>
      <c r="T32" s="104">
        <v>1.931</v>
      </c>
      <c r="U32" s="104">
        <v>6.9050000000000002</v>
      </c>
      <c r="V32" s="105">
        <v>2.4729999999999999</v>
      </c>
      <c r="W32" s="105">
        <f t="shared" si="0"/>
        <v>4.7607089411025427</v>
      </c>
    </row>
    <row r="33" spans="1:23" x14ac:dyDescent="0.35">
      <c r="A33" s="95" t="s">
        <v>589</v>
      </c>
      <c r="B33" s="95" t="s">
        <v>614</v>
      </c>
      <c r="C33" s="103">
        <v>1.3140617594302739</v>
      </c>
      <c r="D33" s="104">
        <v>1.4727306023839093</v>
      </c>
      <c r="E33" s="105">
        <v>1.2263384025287261</v>
      </c>
      <c r="G33" s="117" t="s">
        <v>587</v>
      </c>
      <c r="H33" s="115">
        <v>45.872398734881529</v>
      </c>
      <c r="I33" s="107">
        <v>144</v>
      </c>
      <c r="J33" s="108">
        <v>40</v>
      </c>
      <c r="K33" s="95"/>
      <c r="L33" s="103">
        <v>4.4467082221454284</v>
      </c>
      <c r="M33" s="104">
        <v>4.9241952612883146</v>
      </c>
      <c r="N33" s="104">
        <v>4.2406516436807848</v>
      </c>
      <c r="O33" s="104">
        <v>-3.9</v>
      </c>
      <c r="P33" s="104">
        <v>-0.6</v>
      </c>
      <c r="Q33" s="104">
        <v>0.5</v>
      </c>
      <c r="R33" s="104">
        <v>1.61</v>
      </c>
      <c r="S33" s="104">
        <v>1.8420000000000001</v>
      </c>
      <c r="T33" s="104">
        <v>0.33500000000000002</v>
      </c>
      <c r="U33" s="104">
        <v>3.1190000000000002</v>
      </c>
      <c r="V33" s="105">
        <v>1.827</v>
      </c>
      <c r="W33" s="105">
        <f t="shared" si="0"/>
        <v>1.3495345024563177</v>
      </c>
    </row>
    <row r="34" spans="1:23" x14ac:dyDescent="0.35">
      <c r="A34" s="95" t="s">
        <v>589</v>
      </c>
      <c r="B34" s="95" t="s">
        <v>615</v>
      </c>
      <c r="C34" s="103">
        <v>0.23646198785876038</v>
      </c>
      <c r="D34" s="104">
        <v>2.1534613712418604</v>
      </c>
      <c r="E34" s="105">
        <v>2.1525774639498785</v>
      </c>
      <c r="G34" s="117" t="s">
        <v>405</v>
      </c>
      <c r="H34" s="115">
        <v>72.784877013329833</v>
      </c>
      <c r="I34" s="107">
        <v>78</v>
      </c>
      <c r="J34" s="108">
        <v>9</v>
      </c>
      <c r="K34" s="95"/>
      <c r="L34" s="103">
        <v>1.0819182787712764</v>
      </c>
      <c r="M34" s="104">
        <v>0.80279760057422567</v>
      </c>
      <c r="N34" s="104">
        <v>0.61121266620786829</v>
      </c>
      <c r="O34" s="104">
        <v>1.0069999999999999</v>
      </c>
      <c r="P34" s="104">
        <v>4.7060000000000004</v>
      </c>
      <c r="Q34" s="104">
        <v>3.702</v>
      </c>
      <c r="R34" s="104">
        <v>14.566000000000001</v>
      </c>
      <c r="S34" s="104">
        <v>5.6680000000000001</v>
      </c>
      <c r="T34" s="104">
        <v>-14.782999999999999</v>
      </c>
      <c r="U34" s="104">
        <v>7</v>
      </c>
      <c r="V34" s="105">
        <v>10.5</v>
      </c>
      <c r="W34" s="105">
        <f t="shared" si="0"/>
        <v>2.1530194175958695</v>
      </c>
    </row>
    <row r="35" spans="1:23" x14ac:dyDescent="0.35">
      <c r="A35" s="95" t="s">
        <v>585</v>
      </c>
      <c r="B35" s="95" t="s">
        <v>616</v>
      </c>
      <c r="C35" s="103">
        <v>1.5881444792890331</v>
      </c>
      <c r="D35" s="104">
        <v>3.8205347927408928</v>
      </c>
      <c r="E35" s="105">
        <v>5.437149341759695</v>
      </c>
      <c r="G35" s="117" t="s">
        <v>587</v>
      </c>
      <c r="H35" s="115">
        <v>41.696651110677628</v>
      </c>
      <c r="I35" s="107">
        <v>149</v>
      </c>
      <c r="J35" s="108">
        <v>31</v>
      </c>
      <c r="K35" s="95"/>
      <c r="L35" s="103">
        <v>7.3133455053000533</v>
      </c>
      <c r="M35" s="104">
        <v>7.3566651488797472</v>
      </c>
      <c r="N35" s="104">
        <v>7.1425711007429467</v>
      </c>
      <c r="O35" s="104">
        <v>7.0359999999999996</v>
      </c>
      <c r="P35" s="104">
        <v>6.8630000000000004</v>
      </c>
      <c r="Q35" s="104">
        <v>6.9969999999999999</v>
      </c>
      <c r="R35" s="104">
        <v>7.4690000000000003</v>
      </c>
      <c r="S35" s="104">
        <v>7.0540000000000003</v>
      </c>
      <c r="T35" s="104">
        <v>-3.0960000000000001</v>
      </c>
      <c r="U35" s="104">
        <v>3.0259999999999998</v>
      </c>
      <c r="V35" s="105">
        <v>5.0119999999999996</v>
      </c>
      <c r="W35" s="105">
        <f t="shared" si="0"/>
        <v>4.6288420672502939</v>
      </c>
    </row>
    <row r="36" spans="1:23" x14ac:dyDescent="0.35">
      <c r="A36" s="95" t="s">
        <v>589</v>
      </c>
      <c r="B36" s="95" t="s">
        <v>617</v>
      </c>
      <c r="C36" s="103">
        <v>2.4193069652844734</v>
      </c>
      <c r="D36" s="104">
        <v>3.5683606479580687</v>
      </c>
      <c r="E36" s="105">
        <v>4.2936580650607903</v>
      </c>
      <c r="G36" s="117" t="s">
        <v>429</v>
      </c>
      <c r="H36" s="115">
        <v>66.487838229569903</v>
      </c>
      <c r="I36" s="107">
        <v>107</v>
      </c>
      <c r="J36" s="108">
        <v>24</v>
      </c>
      <c r="K36" s="95"/>
      <c r="L36" s="103">
        <v>4.5432650156673571</v>
      </c>
      <c r="M36" s="104">
        <v>5.4042657097173343</v>
      </c>
      <c r="N36" s="104">
        <v>5.8840593266804415</v>
      </c>
      <c r="O36" s="104">
        <v>5.6</v>
      </c>
      <c r="P36" s="104">
        <v>4.4790000000000001</v>
      </c>
      <c r="Q36" s="104">
        <v>3.5409999999999999</v>
      </c>
      <c r="R36" s="104">
        <v>4.0220000000000002</v>
      </c>
      <c r="S36" s="104">
        <v>3.4220000000000002</v>
      </c>
      <c r="T36" s="104">
        <v>0.53900000000000003</v>
      </c>
      <c r="U36" s="104">
        <v>3.649</v>
      </c>
      <c r="V36" s="105">
        <v>3.383</v>
      </c>
      <c r="W36" s="105">
        <f t="shared" si="0"/>
        <v>3.9310093565094295</v>
      </c>
    </row>
    <row r="37" spans="1:23" x14ac:dyDescent="0.35">
      <c r="A37" s="95" t="s">
        <v>593</v>
      </c>
      <c r="B37" s="95" t="s">
        <v>618</v>
      </c>
      <c r="C37" s="103">
        <v>0.80505563787092171</v>
      </c>
      <c r="D37" s="104">
        <v>1.279888102037452</v>
      </c>
      <c r="E37" s="105">
        <v>1.6398804050051563</v>
      </c>
      <c r="G37" s="117" t="s">
        <v>422</v>
      </c>
      <c r="H37" s="115">
        <v>95.837528170961207</v>
      </c>
      <c r="I37" s="107">
        <v>17</v>
      </c>
      <c r="J37" s="108">
        <v>2</v>
      </c>
      <c r="K37" s="95"/>
      <c r="L37" s="103">
        <v>1.762222549554276</v>
      </c>
      <c r="M37" s="104">
        <v>2.3291225223044822</v>
      </c>
      <c r="N37" s="104">
        <v>2.8700360387422155</v>
      </c>
      <c r="O37" s="104">
        <v>0.65900000000000003</v>
      </c>
      <c r="P37" s="104">
        <v>1.0009999999999999</v>
      </c>
      <c r="Q37" s="104">
        <v>3.04</v>
      </c>
      <c r="R37" s="104">
        <v>2.7770000000000001</v>
      </c>
      <c r="S37" s="104">
        <v>1.8879999999999999</v>
      </c>
      <c r="T37" s="104">
        <v>-5.0739999999999998</v>
      </c>
      <c r="U37" s="104">
        <v>5.0119999999999996</v>
      </c>
      <c r="V37" s="105">
        <v>3.3959999999999999</v>
      </c>
      <c r="W37" s="105">
        <f t="shared" si="0"/>
        <v>1.4598842535213041</v>
      </c>
    </row>
    <row r="38" spans="1:23" x14ac:dyDescent="0.35">
      <c r="A38" s="95" t="s">
        <v>589</v>
      </c>
      <c r="B38" s="95" t="s">
        <v>619</v>
      </c>
      <c r="C38" s="103">
        <v>0.72569907638180275</v>
      </c>
      <c r="D38" s="104">
        <v>1.8043988935163791</v>
      </c>
      <c r="E38" s="105">
        <v>-2.2645674209426092</v>
      </c>
      <c r="G38" s="117" t="s">
        <v>587</v>
      </c>
      <c r="H38" s="115">
        <v>41.466247411534134</v>
      </c>
      <c r="I38" s="107">
        <v>150</v>
      </c>
      <c r="J38" s="108">
        <v>44</v>
      </c>
      <c r="K38" s="95"/>
      <c r="L38" s="103">
        <v>5.053761253569192</v>
      </c>
      <c r="M38" s="104">
        <v>-36.391977098388679</v>
      </c>
      <c r="N38" s="104">
        <v>8.1070515326508011E-2</v>
      </c>
      <c r="O38" s="104">
        <v>4.3380000000000001</v>
      </c>
      <c r="P38" s="104">
        <v>4.75</v>
      </c>
      <c r="Q38" s="104">
        <v>4.5279999999999996</v>
      </c>
      <c r="R38" s="104">
        <v>3.82</v>
      </c>
      <c r="S38" s="104">
        <v>2.97</v>
      </c>
      <c r="T38" s="104">
        <v>0.95899999999999996</v>
      </c>
      <c r="U38" s="104">
        <v>0.98299999999999998</v>
      </c>
      <c r="V38" s="105">
        <v>0.378</v>
      </c>
      <c r="W38" s="105">
        <f t="shared" si="0"/>
        <v>-0.23008426371311508</v>
      </c>
    </row>
    <row r="39" spans="1:23" x14ac:dyDescent="0.35">
      <c r="A39" s="95" t="s">
        <v>589</v>
      </c>
      <c r="B39" s="95" t="s">
        <v>620</v>
      </c>
      <c r="C39" s="103">
        <v>-0.11885802228936981</v>
      </c>
      <c r="D39" s="104">
        <v>1.0424126086531427</v>
      </c>
      <c r="E39" s="105">
        <v>1.0693731739606749</v>
      </c>
      <c r="G39" s="117" t="s">
        <v>587</v>
      </c>
      <c r="H39" s="115">
        <v>46.134841898100355</v>
      </c>
      <c r="I39" s="107">
        <v>143</v>
      </c>
      <c r="J39" s="108">
        <v>39</v>
      </c>
      <c r="K39" s="95"/>
      <c r="L39" s="103">
        <v>8.8825760717031557</v>
      </c>
      <c r="M39" s="104">
        <v>5.7000013628586537</v>
      </c>
      <c r="N39" s="104">
        <v>6.8999850453216673</v>
      </c>
      <c r="O39" s="104">
        <v>1.77</v>
      </c>
      <c r="P39" s="104">
        <v>-5.5579999999999998</v>
      </c>
      <c r="Q39" s="104">
        <v>-2.38</v>
      </c>
      <c r="R39" s="104">
        <v>2.355</v>
      </c>
      <c r="S39" s="104">
        <v>3.419</v>
      </c>
      <c r="T39" s="104">
        <v>-2.1419999999999999</v>
      </c>
      <c r="U39" s="104">
        <v>-1.1020000000000001</v>
      </c>
      <c r="V39" s="105">
        <v>2.4940000000000002</v>
      </c>
      <c r="W39" s="105">
        <f t="shared" si="0"/>
        <v>1.0558928913069088</v>
      </c>
    </row>
    <row r="40" spans="1:23" x14ac:dyDescent="0.35">
      <c r="A40" s="95" t="s">
        <v>593</v>
      </c>
      <c r="B40" s="95" t="s">
        <v>621</v>
      </c>
      <c r="C40" s="103">
        <v>2.4572143474803632</v>
      </c>
      <c r="D40" s="104">
        <v>3.0605383736418856</v>
      </c>
      <c r="E40" s="105">
        <v>2.6285168981251106</v>
      </c>
      <c r="G40" s="117" t="s">
        <v>422</v>
      </c>
      <c r="H40" s="115">
        <v>89.938976035792962</v>
      </c>
      <c r="I40" s="107">
        <v>28</v>
      </c>
      <c r="J40" s="108">
        <v>3</v>
      </c>
      <c r="K40" s="95"/>
      <c r="L40" s="103">
        <v>5.3186280004141473</v>
      </c>
      <c r="M40" s="104">
        <v>4.0450042981489593</v>
      </c>
      <c r="N40" s="104">
        <v>1.7667397836386938</v>
      </c>
      <c r="O40" s="104">
        <v>2.1520000000000001</v>
      </c>
      <c r="P40" s="104">
        <v>1.7529999999999999</v>
      </c>
      <c r="Q40" s="104">
        <v>1.3580000000000001</v>
      </c>
      <c r="R40" s="104">
        <v>3.99</v>
      </c>
      <c r="S40" s="104">
        <v>0.74299999999999999</v>
      </c>
      <c r="T40" s="104">
        <v>-6.1449999999999996</v>
      </c>
      <c r="U40" s="104">
        <v>11.737</v>
      </c>
      <c r="V40" s="105">
        <v>2.44</v>
      </c>
      <c r="W40" s="105">
        <f t="shared" si="0"/>
        <v>2.8445276358834981</v>
      </c>
    </row>
    <row r="41" spans="1:23" x14ac:dyDescent="0.35">
      <c r="A41" s="95" t="s">
        <v>585</v>
      </c>
      <c r="B41" s="95" t="s">
        <v>622</v>
      </c>
      <c r="C41" s="103">
        <v>4.4136018906123953</v>
      </c>
      <c r="D41" s="104">
        <v>5.1836523723133077</v>
      </c>
      <c r="E41" s="105">
        <v>6.1897338385474399</v>
      </c>
      <c r="G41" s="117" t="s">
        <v>591</v>
      </c>
      <c r="H41" s="115">
        <v>79.714044846147502</v>
      </c>
      <c r="I41" s="107">
        <v>50</v>
      </c>
      <c r="J41" s="108">
        <v>7</v>
      </c>
      <c r="K41" s="95"/>
      <c r="L41" s="103">
        <v>7.8596274932851555</v>
      </c>
      <c r="M41" s="104">
        <v>7.7686152841281606</v>
      </c>
      <c r="N41" s="104">
        <v>7.4245236561990726</v>
      </c>
      <c r="O41" s="104">
        <v>7.0179999999999998</v>
      </c>
      <c r="P41" s="104">
        <v>6.851</v>
      </c>
      <c r="Q41" s="104">
        <v>6.9470000000000001</v>
      </c>
      <c r="R41" s="104">
        <v>6.7510000000000003</v>
      </c>
      <c r="S41" s="104">
        <v>5.9509999999999996</v>
      </c>
      <c r="T41" s="104">
        <v>2.242</v>
      </c>
      <c r="U41" s="104">
        <v>8.4499999999999993</v>
      </c>
      <c r="V41" s="105">
        <v>2.988</v>
      </c>
      <c r="W41" s="105">
        <f t="shared" si="0"/>
        <v>5.6866931054303738</v>
      </c>
    </row>
    <row r="42" spans="1:23" x14ac:dyDescent="0.35">
      <c r="A42" s="95" t="s">
        <v>593</v>
      </c>
      <c r="B42" s="95" t="s">
        <v>623</v>
      </c>
      <c r="C42" s="103">
        <v>3.4115994769119862</v>
      </c>
      <c r="D42" s="104">
        <v>2.9902381196408978</v>
      </c>
      <c r="E42" s="105">
        <v>3.0937390088282557</v>
      </c>
      <c r="G42" s="117" t="s">
        <v>591</v>
      </c>
      <c r="H42" s="115">
        <v>79.943455242802315</v>
      </c>
      <c r="I42" s="107">
        <v>48</v>
      </c>
      <c r="J42" s="108">
        <v>6</v>
      </c>
      <c r="K42" s="95"/>
      <c r="L42" s="103">
        <v>3.9126357671611296</v>
      </c>
      <c r="M42" s="104">
        <v>5.1339935199566966</v>
      </c>
      <c r="N42" s="104">
        <v>4.4990300011097339</v>
      </c>
      <c r="O42" s="104">
        <v>2.956</v>
      </c>
      <c r="P42" s="104">
        <v>2.0880000000000001</v>
      </c>
      <c r="Q42" s="104">
        <v>1.359</v>
      </c>
      <c r="R42" s="104">
        <v>2.5640000000000001</v>
      </c>
      <c r="S42" s="104">
        <v>3.1869999999999998</v>
      </c>
      <c r="T42" s="104">
        <v>-7.2519999999999998</v>
      </c>
      <c r="U42" s="104">
        <v>11.016</v>
      </c>
      <c r="V42" s="105">
        <v>7.4960000000000004</v>
      </c>
      <c r="W42" s="105">
        <f t="shared" si="0"/>
        <v>3.0419885642345768</v>
      </c>
    </row>
    <row r="43" spans="1:23" x14ac:dyDescent="0.35">
      <c r="A43" s="95" t="s">
        <v>589</v>
      </c>
      <c r="B43" s="95" t="s">
        <v>624</v>
      </c>
      <c r="C43" s="103">
        <v>1.4424277454801349</v>
      </c>
      <c r="D43" s="104">
        <v>1.9425285111170032</v>
      </c>
      <c r="E43" s="105">
        <v>2.451644301489786</v>
      </c>
      <c r="G43" s="117" t="s">
        <v>429</v>
      </c>
      <c r="H43" s="115">
        <v>68.943026951610364</v>
      </c>
      <c r="I43" s="107">
        <v>96</v>
      </c>
      <c r="J43" s="108">
        <v>17</v>
      </c>
      <c r="K43" s="95"/>
      <c r="L43" s="103">
        <v>3.2002729031888046</v>
      </c>
      <c r="M43" s="104">
        <v>4.4998742153082745</v>
      </c>
      <c r="N43" s="104">
        <v>2.1000064383028905</v>
      </c>
      <c r="O43" s="104">
        <v>1.147</v>
      </c>
      <c r="P43" s="104">
        <v>3.32</v>
      </c>
      <c r="Q43" s="104">
        <v>3.8159999999999998</v>
      </c>
      <c r="R43" s="104">
        <v>3.6419999999999999</v>
      </c>
      <c r="S43" s="104">
        <v>1.7609999999999999</v>
      </c>
      <c r="T43" s="104">
        <v>-0.19600000000000001</v>
      </c>
      <c r="U43" s="104">
        <v>2.1120000000000001</v>
      </c>
      <c r="V43" s="105">
        <v>2.431</v>
      </c>
      <c r="W43" s="105">
        <f t="shared" si="0"/>
        <v>2.1970864063033946</v>
      </c>
    </row>
    <row r="44" spans="1:23" x14ac:dyDescent="0.35">
      <c r="A44" s="95" t="s">
        <v>589</v>
      </c>
      <c r="B44" s="95" t="s">
        <v>625</v>
      </c>
      <c r="C44" s="103">
        <v>4.8306254668632809</v>
      </c>
      <c r="D44" s="104">
        <v>4.9384402884992351</v>
      </c>
      <c r="E44" s="105">
        <v>5.5494362942043685</v>
      </c>
      <c r="G44" s="117" t="s">
        <v>587</v>
      </c>
      <c r="H44" s="115">
        <v>40.102703133666751</v>
      </c>
      <c r="I44" s="107">
        <v>151</v>
      </c>
      <c r="J44" s="108">
        <v>45</v>
      </c>
      <c r="K44" s="95"/>
      <c r="L44" s="103">
        <v>7.0868989467193844</v>
      </c>
      <c r="M44" s="104">
        <v>8.4819566360875722</v>
      </c>
      <c r="N44" s="104">
        <v>9.4702880971408341</v>
      </c>
      <c r="O44" s="104">
        <v>6.36</v>
      </c>
      <c r="P44" s="104">
        <v>0.39400000000000002</v>
      </c>
      <c r="Q44" s="104">
        <v>3.6579999999999999</v>
      </c>
      <c r="R44" s="104">
        <v>4.8250000000000002</v>
      </c>
      <c r="S44" s="104">
        <v>4.4850000000000003</v>
      </c>
      <c r="T44" s="104">
        <v>1.671</v>
      </c>
      <c r="U44" s="104">
        <v>6.2290000000000001</v>
      </c>
      <c r="V44" s="105">
        <v>6.6269999999999998</v>
      </c>
      <c r="W44" s="105">
        <f t="shared" si="0"/>
        <v>5.2439382913518013</v>
      </c>
    </row>
    <row r="45" spans="1:23" x14ac:dyDescent="0.35">
      <c r="A45" s="95" t="s">
        <v>589</v>
      </c>
      <c r="B45" s="95" t="s">
        <v>626</v>
      </c>
      <c r="C45" s="103">
        <v>-1.9540231466170455</v>
      </c>
      <c r="D45" s="104">
        <v>-2.1626068363397866</v>
      </c>
      <c r="E45" s="105">
        <v>-2.4351268953680449</v>
      </c>
      <c r="G45" s="117" t="s">
        <v>587</v>
      </c>
      <c r="H45" s="115">
        <v>42.318471362744162</v>
      </c>
      <c r="I45" s="107">
        <v>148</v>
      </c>
      <c r="J45" s="108">
        <v>43</v>
      </c>
      <c r="K45" s="95"/>
      <c r="L45" s="103">
        <v>9.9471531425756439</v>
      </c>
      <c r="M45" s="104">
        <v>-0.71243445187648202</v>
      </c>
      <c r="N45" s="104">
        <v>6.7166793337864945</v>
      </c>
      <c r="O45" s="104">
        <v>-3.5510000000000002</v>
      </c>
      <c r="P45" s="104">
        <v>-10.782999999999999</v>
      </c>
      <c r="Q45" s="104">
        <v>-4.383</v>
      </c>
      <c r="R45" s="104">
        <v>-4.8049999999999997</v>
      </c>
      <c r="S45" s="104">
        <v>1.026</v>
      </c>
      <c r="T45" s="104">
        <v>-6.1980000000000004</v>
      </c>
      <c r="U45" s="104">
        <v>1.5</v>
      </c>
      <c r="V45" s="105">
        <v>2.7850000000000001</v>
      </c>
      <c r="W45" s="105">
        <f t="shared" si="0"/>
        <v>-2.298866865853916</v>
      </c>
    </row>
    <row r="46" spans="1:23" x14ac:dyDescent="0.35">
      <c r="A46" s="95" t="s">
        <v>593</v>
      </c>
      <c r="B46" s="95" t="s">
        <v>627</v>
      </c>
      <c r="C46" s="103">
        <v>2.4986852323448439</v>
      </c>
      <c r="D46" s="104">
        <v>3.7972658363557565</v>
      </c>
      <c r="E46" s="105">
        <v>3.649680120396992</v>
      </c>
      <c r="G46" s="117" t="s">
        <v>591</v>
      </c>
      <c r="H46" s="115">
        <v>86.218051096846139</v>
      </c>
      <c r="I46" s="107">
        <v>34</v>
      </c>
      <c r="J46" s="108">
        <v>4</v>
      </c>
      <c r="K46" s="95"/>
      <c r="L46" s="103">
        <v>4.7969199185815947</v>
      </c>
      <c r="M46" s="104">
        <v>2.2690274004615811</v>
      </c>
      <c r="N46" s="104">
        <v>3.5153385639114227</v>
      </c>
      <c r="O46" s="104">
        <v>3.6520000000000001</v>
      </c>
      <c r="P46" s="104">
        <v>4.2039999999999997</v>
      </c>
      <c r="Q46" s="104">
        <v>4.1580000000000004</v>
      </c>
      <c r="R46" s="104">
        <v>2.6160000000000001</v>
      </c>
      <c r="S46" s="104">
        <v>2.4180000000000001</v>
      </c>
      <c r="T46" s="104">
        <v>-4.2729999999999997</v>
      </c>
      <c r="U46" s="104">
        <v>7.7809999999999997</v>
      </c>
      <c r="V46" s="105">
        <v>4.3239999999999998</v>
      </c>
      <c r="W46" s="105">
        <f t="shared" si="0"/>
        <v>3.7234729783763743</v>
      </c>
    </row>
    <row r="47" spans="1:23" x14ac:dyDescent="0.35">
      <c r="A47" s="95" t="s">
        <v>589</v>
      </c>
      <c r="B47" s="95" t="s">
        <v>628</v>
      </c>
      <c r="C47" s="103">
        <v>5.2133244785906863</v>
      </c>
      <c r="D47" s="104">
        <v>5.7501340546816326</v>
      </c>
      <c r="E47" s="105">
        <v>6.9731316213943906</v>
      </c>
      <c r="G47" s="117" t="s">
        <v>429</v>
      </c>
      <c r="H47" s="115">
        <v>69.121915522328067</v>
      </c>
      <c r="I47" s="107">
        <v>95</v>
      </c>
      <c r="J47" s="108">
        <v>16</v>
      </c>
      <c r="K47" s="95"/>
      <c r="L47" s="103">
        <v>10.706504103485498</v>
      </c>
      <c r="M47" s="104">
        <v>8.8894213015542505</v>
      </c>
      <c r="N47" s="104">
        <v>8.7940773902773532</v>
      </c>
      <c r="O47" s="104">
        <v>8.843</v>
      </c>
      <c r="P47" s="104">
        <v>7.173</v>
      </c>
      <c r="Q47" s="104">
        <v>6.1429999999999998</v>
      </c>
      <c r="R47" s="104">
        <v>3.7509999999999999</v>
      </c>
      <c r="S47" s="104">
        <v>8.31</v>
      </c>
      <c r="T47" s="104">
        <v>1.7</v>
      </c>
      <c r="U47" s="104">
        <v>7</v>
      </c>
      <c r="V47" s="105">
        <v>6.7</v>
      </c>
      <c r="W47" s="105">
        <f t="shared" si="0"/>
        <v>6.3616328380380116</v>
      </c>
    </row>
    <row r="48" spans="1:23" x14ac:dyDescent="0.35">
      <c r="A48" s="95" t="s">
        <v>231</v>
      </c>
      <c r="B48" s="95" t="s">
        <v>629</v>
      </c>
      <c r="C48" s="103">
        <v>3.2016110581527757</v>
      </c>
      <c r="D48" s="104">
        <v>3.6386983370098269</v>
      </c>
      <c r="E48" s="105">
        <v>2.6484109069949024</v>
      </c>
      <c r="G48" s="117" t="s">
        <v>591</v>
      </c>
      <c r="H48" s="115">
        <v>83.891853807505186</v>
      </c>
      <c r="I48" s="107">
        <v>39</v>
      </c>
      <c r="J48" s="108">
        <v>25</v>
      </c>
      <c r="K48" s="95"/>
      <c r="L48" s="103">
        <v>-2.2376475412236791</v>
      </c>
      <c r="M48" s="104">
        <v>-0.54854848857064353</v>
      </c>
      <c r="N48" s="104">
        <v>-0.10392849719394197</v>
      </c>
      <c r="O48" s="104">
        <v>2.524</v>
      </c>
      <c r="P48" s="104">
        <v>3.56</v>
      </c>
      <c r="Q48" s="104">
        <v>3.4140000000000001</v>
      </c>
      <c r="R48" s="104">
        <v>2.7989999999999999</v>
      </c>
      <c r="S48" s="104">
        <v>3.42</v>
      </c>
      <c r="T48" s="104">
        <v>-8.58</v>
      </c>
      <c r="U48" s="104">
        <v>13.07</v>
      </c>
      <c r="V48" s="105">
        <v>6.3319999999999999</v>
      </c>
      <c r="W48" s="105">
        <f t="shared" si="0"/>
        <v>3.1435546220023647</v>
      </c>
    </row>
    <row r="49" spans="1:23" x14ac:dyDescent="0.35">
      <c r="A49" s="95" t="s">
        <v>231</v>
      </c>
      <c r="B49" s="95" t="s">
        <v>630</v>
      </c>
      <c r="C49" s="103">
        <v>2.5096449899315587</v>
      </c>
      <c r="D49" s="104">
        <v>3.8028194592395037</v>
      </c>
      <c r="E49" s="105">
        <v>2.5630103304818297</v>
      </c>
      <c r="G49" s="117" t="s">
        <v>591</v>
      </c>
      <c r="H49" s="115">
        <v>87.255396390154942</v>
      </c>
      <c r="I49" s="107">
        <v>32</v>
      </c>
      <c r="J49" s="108">
        <v>21</v>
      </c>
      <c r="K49" s="95"/>
      <c r="L49" s="103">
        <v>-3.4468220858971224</v>
      </c>
      <c r="M49" s="104">
        <v>-6.5530782549911972</v>
      </c>
      <c r="N49" s="104">
        <v>-1.8293091092200273</v>
      </c>
      <c r="O49" s="104">
        <v>3.4180000000000001</v>
      </c>
      <c r="P49" s="104">
        <v>6.5739999999999998</v>
      </c>
      <c r="Q49" s="104">
        <v>5.7329999999999997</v>
      </c>
      <c r="R49" s="104">
        <v>5.649</v>
      </c>
      <c r="S49" s="104">
        <v>5.5289999999999999</v>
      </c>
      <c r="T49" s="104">
        <v>-4.3710000000000004</v>
      </c>
      <c r="U49" s="104">
        <v>6.6369999999999996</v>
      </c>
      <c r="V49" s="105">
        <v>5.6319999999999997</v>
      </c>
      <c r="W49" s="105">
        <f t="shared" si="0"/>
        <v>3.1829148948606667</v>
      </c>
    </row>
    <row r="50" spans="1:23" x14ac:dyDescent="0.35">
      <c r="A50" s="95" t="s">
        <v>231</v>
      </c>
      <c r="B50" s="95" t="s">
        <v>631</v>
      </c>
      <c r="C50" s="103">
        <v>7.8479275411136307E-2</v>
      </c>
      <c r="D50" s="104">
        <v>1.4620184569118511</v>
      </c>
      <c r="E50" s="105">
        <v>2.1534461321011111</v>
      </c>
      <c r="G50" s="117" t="s">
        <v>422</v>
      </c>
      <c r="H50" s="115">
        <v>91.450544124021832</v>
      </c>
      <c r="I50" s="107">
        <v>23</v>
      </c>
      <c r="J50" s="108">
        <v>15</v>
      </c>
      <c r="K50" s="95"/>
      <c r="L50" s="103">
        <v>-0.79984428098029747</v>
      </c>
      <c r="M50" s="104">
        <v>-0.48367104180935355</v>
      </c>
      <c r="N50" s="104">
        <v>2.7151161333034923</v>
      </c>
      <c r="O50" s="104">
        <v>5.3879999999999999</v>
      </c>
      <c r="P50" s="104">
        <v>2.5369999999999999</v>
      </c>
      <c r="Q50" s="104">
        <v>5.1689999999999996</v>
      </c>
      <c r="R50" s="104">
        <v>3.22</v>
      </c>
      <c r="S50" s="104">
        <v>3.03</v>
      </c>
      <c r="T50" s="104">
        <v>-5.5030000000000001</v>
      </c>
      <c r="U50" s="104">
        <v>3.5529999999999999</v>
      </c>
      <c r="V50" s="105">
        <v>2.4420000000000002</v>
      </c>
      <c r="W50" s="105">
        <f t="shared" si="0"/>
        <v>1.8077322945064811</v>
      </c>
    </row>
    <row r="51" spans="1:23" x14ac:dyDescent="0.35">
      <c r="A51" s="95" t="s">
        <v>231</v>
      </c>
      <c r="B51" s="95" t="s">
        <v>632</v>
      </c>
      <c r="C51" s="103">
        <v>2.1173186821453305</v>
      </c>
      <c r="D51" s="104">
        <v>2.0745382872927598</v>
      </c>
      <c r="E51" s="105">
        <v>2.0535686786969709</v>
      </c>
      <c r="G51" s="117" t="s">
        <v>422</v>
      </c>
      <c r="H51" s="115">
        <v>97.848591628257381</v>
      </c>
      <c r="I51" s="107">
        <v>3</v>
      </c>
      <c r="J51" s="108">
        <v>2</v>
      </c>
      <c r="K51" s="95"/>
      <c r="L51" s="103">
        <v>0.22649979701625131</v>
      </c>
      <c r="M51" s="104">
        <v>0.93334095705108477</v>
      </c>
      <c r="N51" s="104">
        <v>1.6193938166337245</v>
      </c>
      <c r="O51" s="104">
        <v>2.343</v>
      </c>
      <c r="P51" s="104">
        <v>3.2480000000000002</v>
      </c>
      <c r="Q51" s="104">
        <v>2.819</v>
      </c>
      <c r="R51" s="104">
        <v>1.9910000000000001</v>
      </c>
      <c r="S51" s="104">
        <v>1.4930000000000001</v>
      </c>
      <c r="T51" s="104">
        <v>-1.994</v>
      </c>
      <c r="U51" s="104">
        <v>4.8570000000000002</v>
      </c>
      <c r="V51" s="105">
        <v>3.6230000000000002</v>
      </c>
      <c r="W51" s="105">
        <f t="shared" si="0"/>
        <v>2.0640534829948654</v>
      </c>
    </row>
    <row r="52" spans="1:23" x14ac:dyDescent="0.35">
      <c r="A52" s="95" t="s">
        <v>593</v>
      </c>
      <c r="B52" s="95" t="s">
        <v>633</v>
      </c>
      <c r="C52" s="103">
        <v>3.1998461156594438</v>
      </c>
      <c r="D52" s="104">
        <v>4.316018962980106</v>
      </c>
      <c r="E52" s="105">
        <v>5.1698060844696858</v>
      </c>
      <c r="G52" s="117" t="s">
        <v>591</v>
      </c>
      <c r="H52" s="115">
        <v>76.661181476266762</v>
      </c>
      <c r="I52" s="107">
        <v>62</v>
      </c>
      <c r="J52" s="108">
        <v>9</v>
      </c>
      <c r="K52" s="95"/>
      <c r="L52" s="103">
        <v>2.7173678967056243</v>
      </c>
      <c r="M52" s="104">
        <v>4.8752050933227107</v>
      </c>
      <c r="N52" s="104">
        <v>7.0504636896591117</v>
      </c>
      <c r="O52" s="104">
        <v>6.9269999999999996</v>
      </c>
      <c r="P52" s="104">
        <v>6.6589999999999998</v>
      </c>
      <c r="Q52" s="104">
        <v>4.6669999999999998</v>
      </c>
      <c r="R52" s="104">
        <v>6.9829999999999997</v>
      </c>
      <c r="S52" s="104">
        <v>5.0519999999999996</v>
      </c>
      <c r="T52" s="104">
        <v>-6.72</v>
      </c>
      <c r="U52" s="104">
        <v>12.272</v>
      </c>
      <c r="V52" s="105">
        <v>4.9489999999999998</v>
      </c>
      <c r="W52" s="105">
        <f t="shared" si="0"/>
        <v>4.7429125237248959</v>
      </c>
    </row>
    <row r="53" spans="1:23" x14ac:dyDescent="0.35">
      <c r="A53" s="95" t="s">
        <v>593</v>
      </c>
      <c r="B53" s="95" t="s">
        <v>634</v>
      </c>
      <c r="C53" s="103">
        <v>-0.32141867374969602</v>
      </c>
      <c r="D53" s="104">
        <v>6.5490773887200149E-2</v>
      </c>
      <c r="E53" s="105">
        <v>1.0130868701887064</v>
      </c>
      <c r="G53" s="121" t="s">
        <v>429</v>
      </c>
      <c r="H53" s="115">
        <v>61.323621492965962</v>
      </c>
      <c r="I53" s="107">
        <v>123</v>
      </c>
      <c r="J53" s="108">
        <v>20</v>
      </c>
      <c r="K53" s="95"/>
      <c r="L53" s="103">
        <v>5.641962066711991</v>
      </c>
      <c r="M53" s="104">
        <v>4.9465112669062528</v>
      </c>
      <c r="N53" s="104">
        <v>3.7888685492083329</v>
      </c>
      <c r="O53" s="104">
        <v>9.9000000000000005E-2</v>
      </c>
      <c r="P53" s="104">
        <v>-1.226</v>
      </c>
      <c r="Q53" s="104">
        <v>2.3679999999999999</v>
      </c>
      <c r="R53" s="104">
        <v>1.2889999999999999</v>
      </c>
      <c r="S53" s="104">
        <v>1.2E-2</v>
      </c>
      <c r="T53" s="104">
        <v>-7.7880000000000003</v>
      </c>
      <c r="U53" s="104">
        <v>4.2350000000000003</v>
      </c>
      <c r="V53" s="105">
        <v>3.0390000000000001</v>
      </c>
      <c r="W53" s="105">
        <f t="shared" si="0"/>
        <v>0.53928882203795325</v>
      </c>
    </row>
    <row r="54" spans="1:23" x14ac:dyDescent="0.35">
      <c r="A54" s="95" t="s">
        <v>589</v>
      </c>
      <c r="B54" s="95" t="s">
        <v>635</v>
      </c>
      <c r="C54" s="103">
        <v>4.4912036839904523</v>
      </c>
      <c r="D54" s="104">
        <v>4.8680352120142656</v>
      </c>
      <c r="E54" s="105">
        <v>4.2302867143853229</v>
      </c>
      <c r="G54" s="117" t="s">
        <v>429</v>
      </c>
      <c r="H54" s="115">
        <v>63.405428674671668</v>
      </c>
      <c r="I54" s="107">
        <v>119</v>
      </c>
      <c r="J54" s="108">
        <v>28</v>
      </c>
      <c r="K54" s="95"/>
      <c r="L54" s="103">
        <v>2.2261997966213811</v>
      </c>
      <c r="M54" s="104">
        <v>2.1854660547123101</v>
      </c>
      <c r="N54" s="104">
        <v>2.9159118788358169</v>
      </c>
      <c r="O54" s="104">
        <v>4.4340000000000002</v>
      </c>
      <c r="P54" s="104">
        <v>4.5060000000000002</v>
      </c>
      <c r="Q54" s="104">
        <v>2.3690000000000002</v>
      </c>
      <c r="R54" s="104">
        <v>5.3310000000000004</v>
      </c>
      <c r="S54" s="104">
        <v>5.5339999999999998</v>
      </c>
      <c r="T54" s="104">
        <v>3.5139999999999998</v>
      </c>
      <c r="U54" s="104">
        <v>3.3069999999999999</v>
      </c>
      <c r="V54" s="105">
        <v>6.609</v>
      </c>
      <c r="W54" s="105">
        <f t="shared" si="0"/>
        <v>4.5491609631997942</v>
      </c>
    </row>
    <row r="55" spans="1:23" x14ac:dyDescent="0.35">
      <c r="A55" s="95" t="s">
        <v>593</v>
      </c>
      <c r="B55" s="95" t="s">
        <v>636</v>
      </c>
      <c r="C55" s="103">
        <v>1.3471265984384528</v>
      </c>
      <c r="D55" s="104">
        <v>1.776882859029727</v>
      </c>
      <c r="E55" s="105">
        <v>2.0016468394263187</v>
      </c>
      <c r="G55" s="117" t="s">
        <v>405</v>
      </c>
      <c r="H55" s="115">
        <v>69.210174273537845</v>
      </c>
      <c r="I55" s="107">
        <v>94</v>
      </c>
      <c r="J55" s="108">
        <v>13</v>
      </c>
      <c r="K55" s="95"/>
      <c r="L55" s="103">
        <v>2.8155018217952783</v>
      </c>
      <c r="M55" s="104">
        <v>2.2337536818851604</v>
      </c>
      <c r="N55" s="104">
        <v>1.7112232058649222</v>
      </c>
      <c r="O55" s="104">
        <v>2.395</v>
      </c>
      <c r="P55" s="104">
        <v>2.5419999999999998</v>
      </c>
      <c r="Q55" s="104">
        <v>2.2530000000000001</v>
      </c>
      <c r="R55" s="104">
        <v>2.4119999999999999</v>
      </c>
      <c r="S55" s="104">
        <v>2.4350000000000001</v>
      </c>
      <c r="T55" s="104">
        <v>-8.1750000000000007</v>
      </c>
      <c r="U55" s="104">
        <v>10.269</v>
      </c>
      <c r="V55" s="105">
        <v>2.8</v>
      </c>
      <c r="W55" s="105">
        <f t="shared" si="0"/>
        <v>1.8892648492280228</v>
      </c>
    </row>
    <row r="56" spans="1:23" x14ac:dyDescent="0.35">
      <c r="A56" s="95" t="s">
        <v>231</v>
      </c>
      <c r="B56" s="95" t="s">
        <v>637</v>
      </c>
      <c r="C56" s="103">
        <v>1.972770435214799</v>
      </c>
      <c r="D56" s="104">
        <v>2.6853264084946815</v>
      </c>
      <c r="E56" s="105">
        <v>2.7928430899179402</v>
      </c>
      <c r="G56" s="117" t="s">
        <v>591</v>
      </c>
      <c r="H56" s="115">
        <v>82.267245472231053</v>
      </c>
      <c r="I56" s="107">
        <v>41</v>
      </c>
      <c r="J56" s="108">
        <v>27</v>
      </c>
      <c r="K56" s="95"/>
      <c r="L56" s="103">
        <v>3.1248431915696226</v>
      </c>
      <c r="M56" s="104">
        <v>1.346187835760732</v>
      </c>
      <c r="N56" s="104">
        <v>2.9873258188549392</v>
      </c>
      <c r="O56" s="104">
        <v>1.853</v>
      </c>
      <c r="P56" s="104">
        <v>3.1549999999999998</v>
      </c>
      <c r="Q56" s="104">
        <v>5.7919999999999998</v>
      </c>
      <c r="R56" s="104">
        <v>3.7839999999999998</v>
      </c>
      <c r="S56" s="104">
        <v>3.74</v>
      </c>
      <c r="T56" s="104">
        <v>-0.55100000000000005</v>
      </c>
      <c r="U56" s="104">
        <v>8.0129999999999999</v>
      </c>
      <c r="V56" s="105">
        <v>-1.2869999999999999</v>
      </c>
      <c r="W56" s="105">
        <f t="shared" si="0"/>
        <v>2.7390847492063108</v>
      </c>
    </row>
    <row r="57" spans="1:23" x14ac:dyDescent="0.35">
      <c r="A57" s="95" t="s">
        <v>589</v>
      </c>
      <c r="B57" s="95" t="s">
        <v>638</v>
      </c>
      <c r="C57" s="103">
        <v>2.1841699351578647</v>
      </c>
      <c r="D57" s="104">
        <v>2.1180367535848621</v>
      </c>
      <c r="E57" s="105">
        <v>2.094572895591984</v>
      </c>
      <c r="G57" s="117" t="s">
        <v>429</v>
      </c>
      <c r="H57" s="115">
        <v>63.876381030610304</v>
      </c>
      <c r="I57" s="107">
        <v>117</v>
      </c>
      <c r="J57" s="108">
        <v>27</v>
      </c>
      <c r="K57" s="95"/>
      <c r="L57" s="103">
        <v>5.3913093065302364</v>
      </c>
      <c r="M57" s="104">
        <v>3.8622718821819677</v>
      </c>
      <c r="N57" s="104">
        <v>0.91319649477376841</v>
      </c>
      <c r="O57" s="104">
        <v>2.2269999999999999</v>
      </c>
      <c r="P57" s="104">
        <v>1.0629999999999999</v>
      </c>
      <c r="Q57" s="104">
        <v>2.0270000000000001</v>
      </c>
      <c r="R57" s="104">
        <v>2.3690000000000002</v>
      </c>
      <c r="S57" s="104">
        <v>2.7040000000000002</v>
      </c>
      <c r="T57" s="104">
        <v>-1.56</v>
      </c>
      <c r="U57" s="104">
        <v>7.883</v>
      </c>
      <c r="V57" s="105">
        <v>0.46700000000000003</v>
      </c>
      <c r="W57" s="105">
        <f t="shared" si="0"/>
        <v>2.1063048245884231</v>
      </c>
    </row>
    <row r="58" spans="1:23" x14ac:dyDescent="0.35">
      <c r="A58" s="95" t="s">
        <v>589</v>
      </c>
      <c r="B58" s="95" t="s">
        <v>639</v>
      </c>
      <c r="C58" s="103">
        <v>6.0178655257344227</v>
      </c>
      <c r="D58" s="104">
        <v>6.6428861766961944</v>
      </c>
      <c r="E58" s="105">
        <v>8.3305963840047514</v>
      </c>
      <c r="G58" s="117" t="s">
        <v>587</v>
      </c>
      <c r="H58" s="115">
        <v>58.357971531116526</v>
      </c>
      <c r="I58" s="107">
        <v>128</v>
      </c>
      <c r="J58" s="108">
        <v>31</v>
      </c>
      <c r="K58" s="95"/>
      <c r="L58" s="103">
        <v>8.6478116333741841</v>
      </c>
      <c r="M58" s="104">
        <v>10.582270048267214</v>
      </c>
      <c r="N58" s="104">
        <v>10.257492961005118</v>
      </c>
      <c r="O58" s="104">
        <v>10.4</v>
      </c>
      <c r="P58" s="104">
        <v>8</v>
      </c>
      <c r="Q58" s="104">
        <v>10.210000000000001</v>
      </c>
      <c r="R58" s="104">
        <v>7.7030000000000003</v>
      </c>
      <c r="S58" s="104">
        <v>9.0370000000000008</v>
      </c>
      <c r="T58" s="104">
        <v>6.0570000000000004</v>
      </c>
      <c r="U58" s="104">
        <v>6.2649999999999997</v>
      </c>
      <c r="V58" s="105">
        <v>6.3579999999999997</v>
      </c>
      <c r="W58" s="105">
        <f t="shared" si="0"/>
        <v>7.4867412803504729</v>
      </c>
    </row>
    <row r="59" spans="1:23" x14ac:dyDescent="0.35">
      <c r="A59" s="95" t="s">
        <v>231</v>
      </c>
      <c r="B59" s="95" t="s">
        <v>640</v>
      </c>
      <c r="C59" s="103">
        <v>0.92513707934396283</v>
      </c>
      <c r="D59" s="104">
        <v>1.065704979127502</v>
      </c>
      <c r="E59" s="105">
        <v>1.0351636365421246</v>
      </c>
      <c r="G59" s="117" t="s">
        <v>422</v>
      </c>
      <c r="H59" s="115">
        <v>97.443307672167862</v>
      </c>
      <c r="I59" s="107">
        <v>5</v>
      </c>
      <c r="J59" s="108">
        <v>3</v>
      </c>
      <c r="K59" s="95"/>
      <c r="L59" s="103">
        <v>-1.3973545576374944</v>
      </c>
      <c r="M59" s="104">
        <v>-0.90201849743960727</v>
      </c>
      <c r="N59" s="104">
        <v>-0.36494028121428063</v>
      </c>
      <c r="O59" s="104">
        <v>0.54400000000000004</v>
      </c>
      <c r="P59" s="104">
        <v>2.8109999999999999</v>
      </c>
      <c r="Q59" s="104">
        <v>3.1920000000000002</v>
      </c>
      <c r="R59" s="104">
        <v>1.1399999999999999</v>
      </c>
      <c r="S59" s="104">
        <v>1.224</v>
      </c>
      <c r="T59" s="104">
        <v>-2.355</v>
      </c>
      <c r="U59" s="104">
        <v>3.0459999999999998</v>
      </c>
      <c r="V59" s="105">
        <v>2.0840000000000001</v>
      </c>
      <c r="W59" s="105">
        <f t="shared" si="0"/>
        <v>1.0504343078348133</v>
      </c>
    </row>
    <row r="60" spans="1:23" x14ac:dyDescent="0.35">
      <c r="A60" s="95" t="s">
        <v>231</v>
      </c>
      <c r="B60" s="95" t="s">
        <v>641</v>
      </c>
      <c r="C60" s="103">
        <v>0.35484098705607092</v>
      </c>
      <c r="D60" s="104">
        <v>0.85541697677951056</v>
      </c>
      <c r="E60" s="105">
        <v>1.0299722548507528</v>
      </c>
      <c r="G60" s="117" t="s">
        <v>422</v>
      </c>
      <c r="H60" s="115">
        <v>94.937245038342397</v>
      </c>
      <c r="I60" s="107">
        <v>20</v>
      </c>
      <c r="J60" s="108">
        <v>13</v>
      </c>
      <c r="K60" s="95"/>
      <c r="L60" s="103">
        <v>0.31313474167845923</v>
      </c>
      <c r="M60" s="104">
        <v>0.5763266794418439</v>
      </c>
      <c r="N60" s="104">
        <v>0.95618304768384532</v>
      </c>
      <c r="O60" s="104">
        <v>1.0549999999999999</v>
      </c>
      <c r="P60" s="104">
        <v>0.98199999999999998</v>
      </c>
      <c r="Q60" s="104">
        <v>2.4489999999999998</v>
      </c>
      <c r="R60" s="104">
        <v>1.8240000000000001</v>
      </c>
      <c r="S60" s="104">
        <v>1.8839999999999999</v>
      </c>
      <c r="T60" s="104">
        <v>-7.907</v>
      </c>
      <c r="U60" s="104">
        <v>6.77</v>
      </c>
      <c r="V60" s="105">
        <v>2.6059999999999999</v>
      </c>
      <c r="W60" s="105">
        <f t="shared" si="0"/>
        <v>0.9426946158151317</v>
      </c>
    </row>
    <row r="61" spans="1:23" x14ac:dyDescent="0.35">
      <c r="A61" s="95" t="s">
        <v>589</v>
      </c>
      <c r="B61" s="95" t="s">
        <v>642</v>
      </c>
      <c r="C61" s="103">
        <v>0.80490169914342324</v>
      </c>
      <c r="D61" s="104">
        <v>1.4271603442411074</v>
      </c>
      <c r="E61" s="105">
        <v>2.3419356903168431</v>
      </c>
      <c r="G61" s="117" t="s">
        <v>587</v>
      </c>
      <c r="H61" s="115">
        <v>37.219050826761183</v>
      </c>
      <c r="I61" s="107">
        <v>153</v>
      </c>
      <c r="J61" s="108">
        <v>46</v>
      </c>
      <c r="K61" s="95"/>
      <c r="L61" s="103">
        <v>5.251076917504065</v>
      </c>
      <c r="M61" s="104">
        <v>5.6386990033869457</v>
      </c>
      <c r="N61" s="104">
        <v>4.3149644410747063</v>
      </c>
      <c r="O61" s="104">
        <v>3.879</v>
      </c>
      <c r="P61" s="104">
        <v>2.0910000000000002</v>
      </c>
      <c r="Q61" s="104">
        <v>0.47299999999999998</v>
      </c>
      <c r="R61" s="104">
        <v>0.84299999999999997</v>
      </c>
      <c r="S61" s="104">
        <v>3.915</v>
      </c>
      <c r="T61" s="104">
        <v>-1.8640000000000001</v>
      </c>
      <c r="U61" s="104">
        <v>1.484</v>
      </c>
      <c r="V61" s="105">
        <v>2.8479999999999999</v>
      </c>
      <c r="W61" s="105">
        <f t="shared" si="0"/>
        <v>1.8845480172789753</v>
      </c>
    </row>
    <row r="62" spans="1:23" x14ac:dyDescent="0.35">
      <c r="A62" s="95" t="s">
        <v>589</v>
      </c>
      <c r="B62" s="95" t="s">
        <v>643</v>
      </c>
      <c r="C62" s="103">
        <v>3.0839257560593802</v>
      </c>
      <c r="D62" s="104">
        <v>4.5260960958580343</v>
      </c>
      <c r="E62" s="105">
        <v>3.4750911540431417</v>
      </c>
      <c r="G62" s="117" t="s">
        <v>429</v>
      </c>
      <c r="H62" s="115">
        <v>65.416670727464805</v>
      </c>
      <c r="I62" s="107">
        <v>114</v>
      </c>
      <c r="J62" s="108">
        <v>26</v>
      </c>
      <c r="K62" s="95"/>
      <c r="L62" s="103">
        <v>5.2415692463074244</v>
      </c>
      <c r="M62" s="104">
        <v>2.8727687903269969</v>
      </c>
      <c r="N62" s="104">
        <v>-1.4073824951095362</v>
      </c>
      <c r="O62" s="104">
        <v>4.0579999999999998</v>
      </c>
      <c r="P62" s="104">
        <v>1.9430000000000001</v>
      </c>
      <c r="Q62" s="104">
        <v>4.8230000000000004</v>
      </c>
      <c r="R62" s="104">
        <v>7.2350000000000003</v>
      </c>
      <c r="S62" s="104">
        <v>6.2220000000000004</v>
      </c>
      <c r="T62" s="104">
        <v>0.59099999999999997</v>
      </c>
      <c r="U62" s="104">
        <v>4.2649999999999997</v>
      </c>
      <c r="V62" s="105">
        <v>4.4409999999999998</v>
      </c>
      <c r="W62" s="105">
        <f t="shared" si="0"/>
        <v>4.0005936249505876</v>
      </c>
    </row>
    <row r="63" spans="1:23" x14ac:dyDescent="0.35">
      <c r="A63" s="95" t="s">
        <v>231</v>
      </c>
      <c r="B63" s="95" t="s">
        <v>644</v>
      </c>
      <c r="C63" s="103">
        <v>4.283743954922925</v>
      </c>
      <c r="D63" s="104">
        <v>4.5348375618438741</v>
      </c>
      <c r="E63" s="105">
        <v>4.1477466898679483</v>
      </c>
      <c r="G63" s="117" t="s">
        <v>591</v>
      </c>
      <c r="H63" s="115">
        <v>80.727500391697276</v>
      </c>
      <c r="I63" s="107">
        <v>46</v>
      </c>
      <c r="J63" s="108">
        <v>31</v>
      </c>
      <c r="K63" s="95"/>
      <c r="L63" s="103">
        <v>6.3690083063386043</v>
      </c>
      <c r="M63" s="104">
        <v>3.6213053519627643</v>
      </c>
      <c r="N63" s="104">
        <v>4.4319248230907649</v>
      </c>
      <c r="O63" s="104">
        <v>3.0270000000000001</v>
      </c>
      <c r="P63" s="104">
        <v>2.9060000000000001</v>
      </c>
      <c r="Q63" s="104">
        <v>4.843</v>
      </c>
      <c r="R63" s="104">
        <v>4.843</v>
      </c>
      <c r="S63" s="104">
        <v>4.9820000000000002</v>
      </c>
      <c r="T63" s="104">
        <v>-6.76</v>
      </c>
      <c r="U63" s="104">
        <v>10.465999999999999</v>
      </c>
      <c r="V63" s="105">
        <v>10.109</v>
      </c>
      <c r="W63" s="105">
        <f t="shared" si="0"/>
        <v>4.3412921258559116</v>
      </c>
    </row>
    <row r="64" spans="1:23" x14ac:dyDescent="0.35">
      <c r="A64" s="95" t="s">
        <v>231</v>
      </c>
      <c r="B64" s="95" t="s">
        <v>645</v>
      </c>
      <c r="C64" s="103">
        <v>0.19639292345923209</v>
      </c>
      <c r="D64" s="104">
        <v>0.54722001304448042</v>
      </c>
      <c r="E64" s="105">
        <v>1.1791658469401556</v>
      </c>
      <c r="G64" s="117" t="s">
        <v>422</v>
      </c>
      <c r="H64" s="115">
        <v>96.79194200114037</v>
      </c>
      <c r="I64" s="107">
        <v>8</v>
      </c>
      <c r="J64" s="108">
        <v>6</v>
      </c>
      <c r="K64" s="95"/>
      <c r="L64" s="103">
        <v>0.41955108005357267</v>
      </c>
      <c r="M64" s="104">
        <v>0.42824326167218907</v>
      </c>
      <c r="N64" s="104">
        <v>2.2256887491492803</v>
      </c>
      <c r="O64" s="104">
        <v>1.4870000000000001</v>
      </c>
      <c r="P64" s="104">
        <v>2.23</v>
      </c>
      <c r="Q64" s="104">
        <v>2.68</v>
      </c>
      <c r="R64" s="104">
        <v>0.98399999999999999</v>
      </c>
      <c r="S64" s="104">
        <v>1.054</v>
      </c>
      <c r="T64" s="104">
        <v>-3.6920000000000002</v>
      </c>
      <c r="U64" s="104">
        <v>2.625</v>
      </c>
      <c r="V64" s="105">
        <v>1.778</v>
      </c>
      <c r="W64" s="105">
        <f t="shared" si="0"/>
        <v>0.863192929992318</v>
      </c>
    </row>
    <row r="65" spans="1:23" x14ac:dyDescent="0.35">
      <c r="A65" s="95" t="s">
        <v>589</v>
      </c>
      <c r="B65" s="95" t="s">
        <v>646</v>
      </c>
      <c r="C65" s="103">
        <v>3.0107142168638523</v>
      </c>
      <c r="D65" s="104">
        <v>4.8285507296226937</v>
      </c>
      <c r="E65" s="105">
        <v>4.7980640567336197</v>
      </c>
      <c r="G65" s="117" t="s">
        <v>405</v>
      </c>
      <c r="H65" s="115">
        <v>69.704517199471169</v>
      </c>
      <c r="I65" s="107">
        <v>89</v>
      </c>
      <c r="J65" s="108">
        <v>13</v>
      </c>
      <c r="K65" s="95"/>
      <c r="L65" s="103">
        <v>9.2927894045967889</v>
      </c>
      <c r="M65" s="104">
        <v>7.3125250073312458</v>
      </c>
      <c r="N65" s="104">
        <v>2.8974388369154251</v>
      </c>
      <c r="O65" s="104">
        <v>2.121</v>
      </c>
      <c r="P65" s="104">
        <v>3.3730000000000002</v>
      </c>
      <c r="Q65" s="104">
        <v>8.1289999999999996</v>
      </c>
      <c r="R65" s="104">
        <v>6.2</v>
      </c>
      <c r="S65" s="104">
        <v>6.508</v>
      </c>
      <c r="T65" s="104">
        <v>0.51400000000000001</v>
      </c>
      <c r="U65" s="104">
        <v>5.3559999999999999</v>
      </c>
      <c r="V65" s="105">
        <v>3.2189999999999999</v>
      </c>
      <c r="W65" s="105">
        <f t="shared" si="0"/>
        <v>4.8133073931781567</v>
      </c>
    </row>
    <row r="66" spans="1:23" x14ac:dyDescent="0.35">
      <c r="A66" s="95" t="s">
        <v>231</v>
      </c>
      <c r="B66" s="95" t="s">
        <v>647</v>
      </c>
      <c r="C66" s="103">
        <v>1.4800990034344652</v>
      </c>
      <c r="D66" s="104">
        <v>1.2580147511245698</v>
      </c>
      <c r="E66" s="105">
        <v>0.45671215262543807</v>
      </c>
      <c r="G66" s="117" t="s">
        <v>422</v>
      </c>
      <c r="H66" s="115">
        <v>87.308557455608167</v>
      </c>
      <c r="I66" s="107">
        <v>31</v>
      </c>
      <c r="J66" s="108">
        <v>20</v>
      </c>
      <c r="K66" s="95"/>
      <c r="L66" s="103">
        <v>-7.3004939606978656</v>
      </c>
      <c r="M66" s="104">
        <v>-3.2414250560129267</v>
      </c>
      <c r="N66" s="104">
        <v>0.73977713855774985</v>
      </c>
      <c r="O66" s="104">
        <v>-0.19600000000000001</v>
      </c>
      <c r="P66" s="104">
        <v>-0.48699999999999999</v>
      </c>
      <c r="Q66" s="104">
        <v>1.0920000000000001</v>
      </c>
      <c r="R66" s="104">
        <v>1.6679999999999999</v>
      </c>
      <c r="S66" s="104">
        <v>1.8839999999999999</v>
      </c>
      <c r="T66" s="104">
        <v>-9.0039999999999996</v>
      </c>
      <c r="U66" s="104">
        <v>8.4339999999999993</v>
      </c>
      <c r="V66" s="105">
        <v>5.9139999999999997</v>
      </c>
      <c r="W66" s="105">
        <f t="shared" si="0"/>
        <v>0.85736345187500396</v>
      </c>
    </row>
    <row r="67" spans="1:23" x14ac:dyDescent="0.35">
      <c r="A67" s="95" t="s">
        <v>593</v>
      </c>
      <c r="B67" s="95" t="s">
        <v>648</v>
      </c>
      <c r="C67" s="103">
        <v>3.3306625930319189</v>
      </c>
      <c r="D67" s="104">
        <v>3.4919746764532578</v>
      </c>
      <c r="E67" s="105">
        <v>3.5384372691175781</v>
      </c>
      <c r="G67" s="117" t="s">
        <v>405</v>
      </c>
      <c r="H67" s="115">
        <v>71.336652243067974</v>
      </c>
      <c r="I67" s="107">
        <v>82</v>
      </c>
      <c r="J67" s="108">
        <v>10</v>
      </c>
      <c r="K67" s="95"/>
      <c r="L67" s="103">
        <v>2.9698574079878068</v>
      </c>
      <c r="M67" s="104">
        <v>3.6975861001947585</v>
      </c>
      <c r="N67" s="104">
        <v>4.4439780738522474</v>
      </c>
      <c r="O67" s="104">
        <v>4.0919999999999996</v>
      </c>
      <c r="P67" s="104">
        <v>2.6779999999999999</v>
      </c>
      <c r="Q67" s="104">
        <v>3.08</v>
      </c>
      <c r="R67" s="104">
        <v>3.407</v>
      </c>
      <c r="S67" s="104">
        <v>4.0019999999999998</v>
      </c>
      <c r="T67" s="104">
        <v>-1.764</v>
      </c>
      <c r="U67" s="104">
        <v>7.9809999999999999</v>
      </c>
      <c r="V67" s="105">
        <v>4.0090000000000003</v>
      </c>
      <c r="W67" s="105">
        <f t="shared" si="0"/>
        <v>3.5152059727854179</v>
      </c>
    </row>
    <row r="68" spans="1:23" x14ac:dyDescent="0.35">
      <c r="A68" s="95" t="s">
        <v>589</v>
      </c>
      <c r="B68" s="95" t="s">
        <v>649</v>
      </c>
      <c r="C68" s="103">
        <v>4.3705772513408236</v>
      </c>
      <c r="D68" s="104">
        <v>4.9898667622307658</v>
      </c>
      <c r="E68" s="105">
        <v>5.729233966321412</v>
      </c>
      <c r="G68" s="117" t="s">
        <v>587</v>
      </c>
      <c r="H68" s="115">
        <v>50.297438492745087</v>
      </c>
      <c r="I68" s="107">
        <v>138</v>
      </c>
      <c r="J68" s="108">
        <v>36</v>
      </c>
      <c r="K68" s="95"/>
      <c r="L68" s="103">
        <v>5.9152881384417997</v>
      </c>
      <c r="M68" s="104">
        <v>3.9456854305126305</v>
      </c>
      <c r="N68" s="104">
        <v>3.6965411823164165</v>
      </c>
      <c r="O68" s="104">
        <v>3.8260000000000001</v>
      </c>
      <c r="P68" s="104">
        <v>10.821</v>
      </c>
      <c r="Q68" s="104">
        <v>10.3</v>
      </c>
      <c r="R68" s="104">
        <v>6.3579999999999997</v>
      </c>
      <c r="S68" s="104">
        <v>5.617</v>
      </c>
      <c r="T68" s="104">
        <v>4.92</v>
      </c>
      <c r="U68" s="104">
        <v>4.2919999999999998</v>
      </c>
      <c r="V68" s="105">
        <v>4.2939999999999996</v>
      </c>
      <c r="W68" s="105">
        <f t="shared" si="0"/>
        <v>5.3595503642760889</v>
      </c>
    </row>
    <row r="69" spans="1:23" x14ac:dyDescent="0.35">
      <c r="A69" s="95" t="s">
        <v>589</v>
      </c>
      <c r="B69" s="95" t="s">
        <v>650</v>
      </c>
      <c r="C69" s="103">
        <v>1.5927018196488341</v>
      </c>
      <c r="D69" s="104">
        <v>2.1053991541019057</v>
      </c>
      <c r="E69" s="105">
        <v>3.2889383993762955</v>
      </c>
      <c r="G69" s="117" t="s">
        <v>587</v>
      </c>
      <c r="H69" s="115">
        <v>54.70982708603303</v>
      </c>
      <c r="I69" s="107">
        <v>134</v>
      </c>
      <c r="J69" s="108">
        <v>34</v>
      </c>
      <c r="K69" s="95"/>
      <c r="L69" s="103">
        <v>-1.7126830118107121</v>
      </c>
      <c r="M69" s="104">
        <v>3.255904265176933</v>
      </c>
      <c r="N69" s="104">
        <v>0.96456075098132787</v>
      </c>
      <c r="O69" s="104">
        <v>6.1340000000000003</v>
      </c>
      <c r="P69" s="104">
        <v>5.3070000000000004</v>
      </c>
      <c r="Q69" s="104">
        <v>4.7889999999999997</v>
      </c>
      <c r="R69" s="104">
        <v>3.7610000000000001</v>
      </c>
      <c r="S69" s="104">
        <v>4.5</v>
      </c>
      <c r="T69" s="104">
        <v>1.5</v>
      </c>
      <c r="U69" s="104">
        <v>6.4</v>
      </c>
      <c r="V69" s="105">
        <v>3.5</v>
      </c>
      <c r="W69" s="105">
        <f t="shared" si="0"/>
        <v>2.6971687767391006</v>
      </c>
    </row>
    <row r="70" spans="1:23" x14ac:dyDescent="0.35">
      <c r="A70" s="95" t="s">
        <v>593</v>
      </c>
      <c r="B70" s="95" t="s">
        <v>651</v>
      </c>
      <c r="C70" s="103">
        <v>40.872083180158647</v>
      </c>
      <c r="D70" s="104">
        <v>25.198248131969379</v>
      </c>
      <c r="E70" s="105">
        <v>13.395686805616647</v>
      </c>
      <c r="G70" s="117" t="s">
        <v>587</v>
      </c>
      <c r="H70" s="115">
        <v>56.740934863022261</v>
      </c>
      <c r="I70" s="107">
        <v>129</v>
      </c>
      <c r="J70" s="108">
        <v>21</v>
      </c>
      <c r="K70" s="95"/>
      <c r="L70" s="103">
        <v>5.3836234687298372</v>
      </c>
      <c r="M70" s="104">
        <v>3.6535047680067998</v>
      </c>
      <c r="N70" s="104">
        <v>1.6860277321410588</v>
      </c>
      <c r="O70" s="104">
        <v>0.68700000000000006</v>
      </c>
      <c r="P70" s="104">
        <v>3.8069999999999999</v>
      </c>
      <c r="Q70" s="104">
        <v>3.734</v>
      </c>
      <c r="R70" s="104">
        <v>4.4409999999999998</v>
      </c>
      <c r="S70" s="104">
        <v>5.3529999999999998</v>
      </c>
      <c r="T70" s="104">
        <v>43.48</v>
      </c>
      <c r="U70" s="104">
        <v>20.059999999999999</v>
      </c>
      <c r="V70" s="105">
        <v>62.287999999999997</v>
      </c>
      <c r="W70" s="105">
        <f t="shared" si="0"/>
        <v>19.296967468793014</v>
      </c>
    </row>
    <row r="71" spans="1:23" x14ac:dyDescent="0.35">
      <c r="A71" s="95" t="s">
        <v>593</v>
      </c>
      <c r="B71" s="95" t="s">
        <v>652</v>
      </c>
      <c r="C71" s="103">
        <v>-0.34574931867293879</v>
      </c>
      <c r="D71" s="104">
        <v>0.64565822904871784</v>
      </c>
      <c r="E71" s="105">
        <v>2.5156599586003026</v>
      </c>
      <c r="G71" s="117" t="s">
        <v>587</v>
      </c>
      <c r="H71" s="115">
        <v>54.401198784391461</v>
      </c>
      <c r="I71" s="107">
        <v>135</v>
      </c>
      <c r="J71" s="108">
        <v>22</v>
      </c>
      <c r="K71" s="95"/>
      <c r="L71" s="103">
        <v>-7.4695954800602468E-2</v>
      </c>
      <c r="M71" s="104">
        <v>9.2111856449685803</v>
      </c>
      <c r="N71" s="104">
        <v>1.9148137793287729</v>
      </c>
      <c r="O71" s="104">
        <v>2.5630000000000002</v>
      </c>
      <c r="P71" s="104">
        <v>1.8120000000000001</v>
      </c>
      <c r="Q71" s="104">
        <v>2.5099999999999998</v>
      </c>
      <c r="R71" s="104">
        <v>1.6679999999999999</v>
      </c>
      <c r="S71" s="104">
        <v>-1.6850000000000001</v>
      </c>
      <c r="T71" s="104">
        <v>-3.343</v>
      </c>
      <c r="U71" s="104">
        <v>-1.798</v>
      </c>
      <c r="V71" s="105">
        <v>-1.6819999999999999</v>
      </c>
      <c r="W71" s="105">
        <f t="shared" si="0"/>
        <v>1.5806590938245102</v>
      </c>
    </row>
    <row r="72" spans="1:23" x14ac:dyDescent="0.35">
      <c r="A72" s="95" t="s">
        <v>593</v>
      </c>
      <c r="B72" s="95" t="s">
        <v>653</v>
      </c>
      <c r="C72" s="103">
        <v>2.1352529558121391</v>
      </c>
      <c r="D72" s="104">
        <v>2.5786313755856494</v>
      </c>
      <c r="E72" s="105">
        <v>3.1291474397337593</v>
      </c>
      <c r="G72" s="117" t="s">
        <v>587</v>
      </c>
      <c r="H72" s="115">
        <v>39.565152370912173</v>
      </c>
      <c r="I72" s="107">
        <v>152</v>
      </c>
      <c r="J72" s="108">
        <v>24</v>
      </c>
      <c r="K72" s="95"/>
      <c r="L72" s="103">
        <v>4.1286877486693667</v>
      </c>
      <c r="M72" s="104">
        <v>2.7915597574680358</v>
      </c>
      <c r="N72" s="104">
        <v>3.0580805621437066</v>
      </c>
      <c r="O72" s="104">
        <v>3.84</v>
      </c>
      <c r="P72" s="104">
        <v>3.8929999999999998</v>
      </c>
      <c r="Q72" s="104">
        <v>4.843</v>
      </c>
      <c r="R72" s="104">
        <v>3.8450000000000002</v>
      </c>
      <c r="S72" s="104">
        <v>2.653</v>
      </c>
      <c r="T72" s="104">
        <v>-8.9649999999999999</v>
      </c>
      <c r="U72" s="104">
        <v>12.534000000000001</v>
      </c>
      <c r="V72" s="105">
        <v>4</v>
      </c>
      <c r="W72" s="105">
        <f t="shared" si="0"/>
        <v>2.8538894076597043</v>
      </c>
    </row>
    <row r="73" spans="1:23" x14ac:dyDescent="0.35">
      <c r="A73" s="95" t="s">
        <v>585</v>
      </c>
      <c r="B73" s="95" t="s">
        <v>654</v>
      </c>
      <c r="C73" s="103">
        <v>-1.3866109004180949</v>
      </c>
      <c r="D73" s="104">
        <v>-0.61127068207094126</v>
      </c>
      <c r="E73" s="105">
        <v>1.1000622223137801</v>
      </c>
      <c r="G73" s="117" t="s">
        <v>422</v>
      </c>
      <c r="H73" s="115">
        <v>95.561927385722356</v>
      </c>
      <c r="I73" s="107">
        <v>18</v>
      </c>
      <c r="J73" s="108">
        <v>5</v>
      </c>
      <c r="K73" s="95"/>
      <c r="L73" s="103">
        <v>1.7002747714417163</v>
      </c>
      <c r="M73" s="104">
        <v>3.1015497799994041</v>
      </c>
      <c r="N73" s="104">
        <v>2.7623919976975242</v>
      </c>
      <c r="O73" s="104">
        <v>2.3879999999999999</v>
      </c>
      <c r="P73" s="104">
        <v>2.1749999999999998</v>
      </c>
      <c r="Q73" s="104">
        <v>3.7959999999999998</v>
      </c>
      <c r="R73" s="104">
        <v>2.847</v>
      </c>
      <c r="S73" s="104">
        <v>-1.6719999999999999</v>
      </c>
      <c r="T73" s="104">
        <v>-6.5449999999999999</v>
      </c>
      <c r="U73" s="104">
        <v>6.4480000000000004</v>
      </c>
      <c r="V73" s="105">
        <v>-3.5070000000000001</v>
      </c>
      <c r="W73" s="105">
        <f t="shared" si="0"/>
        <v>0.24439577012141944</v>
      </c>
    </row>
    <row r="74" spans="1:23" x14ac:dyDescent="0.35">
      <c r="A74" s="95" t="s">
        <v>231</v>
      </c>
      <c r="B74" s="95" t="s">
        <v>655</v>
      </c>
      <c r="C74" s="103">
        <v>2.362570497371097</v>
      </c>
      <c r="D74" s="104">
        <v>3.4329643388785636</v>
      </c>
      <c r="E74" s="105">
        <v>3.366609258538622</v>
      </c>
      <c r="G74" s="117" t="s">
        <v>405</v>
      </c>
      <c r="H74" s="115">
        <v>75.842312832768172</v>
      </c>
      <c r="I74" s="107">
        <v>67</v>
      </c>
      <c r="J74" s="108">
        <v>37</v>
      </c>
      <c r="K74" s="95"/>
      <c r="L74" s="103">
        <v>-1.4717888510830746</v>
      </c>
      <c r="M74" s="104">
        <v>1.9629840486290608</v>
      </c>
      <c r="N74" s="104">
        <v>4.1950824094780925</v>
      </c>
      <c r="O74" s="104">
        <v>3.7069999999999999</v>
      </c>
      <c r="P74" s="104">
        <v>2.2010000000000001</v>
      </c>
      <c r="Q74" s="104">
        <v>4.2720000000000002</v>
      </c>
      <c r="R74" s="104">
        <v>5.3620000000000001</v>
      </c>
      <c r="S74" s="104">
        <v>4.8579999999999997</v>
      </c>
      <c r="T74" s="104">
        <v>-4.5469999999999997</v>
      </c>
      <c r="U74" s="104">
        <v>7.117</v>
      </c>
      <c r="V74" s="105">
        <v>4.9000000000000004</v>
      </c>
      <c r="W74" s="105">
        <f t="shared" si="0"/>
        <v>3.3997867987085928</v>
      </c>
    </row>
    <row r="75" spans="1:23" x14ac:dyDescent="0.35">
      <c r="A75" s="95" t="s">
        <v>231</v>
      </c>
      <c r="B75" s="95" t="s">
        <v>656</v>
      </c>
      <c r="C75" s="103">
        <v>1.1623871589995449</v>
      </c>
      <c r="D75" s="104">
        <v>2.1481166990517275</v>
      </c>
      <c r="E75" s="105">
        <v>3.1810733517810608</v>
      </c>
      <c r="G75" s="117" t="s">
        <v>422</v>
      </c>
      <c r="H75" s="115">
        <v>95.11269526919466</v>
      </c>
      <c r="I75" s="107">
        <v>19</v>
      </c>
      <c r="J75" s="108">
        <v>12</v>
      </c>
      <c r="K75" s="95"/>
      <c r="L75" s="103">
        <v>1.0636366074376145</v>
      </c>
      <c r="M75" s="104">
        <v>4.5524603201510816</v>
      </c>
      <c r="N75" s="104">
        <v>1.687215017506406</v>
      </c>
      <c r="O75" s="104">
        <v>4.4370000000000003</v>
      </c>
      <c r="P75" s="104">
        <v>6.3040000000000003</v>
      </c>
      <c r="Q75" s="104">
        <v>4.1950000000000003</v>
      </c>
      <c r="R75" s="104">
        <v>4.8890000000000002</v>
      </c>
      <c r="S75" s="104">
        <v>1.8049999999999999</v>
      </c>
      <c r="T75" s="104">
        <v>-7.242</v>
      </c>
      <c r="U75" s="104">
        <v>4.3330000000000002</v>
      </c>
      <c r="V75" s="105">
        <v>6.4450000000000003</v>
      </c>
      <c r="W75" s="105">
        <f t="shared" ref="W75:W138" si="1">AVERAGE(D75,E75)</f>
        <v>2.6645950254163941</v>
      </c>
    </row>
    <row r="76" spans="1:23" x14ac:dyDescent="0.35">
      <c r="A76" s="95" t="s">
        <v>585</v>
      </c>
      <c r="B76" s="95" t="s">
        <v>657</v>
      </c>
      <c r="C76" s="103">
        <v>2.7398620097403459</v>
      </c>
      <c r="D76" s="104">
        <v>3.6623835250989556</v>
      </c>
      <c r="E76" s="105">
        <v>5.5227254922200597</v>
      </c>
      <c r="G76" s="117" t="s">
        <v>429</v>
      </c>
      <c r="H76" s="115">
        <v>66.198052259063019</v>
      </c>
      <c r="I76" s="107">
        <v>109</v>
      </c>
      <c r="J76" s="108">
        <v>21</v>
      </c>
      <c r="K76" s="95"/>
      <c r="L76" s="103">
        <v>5.4563589507228496</v>
      </c>
      <c r="M76" s="104">
        <v>6.3861064009482602</v>
      </c>
      <c r="N76" s="104">
        <v>7.410227605088517</v>
      </c>
      <c r="O76" s="104">
        <v>7.9960000000000004</v>
      </c>
      <c r="P76" s="104">
        <v>8.2560000000000002</v>
      </c>
      <c r="Q76" s="104">
        <v>6.7949999999999999</v>
      </c>
      <c r="R76" s="104">
        <v>6.4539999999999997</v>
      </c>
      <c r="S76" s="104">
        <v>3.871</v>
      </c>
      <c r="T76" s="104">
        <v>-5.8310000000000004</v>
      </c>
      <c r="U76" s="104">
        <v>9.0500000000000007</v>
      </c>
      <c r="V76" s="105">
        <v>6.8310000000000004</v>
      </c>
      <c r="W76" s="105">
        <f t="shared" si="1"/>
        <v>4.5925545086595072</v>
      </c>
    </row>
    <row r="77" spans="1:23" x14ac:dyDescent="0.35">
      <c r="A77" s="95" t="s">
        <v>585</v>
      </c>
      <c r="B77" s="95" t="s">
        <v>658</v>
      </c>
      <c r="C77" s="103">
        <v>2.2622053552423305</v>
      </c>
      <c r="D77" s="104">
        <v>3.3867361875690394</v>
      </c>
      <c r="E77" s="105">
        <v>4.2439953782461792</v>
      </c>
      <c r="G77" s="117" t="s">
        <v>405</v>
      </c>
      <c r="H77" s="115">
        <v>71.158529876167961</v>
      </c>
      <c r="I77" s="107">
        <v>83</v>
      </c>
      <c r="J77" s="108">
        <v>14</v>
      </c>
      <c r="K77" s="95"/>
      <c r="L77" s="103">
        <v>6.0300506530561035</v>
      </c>
      <c r="M77" s="104">
        <v>5.5572636889101181</v>
      </c>
      <c r="N77" s="104">
        <v>5.0066684257549943</v>
      </c>
      <c r="O77" s="104">
        <v>4.8760000000000003</v>
      </c>
      <c r="P77" s="104">
        <v>5.0330000000000004</v>
      </c>
      <c r="Q77" s="104">
        <v>5.07</v>
      </c>
      <c r="R77" s="104">
        <v>5.1740000000000004</v>
      </c>
      <c r="S77" s="104">
        <v>5.0190000000000001</v>
      </c>
      <c r="T77" s="104">
        <v>-2.0659999999999998</v>
      </c>
      <c r="U77" s="104">
        <v>3.7029999999999998</v>
      </c>
      <c r="V77" s="105">
        <v>5.3090000000000002</v>
      </c>
      <c r="W77" s="105">
        <f t="shared" si="1"/>
        <v>3.8153657829076093</v>
      </c>
    </row>
    <row r="78" spans="1:23" x14ac:dyDescent="0.35">
      <c r="A78" s="95" t="s">
        <v>231</v>
      </c>
      <c r="B78" s="95" t="s">
        <v>659</v>
      </c>
      <c r="C78" s="103">
        <v>10.534737934438866</v>
      </c>
      <c r="D78" s="104">
        <v>8.9900271540683807</v>
      </c>
      <c r="E78" s="105">
        <v>9.0332345891797274</v>
      </c>
      <c r="G78" s="117" t="s">
        <v>422</v>
      </c>
      <c r="H78" s="115">
        <v>96.106887509545572</v>
      </c>
      <c r="I78" s="107">
        <v>12</v>
      </c>
      <c r="J78" s="108">
        <v>9</v>
      </c>
      <c r="K78" s="95"/>
      <c r="L78" s="103">
        <v>0.22571484300232808</v>
      </c>
      <c r="M78" s="104">
        <v>1.3516340039407124</v>
      </c>
      <c r="N78" s="104">
        <v>8.5566879851340367</v>
      </c>
      <c r="O78" s="104">
        <v>24.370999999999999</v>
      </c>
      <c r="P78" s="104">
        <v>2.0070000000000001</v>
      </c>
      <c r="Q78" s="104">
        <v>9.0050000000000008</v>
      </c>
      <c r="R78" s="104">
        <v>8.5280000000000005</v>
      </c>
      <c r="S78" s="104">
        <v>5.4409999999999998</v>
      </c>
      <c r="T78" s="104">
        <v>6.1840000000000002</v>
      </c>
      <c r="U78" s="104">
        <v>13.587999999999999</v>
      </c>
      <c r="V78" s="105">
        <v>11.97</v>
      </c>
      <c r="W78" s="105">
        <f t="shared" si="1"/>
        <v>9.0116308716240532</v>
      </c>
    </row>
    <row r="79" spans="1:23" x14ac:dyDescent="0.35">
      <c r="A79" s="95" t="s">
        <v>600</v>
      </c>
      <c r="B79" s="95" t="s">
        <v>660</v>
      </c>
      <c r="C79" s="103">
        <v>4.2964072248328211</v>
      </c>
      <c r="D79" s="104">
        <v>4.3056817639917977</v>
      </c>
      <c r="E79" s="105">
        <v>3.9225915638386066</v>
      </c>
      <c r="G79" s="117" t="s">
        <v>422</v>
      </c>
      <c r="H79" s="115">
        <v>91.08708937267636</v>
      </c>
      <c r="I79" s="107">
        <v>24</v>
      </c>
      <c r="J79" s="108">
        <v>2</v>
      </c>
      <c r="K79" s="95"/>
      <c r="L79" s="103">
        <v>2.2572375479441442</v>
      </c>
      <c r="M79" s="104">
        <v>4.1480545517150818</v>
      </c>
      <c r="N79" s="104">
        <v>3.7582001903069706</v>
      </c>
      <c r="O79" s="104">
        <v>2.4860000000000002</v>
      </c>
      <c r="P79" s="104">
        <v>4.5220000000000002</v>
      </c>
      <c r="Q79" s="104">
        <v>4.2759999999999998</v>
      </c>
      <c r="R79" s="104">
        <v>4.07</v>
      </c>
      <c r="S79" s="104">
        <v>4.1559999999999997</v>
      </c>
      <c r="T79" s="104">
        <v>-1.857</v>
      </c>
      <c r="U79" s="104">
        <v>8.6120000000000001</v>
      </c>
      <c r="V79" s="105">
        <v>6.4320000000000004</v>
      </c>
      <c r="W79" s="105">
        <f t="shared" si="1"/>
        <v>4.1141366639152022</v>
      </c>
    </row>
    <row r="80" spans="1:23" x14ac:dyDescent="0.35">
      <c r="A80" s="95" t="s">
        <v>231</v>
      </c>
      <c r="B80" s="95" t="s">
        <v>661</v>
      </c>
      <c r="C80" s="103">
        <v>0.2182802501019987</v>
      </c>
      <c r="D80" s="104">
        <v>0.31439174572445161</v>
      </c>
      <c r="E80" s="105">
        <v>0.34271436280863821</v>
      </c>
      <c r="G80" s="117" t="s">
        <v>422</v>
      </c>
      <c r="H80" s="115">
        <v>88.947746010825512</v>
      </c>
      <c r="I80" s="107">
        <v>29</v>
      </c>
      <c r="J80" s="108">
        <v>18</v>
      </c>
      <c r="K80" s="95"/>
      <c r="L80" s="103">
        <v>-2.9809057682377182</v>
      </c>
      <c r="M80" s="104">
        <v>-1.8410654508824811</v>
      </c>
      <c r="N80" s="104">
        <v>-4.5475423638333965E-3</v>
      </c>
      <c r="O80" s="104">
        <v>0.77800000000000002</v>
      </c>
      <c r="P80" s="104">
        <v>1.2929999999999999</v>
      </c>
      <c r="Q80" s="104">
        <v>1.6679999999999999</v>
      </c>
      <c r="R80" s="104">
        <v>0.92600000000000005</v>
      </c>
      <c r="S80" s="104">
        <v>0.48299999999999998</v>
      </c>
      <c r="T80" s="104">
        <v>-8.9789999999999992</v>
      </c>
      <c r="U80" s="104">
        <v>6.9870000000000001</v>
      </c>
      <c r="V80" s="105">
        <v>3.6749999999999998</v>
      </c>
      <c r="W80" s="105">
        <f t="shared" si="1"/>
        <v>0.32855305426654491</v>
      </c>
    </row>
    <row r="81" spans="1:23" x14ac:dyDescent="0.35">
      <c r="A81" s="95" t="s">
        <v>593</v>
      </c>
      <c r="B81" s="95" t="s">
        <v>662</v>
      </c>
      <c r="C81" s="103">
        <v>-0.70306474958997667</v>
      </c>
      <c r="D81" s="104">
        <v>0.12887839009743107</v>
      </c>
      <c r="E81" s="105">
        <v>0.51362317164571625</v>
      </c>
      <c r="G81" s="117" t="s">
        <v>587</v>
      </c>
      <c r="H81" s="115">
        <v>53.312824662633638</v>
      </c>
      <c r="I81" s="107">
        <v>137</v>
      </c>
      <c r="J81" s="108">
        <v>23</v>
      </c>
      <c r="K81" s="95"/>
      <c r="L81" s="103">
        <v>-0.61363603986913318</v>
      </c>
      <c r="M81" s="104">
        <v>0.51768601280242099</v>
      </c>
      <c r="N81" s="104">
        <v>0.68982235737431619</v>
      </c>
      <c r="O81" s="104">
        <v>0.86899999999999999</v>
      </c>
      <c r="P81" s="104">
        <v>1.498</v>
      </c>
      <c r="Q81" s="104">
        <v>0.67900000000000005</v>
      </c>
      <c r="R81" s="104">
        <v>1.827</v>
      </c>
      <c r="S81" s="104">
        <v>0.97</v>
      </c>
      <c r="T81" s="104">
        <v>-9.92</v>
      </c>
      <c r="U81" s="104">
        <v>4.601</v>
      </c>
      <c r="V81" s="105">
        <v>4</v>
      </c>
      <c r="W81" s="105">
        <f t="shared" si="1"/>
        <v>0.32125078087157366</v>
      </c>
    </row>
    <row r="82" spans="1:23" x14ac:dyDescent="0.35">
      <c r="A82" s="95" t="s">
        <v>585</v>
      </c>
      <c r="B82" s="95" t="s">
        <v>663</v>
      </c>
      <c r="C82" s="103">
        <v>-0.63095756344230258</v>
      </c>
      <c r="D82" s="104">
        <v>2.4039609383130767E-3</v>
      </c>
      <c r="E82" s="105">
        <v>0.62673306790392846</v>
      </c>
      <c r="G82" s="117" t="s">
        <v>422</v>
      </c>
      <c r="H82" s="115">
        <v>96.063700314273362</v>
      </c>
      <c r="I82" s="107">
        <v>13</v>
      </c>
      <c r="J82" s="108">
        <v>4</v>
      </c>
      <c r="K82" s="95"/>
      <c r="L82" s="103">
        <v>1.495089585949261</v>
      </c>
      <c r="M82" s="104">
        <v>2.0002678411015018</v>
      </c>
      <c r="N82" s="104">
        <v>0.3747194763313248</v>
      </c>
      <c r="O82" s="104">
        <v>1.5609999999999999</v>
      </c>
      <c r="P82" s="104">
        <v>0.754</v>
      </c>
      <c r="Q82" s="104">
        <v>1.675</v>
      </c>
      <c r="R82" s="104">
        <v>0.64300000000000002</v>
      </c>
      <c r="S82" s="104">
        <v>-0.40200000000000002</v>
      </c>
      <c r="T82" s="104">
        <v>-4.2789999999999999</v>
      </c>
      <c r="U82" s="104">
        <v>2.145</v>
      </c>
      <c r="V82" s="105">
        <v>1.075</v>
      </c>
      <c r="W82" s="105">
        <f t="shared" si="1"/>
        <v>0.31456851442112077</v>
      </c>
    </row>
    <row r="83" spans="1:23" x14ac:dyDescent="0.35">
      <c r="A83" s="95" t="s">
        <v>600</v>
      </c>
      <c r="B83" s="95" t="s">
        <v>664</v>
      </c>
      <c r="C83" s="103">
        <v>1.1049470799269878</v>
      </c>
      <c r="D83" s="104">
        <v>1.8757952650954479</v>
      </c>
      <c r="E83" s="105">
        <v>2.1806440475090172</v>
      </c>
      <c r="G83" s="117" t="s">
        <v>591</v>
      </c>
      <c r="H83" s="115">
        <v>79.514216326138751</v>
      </c>
      <c r="I83" s="107">
        <v>53</v>
      </c>
      <c r="J83" s="108">
        <v>5</v>
      </c>
      <c r="K83" s="95"/>
      <c r="L83" s="103">
        <v>2.6511707480297244</v>
      </c>
      <c r="M83" s="104">
        <v>2.8287666404585154</v>
      </c>
      <c r="N83" s="104">
        <v>3.0963303471105994</v>
      </c>
      <c r="O83" s="104">
        <v>2.496</v>
      </c>
      <c r="P83" s="104">
        <v>1.994</v>
      </c>
      <c r="Q83" s="104">
        <v>2.4740000000000002</v>
      </c>
      <c r="R83" s="104">
        <v>1.919</v>
      </c>
      <c r="S83" s="104">
        <v>1.927</v>
      </c>
      <c r="T83" s="104">
        <v>-1.57</v>
      </c>
      <c r="U83" s="104">
        <v>2.2280000000000002</v>
      </c>
      <c r="V83" s="105">
        <v>2.7109999999999999</v>
      </c>
      <c r="W83" s="105">
        <f t="shared" si="1"/>
        <v>2.0282196563022326</v>
      </c>
    </row>
    <row r="84" spans="1:23" x14ac:dyDescent="0.35">
      <c r="A84" s="95" t="s">
        <v>585</v>
      </c>
      <c r="B84" s="95" t="s">
        <v>665</v>
      </c>
      <c r="C84" s="103">
        <v>1.6270169093285825</v>
      </c>
      <c r="D84" s="104">
        <v>2.6878144462378906</v>
      </c>
      <c r="E84" s="105">
        <v>2.9947418753666133</v>
      </c>
      <c r="G84" s="117" t="s">
        <v>405</v>
      </c>
      <c r="H84" s="115">
        <v>70.400737065727981</v>
      </c>
      <c r="I84" s="107">
        <v>88</v>
      </c>
      <c r="J84" s="108">
        <v>16</v>
      </c>
      <c r="K84" s="95"/>
      <c r="L84" s="103">
        <v>4.7999999999927256</v>
      </c>
      <c r="M84" s="104">
        <v>5.9999999992556203</v>
      </c>
      <c r="N84" s="104">
        <v>4.2000000006304088</v>
      </c>
      <c r="O84" s="104">
        <v>1</v>
      </c>
      <c r="P84" s="104">
        <v>0.9</v>
      </c>
      <c r="Q84" s="104">
        <v>3.9009999999999998</v>
      </c>
      <c r="R84" s="104">
        <v>4.0999999999999996</v>
      </c>
      <c r="S84" s="104">
        <v>4.5</v>
      </c>
      <c r="T84" s="104">
        <v>-2.6</v>
      </c>
      <c r="U84" s="104">
        <v>4.0999999999999996</v>
      </c>
      <c r="V84" s="105">
        <v>3.214</v>
      </c>
      <c r="W84" s="105">
        <f t="shared" si="1"/>
        <v>2.8412781608022519</v>
      </c>
    </row>
    <row r="85" spans="1:23" x14ac:dyDescent="0.35">
      <c r="A85" s="95" t="s">
        <v>589</v>
      </c>
      <c r="B85" s="95" t="s">
        <v>666</v>
      </c>
      <c r="C85" s="103">
        <v>4.1600595320631983</v>
      </c>
      <c r="D85" s="104">
        <v>5.4481436952905637</v>
      </c>
      <c r="E85" s="105">
        <v>5.4875646773576481</v>
      </c>
      <c r="G85" s="117" t="s">
        <v>429</v>
      </c>
      <c r="H85" s="115">
        <v>68.853006787769303</v>
      </c>
      <c r="I85" s="107">
        <v>97</v>
      </c>
      <c r="J85" s="108">
        <v>18</v>
      </c>
      <c r="K85" s="95"/>
      <c r="L85" s="103">
        <v>4.5632091307112006</v>
      </c>
      <c r="M85" s="104">
        <v>5.8786805667541637</v>
      </c>
      <c r="N85" s="104">
        <v>5.3571256444996713</v>
      </c>
      <c r="O85" s="104">
        <v>4.968</v>
      </c>
      <c r="P85" s="104">
        <v>4.2140000000000004</v>
      </c>
      <c r="Q85" s="104">
        <v>3.8159999999999998</v>
      </c>
      <c r="R85" s="104">
        <v>5.6710000000000003</v>
      </c>
      <c r="S85" s="104">
        <v>5.1139999999999999</v>
      </c>
      <c r="T85" s="104">
        <v>-0.25</v>
      </c>
      <c r="U85" s="104">
        <v>7.5170000000000003</v>
      </c>
      <c r="V85" s="105">
        <v>5.3689999999999998</v>
      </c>
      <c r="W85" s="105">
        <f t="shared" si="1"/>
        <v>5.4678541863241055</v>
      </c>
    </row>
    <row r="86" spans="1:23" x14ac:dyDescent="0.35">
      <c r="A86" s="95" t="s">
        <v>585</v>
      </c>
      <c r="B86" s="95" t="s">
        <v>667</v>
      </c>
      <c r="C86" s="103">
        <v>1.9788311578699647</v>
      </c>
      <c r="D86" s="104">
        <v>2.1951704861675969</v>
      </c>
      <c r="E86" s="105">
        <v>2.6249033043728831</v>
      </c>
      <c r="G86" s="117" t="s">
        <v>422</v>
      </c>
      <c r="H86" s="115">
        <v>90.58627012288828</v>
      </c>
      <c r="I86" s="107">
        <v>26</v>
      </c>
      <c r="J86" s="108">
        <v>6</v>
      </c>
      <c r="K86" s="95"/>
      <c r="L86" s="103">
        <v>2.4025309924618736</v>
      </c>
      <c r="M86" s="104">
        <v>3.1647086364718322</v>
      </c>
      <c r="N86" s="104">
        <v>3.2024537945736018</v>
      </c>
      <c r="O86" s="104">
        <v>2.8090000000000002</v>
      </c>
      <c r="P86" s="104">
        <v>2.9470000000000001</v>
      </c>
      <c r="Q86" s="104">
        <v>3.16</v>
      </c>
      <c r="R86" s="104">
        <v>2.907</v>
      </c>
      <c r="S86" s="104">
        <v>2.2440000000000002</v>
      </c>
      <c r="T86" s="104">
        <v>-0.70899999999999996</v>
      </c>
      <c r="U86" s="104">
        <v>4.1449999999999996</v>
      </c>
      <c r="V86" s="105">
        <v>2.5609999999999999</v>
      </c>
      <c r="W86" s="105">
        <f t="shared" si="1"/>
        <v>2.41003689527024</v>
      </c>
    </row>
    <row r="87" spans="1:23" x14ac:dyDescent="0.35">
      <c r="A87" s="95" t="s">
        <v>600</v>
      </c>
      <c r="B87" s="95" t="s">
        <v>668</v>
      </c>
      <c r="C87" s="103">
        <v>2.9560258753336122E-2</v>
      </c>
      <c r="D87" s="104">
        <v>0.3483533742255629</v>
      </c>
      <c r="E87" s="105">
        <v>0.20315822263521355</v>
      </c>
      <c r="G87" s="117" t="s">
        <v>429</v>
      </c>
      <c r="H87" s="115">
        <v>67.205820265011681</v>
      </c>
      <c r="I87" s="107">
        <v>105</v>
      </c>
      <c r="J87" s="108">
        <v>10</v>
      </c>
      <c r="K87" s="95"/>
      <c r="L87" s="103">
        <v>6.6258183001417628</v>
      </c>
      <c r="M87" s="104">
        <v>1.1493004370652051</v>
      </c>
      <c r="N87" s="104">
        <v>0.5008769821586383</v>
      </c>
      <c r="O87" s="104">
        <v>0.59299999999999997</v>
      </c>
      <c r="P87" s="104">
        <v>2.9260000000000002</v>
      </c>
      <c r="Q87" s="104">
        <v>-4.7140000000000004</v>
      </c>
      <c r="R87" s="104">
        <v>2.4369999999999998</v>
      </c>
      <c r="S87" s="104">
        <v>-0.55200000000000005</v>
      </c>
      <c r="T87" s="104">
        <v>-8.8550000000000004</v>
      </c>
      <c r="U87" s="104">
        <v>1.3080000000000001</v>
      </c>
      <c r="V87" s="105">
        <v>8.1769999999999996</v>
      </c>
      <c r="W87" s="105">
        <f t="shared" si="1"/>
        <v>0.27575579843038822</v>
      </c>
    </row>
    <row r="88" spans="1:23" x14ac:dyDescent="0.35">
      <c r="A88" s="95" t="s">
        <v>585</v>
      </c>
      <c r="B88" s="95" t="s">
        <v>669</v>
      </c>
      <c r="C88" s="103">
        <v>0.51489333561212103</v>
      </c>
      <c r="D88" s="104">
        <v>1.9645834232370651</v>
      </c>
      <c r="E88" s="105">
        <v>3.7392958747352045</v>
      </c>
      <c r="G88" s="117" t="s">
        <v>405</v>
      </c>
      <c r="H88" s="115">
        <v>70.898067394091115</v>
      </c>
      <c r="I88" s="107">
        <v>86</v>
      </c>
      <c r="J88" s="108">
        <v>15</v>
      </c>
      <c r="K88" s="95"/>
      <c r="L88" s="103">
        <v>-8.8150201010635656E-2</v>
      </c>
      <c r="M88" s="104">
        <v>10.915469454314421</v>
      </c>
      <c r="N88" s="104">
        <v>4.024038625768628</v>
      </c>
      <c r="O88" s="104">
        <v>3.8759999999999999</v>
      </c>
      <c r="P88" s="104">
        <v>4.3360000000000003</v>
      </c>
      <c r="Q88" s="104">
        <v>4.74</v>
      </c>
      <c r="R88" s="104">
        <v>3.4590000000000001</v>
      </c>
      <c r="S88" s="104">
        <v>4.601</v>
      </c>
      <c r="T88" s="104">
        <v>-8.6170000000000009</v>
      </c>
      <c r="U88" s="104">
        <v>3.742</v>
      </c>
      <c r="V88" s="105">
        <v>7</v>
      </c>
      <c r="W88" s="105">
        <f t="shared" si="1"/>
        <v>2.8519396489861348</v>
      </c>
    </row>
    <row r="89" spans="1:23" x14ac:dyDescent="0.35">
      <c r="A89" s="95" t="s">
        <v>585</v>
      </c>
      <c r="B89" s="95" t="s">
        <v>670</v>
      </c>
      <c r="C89" s="103">
        <v>1.7571611332634074</v>
      </c>
      <c r="D89" s="104">
        <v>3.3757795121775569</v>
      </c>
      <c r="E89" s="105">
        <v>5.3509947789500245</v>
      </c>
      <c r="G89" s="117" t="s">
        <v>587</v>
      </c>
      <c r="H89" s="115">
        <v>58.394766440551741</v>
      </c>
      <c r="I89" s="107">
        <v>127</v>
      </c>
      <c r="J89" s="108">
        <v>26</v>
      </c>
      <c r="K89" s="95"/>
      <c r="L89" s="103">
        <v>8.0260984340408665</v>
      </c>
      <c r="M89" s="104">
        <v>8.0263002263775007</v>
      </c>
      <c r="N89" s="104">
        <v>7.6119634407438159</v>
      </c>
      <c r="O89" s="104">
        <v>7.27</v>
      </c>
      <c r="P89" s="104">
        <v>7.0229999999999997</v>
      </c>
      <c r="Q89" s="104">
        <v>6.851</v>
      </c>
      <c r="R89" s="104">
        <v>6.2889999999999997</v>
      </c>
      <c r="S89" s="104">
        <v>4.6520000000000001</v>
      </c>
      <c r="T89" s="104">
        <v>-0.435</v>
      </c>
      <c r="U89" s="104">
        <v>2.0609999999999999</v>
      </c>
      <c r="V89" s="105">
        <v>2.2519999999999998</v>
      </c>
      <c r="W89" s="105">
        <f t="shared" si="1"/>
        <v>4.3633871455637907</v>
      </c>
    </row>
    <row r="90" spans="1:23" x14ac:dyDescent="0.35">
      <c r="A90" s="95" t="s">
        <v>231</v>
      </c>
      <c r="B90" s="95" t="s">
        <v>671</v>
      </c>
      <c r="C90" s="103">
        <v>1.2465800540070626</v>
      </c>
      <c r="D90" s="104">
        <v>2.186383184955365</v>
      </c>
      <c r="E90" s="105">
        <v>2.3979634558628948</v>
      </c>
      <c r="G90" s="117" t="s">
        <v>591</v>
      </c>
      <c r="H90" s="115">
        <v>81.044610107182237</v>
      </c>
      <c r="I90" s="107">
        <v>44</v>
      </c>
      <c r="J90" s="108">
        <v>29</v>
      </c>
      <c r="K90" s="95"/>
      <c r="L90" s="103">
        <v>4.1342316499835752</v>
      </c>
      <c r="M90" s="104">
        <v>2.3280042634440163</v>
      </c>
      <c r="N90" s="104">
        <v>1.9151903779433241</v>
      </c>
      <c r="O90" s="104">
        <v>3.8849999999999998</v>
      </c>
      <c r="P90" s="104">
        <v>2.3690000000000002</v>
      </c>
      <c r="Q90" s="104">
        <v>3.3119999999999998</v>
      </c>
      <c r="R90" s="104">
        <v>3.992</v>
      </c>
      <c r="S90" s="104">
        <v>2.57</v>
      </c>
      <c r="T90" s="104">
        <v>-2.2029999999999998</v>
      </c>
      <c r="U90" s="104">
        <v>4.0640000000000001</v>
      </c>
      <c r="V90" s="105">
        <v>1.976</v>
      </c>
      <c r="W90" s="105">
        <f t="shared" si="1"/>
        <v>2.2921733204091299</v>
      </c>
    </row>
    <row r="91" spans="1:23" x14ac:dyDescent="0.35">
      <c r="A91" s="95" t="s">
        <v>600</v>
      </c>
      <c r="B91" s="95" t="s">
        <v>672</v>
      </c>
      <c r="C91" s="103">
        <v>-11.570507599610414</v>
      </c>
      <c r="D91" s="104">
        <v>-8.8972805759156888</v>
      </c>
      <c r="E91" s="105">
        <v>-3.6804003540223951</v>
      </c>
      <c r="G91" s="117" t="s">
        <v>405</v>
      </c>
      <c r="H91" s="115">
        <v>70.925074776605015</v>
      </c>
      <c r="I91" s="107">
        <v>85</v>
      </c>
      <c r="J91" s="108">
        <v>9</v>
      </c>
      <c r="K91" s="95"/>
      <c r="L91" s="103">
        <v>2.5405417890992656</v>
      </c>
      <c r="M91" s="104">
        <v>3.8110224147865268</v>
      </c>
      <c r="N91" s="104">
        <v>2.4536595719223264</v>
      </c>
      <c r="O91" s="104">
        <v>0.46100000000000002</v>
      </c>
      <c r="P91" s="104">
        <v>1.556</v>
      </c>
      <c r="Q91" s="104">
        <v>0.90300000000000002</v>
      </c>
      <c r="R91" s="104">
        <v>-1.885</v>
      </c>
      <c r="S91" s="104">
        <v>-6.915</v>
      </c>
      <c r="T91" s="104">
        <v>-25.907</v>
      </c>
      <c r="U91" s="104">
        <v>-5.4</v>
      </c>
      <c r="V91" s="105">
        <v>-5.4</v>
      </c>
      <c r="W91" s="105">
        <f t="shared" si="1"/>
        <v>-6.2888404649690415</v>
      </c>
    </row>
    <row r="92" spans="1:23" x14ac:dyDescent="0.35">
      <c r="A92" s="95" t="s">
        <v>589</v>
      </c>
      <c r="B92" s="95" t="s">
        <v>673</v>
      </c>
      <c r="C92" s="103">
        <v>-1.7564836758548363</v>
      </c>
      <c r="D92" s="104">
        <v>-1.6866052500791207</v>
      </c>
      <c r="E92" s="105">
        <v>0.46596555472186996</v>
      </c>
      <c r="G92" s="117" t="s">
        <v>429</v>
      </c>
      <c r="H92" s="115">
        <v>68.290636352612694</v>
      </c>
      <c r="I92" s="107">
        <v>100</v>
      </c>
      <c r="J92" s="108">
        <v>20</v>
      </c>
      <c r="K92" s="95"/>
      <c r="L92" s="103">
        <v>6.7436269408569842</v>
      </c>
      <c r="M92" s="104">
        <v>4.1869122037746749</v>
      </c>
      <c r="N92" s="104">
        <v>2.8839688442816156</v>
      </c>
      <c r="O92" s="104">
        <v>3.2480000000000002</v>
      </c>
      <c r="P92" s="104">
        <v>1.877</v>
      </c>
      <c r="Q92" s="104">
        <v>-2.734</v>
      </c>
      <c r="R92" s="104">
        <v>-1.304</v>
      </c>
      <c r="S92" s="104">
        <v>-1.9710000000000001</v>
      </c>
      <c r="T92" s="104">
        <v>-3.9020000000000001</v>
      </c>
      <c r="U92" s="104">
        <v>2.1019999999999999</v>
      </c>
      <c r="V92" s="105">
        <v>2.093</v>
      </c>
      <c r="W92" s="105">
        <f t="shared" si="1"/>
        <v>-0.61031984767862535</v>
      </c>
    </row>
    <row r="93" spans="1:23" x14ac:dyDescent="0.35">
      <c r="A93" s="95" t="s">
        <v>589</v>
      </c>
      <c r="B93" s="95" t="s">
        <v>674</v>
      </c>
      <c r="C93" s="103">
        <v>2.2030305181955034</v>
      </c>
      <c r="D93" s="104">
        <v>1.043410797540445</v>
      </c>
      <c r="E93" s="105">
        <v>1.5173155129903693</v>
      </c>
      <c r="G93" s="117" t="s">
        <v>587</v>
      </c>
      <c r="H93" s="115">
        <v>56.232966845120316</v>
      </c>
      <c r="I93" s="107">
        <v>130</v>
      </c>
      <c r="J93" s="108">
        <v>32</v>
      </c>
      <c r="K93" s="95"/>
      <c r="L93" s="103">
        <v>7.9938156931364137</v>
      </c>
      <c r="M93" s="104">
        <v>8.6872878163968235</v>
      </c>
      <c r="N93" s="104">
        <v>0.70139310028752089</v>
      </c>
      <c r="O93" s="104">
        <v>7.0000000000000001E-3</v>
      </c>
      <c r="P93" s="104">
        <v>-1.63</v>
      </c>
      <c r="Q93" s="104">
        <v>2.4689999999999999</v>
      </c>
      <c r="R93" s="104">
        <v>1.242</v>
      </c>
      <c r="S93" s="104">
        <v>-2.516</v>
      </c>
      <c r="T93" s="104">
        <v>-2.9670000000000001</v>
      </c>
      <c r="U93" s="104">
        <v>5.0110000000000001</v>
      </c>
      <c r="V93" s="105">
        <v>4.8109999999999999</v>
      </c>
      <c r="W93" s="105">
        <f t="shared" si="1"/>
        <v>1.2803631552654071</v>
      </c>
    </row>
    <row r="94" spans="1:23" x14ac:dyDescent="0.35">
      <c r="A94" s="95" t="s">
        <v>589</v>
      </c>
      <c r="B94" s="95" t="s">
        <v>675</v>
      </c>
      <c r="C94" s="103">
        <v>5.1304452243001952</v>
      </c>
      <c r="D94" s="104">
        <v>3.4484900722276279</v>
      </c>
      <c r="E94" s="105">
        <v>1.2335060569262035</v>
      </c>
      <c r="G94" s="117" t="s">
        <v>587</v>
      </c>
      <c r="H94" s="115">
        <v>48.008478383672035</v>
      </c>
      <c r="I94" s="107">
        <v>140</v>
      </c>
      <c r="J94" s="108">
        <v>38</v>
      </c>
      <c r="K94" s="95"/>
      <c r="L94" s="103">
        <v>274.10446739057375</v>
      </c>
      <c r="M94" s="104">
        <v>-13.994834968637873</v>
      </c>
      <c r="N94" s="104">
        <v>-10.842440326997824</v>
      </c>
      <c r="O94" s="104">
        <v>-0.84299999999999997</v>
      </c>
      <c r="P94" s="104">
        <v>-1.4910000000000001</v>
      </c>
      <c r="Q94" s="104">
        <v>32.491999999999997</v>
      </c>
      <c r="R94" s="104">
        <v>7.9409999999999998</v>
      </c>
      <c r="S94" s="104">
        <v>-11.196</v>
      </c>
      <c r="T94" s="104">
        <v>-29.456</v>
      </c>
      <c r="U94" s="104">
        <v>28.335000000000001</v>
      </c>
      <c r="V94" s="105">
        <v>-12.813000000000001</v>
      </c>
      <c r="W94" s="105">
        <f t="shared" si="1"/>
        <v>2.3409980645769157</v>
      </c>
    </row>
    <row r="95" spans="1:23" x14ac:dyDescent="0.35">
      <c r="A95" s="95" t="s">
        <v>231</v>
      </c>
      <c r="B95" s="95" t="s">
        <v>676</v>
      </c>
      <c r="C95" s="103">
        <v>2.5853990379055336</v>
      </c>
      <c r="D95" s="104">
        <v>3.2350334175799356</v>
      </c>
      <c r="E95" s="105">
        <v>3.2063173772679532</v>
      </c>
      <c r="G95" s="117" t="s">
        <v>591</v>
      </c>
      <c r="H95" s="115">
        <v>80.769738018881156</v>
      </c>
      <c r="I95" s="107">
        <v>45</v>
      </c>
      <c r="J95" s="108">
        <v>30</v>
      </c>
      <c r="K95" s="95"/>
      <c r="L95" s="103">
        <v>3.8333027642866848</v>
      </c>
      <c r="M95" s="104">
        <v>3.5584246313476826</v>
      </c>
      <c r="N95" s="104">
        <v>3.5079712171273361</v>
      </c>
      <c r="O95" s="104">
        <v>2.024</v>
      </c>
      <c r="P95" s="104">
        <v>2.5190000000000001</v>
      </c>
      <c r="Q95" s="104">
        <v>4.282</v>
      </c>
      <c r="R95" s="104">
        <v>3.9929999999999999</v>
      </c>
      <c r="S95" s="104">
        <v>4.625</v>
      </c>
      <c r="T95" s="104">
        <v>-2.1999999999999999E-2</v>
      </c>
      <c r="U95" s="104">
        <v>5.9809999999999999</v>
      </c>
      <c r="V95" s="105">
        <v>1.8879999999999999</v>
      </c>
      <c r="W95" s="105">
        <f t="shared" si="1"/>
        <v>3.2206753974239444</v>
      </c>
    </row>
    <row r="96" spans="1:23" x14ac:dyDescent="0.35">
      <c r="A96" s="95" t="s">
        <v>231</v>
      </c>
      <c r="B96" s="95" t="s">
        <v>677</v>
      </c>
      <c r="C96" s="103">
        <v>1.9225945961039326</v>
      </c>
      <c r="D96" s="104">
        <v>1.8607829332780268</v>
      </c>
      <c r="E96" s="105">
        <v>2.36159954003623</v>
      </c>
      <c r="G96" s="117" t="s">
        <v>422</v>
      </c>
      <c r="H96" s="115">
        <v>96.778306193425522</v>
      </c>
      <c r="I96" s="107">
        <v>9</v>
      </c>
      <c r="J96" s="108">
        <v>7</v>
      </c>
      <c r="K96" s="95"/>
      <c r="L96" s="103">
        <v>1.6499020297865346</v>
      </c>
      <c r="M96" s="104">
        <v>3.1717904991600552</v>
      </c>
      <c r="N96" s="104">
        <v>2.6230860157719222</v>
      </c>
      <c r="O96" s="104">
        <v>2.2679999999999998</v>
      </c>
      <c r="P96" s="104">
        <v>4.9779999999999998</v>
      </c>
      <c r="Q96" s="104">
        <v>1.3169999999999999</v>
      </c>
      <c r="R96" s="104">
        <v>1.2190000000000001</v>
      </c>
      <c r="S96" s="104">
        <v>2.3199999999999998</v>
      </c>
      <c r="T96" s="104">
        <v>-0.79700000000000004</v>
      </c>
      <c r="U96" s="104">
        <v>5.1029999999999998</v>
      </c>
      <c r="V96" s="105">
        <v>1.5489999999999999</v>
      </c>
      <c r="W96" s="105">
        <f t="shared" si="1"/>
        <v>2.1111912366571284</v>
      </c>
    </row>
    <row r="97" spans="1:23" x14ac:dyDescent="0.35">
      <c r="A97" s="95" t="s">
        <v>589</v>
      </c>
      <c r="B97" s="95" t="s">
        <v>678</v>
      </c>
      <c r="C97" s="103">
        <v>0.34284241084634459</v>
      </c>
      <c r="D97" s="104">
        <v>1.7120658983774018</v>
      </c>
      <c r="E97" s="105">
        <v>2.5217225637742979</v>
      </c>
      <c r="G97" s="117" t="s">
        <v>587</v>
      </c>
      <c r="H97" s="115">
        <v>48.940679032016362</v>
      </c>
      <c r="I97" s="107">
        <v>139</v>
      </c>
      <c r="J97" s="108">
        <v>37</v>
      </c>
      <c r="K97" s="95"/>
      <c r="L97" s="103">
        <v>3.0111464075530683</v>
      </c>
      <c r="M97" s="104">
        <v>2.3003869344771051</v>
      </c>
      <c r="N97" s="104">
        <v>3.3392022440733014</v>
      </c>
      <c r="O97" s="104">
        <v>3.1320000000000001</v>
      </c>
      <c r="P97" s="104">
        <v>3.9929999999999999</v>
      </c>
      <c r="Q97" s="104">
        <v>3.9329999999999998</v>
      </c>
      <c r="R97" s="104">
        <v>3.194</v>
      </c>
      <c r="S97" s="104">
        <v>4.4109999999999996</v>
      </c>
      <c r="T97" s="104">
        <v>-7.1379999999999999</v>
      </c>
      <c r="U97" s="104">
        <v>5.74</v>
      </c>
      <c r="V97" s="105">
        <v>4.21</v>
      </c>
      <c r="W97" s="105">
        <f t="shared" si="1"/>
        <v>2.1168942310758498</v>
      </c>
    </row>
    <row r="98" spans="1:23" x14ac:dyDescent="0.35">
      <c r="A98" s="95" t="s">
        <v>589</v>
      </c>
      <c r="B98" s="95" t="s">
        <v>679</v>
      </c>
      <c r="C98" s="103">
        <v>1.446318587345985</v>
      </c>
      <c r="D98" s="104">
        <v>2.8212259957555386</v>
      </c>
      <c r="E98" s="105">
        <v>3.4233840163588436</v>
      </c>
      <c r="G98" s="117" t="s">
        <v>405</v>
      </c>
      <c r="H98" s="115">
        <v>72.879134631330203</v>
      </c>
      <c r="I98" s="107">
        <v>77</v>
      </c>
      <c r="J98" s="108">
        <v>8</v>
      </c>
      <c r="K98" s="95"/>
      <c r="L98" s="103">
        <v>1.8857995075156477</v>
      </c>
      <c r="M98" s="104">
        <v>5.1999999956050429</v>
      </c>
      <c r="N98" s="104">
        <v>5.7000000050572197</v>
      </c>
      <c r="O98" s="104">
        <v>2.95</v>
      </c>
      <c r="P98" s="104">
        <v>2.27</v>
      </c>
      <c r="Q98" s="104">
        <v>4</v>
      </c>
      <c r="R98" s="104">
        <v>4.3920000000000003</v>
      </c>
      <c r="S98" s="104">
        <v>5.4480000000000004</v>
      </c>
      <c r="T98" s="104">
        <v>0.91300000000000003</v>
      </c>
      <c r="U98" s="104">
        <v>4.5670000000000002</v>
      </c>
      <c r="V98" s="105">
        <v>0.8</v>
      </c>
      <c r="W98" s="105">
        <f t="shared" si="1"/>
        <v>3.1223050060571911</v>
      </c>
    </row>
    <row r="99" spans="1:23" x14ac:dyDescent="0.35">
      <c r="A99" s="95" t="s">
        <v>585</v>
      </c>
      <c r="B99" s="95" t="s">
        <v>680</v>
      </c>
      <c r="C99" s="103">
        <v>1.9142421361718398</v>
      </c>
      <c r="D99" s="104">
        <v>3.0011020126644361</v>
      </c>
      <c r="E99" s="105">
        <v>4.0922822936961589</v>
      </c>
      <c r="G99" s="117" t="s">
        <v>405</v>
      </c>
      <c r="H99" s="115">
        <v>76.114633172938127</v>
      </c>
      <c r="I99" s="107">
        <v>66</v>
      </c>
      <c r="J99" s="108">
        <v>9</v>
      </c>
      <c r="K99" s="95"/>
      <c r="L99" s="103">
        <v>5.4734541925385383</v>
      </c>
      <c r="M99" s="104">
        <v>4.6937225255789317</v>
      </c>
      <c r="N99" s="104">
        <v>6.0067219455820462</v>
      </c>
      <c r="O99" s="104">
        <v>5.0069999999999997</v>
      </c>
      <c r="P99" s="104">
        <v>4.45</v>
      </c>
      <c r="Q99" s="104">
        <v>5.8129999999999997</v>
      </c>
      <c r="R99" s="104">
        <v>4.843</v>
      </c>
      <c r="S99" s="104">
        <v>4.4130000000000003</v>
      </c>
      <c r="T99" s="104">
        <v>-5.5339999999999998</v>
      </c>
      <c r="U99" s="104">
        <v>3.0920000000000001</v>
      </c>
      <c r="V99" s="105">
        <v>8.6940000000000008</v>
      </c>
      <c r="W99" s="105">
        <f t="shared" si="1"/>
        <v>3.5466921531802975</v>
      </c>
    </row>
    <row r="100" spans="1:23" x14ac:dyDescent="0.35">
      <c r="A100" s="95" t="s">
        <v>589</v>
      </c>
      <c r="B100" s="95" t="s">
        <v>681</v>
      </c>
      <c r="C100" s="103">
        <v>1.8165870919236937</v>
      </c>
      <c r="D100" s="104">
        <v>2.9671130334121942</v>
      </c>
      <c r="E100" s="105">
        <v>4.1460050619633648</v>
      </c>
      <c r="G100" s="117" t="s">
        <v>587</v>
      </c>
      <c r="H100" s="115">
        <v>43.633236095724527</v>
      </c>
      <c r="I100" s="107">
        <v>146</v>
      </c>
      <c r="J100" s="108">
        <v>41</v>
      </c>
      <c r="K100" s="95"/>
      <c r="L100" s="103">
        <v>-0.83662749707312833</v>
      </c>
      <c r="M100" s="104">
        <v>2.3037669581925009</v>
      </c>
      <c r="N100" s="104">
        <v>7.1014223480749816</v>
      </c>
      <c r="O100" s="104">
        <v>6.1719999999999997</v>
      </c>
      <c r="P100" s="104">
        <v>5.8520000000000003</v>
      </c>
      <c r="Q100" s="104">
        <v>5.3049999999999997</v>
      </c>
      <c r="R100" s="104">
        <v>4.7460000000000004</v>
      </c>
      <c r="S100" s="104">
        <v>4.7649999999999997</v>
      </c>
      <c r="T100" s="104">
        <v>-1.244</v>
      </c>
      <c r="U100" s="104">
        <v>3.0550000000000002</v>
      </c>
      <c r="V100" s="105">
        <v>3.7040000000000002</v>
      </c>
      <c r="W100" s="105">
        <f t="shared" si="1"/>
        <v>3.5565590476877795</v>
      </c>
    </row>
    <row r="101" spans="1:23" x14ac:dyDescent="0.35">
      <c r="A101" s="95" t="s">
        <v>231</v>
      </c>
      <c r="B101" s="95" t="s">
        <v>682</v>
      </c>
      <c r="C101" s="103">
        <v>2.6124059576447589</v>
      </c>
      <c r="D101" s="104">
        <v>4.3931536419201889</v>
      </c>
      <c r="E101" s="105">
        <v>5.6722564665051767</v>
      </c>
      <c r="G101" s="117" t="s">
        <v>591</v>
      </c>
      <c r="H101" s="115">
        <v>86.894246999173433</v>
      </c>
      <c r="I101" s="107">
        <v>33</v>
      </c>
      <c r="J101" s="108">
        <v>22</v>
      </c>
      <c r="K101" s="95"/>
      <c r="L101" s="103">
        <v>4.1177072993516513</v>
      </c>
      <c r="M101" s="104">
        <v>5.4733556954527041</v>
      </c>
      <c r="N101" s="104">
        <v>7.6335381123007346</v>
      </c>
      <c r="O101" s="104">
        <v>9.6080000000000005</v>
      </c>
      <c r="P101" s="104">
        <v>3.3809999999999998</v>
      </c>
      <c r="Q101" s="104">
        <v>10.869</v>
      </c>
      <c r="R101" s="104">
        <v>6.1929999999999996</v>
      </c>
      <c r="S101" s="104">
        <v>7.0090000000000003</v>
      </c>
      <c r="T101" s="104">
        <v>-8.6120000000000001</v>
      </c>
      <c r="U101" s="104">
        <v>11.805999999999999</v>
      </c>
      <c r="V101" s="105">
        <v>6.851</v>
      </c>
      <c r="W101" s="105">
        <f t="shared" si="1"/>
        <v>5.0327050542126823</v>
      </c>
    </row>
    <row r="102" spans="1:23" x14ac:dyDescent="0.35">
      <c r="A102" s="95" t="s">
        <v>589</v>
      </c>
      <c r="B102" s="95" t="s">
        <v>683</v>
      </c>
      <c r="C102" s="103">
        <v>10.380851809157976</v>
      </c>
      <c r="D102" s="104">
        <v>8.3436024853472226</v>
      </c>
      <c r="E102" s="105">
        <v>5.9978829377542953</v>
      </c>
      <c r="G102" s="117" t="s">
        <v>429</v>
      </c>
      <c r="H102" s="115">
        <v>67.535233245846925</v>
      </c>
      <c r="I102" s="107">
        <v>103</v>
      </c>
      <c r="J102" s="108">
        <v>23</v>
      </c>
      <c r="K102" s="95"/>
      <c r="L102" s="103">
        <v>4.4700131823368974</v>
      </c>
      <c r="M102" s="104">
        <v>4.150813186271721</v>
      </c>
      <c r="N102" s="104">
        <v>4.2748232713028473</v>
      </c>
      <c r="O102" s="104">
        <v>5.3760000000000003</v>
      </c>
      <c r="P102" s="104">
        <v>1.2609999999999999</v>
      </c>
      <c r="Q102" s="104">
        <v>6.2709999999999999</v>
      </c>
      <c r="R102" s="104">
        <v>4.7729999999999997</v>
      </c>
      <c r="S102" s="104">
        <v>5.4290000000000003</v>
      </c>
      <c r="T102" s="104">
        <v>-0.93799999999999994</v>
      </c>
      <c r="U102" s="104">
        <v>2.4449999999999998</v>
      </c>
      <c r="V102" s="105">
        <v>4.96</v>
      </c>
      <c r="W102" s="105">
        <f t="shared" si="1"/>
        <v>7.1707427115507585</v>
      </c>
    </row>
    <row r="103" spans="1:23" x14ac:dyDescent="0.35">
      <c r="A103" s="95" t="s">
        <v>589</v>
      </c>
      <c r="B103" s="95" t="s">
        <v>684</v>
      </c>
      <c r="C103" s="103">
        <v>-1.3801179259189</v>
      </c>
      <c r="D103" s="104">
        <v>1.2027047615812192</v>
      </c>
      <c r="E103" s="105">
        <v>2.4249070445692134</v>
      </c>
      <c r="G103" s="117" t="s">
        <v>591</v>
      </c>
      <c r="H103" s="115">
        <v>86.159393229935986</v>
      </c>
      <c r="I103" s="107">
        <v>35</v>
      </c>
      <c r="J103" s="108">
        <v>1</v>
      </c>
      <c r="K103" s="95"/>
      <c r="L103" s="103">
        <v>3.4961183375797935</v>
      </c>
      <c r="M103" s="104">
        <v>3.3604061030308432</v>
      </c>
      <c r="N103" s="104">
        <v>3.7445757725785316</v>
      </c>
      <c r="O103" s="104">
        <v>3.6909999999999998</v>
      </c>
      <c r="P103" s="104">
        <v>3.8620000000000001</v>
      </c>
      <c r="Q103" s="104">
        <v>3.9380000000000002</v>
      </c>
      <c r="R103" s="104">
        <v>4.0069999999999997</v>
      </c>
      <c r="S103" s="104">
        <v>2.891</v>
      </c>
      <c r="T103" s="104">
        <v>-14.598000000000001</v>
      </c>
      <c r="U103" s="104">
        <v>3.4990000000000001</v>
      </c>
      <c r="V103" s="105">
        <v>8.3000000000000007</v>
      </c>
      <c r="W103" s="105">
        <f t="shared" si="1"/>
        <v>1.8138059030752163</v>
      </c>
    </row>
    <row r="104" spans="1:23" x14ac:dyDescent="0.35">
      <c r="A104" s="95" t="s">
        <v>593</v>
      </c>
      <c r="B104" s="95" t="s">
        <v>685</v>
      </c>
      <c r="C104" s="103">
        <v>-0.23058449292154837</v>
      </c>
      <c r="D104" s="104">
        <v>0.18053445950247937</v>
      </c>
      <c r="E104" s="105">
        <v>1.3300326593307599</v>
      </c>
      <c r="G104" s="117" t="s">
        <v>405</v>
      </c>
      <c r="H104" s="115">
        <v>70.665681404041052</v>
      </c>
      <c r="I104" s="107">
        <v>87</v>
      </c>
      <c r="J104" s="108">
        <v>11</v>
      </c>
      <c r="K104" s="95"/>
      <c r="L104" s="103">
        <v>3.6423226794134638</v>
      </c>
      <c r="M104" s="104">
        <v>1.3540919615167941</v>
      </c>
      <c r="N104" s="104">
        <v>2.8043401283809737</v>
      </c>
      <c r="O104" s="104">
        <v>3.2930000000000001</v>
      </c>
      <c r="P104" s="104">
        <v>2.6309999999999998</v>
      </c>
      <c r="Q104" s="104">
        <v>2.113</v>
      </c>
      <c r="R104" s="104">
        <v>2.1949999999999998</v>
      </c>
      <c r="S104" s="104">
        <v>-0.19900000000000001</v>
      </c>
      <c r="T104" s="104">
        <v>-7.9880000000000004</v>
      </c>
      <c r="U104" s="104">
        <v>4.7210000000000001</v>
      </c>
      <c r="V104" s="105">
        <v>3.0659999999999998</v>
      </c>
      <c r="W104" s="105">
        <f t="shared" si="1"/>
        <v>0.75528355941661962</v>
      </c>
    </row>
    <row r="105" spans="1:23" x14ac:dyDescent="0.35">
      <c r="A105" s="95" t="s">
        <v>231</v>
      </c>
      <c r="B105" s="95" t="s">
        <v>686</v>
      </c>
      <c r="C105" s="103">
        <v>-0.11659435485397163</v>
      </c>
      <c r="D105" s="104">
        <v>1.5069892590011902</v>
      </c>
      <c r="E105" s="105">
        <v>3.001683990106474</v>
      </c>
      <c r="G105" s="117" t="s">
        <v>591</v>
      </c>
      <c r="H105" s="115">
        <v>79.52270940766131</v>
      </c>
      <c r="I105" s="107">
        <v>52</v>
      </c>
      <c r="J105" s="108">
        <v>33</v>
      </c>
      <c r="K105" s="95"/>
      <c r="L105" s="103">
        <v>-0.58973412591981322</v>
      </c>
      <c r="M105" s="104">
        <v>9.0438654824314977</v>
      </c>
      <c r="N105" s="104">
        <v>4.9996256689180685</v>
      </c>
      <c r="O105" s="104">
        <v>-0.33800000000000002</v>
      </c>
      <c r="P105" s="104">
        <v>4.4089999999999998</v>
      </c>
      <c r="Q105" s="104">
        <v>4.2</v>
      </c>
      <c r="R105" s="104">
        <v>4.0999999999999996</v>
      </c>
      <c r="S105" s="104">
        <v>3.6</v>
      </c>
      <c r="T105" s="104">
        <v>-8.3000000000000007</v>
      </c>
      <c r="U105" s="104">
        <v>13.945</v>
      </c>
      <c r="V105" s="105">
        <v>-5.5759999999999996</v>
      </c>
      <c r="W105" s="105">
        <f t="shared" si="1"/>
        <v>2.2543366245538321</v>
      </c>
    </row>
    <row r="106" spans="1:23" x14ac:dyDescent="0.35">
      <c r="A106" s="95" t="s">
        <v>585</v>
      </c>
      <c r="B106" s="95" t="s">
        <v>687</v>
      </c>
      <c r="C106" s="103">
        <v>0.5652165458427838</v>
      </c>
      <c r="D106" s="104">
        <v>3.0624452280082259</v>
      </c>
      <c r="E106" s="105">
        <v>4.33160969781623</v>
      </c>
      <c r="G106" s="117" t="s">
        <v>591</v>
      </c>
      <c r="H106" s="115">
        <v>78.890549447741549</v>
      </c>
      <c r="I106" s="107">
        <v>56</v>
      </c>
      <c r="J106" s="108">
        <v>8</v>
      </c>
      <c r="K106" s="95"/>
      <c r="L106" s="103">
        <v>12.319819848483753</v>
      </c>
      <c r="M106" s="104">
        <v>11.648916189886327</v>
      </c>
      <c r="N106" s="104">
        <v>7.8852254815193961</v>
      </c>
      <c r="O106" s="104">
        <v>2.41</v>
      </c>
      <c r="P106" s="104">
        <v>1.49</v>
      </c>
      <c r="Q106" s="104">
        <v>5.6369999999999996</v>
      </c>
      <c r="R106" s="104">
        <v>7.7450000000000001</v>
      </c>
      <c r="S106" s="104">
        <v>5.6020000000000003</v>
      </c>
      <c r="T106" s="104">
        <v>-4.5579999999999998</v>
      </c>
      <c r="U106" s="104">
        <v>1.637</v>
      </c>
      <c r="V106" s="105">
        <v>4.8460000000000001</v>
      </c>
      <c r="W106" s="105">
        <f t="shared" si="1"/>
        <v>3.6970274629122279</v>
      </c>
    </row>
    <row r="107" spans="1:23" x14ac:dyDescent="0.35">
      <c r="A107" s="95" t="s">
        <v>589</v>
      </c>
      <c r="B107" s="95" t="s">
        <v>688</v>
      </c>
      <c r="C107" s="103">
        <v>2.7484311837486786</v>
      </c>
      <c r="D107" s="104">
        <v>3.8040844105169391</v>
      </c>
      <c r="E107" s="105">
        <v>4.437166103247403</v>
      </c>
      <c r="G107" s="117" t="s">
        <v>405</v>
      </c>
      <c r="H107" s="115">
        <v>76.129604349240608</v>
      </c>
      <c r="I107" s="107">
        <v>65</v>
      </c>
      <c r="J107" s="108">
        <v>4</v>
      </c>
      <c r="K107" s="95"/>
      <c r="L107" s="103">
        <v>1.2735415748875247</v>
      </c>
      <c r="M107" s="104">
        <v>4.8919045547561728</v>
      </c>
      <c r="N107" s="104">
        <v>5.1501913509219497</v>
      </c>
      <c r="O107" s="104">
        <v>4.3449999999999998</v>
      </c>
      <c r="P107" s="104">
        <v>0.52100000000000002</v>
      </c>
      <c r="Q107" s="104">
        <v>5.0579999999999998</v>
      </c>
      <c r="R107" s="104">
        <v>3.0659999999999998</v>
      </c>
      <c r="S107" s="104">
        <v>2.891</v>
      </c>
      <c r="T107" s="104">
        <v>-7.1870000000000003</v>
      </c>
      <c r="U107" s="104">
        <v>7.93</v>
      </c>
      <c r="V107" s="105">
        <v>1.135</v>
      </c>
      <c r="W107" s="105">
        <f t="shared" si="1"/>
        <v>4.1206252568821711</v>
      </c>
    </row>
    <row r="108" spans="1:23" x14ac:dyDescent="0.35">
      <c r="A108" s="95" t="s">
        <v>589</v>
      </c>
      <c r="B108" s="95" t="s">
        <v>689</v>
      </c>
      <c r="C108" s="103">
        <v>1.7345974801987962</v>
      </c>
      <c r="D108" s="104">
        <v>2.1902907307407293</v>
      </c>
      <c r="E108" s="105">
        <v>3.9391606371984134</v>
      </c>
      <c r="G108" s="117" t="s">
        <v>429</v>
      </c>
      <c r="H108" s="115">
        <v>66.134592515292979</v>
      </c>
      <c r="I108" s="107">
        <v>110</v>
      </c>
      <c r="J108" s="108">
        <v>25</v>
      </c>
      <c r="K108" s="95"/>
      <c r="L108" s="103">
        <v>7.2584392525877934</v>
      </c>
      <c r="M108" s="104">
        <v>6.9636071348707169</v>
      </c>
      <c r="N108" s="104">
        <v>7.3985127971386246</v>
      </c>
      <c r="O108" s="104">
        <v>6.7229999999999999</v>
      </c>
      <c r="P108" s="104">
        <v>3.8239999999999998</v>
      </c>
      <c r="Q108" s="104">
        <v>3.7410000000000001</v>
      </c>
      <c r="R108" s="104">
        <v>3.444</v>
      </c>
      <c r="S108" s="104">
        <v>2.3149999999999999</v>
      </c>
      <c r="T108" s="104">
        <v>-1.1990000000000001</v>
      </c>
      <c r="U108" s="104">
        <v>2.3279999999999998</v>
      </c>
      <c r="V108" s="105">
        <v>4.1479999999999997</v>
      </c>
      <c r="W108" s="105">
        <f t="shared" si="1"/>
        <v>3.0647256839695713</v>
      </c>
    </row>
    <row r="109" spans="1:23" x14ac:dyDescent="0.35">
      <c r="A109" s="95" t="s">
        <v>585</v>
      </c>
      <c r="B109" s="95" t="s">
        <v>690</v>
      </c>
      <c r="C109" s="103">
        <v>-4.7700497073887238</v>
      </c>
      <c r="D109" s="104">
        <v>-0.38368451177455132</v>
      </c>
      <c r="E109" s="105">
        <v>3.2897594501001937</v>
      </c>
      <c r="G109" s="117" t="s">
        <v>429</v>
      </c>
      <c r="H109" s="115">
        <v>65.606474585171327</v>
      </c>
      <c r="I109" s="107">
        <v>111</v>
      </c>
      <c r="J109" s="108">
        <v>22</v>
      </c>
      <c r="K109" s="95"/>
      <c r="L109" s="103">
        <v>6.4857540044064299</v>
      </c>
      <c r="M109" s="104">
        <v>7.8986694782381086</v>
      </c>
      <c r="N109" s="104">
        <v>8.1996637504261933</v>
      </c>
      <c r="O109" s="104">
        <v>7.4729999999999999</v>
      </c>
      <c r="P109" s="104">
        <v>6.4080000000000004</v>
      </c>
      <c r="Q109" s="104">
        <v>5.75</v>
      </c>
      <c r="R109" s="104">
        <v>6.4050000000000002</v>
      </c>
      <c r="S109" s="104">
        <v>6.75</v>
      </c>
      <c r="T109" s="104">
        <v>3.1890000000000001</v>
      </c>
      <c r="U109" s="104">
        <v>-17.937999999999999</v>
      </c>
      <c r="V109" s="105">
        <v>1.9710000000000001</v>
      </c>
      <c r="W109" s="105">
        <f t="shared" si="1"/>
        <v>1.4530374691628212</v>
      </c>
    </row>
    <row r="110" spans="1:23" x14ac:dyDescent="0.35">
      <c r="A110" s="95" t="s">
        <v>589</v>
      </c>
      <c r="B110" s="95" t="s">
        <v>691</v>
      </c>
      <c r="C110" s="103">
        <v>5.9000128031017951</v>
      </c>
      <c r="D110" s="104">
        <v>3.7913046668829331</v>
      </c>
      <c r="E110" s="105">
        <v>3.4125855123770643</v>
      </c>
      <c r="G110" s="117" t="s">
        <v>405</v>
      </c>
      <c r="H110" s="115">
        <v>72.202169838266542</v>
      </c>
      <c r="I110" s="107">
        <v>79</v>
      </c>
      <c r="J110" s="108">
        <v>10</v>
      </c>
      <c r="K110" s="95"/>
      <c r="L110" s="103">
        <v>5.061682013267613</v>
      </c>
      <c r="M110" s="104">
        <v>5.6147197006409399</v>
      </c>
      <c r="N110" s="104">
        <v>5.7577888470497651</v>
      </c>
      <c r="O110" s="104">
        <v>4.2640000000000002</v>
      </c>
      <c r="P110" s="104">
        <v>3.4000000000000002E-2</v>
      </c>
      <c r="Q110" s="104">
        <v>-1.0269999999999999</v>
      </c>
      <c r="R110" s="104">
        <v>1.06</v>
      </c>
      <c r="S110" s="104">
        <v>-0.83899999999999997</v>
      </c>
      <c r="T110" s="104">
        <v>-8.0359999999999996</v>
      </c>
      <c r="U110" s="104">
        <v>2.6560000000000001</v>
      </c>
      <c r="V110" s="105">
        <v>3.8420000000000001</v>
      </c>
      <c r="W110" s="105">
        <f t="shared" si="1"/>
        <v>3.6019450896299987</v>
      </c>
    </row>
    <row r="111" spans="1:23" x14ac:dyDescent="0.35">
      <c r="A111" s="95" t="s">
        <v>585</v>
      </c>
      <c r="B111" s="95" t="s">
        <v>692</v>
      </c>
      <c r="C111" s="103">
        <v>2.509308980392877</v>
      </c>
      <c r="D111" s="104">
        <v>4.3365366697670549</v>
      </c>
      <c r="E111" s="105">
        <v>4.4414058742941132</v>
      </c>
      <c r="G111" s="117" t="s">
        <v>587</v>
      </c>
      <c r="H111" s="115">
        <v>47.880656607147813</v>
      </c>
      <c r="I111" s="107">
        <v>141</v>
      </c>
      <c r="J111" s="108">
        <v>29</v>
      </c>
      <c r="K111" s="95"/>
      <c r="L111" s="103">
        <v>4.6701221485020756</v>
      </c>
      <c r="M111" s="104">
        <v>3.525153173819251</v>
      </c>
      <c r="N111" s="104">
        <v>6.0114828408077567</v>
      </c>
      <c r="O111" s="104">
        <v>3.976</v>
      </c>
      <c r="P111" s="104">
        <v>0.433</v>
      </c>
      <c r="Q111" s="104">
        <v>8.9770000000000003</v>
      </c>
      <c r="R111" s="104">
        <v>7.6219999999999999</v>
      </c>
      <c r="S111" s="104">
        <v>6.657</v>
      </c>
      <c r="T111" s="104">
        <v>-2.37</v>
      </c>
      <c r="U111" s="104">
        <v>4.2469999999999999</v>
      </c>
      <c r="V111" s="105">
        <v>5.8380000000000001</v>
      </c>
      <c r="W111" s="105">
        <f t="shared" si="1"/>
        <v>4.3889712720305845</v>
      </c>
    </row>
    <row r="112" spans="1:23" x14ac:dyDescent="0.35">
      <c r="A112" s="95" t="s">
        <v>231</v>
      </c>
      <c r="B112" s="95" t="s">
        <v>693</v>
      </c>
      <c r="C112" s="103">
        <v>1.7497887812736312</v>
      </c>
      <c r="D112" s="104">
        <v>1.8172353151896914</v>
      </c>
      <c r="E112" s="105">
        <v>1.7415218308118652</v>
      </c>
      <c r="G112" s="117" t="s">
        <v>422</v>
      </c>
      <c r="H112" s="115">
        <v>97.320188246923195</v>
      </c>
      <c r="I112" s="107">
        <v>6</v>
      </c>
      <c r="J112" s="108">
        <v>4</v>
      </c>
      <c r="K112" s="95"/>
      <c r="L112" s="103">
        <v>-1.0303540066027346</v>
      </c>
      <c r="M112" s="104">
        <v>-0.13017522863902575</v>
      </c>
      <c r="N112" s="104">
        <v>1.4233954098743582</v>
      </c>
      <c r="O112" s="104">
        <v>1.958</v>
      </c>
      <c r="P112" s="104">
        <v>2.1920000000000002</v>
      </c>
      <c r="Q112" s="104">
        <v>2.911</v>
      </c>
      <c r="R112" s="104">
        <v>2.3610000000000002</v>
      </c>
      <c r="S112" s="104">
        <v>1.956</v>
      </c>
      <c r="T112" s="104">
        <v>-3.9129999999999998</v>
      </c>
      <c r="U112" s="104">
        <v>4.883</v>
      </c>
      <c r="V112" s="105">
        <v>4.5179999999999998</v>
      </c>
      <c r="W112" s="105">
        <f t="shared" si="1"/>
        <v>1.7793785730007783</v>
      </c>
    </row>
    <row r="113" spans="1:23" x14ac:dyDescent="0.35">
      <c r="A113" s="95" t="s">
        <v>585</v>
      </c>
      <c r="B113" s="95" t="s">
        <v>694</v>
      </c>
      <c r="C113" s="103">
        <v>1.6101427265492019</v>
      </c>
      <c r="D113" s="104">
        <v>2.5126996765094445</v>
      </c>
      <c r="E113" s="105">
        <v>2.926527233523446</v>
      </c>
      <c r="G113" s="117" t="s">
        <v>422</v>
      </c>
      <c r="H113" s="115">
        <v>98.673978139326721</v>
      </c>
      <c r="I113" s="107">
        <v>1</v>
      </c>
      <c r="J113" s="108">
        <v>1</v>
      </c>
      <c r="K113" s="95"/>
      <c r="L113" s="103">
        <v>2.2395634845413639</v>
      </c>
      <c r="M113" s="104">
        <v>2.6288005896782796</v>
      </c>
      <c r="N113" s="104">
        <v>3.6255957672075687</v>
      </c>
      <c r="O113" s="104">
        <v>3.6909999999999998</v>
      </c>
      <c r="P113" s="104">
        <v>3.8839999999999999</v>
      </c>
      <c r="Q113" s="104">
        <v>3.46</v>
      </c>
      <c r="R113" s="104">
        <v>3.524</v>
      </c>
      <c r="S113" s="104">
        <v>3.0750000000000002</v>
      </c>
      <c r="T113" s="104">
        <v>-1.4770000000000001</v>
      </c>
      <c r="U113" s="104">
        <v>6.0880000000000001</v>
      </c>
      <c r="V113" s="105">
        <v>2.4350000000000001</v>
      </c>
      <c r="W113" s="105">
        <f t="shared" si="1"/>
        <v>2.7196134550164452</v>
      </c>
    </row>
    <row r="114" spans="1:23" x14ac:dyDescent="0.35">
      <c r="A114" s="95" t="s">
        <v>593</v>
      </c>
      <c r="B114" s="95" t="s">
        <v>695</v>
      </c>
      <c r="C114" s="103">
        <v>4.0750139508862748</v>
      </c>
      <c r="D114" s="104">
        <v>0.946067021483743</v>
      </c>
      <c r="E114" s="105">
        <v>2.8253976939387693</v>
      </c>
      <c r="G114" s="117" t="s">
        <v>429</v>
      </c>
      <c r="H114" s="115">
        <v>64.641996561099731</v>
      </c>
      <c r="I114" s="107">
        <v>115</v>
      </c>
      <c r="J114" s="108">
        <v>15</v>
      </c>
      <c r="K114" s="95"/>
      <c r="L114" s="103">
        <v>6.4967472990321502</v>
      </c>
      <c r="M114" s="104">
        <v>4.9267922688301464</v>
      </c>
      <c r="N114" s="104">
        <v>4.7858161704434874</v>
      </c>
      <c r="O114" s="104">
        <v>4.7919999999999998</v>
      </c>
      <c r="P114" s="104">
        <v>4.5629999999999997</v>
      </c>
      <c r="Q114" s="104">
        <v>4.6310000000000002</v>
      </c>
      <c r="R114" s="104">
        <v>-3.363</v>
      </c>
      <c r="S114" s="104">
        <v>-3.78</v>
      </c>
      <c r="T114" s="104">
        <v>-1.7889999999999999</v>
      </c>
      <c r="U114" s="104">
        <v>10.345000000000001</v>
      </c>
      <c r="V114" s="105">
        <v>4.024</v>
      </c>
      <c r="W114" s="105">
        <f t="shared" si="1"/>
        <v>1.8857323577112561</v>
      </c>
    </row>
    <row r="115" spans="1:23" x14ac:dyDescent="0.35">
      <c r="A115" s="95" t="s">
        <v>589</v>
      </c>
      <c r="B115" s="95" t="s">
        <v>696</v>
      </c>
      <c r="C115" s="103">
        <v>5.2681473931170952</v>
      </c>
      <c r="D115" s="104">
        <v>5.8171216819006277</v>
      </c>
      <c r="E115" s="105">
        <v>5.6255556295670361</v>
      </c>
      <c r="G115" s="117" t="s">
        <v>429</v>
      </c>
      <c r="H115" s="115">
        <v>68.812447501404833</v>
      </c>
      <c r="I115" s="107">
        <v>98</v>
      </c>
      <c r="J115" s="108">
        <v>19</v>
      </c>
      <c r="K115" s="95"/>
      <c r="L115" s="103">
        <v>10.599907397446637</v>
      </c>
      <c r="M115" s="104">
        <v>5.5657295960540178</v>
      </c>
      <c r="N115" s="104">
        <v>6.5644262265084619</v>
      </c>
      <c r="O115" s="104">
        <v>4.3929999999999998</v>
      </c>
      <c r="P115" s="104">
        <v>5.7409999999999997</v>
      </c>
      <c r="Q115" s="104">
        <v>5.0010000000000003</v>
      </c>
      <c r="R115" s="104">
        <v>7.0069999999999997</v>
      </c>
      <c r="S115" s="104">
        <v>6.1429999999999998</v>
      </c>
      <c r="T115" s="104">
        <v>3.55</v>
      </c>
      <c r="U115" s="104">
        <v>1.399</v>
      </c>
      <c r="V115" s="105">
        <v>11.111000000000001</v>
      </c>
      <c r="W115" s="105">
        <f t="shared" si="1"/>
        <v>5.7213386557338319</v>
      </c>
    </row>
    <row r="116" spans="1:23" x14ac:dyDescent="0.35">
      <c r="A116" s="95" t="s">
        <v>589</v>
      </c>
      <c r="B116" s="95" t="s">
        <v>697</v>
      </c>
      <c r="C116" s="103">
        <v>1.6711254984559387</v>
      </c>
      <c r="D116" s="104">
        <v>1.8286894595159531</v>
      </c>
      <c r="E116" s="105">
        <v>2.3705025942777347</v>
      </c>
      <c r="G116" s="117" t="s">
        <v>587</v>
      </c>
      <c r="H116" s="115">
        <v>54.117482987279544</v>
      </c>
      <c r="I116" s="107">
        <v>136</v>
      </c>
      <c r="J116" s="108">
        <v>35</v>
      </c>
      <c r="K116" s="95"/>
      <c r="L116" s="103">
        <v>4.2300611751055515</v>
      </c>
      <c r="M116" s="104">
        <v>6.6713353928837664</v>
      </c>
      <c r="N116" s="104">
        <v>6.3097186557238203</v>
      </c>
      <c r="O116" s="104">
        <v>2.653</v>
      </c>
      <c r="P116" s="104">
        <v>-1.617</v>
      </c>
      <c r="Q116" s="104">
        <v>0.80600000000000005</v>
      </c>
      <c r="R116" s="104">
        <v>1.923</v>
      </c>
      <c r="S116" s="104">
        <v>2.2080000000000002</v>
      </c>
      <c r="T116" s="104">
        <v>-1.794</v>
      </c>
      <c r="U116" s="104">
        <v>3.6469999999999998</v>
      </c>
      <c r="V116" s="105">
        <v>3.2519999999999998</v>
      </c>
      <c r="W116" s="105">
        <f t="shared" si="1"/>
        <v>2.0995960268968439</v>
      </c>
    </row>
    <row r="117" spans="1:23" x14ac:dyDescent="0.35">
      <c r="A117" s="95" t="s">
        <v>231</v>
      </c>
      <c r="B117" s="95" t="s">
        <v>698</v>
      </c>
      <c r="C117" s="103">
        <v>-7.5001429328758196E-2</v>
      </c>
      <c r="D117" s="104">
        <v>1.3021650287798892</v>
      </c>
      <c r="E117" s="105">
        <v>2.0797979747829265</v>
      </c>
      <c r="G117" s="117" t="s">
        <v>591</v>
      </c>
      <c r="H117" s="115">
        <v>78.35616814320835</v>
      </c>
      <c r="I117" s="107">
        <v>58</v>
      </c>
      <c r="J117" s="108">
        <v>35</v>
      </c>
      <c r="K117" s="95"/>
      <c r="L117" s="103">
        <v>-0.45618322360793873</v>
      </c>
      <c r="M117" s="104">
        <v>2.9252576645048585</v>
      </c>
      <c r="N117" s="104">
        <v>3.6291235127637393</v>
      </c>
      <c r="O117" s="104">
        <v>3.8559999999999999</v>
      </c>
      <c r="P117" s="104">
        <v>2.8479999999999999</v>
      </c>
      <c r="Q117" s="104">
        <v>1.0820000000000001</v>
      </c>
      <c r="R117" s="104">
        <v>2.8809999999999998</v>
      </c>
      <c r="S117" s="104">
        <v>3.91</v>
      </c>
      <c r="T117" s="104">
        <v>-4.6879999999999997</v>
      </c>
      <c r="U117" s="104">
        <v>3.931</v>
      </c>
      <c r="V117" s="105">
        <v>2.2170000000000001</v>
      </c>
      <c r="W117" s="105">
        <f t="shared" si="1"/>
        <v>1.6909815017814078</v>
      </c>
    </row>
    <row r="118" spans="1:23" x14ac:dyDescent="0.35">
      <c r="A118" s="95" t="s">
        <v>231</v>
      </c>
      <c r="B118" s="95" t="s">
        <v>699</v>
      </c>
      <c r="C118" s="103">
        <v>2.1276786032802697</v>
      </c>
      <c r="D118" s="104">
        <v>2.0038500872442633</v>
      </c>
      <c r="E118" s="105">
        <v>1.8376731142071945</v>
      </c>
      <c r="G118" s="117" t="s">
        <v>422</v>
      </c>
      <c r="H118" s="115">
        <v>96.569623372049904</v>
      </c>
      <c r="I118" s="107">
        <v>10</v>
      </c>
      <c r="J118" s="108">
        <v>8</v>
      </c>
      <c r="K118" s="95"/>
      <c r="L118" s="103">
        <v>2.7030738548426481</v>
      </c>
      <c r="M118" s="104">
        <v>1.0340729135363009</v>
      </c>
      <c r="N118" s="104">
        <v>1.9695443007938924</v>
      </c>
      <c r="O118" s="104">
        <v>1.857</v>
      </c>
      <c r="P118" s="104">
        <v>1.165</v>
      </c>
      <c r="Q118" s="104">
        <v>2.464</v>
      </c>
      <c r="R118" s="104">
        <v>0.82899999999999996</v>
      </c>
      <c r="S118" s="104">
        <v>1.1240000000000001</v>
      </c>
      <c r="T118" s="104">
        <v>-1.278</v>
      </c>
      <c r="U118" s="104">
        <v>3.8980000000000001</v>
      </c>
      <c r="V118" s="105">
        <v>3.2810000000000001</v>
      </c>
      <c r="W118" s="105">
        <f t="shared" si="1"/>
        <v>1.9207616007257289</v>
      </c>
    </row>
    <row r="119" spans="1:23" x14ac:dyDescent="0.35">
      <c r="A119" s="95" t="s">
        <v>600</v>
      </c>
      <c r="B119" s="95" t="s">
        <v>700</v>
      </c>
      <c r="C119" s="103">
        <v>1.2841572452507943</v>
      </c>
      <c r="D119" s="104">
        <v>3.5695383112497314</v>
      </c>
      <c r="E119" s="105">
        <v>3.4884405409466579</v>
      </c>
      <c r="G119" s="117" t="s">
        <v>591</v>
      </c>
      <c r="H119" s="115">
        <v>83.929015692724803</v>
      </c>
      <c r="I119" s="107">
        <v>38</v>
      </c>
      <c r="J119" s="108">
        <v>3</v>
      </c>
      <c r="K119" s="95"/>
      <c r="L119" s="103">
        <v>9.3317368265983944</v>
      </c>
      <c r="M119" s="104">
        <v>4.373453291056836</v>
      </c>
      <c r="N119" s="104">
        <v>2.7522002596044053</v>
      </c>
      <c r="O119" s="104">
        <v>5.0170000000000003</v>
      </c>
      <c r="P119" s="104">
        <v>5.0460000000000003</v>
      </c>
      <c r="Q119" s="104">
        <v>0.30399999999999999</v>
      </c>
      <c r="R119" s="104">
        <v>1.2869999999999999</v>
      </c>
      <c r="S119" s="104">
        <v>-1.1299999999999999</v>
      </c>
      <c r="T119" s="104">
        <v>-3.2</v>
      </c>
      <c r="U119" s="104">
        <v>2.9020000000000001</v>
      </c>
      <c r="V119" s="105">
        <v>4.3109999999999999</v>
      </c>
      <c r="W119" s="105">
        <f t="shared" si="1"/>
        <v>3.5289894260981947</v>
      </c>
    </row>
    <row r="120" spans="1:23" x14ac:dyDescent="0.35">
      <c r="A120" s="95" t="s">
        <v>585</v>
      </c>
      <c r="B120" s="95" t="s">
        <v>701</v>
      </c>
      <c r="C120" s="103">
        <v>-2.8988961286927073</v>
      </c>
      <c r="D120" s="104">
        <v>0.9425802646799708</v>
      </c>
      <c r="E120" s="105">
        <v>2.8446311877570185</v>
      </c>
      <c r="G120" s="117" t="s">
        <v>405</v>
      </c>
      <c r="H120" s="115">
        <v>69.599146780385112</v>
      </c>
      <c r="I120" s="107">
        <v>90</v>
      </c>
      <c r="J120" s="108">
        <v>17</v>
      </c>
      <c r="K120" s="95"/>
      <c r="L120" s="103">
        <v>2.8731257161786412</v>
      </c>
      <c r="M120" s="104">
        <v>4.4745926000517917</v>
      </c>
      <c r="N120" s="104">
        <v>5.7909341243793389</v>
      </c>
      <c r="O120" s="104">
        <v>4.0579999999999998</v>
      </c>
      <c r="P120" s="104">
        <v>4.5629999999999997</v>
      </c>
      <c r="Q120" s="104">
        <v>4.609</v>
      </c>
      <c r="R120" s="104">
        <v>6.0960000000000001</v>
      </c>
      <c r="S120" s="104">
        <v>3.12</v>
      </c>
      <c r="T120" s="104">
        <v>-0.94299999999999995</v>
      </c>
      <c r="U120" s="104">
        <v>5.742</v>
      </c>
      <c r="V120" s="105">
        <v>5.9669999999999996</v>
      </c>
      <c r="W120" s="105">
        <f t="shared" si="1"/>
        <v>1.8936057262184947</v>
      </c>
    </row>
    <row r="121" spans="1:23" x14ac:dyDescent="0.35">
      <c r="A121" s="95" t="s">
        <v>593</v>
      </c>
      <c r="B121" s="95" t="s">
        <v>702</v>
      </c>
      <c r="C121" s="103">
        <v>1.349334889011633</v>
      </c>
      <c r="D121" s="104">
        <v>2.1324418529624634</v>
      </c>
      <c r="E121" s="105">
        <v>3.875737232948695</v>
      </c>
      <c r="G121" s="117" t="s">
        <v>429</v>
      </c>
      <c r="H121" s="115">
        <v>61.957917699729606</v>
      </c>
      <c r="I121" s="107">
        <v>122</v>
      </c>
      <c r="J121" s="108">
        <v>19</v>
      </c>
      <c r="K121" s="95"/>
      <c r="L121" s="103">
        <v>9.7789039456094482</v>
      </c>
      <c r="M121" s="104">
        <v>6.9032725658169563</v>
      </c>
      <c r="N121" s="104">
        <v>5.0667432180278205</v>
      </c>
      <c r="O121" s="104">
        <v>5.7329999999999997</v>
      </c>
      <c r="P121" s="104">
        <v>4.9530000000000003</v>
      </c>
      <c r="Q121" s="104">
        <v>5.5910000000000002</v>
      </c>
      <c r="R121" s="104">
        <v>3.6850000000000001</v>
      </c>
      <c r="S121" s="104">
        <v>2.98</v>
      </c>
      <c r="T121" s="104">
        <v>-17.945</v>
      </c>
      <c r="U121" s="104">
        <v>15.336</v>
      </c>
      <c r="V121" s="105">
        <v>10</v>
      </c>
      <c r="W121" s="105">
        <f t="shared" si="1"/>
        <v>3.0040895429555792</v>
      </c>
    </row>
    <row r="122" spans="1:23" x14ac:dyDescent="0.35">
      <c r="A122" s="95" t="s">
        <v>585</v>
      </c>
      <c r="B122" s="95" t="s">
        <v>703</v>
      </c>
      <c r="C122" s="103">
        <v>0.50696592980361554</v>
      </c>
      <c r="D122" s="104">
        <v>1.127965129390196</v>
      </c>
      <c r="E122" s="105">
        <v>3.7955054005958777</v>
      </c>
      <c r="G122" s="117" t="s">
        <v>587</v>
      </c>
      <c r="H122" s="115">
        <v>55.401075093758223</v>
      </c>
      <c r="I122" s="107">
        <v>131</v>
      </c>
      <c r="J122" s="108">
        <v>27</v>
      </c>
      <c r="K122" s="95"/>
      <c r="L122" s="103">
        <v>4.6571195968623904</v>
      </c>
      <c r="M122" s="104">
        <v>3.8249463280067437</v>
      </c>
      <c r="N122" s="104">
        <v>13.543770621654581</v>
      </c>
      <c r="O122" s="104">
        <v>6.5759999999999996</v>
      </c>
      <c r="P122" s="104">
        <v>5.492</v>
      </c>
      <c r="Q122" s="104">
        <v>3.5350000000000001</v>
      </c>
      <c r="R122" s="104">
        <v>-0.27900000000000003</v>
      </c>
      <c r="S122" s="104">
        <v>4.4800000000000004</v>
      </c>
      <c r="T122" s="104">
        <v>-3.1669999999999998</v>
      </c>
      <c r="U122" s="104">
        <v>7.0000000000000007E-2</v>
      </c>
      <c r="V122" s="105">
        <v>4.5359999999999996</v>
      </c>
      <c r="W122" s="105">
        <f t="shared" si="1"/>
        <v>2.4617352649930369</v>
      </c>
    </row>
    <row r="123" spans="1:23" x14ac:dyDescent="0.35">
      <c r="A123" s="95" t="s">
        <v>593</v>
      </c>
      <c r="B123" s="95" t="s">
        <v>704</v>
      </c>
      <c r="C123" s="103">
        <v>1.1388134852348575</v>
      </c>
      <c r="D123" s="104">
        <v>1.2311721995777125</v>
      </c>
      <c r="E123" s="105">
        <v>3.152890592174673</v>
      </c>
      <c r="G123" s="117" t="s">
        <v>429</v>
      </c>
      <c r="H123" s="115">
        <v>63.814130726333779</v>
      </c>
      <c r="I123" s="107">
        <v>118</v>
      </c>
      <c r="J123" s="108">
        <v>17</v>
      </c>
      <c r="K123" s="95"/>
      <c r="L123" s="103">
        <v>-0.53851294250305837</v>
      </c>
      <c r="M123" s="104">
        <v>8.4174952847030529</v>
      </c>
      <c r="N123" s="104">
        <v>4.8608903705532152</v>
      </c>
      <c r="O123" s="104">
        <v>2.9569999999999999</v>
      </c>
      <c r="P123" s="104">
        <v>4.2679999999999998</v>
      </c>
      <c r="Q123" s="104">
        <v>4.8099999999999996</v>
      </c>
      <c r="R123" s="104">
        <v>3.2040000000000002</v>
      </c>
      <c r="S123" s="104">
        <v>-0.40200000000000002</v>
      </c>
      <c r="T123" s="104">
        <v>-0.82</v>
      </c>
      <c r="U123" s="104">
        <v>4.0170000000000003</v>
      </c>
      <c r="V123" s="105">
        <v>0.2</v>
      </c>
      <c r="W123" s="105">
        <f t="shared" si="1"/>
        <v>2.1920313958761928</v>
      </c>
    </row>
    <row r="124" spans="1:23" x14ac:dyDescent="0.35">
      <c r="A124" s="95" t="s">
        <v>593</v>
      </c>
      <c r="B124" s="95" t="s">
        <v>705</v>
      </c>
      <c r="C124" s="103">
        <v>1.205712245399182</v>
      </c>
      <c r="D124" s="104">
        <v>1.959755918859285</v>
      </c>
      <c r="E124" s="105">
        <v>2.7687545080362863</v>
      </c>
      <c r="G124" s="117" t="s">
        <v>429</v>
      </c>
      <c r="H124" s="115">
        <v>62.494421901152251</v>
      </c>
      <c r="I124" s="107">
        <v>121</v>
      </c>
      <c r="J124" s="108">
        <v>18</v>
      </c>
      <c r="K124" s="95"/>
      <c r="L124" s="103">
        <v>6.1397247056043467</v>
      </c>
      <c r="M124" s="104">
        <v>5.8525182108492944</v>
      </c>
      <c r="N124" s="104">
        <v>2.3821573718054045</v>
      </c>
      <c r="O124" s="104">
        <v>3.2519999999999998</v>
      </c>
      <c r="P124" s="104">
        <v>3.9529999999999998</v>
      </c>
      <c r="Q124" s="104">
        <v>2.5190000000000001</v>
      </c>
      <c r="R124" s="104">
        <v>3.9769999999999999</v>
      </c>
      <c r="S124" s="104">
        <v>2.2330000000000001</v>
      </c>
      <c r="T124" s="104">
        <v>-11.013999999999999</v>
      </c>
      <c r="U124" s="104">
        <v>13.551</v>
      </c>
      <c r="V124" s="105">
        <v>2.7010000000000001</v>
      </c>
      <c r="W124" s="105">
        <f t="shared" si="1"/>
        <v>2.3642552134477857</v>
      </c>
    </row>
    <row r="125" spans="1:23" x14ac:dyDescent="0.35">
      <c r="A125" s="95" t="s">
        <v>585</v>
      </c>
      <c r="B125" s="95" t="s">
        <v>706</v>
      </c>
      <c r="C125" s="103">
        <v>0.96069279950485864</v>
      </c>
      <c r="D125" s="104">
        <v>3.0362820733681239</v>
      </c>
      <c r="E125" s="105">
        <v>4.8545875775876546</v>
      </c>
      <c r="G125" s="117" t="s">
        <v>405</v>
      </c>
      <c r="H125" s="115">
        <v>74.806556985260698</v>
      </c>
      <c r="I125" s="107">
        <v>69</v>
      </c>
      <c r="J125" s="108">
        <v>10</v>
      </c>
      <c r="K125" s="95"/>
      <c r="L125" s="103">
        <v>6.8969517105747951</v>
      </c>
      <c r="M125" s="104">
        <v>6.7505313017782687</v>
      </c>
      <c r="N125" s="104">
        <v>6.3479874825028357</v>
      </c>
      <c r="O125" s="104">
        <v>6.3479999999999999</v>
      </c>
      <c r="P125" s="104">
        <v>7.149</v>
      </c>
      <c r="Q125" s="104">
        <v>6.931</v>
      </c>
      <c r="R125" s="104">
        <v>6.3410000000000002</v>
      </c>
      <c r="S125" s="104">
        <v>6.1189999999999998</v>
      </c>
      <c r="T125" s="104">
        <v>-9.5180000000000007</v>
      </c>
      <c r="U125" s="104">
        <v>5.7030000000000003</v>
      </c>
      <c r="V125" s="105">
        <v>7.5990000000000002</v>
      </c>
      <c r="W125" s="105">
        <f t="shared" si="1"/>
        <v>3.9454348254778893</v>
      </c>
    </row>
    <row r="126" spans="1:23" x14ac:dyDescent="0.35">
      <c r="A126" s="95" t="s">
        <v>231</v>
      </c>
      <c r="B126" s="95" t="s">
        <v>707</v>
      </c>
      <c r="C126" s="103">
        <v>3.162865203018228</v>
      </c>
      <c r="D126" s="104">
        <v>3.8363783613865499</v>
      </c>
      <c r="E126" s="105">
        <v>3.5697088266716248</v>
      </c>
      <c r="G126" s="117" t="s">
        <v>591</v>
      </c>
      <c r="H126" s="115">
        <v>85.420553644487129</v>
      </c>
      <c r="I126" s="107">
        <v>36</v>
      </c>
      <c r="J126" s="108">
        <v>23</v>
      </c>
      <c r="K126" s="95"/>
      <c r="L126" s="103">
        <v>1.6079066445646626</v>
      </c>
      <c r="M126" s="104">
        <v>1.3918923212492256</v>
      </c>
      <c r="N126" s="104">
        <v>3.3184475370007722</v>
      </c>
      <c r="O126" s="104">
        <v>4.383</v>
      </c>
      <c r="P126" s="104">
        <v>2.9540000000000002</v>
      </c>
      <c r="Q126" s="104">
        <v>5.14</v>
      </c>
      <c r="R126" s="104">
        <v>5.9450000000000003</v>
      </c>
      <c r="S126" s="104">
        <v>4.45</v>
      </c>
      <c r="T126" s="104">
        <v>-2.02</v>
      </c>
      <c r="U126" s="104">
        <v>6.8479999999999999</v>
      </c>
      <c r="V126" s="105">
        <v>4.8739999999999997</v>
      </c>
      <c r="W126" s="105">
        <f t="shared" si="1"/>
        <v>3.7030435940290873</v>
      </c>
    </row>
    <row r="127" spans="1:23" x14ac:dyDescent="0.35">
      <c r="A127" s="95" t="s">
        <v>231</v>
      </c>
      <c r="B127" s="95" t="s">
        <v>708</v>
      </c>
      <c r="C127" s="103">
        <v>1.0661443105445922</v>
      </c>
      <c r="D127" s="104">
        <v>1.7172276328006886</v>
      </c>
      <c r="E127" s="105">
        <v>1.5719478894561822</v>
      </c>
      <c r="G127" s="117" t="s">
        <v>422</v>
      </c>
      <c r="H127" s="115">
        <v>91.026987497789847</v>
      </c>
      <c r="I127" s="107">
        <v>25</v>
      </c>
      <c r="J127" s="108">
        <v>16</v>
      </c>
      <c r="K127" s="95"/>
      <c r="L127" s="103">
        <v>-4.0572943594235547</v>
      </c>
      <c r="M127" s="104">
        <v>-0.92264378725787455</v>
      </c>
      <c r="N127" s="104">
        <v>0.79219053837650444</v>
      </c>
      <c r="O127" s="104">
        <v>1.792</v>
      </c>
      <c r="P127" s="104">
        <v>2.0190000000000001</v>
      </c>
      <c r="Q127" s="104">
        <v>3.5059999999999998</v>
      </c>
      <c r="R127" s="104">
        <v>2.8490000000000002</v>
      </c>
      <c r="S127" s="104">
        <v>2.6829999999999998</v>
      </c>
      <c r="T127" s="104">
        <v>-8.3010000000000002</v>
      </c>
      <c r="U127" s="104">
        <v>5.5030000000000001</v>
      </c>
      <c r="V127" s="105">
        <v>6.726</v>
      </c>
      <c r="W127" s="105">
        <f t="shared" si="1"/>
        <v>1.6445877611284354</v>
      </c>
    </row>
    <row r="128" spans="1:23" x14ac:dyDescent="0.35">
      <c r="A128" s="95" t="s">
        <v>600</v>
      </c>
      <c r="B128" s="95" t="s">
        <v>709</v>
      </c>
      <c r="C128" s="103">
        <v>0.67674745765720079</v>
      </c>
      <c r="D128" s="104">
        <v>0.80775193577011795</v>
      </c>
      <c r="E128" s="105">
        <v>2.0997114519337501</v>
      </c>
      <c r="G128" s="117" t="s">
        <v>591</v>
      </c>
      <c r="H128" s="115">
        <v>78.783055534449289</v>
      </c>
      <c r="I128" s="107">
        <v>57</v>
      </c>
      <c r="J128" s="108">
        <v>6</v>
      </c>
      <c r="K128" s="95"/>
      <c r="L128" s="103">
        <v>4.730011843607838</v>
      </c>
      <c r="M128" s="104">
        <v>5.5560406430660754</v>
      </c>
      <c r="N128" s="104">
        <v>5.3343232919645871</v>
      </c>
      <c r="O128" s="104">
        <v>4.7530000000000001</v>
      </c>
      <c r="P128" s="104">
        <v>3.0640000000000001</v>
      </c>
      <c r="Q128" s="104">
        <v>-1.498</v>
      </c>
      <c r="R128" s="104">
        <v>1.2350000000000001</v>
      </c>
      <c r="S128" s="104">
        <v>0.68799999999999994</v>
      </c>
      <c r="T128" s="104">
        <v>-3.5579999999999998</v>
      </c>
      <c r="U128" s="104">
        <v>1.589</v>
      </c>
      <c r="V128" s="105">
        <v>4.2409999999999997</v>
      </c>
      <c r="W128" s="105">
        <f t="shared" si="1"/>
        <v>1.453731693851934</v>
      </c>
    </row>
    <row r="129" spans="1:23" x14ac:dyDescent="0.35">
      <c r="A129" s="95" t="s">
        <v>231</v>
      </c>
      <c r="B129" s="95" t="s">
        <v>710</v>
      </c>
      <c r="C129" s="103">
        <v>1.9886029006319417</v>
      </c>
      <c r="D129" s="104">
        <v>2.9733514596169686</v>
      </c>
      <c r="E129" s="105">
        <v>3.7501787507027151</v>
      </c>
      <c r="G129" s="117" t="s">
        <v>591</v>
      </c>
      <c r="H129" s="115">
        <v>84.261081453729389</v>
      </c>
      <c r="I129" s="107">
        <v>37</v>
      </c>
      <c r="J129" s="108">
        <v>24</v>
      </c>
      <c r="K129" s="95"/>
      <c r="L129" s="103">
        <v>2.0771650065377472</v>
      </c>
      <c r="M129" s="104">
        <v>3.5145518040847694</v>
      </c>
      <c r="N129" s="104">
        <v>3.4108091001793088</v>
      </c>
      <c r="O129" s="104">
        <v>3.1629999999999998</v>
      </c>
      <c r="P129" s="104">
        <v>2.8530000000000002</v>
      </c>
      <c r="Q129" s="104">
        <v>8.2129999999999992</v>
      </c>
      <c r="R129" s="104">
        <v>6.03</v>
      </c>
      <c r="S129" s="104">
        <v>3.8439999999999999</v>
      </c>
      <c r="T129" s="104">
        <v>-3.6920000000000002</v>
      </c>
      <c r="U129" s="104">
        <v>5.8739999999999997</v>
      </c>
      <c r="V129" s="105">
        <v>4.7910000000000004</v>
      </c>
      <c r="W129" s="105">
        <f t="shared" si="1"/>
        <v>3.3617651051598418</v>
      </c>
    </row>
    <row r="130" spans="1:23" x14ac:dyDescent="0.35">
      <c r="A130" s="95" t="s">
        <v>231</v>
      </c>
      <c r="B130" s="95" t="s">
        <v>711</v>
      </c>
      <c r="C130" s="103">
        <v>0.31321455831558875</v>
      </c>
      <c r="D130" s="104">
        <v>1.1211784185926943</v>
      </c>
      <c r="E130" s="105">
        <v>0.80914098391451361</v>
      </c>
      <c r="G130" s="117" t="s">
        <v>405</v>
      </c>
      <c r="H130" s="115">
        <v>76.528749373407479</v>
      </c>
      <c r="I130" s="107">
        <v>64</v>
      </c>
      <c r="J130" s="108">
        <v>36</v>
      </c>
      <c r="K130" s="95"/>
      <c r="L130" s="103">
        <v>4.0240861571797915</v>
      </c>
      <c r="M130" s="104">
        <v>1.7554221491628001</v>
      </c>
      <c r="N130" s="104">
        <v>0.736267221403759</v>
      </c>
      <c r="O130" s="104">
        <v>-1.9730000000000001</v>
      </c>
      <c r="P130" s="104">
        <v>0.19400000000000001</v>
      </c>
      <c r="Q130" s="104">
        <v>1.8260000000000001</v>
      </c>
      <c r="R130" s="104">
        <v>2.8069999999999999</v>
      </c>
      <c r="S130" s="104">
        <v>2.198</v>
      </c>
      <c r="T130" s="104">
        <v>-2.6539999999999999</v>
      </c>
      <c r="U130" s="104">
        <v>5.6239999999999997</v>
      </c>
      <c r="V130" s="105">
        <v>-2.0510000000000002</v>
      </c>
      <c r="W130" s="105">
        <f t="shared" si="1"/>
        <v>0.96515970125360395</v>
      </c>
    </row>
    <row r="131" spans="1:23" x14ac:dyDescent="0.35">
      <c r="A131" s="95" t="s">
        <v>589</v>
      </c>
      <c r="B131" s="95" t="s">
        <v>712</v>
      </c>
      <c r="C131" s="103">
        <v>4.5886571318858538</v>
      </c>
      <c r="D131" s="104">
        <v>6.3388189685080754</v>
      </c>
      <c r="E131" s="105">
        <v>6.1347836953729917</v>
      </c>
      <c r="G131" s="117" t="s">
        <v>405</v>
      </c>
      <c r="H131" s="115">
        <v>76.577775011818801</v>
      </c>
      <c r="I131" s="107">
        <v>63</v>
      </c>
      <c r="J131" s="108">
        <v>3</v>
      </c>
      <c r="K131" s="95"/>
      <c r="L131" s="103">
        <v>8.6415388651712988</v>
      </c>
      <c r="M131" s="104">
        <v>4.7198554996618309</v>
      </c>
      <c r="N131" s="104">
        <v>6.1642772027561934</v>
      </c>
      <c r="O131" s="104">
        <v>8.8539999999999992</v>
      </c>
      <c r="P131" s="104">
        <v>5.9720000000000004</v>
      </c>
      <c r="Q131" s="104">
        <v>3.9729999999999999</v>
      </c>
      <c r="R131" s="104">
        <v>8.5779999999999994</v>
      </c>
      <c r="S131" s="104">
        <v>9.4689999999999994</v>
      </c>
      <c r="T131" s="104">
        <v>-3.3570000000000002</v>
      </c>
      <c r="U131" s="104">
        <v>10.874000000000001</v>
      </c>
      <c r="V131" s="105">
        <v>6.7629999999999999</v>
      </c>
      <c r="W131" s="105">
        <f t="shared" si="1"/>
        <v>6.2368013319405335</v>
      </c>
    </row>
    <row r="132" spans="1:23" x14ac:dyDescent="0.35">
      <c r="A132" s="95" t="s">
        <v>600</v>
      </c>
      <c r="B132" s="95" t="s">
        <v>713</v>
      </c>
      <c r="C132" s="103">
        <v>2.4790435166051283</v>
      </c>
      <c r="D132" s="104">
        <v>2.0533451948943071</v>
      </c>
      <c r="E132" s="105">
        <v>2.158001329255721</v>
      </c>
      <c r="G132" s="117" t="s">
        <v>591</v>
      </c>
      <c r="H132" s="115">
        <v>76.963439522680929</v>
      </c>
      <c r="I132" s="107">
        <v>61</v>
      </c>
      <c r="J132" s="108">
        <v>8</v>
      </c>
      <c r="K132" s="95"/>
      <c r="L132" s="103">
        <v>5.4114449021643543</v>
      </c>
      <c r="M132" s="104">
        <v>2.6992547225567329</v>
      </c>
      <c r="N132" s="104">
        <v>3.6524816975790095</v>
      </c>
      <c r="O132" s="104">
        <v>4.6900000000000004</v>
      </c>
      <c r="P132" s="104">
        <v>2.363</v>
      </c>
      <c r="Q132" s="104">
        <v>-7.0000000000000007E-2</v>
      </c>
      <c r="R132" s="104">
        <v>2.762</v>
      </c>
      <c r="S132" s="104">
        <v>0.83199999999999996</v>
      </c>
      <c r="T132" s="104">
        <v>-4.3410000000000002</v>
      </c>
      <c r="U132" s="104">
        <v>3.9220000000000002</v>
      </c>
      <c r="V132" s="105">
        <v>8.7439999999999998</v>
      </c>
      <c r="W132" s="105">
        <f t="shared" si="1"/>
        <v>2.105673262075014</v>
      </c>
    </row>
    <row r="133" spans="1:23" x14ac:dyDescent="0.35">
      <c r="A133" s="95" t="s">
        <v>589</v>
      </c>
      <c r="B133" s="95" t="s">
        <v>714</v>
      </c>
      <c r="C133" s="103">
        <v>4.0137946463164598</v>
      </c>
      <c r="D133" s="104">
        <v>4.5694149693751296</v>
      </c>
      <c r="E133" s="105">
        <v>5.2331571951220512</v>
      </c>
      <c r="G133" s="117" t="s">
        <v>405</v>
      </c>
      <c r="H133" s="115">
        <v>69.313365081609845</v>
      </c>
      <c r="I133" s="107">
        <v>93</v>
      </c>
      <c r="J133" s="108">
        <v>15</v>
      </c>
      <c r="K133" s="95"/>
      <c r="L133" s="103">
        <v>5.1173942367478444</v>
      </c>
      <c r="M133" s="104">
        <v>2.8221056497235883</v>
      </c>
      <c r="N133" s="104">
        <v>6.6135001033739647</v>
      </c>
      <c r="O133" s="104">
        <v>6.367</v>
      </c>
      <c r="P133" s="104">
        <v>6.3559999999999999</v>
      </c>
      <c r="Q133" s="104">
        <v>7.407</v>
      </c>
      <c r="R133" s="104">
        <v>6.2089999999999996</v>
      </c>
      <c r="S133" s="104">
        <v>4.6139999999999999</v>
      </c>
      <c r="T133" s="104">
        <v>1.3260000000000001</v>
      </c>
      <c r="U133" s="104">
        <v>6.0670000000000002</v>
      </c>
      <c r="V133" s="105">
        <v>4.7089999999999996</v>
      </c>
      <c r="W133" s="105">
        <f t="shared" si="1"/>
        <v>4.9012860822485909</v>
      </c>
    </row>
    <row r="134" spans="1:23" x14ac:dyDescent="0.35">
      <c r="A134" s="95" t="s">
        <v>231</v>
      </c>
      <c r="B134" s="95" t="s">
        <v>715</v>
      </c>
      <c r="C134" s="103">
        <v>2.9071913241700997</v>
      </c>
      <c r="D134" s="104">
        <v>3.5107747978878168</v>
      </c>
      <c r="E134" s="105">
        <v>2.5987412011468258</v>
      </c>
      <c r="G134" s="117" t="s">
        <v>405</v>
      </c>
      <c r="H134" s="115">
        <v>74.50245157918026</v>
      </c>
      <c r="I134" s="107">
        <v>71</v>
      </c>
      <c r="J134" s="108">
        <v>38</v>
      </c>
      <c r="K134" s="95"/>
      <c r="L134" s="103">
        <v>-0.68154236933475798</v>
      </c>
      <c r="M134" s="104">
        <v>2.892636733558092</v>
      </c>
      <c r="N134" s="104">
        <v>-1.5895103199025831</v>
      </c>
      <c r="O134" s="104">
        <v>1.776</v>
      </c>
      <c r="P134" s="104">
        <v>3.339</v>
      </c>
      <c r="Q134" s="104">
        <v>2.101</v>
      </c>
      <c r="R134" s="104">
        <v>4.4950000000000001</v>
      </c>
      <c r="S134" s="104">
        <v>4.3319999999999999</v>
      </c>
      <c r="T134" s="104">
        <v>-0.90300000000000002</v>
      </c>
      <c r="U134" s="104">
        <v>7.55</v>
      </c>
      <c r="V134" s="105">
        <v>2.2509999999999999</v>
      </c>
      <c r="W134" s="105">
        <f t="shared" si="1"/>
        <v>3.0547579995173213</v>
      </c>
    </row>
    <row r="135" spans="1:23" x14ac:dyDescent="0.35">
      <c r="A135" s="95" t="s">
        <v>589</v>
      </c>
      <c r="B135" s="95" t="s">
        <v>716</v>
      </c>
      <c r="C135" s="103">
        <v>1.6001817079933423</v>
      </c>
      <c r="D135" s="104">
        <v>2.5822705421283176</v>
      </c>
      <c r="E135" s="104">
        <v>2.323464181185142</v>
      </c>
      <c r="G135" s="117" t="s">
        <v>587</v>
      </c>
      <c r="H135" s="115">
        <v>58.993492167204309</v>
      </c>
      <c r="I135" s="107">
        <v>126</v>
      </c>
      <c r="J135" s="107">
        <v>30</v>
      </c>
      <c r="K135" s="122"/>
      <c r="L135" s="103">
        <v>15.18176908302255</v>
      </c>
      <c r="M135" s="104">
        <v>20.715768285872748</v>
      </c>
      <c r="N135" s="104">
        <v>4.5567723661529431</v>
      </c>
      <c r="O135" s="104">
        <v>-20.492999999999999</v>
      </c>
      <c r="P135" s="104">
        <v>6.3540000000000001</v>
      </c>
      <c r="Q135" s="104">
        <v>3.7650000000000001</v>
      </c>
      <c r="R135" s="104">
        <v>3.4649999999999999</v>
      </c>
      <c r="S135" s="104">
        <v>5.2539999999999996</v>
      </c>
      <c r="T135" s="104">
        <v>-1.9690000000000001</v>
      </c>
      <c r="U135" s="104">
        <v>4.1050000000000004</v>
      </c>
      <c r="V135" s="104">
        <v>2.766</v>
      </c>
      <c r="W135" s="105">
        <f t="shared" si="1"/>
        <v>2.4528673616567298</v>
      </c>
    </row>
    <row r="136" spans="1:23" x14ac:dyDescent="0.35">
      <c r="A136" s="95" t="s">
        <v>585</v>
      </c>
      <c r="B136" s="95" t="s">
        <v>717</v>
      </c>
      <c r="C136" s="103">
        <v>2.254611894692915</v>
      </c>
      <c r="D136" s="104">
        <v>2.3804077568891469</v>
      </c>
      <c r="E136" s="104">
        <v>3.1207966515608421</v>
      </c>
      <c r="G136" s="117" t="s">
        <v>422</v>
      </c>
      <c r="H136" s="115">
        <v>97.805585083414968</v>
      </c>
      <c r="I136" s="107">
        <v>4</v>
      </c>
      <c r="J136" s="107">
        <v>2</v>
      </c>
      <c r="K136" s="122"/>
      <c r="L136" s="103">
        <v>4.461608951013317</v>
      </c>
      <c r="M136" s="104">
        <v>4.8372986457609866</v>
      </c>
      <c r="N136" s="104">
        <v>3.9380027286605586</v>
      </c>
      <c r="O136" s="104">
        <v>2.9769999999999999</v>
      </c>
      <c r="P136" s="104">
        <v>3.6019999999999999</v>
      </c>
      <c r="Q136" s="104">
        <v>4.5449999999999999</v>
      </c>
      <c r="R136" s="104">
        <v>3.5750000000000002</v>
      </c>
      <c r="S136" s="104">
        <v>1.331</v>
      </c>
      <c r="T136" s="104">
        <v>-3.9009999999999998</v>
      </c>
      <c r="U136" s="104">
        <v>8.8819999999999997</v>
      </c>
      <c r="V136" s="104">
        <v>3.6469999999999998</v>
      </c>
      <c r="W136" s="105">
        <f t="shared" si="1"/>
        <v>2.7506022042249945</v>
      </c>
    </row>
    <row r="137" spans="1:23" x14ac:dyDescent="0.35">
      <c r="A137" s="95" t="s">
        <v>231</v>
      </c>
      <c r="B137" s="95" t="s">
        <v>718</v>
      </c>
      <c r="C137" s="103">
        <v>0.39781205843958389</v>
      </c>
      <c r="D137" s="104">
        <v>0.97590941056187042</v>
      </c>
      <c r="E137" s="104">
        <v>1.8214852479931931</v>
      </c>
      <c r="G137" s="117" t="s">
        <v>591</v>
      </c>
      <c r="H137" s="115">
        <v>80.276897229698847</v>
      </c>
      <c r="I137" s="107">
        <v>47</v>
      </c>
      <c r="J137" s="107">
        <v>32</v>
      </c>
      <c r="K137" s="122"/>
      <c r="L137" s="103">
        <v>1.8958108123027844</v>
      </c>
      <c r="M137" s="104">
        <v>0.67084458223160615</v>
      </c>
      <c r="N137" s="104">
        <v>2.7524343314004627</v>
      </c>
      <c r="O137" s="104">
        <v>5.1669999999999998</v>
      </c>
      <c r="P137" s="104">
        <v>1.944</v>
      </c>
      <c r="Q137" s="104">
        <v>2.9380000000000002</v>
      </c>
      <c r="R137" s="104">
        <v>4.0309999999999997</v>
      </c>
      <c r="S137" s="104">
        <v>2.5190000000000001</v>
      </c>
      <c r="T137" s="104">
        <v>-3.375</v>
      </c>
      <c r="U137" s="104">
        <v>3.0139999999999998</v>
      </c>
      <c r="V137" s="104">
        <v>1.6679999999999999</v>
      </c>
      <c r="W137" s="105">
        <f t="shared" si="1"/>
        <v>1.3986973292775318</v>
      </c>
    </row>
    <row r="138" spans="1:23" x14ac:dyDescent="0.35">
      <c r="A138" s="95" t="s">
        <v>231</v>
      </c>
      <c r="B138" s="95" t="s">
        <v>719</v>
      </c>
      <c r="C138" s="103">
        <v>2.9453399614758569</v>
      </c>
      <c r="D138" s="104">
        <v>3.265722456681952</v>
      </c>
      <c r="E138" s="104">
        <v>2.8132202997918521</v>
      </c>
      <c r="G138" s="117" t="s">
        <v>422</v>
      </c>
      <c r="H138" s="115">
        <v>88.920325519387234</v>
      </c>
      <c r="I138" s="107">
        <v>30</v>
      </c>
      <c r="J138" s="107">
        <v>19</v>
      </c>
      <c r="K138" s="122"/>
      <c r="L138" s="103">
        <v>-2.6394387292630763</v>
      </c>
      <c r="M138" s="104">
        <v>-1.029283831306939</v>
      </c>
      <c r="N138" s="104">
        <v>2.7681580195902979</v>
      </c>
      <c r="O138" s="104">
        <v>2.21</v>
      </c>
      <c r="P138" s="104">
        <v>3.1920000000000002</v>
      </c>
      <c r="Q138" s="104">
        <v>4.8159999999999998</v>
      </c>
      <c r="R138" s="104">
        <v>4.4550000000000001</v>
      </c>
      <c r="S138" s="104">
        <v>3.4510000000000001</v>
      </c>
      <c r="T138" s="104">
        <v>-4.3209999999999997</v>
      </c>
      <c r="U138" s="104">
        <v>8.2110000000000003</v>
      </c>
      <c r="V138" s="104">
        <v>5.3739999999999997</v>
      </c>
      <c r="W138" s="105">
        <f t="shared" si="1"/>
        <v>3.0394713782369021</v>
      </c>
    </row>
    <row r="139" spans="1:23" x14ac:dyDescent="0.35">
      <c r="A139" s="95" t="s">
        <v>589</v>
      </c>
      <c r="B139" s="95" t="s">
        <v>720</v>
      </c>
      <c r="C139" s="103">
        <v>8.8409433265779214E-2</v>
      </c>
      <c r="D139" s="104">
        <v>2.1857023030043443</v>
      </c>
      <c r="E139" s="104">
        <v>1.8249844059199605</v>
      </c>
      <c r="G139" s="117" t="s">
        <v>405</v>
      </c>
      <c r="H139" s="115">
        <v>75.182844770260857</v>
      </c>
      <c r="I139" s="107">
        <v>68</v>
      </c>
      <c r="J139" s="107">
        <v>5</v>
      </c>
      <c r="K139" s="122"/>
      <c r="L139" s="103">
        <v>2.2133548084844037</v>
      </c>
      <c r="M139" s="104">
        <v>2.4852005003105813</v>
      </c>
      <c r="N139" s="104">
        <v>1.8469916036571876</v>
      </c>
      <c r="O139" s="104">
        <v>1.3220000000000001</v>
      </c>
      <c r="P139" s="104">
        <v>0.66500000000000004</v>
      </c>
      <c r="Q139" s="104">
        <v>1.1579999999999999</v>
      </c>
      <c r="R139" s="104">
        <v>1.522</v>
      </c>
      <c r="S139" s="104">
        <v>0.30299999999999999</v>
      </c>
      <c r="T139" s="104">
        <v>-6.3419999999999996</v>
      </c>
      <c r="U139" s="104">
        <v>4.9130000000000003</v>
      </c>
      <c r="V139" s="104">
        <v>2.0419999999999998</v>
      </c>
      <c r="W139" s="105">
        <f t="shared" ref="W139:W165" si="2">AVERAGE(D139,E139)</f>
        <v>2.0053433544621524</v>
      </c>
    </row>
    <row r="140" spans="1:23" x14ac:dyDescent="0.35">
      <c r="A140" s="95" t="s">
        <v>231</v>
      </c>
      <c r="B140" s="95" t="s">
        <v>721</v>
      </c>
      <c r="C140" s="103">
        <v>-0.43793400391870518</v>
      </c>
      <c r="D140" s="104">
        <v>0.55931383652465527</v>
      </c>
      <c r="E140" s="104">
        <v>1.23940470018431</v>
      </c>
      <c r="G140" s="117" t="s">
        <v>422</v>
      </c>
      <c r="H140" s="115">
        <v>90.367632171249966</v>
      </c>
      <c r="I140" s="107">
        <v>27</v>
      </c>
      <c r="J140" s="107">
        <v>17</v>
      </c>
      <c r="K140" s="122"/>
      <c r="L140" s="103">
        <v>-2.9594413017355699</v>
      </c>
      <c r="M140" s="104">
        <v>-1.4353942591932869</v>
      </c>
      <c r="N140" s="104">
        <v>1.3839079426702983</v>
      </c>
      <c r="O140" s="104">
        <v>3.8370000000000002</v>
      </c>
      <c r="P140" s="104">
        <v>3.0379999999999998</v>
      </c>
      <c r="Q140" s="104">
        <v>2.9769999999999999</v>
      </c>
      <c r="R140" s="104">
        <v>2.2829999999999999</v>
      </c>
      <c r="S140" s="104">
        <v>1.9830000000000001</v>
      </c>
      <c r="T140" s="104">
        <v>-11.324999999999999</v>
      </c>
      <c r="U140" s="104">
        <v>5.5220000000000002</v>
      </c>
      <c r="V140" s="104">
        <v>5.4749999999999996</v>
      </c>
      <c r="W140" s="105">
        <f t="shared" si="2"/>
        <v>0.89935926835448265</v>
      </c>
    </row>
    <row r="141" spans="1:23" x14ac:dyDescent="0.35">
      <c r="A141" s="95" t="s">
        <v>585</v>
      </c>
      <c r="B141" s="95" t="s">
        <v>722</v>
      </c>
      <c r="C141" s="103">
        <v>-3.0583991155611168</v>
      </c>
      <c r="D141" s="104">
        <v>7.8407546755454582E-2</v>
      </c>
      <c r="E141" s="104">
        <v>2.1593525209882225</v>
      </c>
      <c r="G141" s="117" t="s">
        <v>405</v>
      </c>
      <c r="H141" s="115">
        <v>73.00518117550061</v>
      </c>
      <c r="I141" s="107">
        <v>76</v>
      </c>
      <c r="J141" s="107">
        <v>13</v>
      </c>
      <c r="K141" s="122"/>
      <c r="L141" s="103">
        <v>9.1445722464256534</v>
      </c>
      <c r="M141" s="104">
        <v>3.3957326498342781</v>
      </c>
      <c r="N141" s="104">
        <v>4.960700591697301</v>
      </c>
      <c r="O141" s="104">
        <v>4.2060000000000004</v>
      </c>
      <c r="P141" s="104">
        <v>5.0540000000000003</v>
      </c>
      <c r="Q141" s="104">
        <v>6.4610000000000003</v>
      </c>
      <c r="R141" s="104">
        <v>2.31</v>
      </c>
      <c r="S141" s="104">
        <v>-0.22</v>
      </c>
      <c r="T141" s="104">
        <v>-3.472</v>
      </c>
      <c r="U141" s="104">
        <v>3.327</v>
      </c>
      <c r="V141" s="104">
        <v>-8.6590000000000007</v>
      </c>
      <c r="W141" s="105">
        <f t="shared" si="2"/>
        <v>1.1188800338718385</v>
      </c>
    </row>
    <row r="142" spans="1:23" x14ac:dyDescent="0.35">
      <c r="A142" s="95" t="s">
        <v>589</v>
      </c>
      <c r="B142" s="95" t="s">
        <v>723</v>
      </c>
      <c r="C142" s="103">
        <v>-2.6688383810210325</v>
      </c>
      <c r="D142" s="104">
        <v>-1.5401833642449736</v>
      </c>
      <c r="E142" s="104">
        <v>1.2842213840550842</v>
      </c>
      <c r="G142" s="117" t="s">
        <v>587</v>
      </c>
      <c r="H142" s="115">
        <v>29.302112762792021</v>
      </c>
      <c r="I142" s="107">
        <v>156</v>
      </c>
      <c r="J142" s="107">
        <v>47</v>
      </c>
      <c r="K142" s="122"/>
      <c r="L142" s="103">
        <v>-1.4398357186292348</v>
      </c>
      <c r="M142" s="104">
        <v>4.3946958327458523</v>
      </c>
      <c r="N142" s="104">
        <v>2.6794256681504725</v>
      </c>
      <c r="O142" s="104">
        <v>4.9059999999999997</v>
      </c>
      <c r="P142" s="104">
        <v>4.7</v>
      </c>
      <c r="Q142" s="104">
        <v>0.76800000000000002</v>
      </c>
      <c r="R142" s="104">
        <v>-2.29</v>
      </c>
      <c r="S142" s="104">
        <v>-2.5</v>
      </c>
      <c r="T142" s="104">
        <v>-3.63</v>
      </c>
      <c r="U142" s="104">
        <v>0.5</v>
      </c>
      <c r="V142" s="104">
        <v>-2.5</v>
      </c>
      <c r="W142" s="105">
        <f t="shared" si="2"/>
        <v>-0.12798099009494468</v>
      </c>
    </row>
    <row r="143" spans="1:23" x14ac:dyDescent="0.35">
      <c r="A143" s="95" t="s">
        <v>593</v>
      </c>
      <c r="B143" s="95" t="s">
        <v>724</v>
      </c>
      <c r="C143" s="103">
        <v>-6.0912921553037958</v>
      </c>
      <c r="D143" s="104">
        <v>-2.539464764773447</v>
      </c>
      <c r="E143" s="104">
        <v>-1.6533032843941364</v>
      </c>
      <c r="G143" s="117" t="s">
        <v>405</v>
      </c>
      <c r="H143" s="115">
        <v>69.385821977853183</v>
      </c>
      <c r="I143" s="107">
        <v>92</v>
      </c>
      <c r="J143" s="107">
        <v>12</v>
      </c>
      <c r="K143" s="122"/>
      <c r="L143" s="103">
        <v>2.6903497466884523</v>
      </c>
      <c r="M143" s="104">
        <v>2.9334416518612043</v>
      </c>
      <c r="N143" s="104">
        <v>0.25550303164546423</v>
      </c>
      <c r="O143" s="104">
        <v>-3.4140000000000001</v>
      </c>
      <c r="P143" s="104">
        <v>-4.9119999999999999</v>
      </c>
      <c r="Q143" s="104">
        <v>1.5660000000000001</v>
      </c>
      <c r="R143" s="104">
        <v>4.9480000000000004</v>
      </c>
      <c r="S143" s="104">
        <v>1.0980000000000001</v>
      </c>
      <c r="T143" s="104">
        <v>-15.906000000000001</v>
      </c>
      <c r="U143" s="104">
        <v>-2.742</v>
      </c>
      <c r="V143" s="104">
        <v>1.3280000000000001</v>
      </c>
      <c r="W143" s="105">
        <f t="shared" si="2"/>
        <v>-2.0963840245837915</v>
      </c>
    </row>
    <row r="144" spans="1:23" x14ac:dyDescent="0.35">
      <c r="A144" s="95" t="s">
        <v>231</v>
      </c>
      <c r="B144" s="95" t="s">
        <v>725</v>
      </c>
      <c r="C144" s="103">
        <v>1.8041121232050594</v>
      </c>
      <c r="D144" s="104">
        <v>1.5622302939160004</v>
      </c>
      <c r="E144" s="104">
        <v>2.0743232215396867</v>
      </c>
      <c r="G144" s="117" t="s">
        <v>422</v>
      </c>
      <c r="H144" s="115">
        <v>96.904206369440487</v>
      </c>
      <c r="I144" s="107">
        <v>7</v>
      </c>
      <c r="J144" s="107">
        <v>5</v>
      </c>
      <c r="K144" s="122"/>
      <c r="L144" s="103">
        <v>-0.58830456899072281</v>
      </c>
      <c r="M144" s="104">
        <v>1.1877757159060018</v>
      </c>
      <c r="N144" s="104">
        <v>2.6577982753164227</v>
      </c>
      <c r="O144" s="104">
        <v>4.4889999999999999</v>
      </c>
      <c r="P144" s="104">
        <v>2.0710000000000002</v>
      </c>
      <c r="Q144" s="104">
        <v>2.5680000000000001</v>
      </c>
      <c r="R144" s="104">
        <v>1.95</v>
      </c>
      <c r="S144" s="104">
        <v>1.986</v>
      </c>
      <c r="T144" s="104">
        <v>-2.17</v>
      </c>
      <c r="U144" s="104">
        <v>5.3860000000000001</v>
      </c>
      <c r="V144" s="104">
        <v>2.6419999999999999</v>
      </c>
      <c r="W144" s="105">
        <f t="shared" si="2"/>
        <v>1.8182767577278436</v>
      </c>
    </row>
    <row r="145" spans="1:23" x14ac:dyDescent="0.35">
      <c r="A145" s="95" t="s">
        <v>231</v>
      </c>
      <c r="B145" s="95" t="s">
        <v>726</v>
      </c>
      <c r="C145" s="103">
        <v>1.2890197152698013</v>
      </c>
      <c r="D145" s="104">
        <v>2.1594279609995271</v>
      </c>
      <c r="E145" s="104">
        <v>1.9949438623463989</v>
      </c>
      <c r="G145" s="117" t="s">
        <v>422</v>
      </c>
      <c r="H145" s="115">
        <v>98.385388118004073</v>
      </c>
      <c r="I145" s="107">
        <v>2</v>
      </c>
      <c r="J145" s="107">
        <v>1</v>
      </c>
      <c r="K145" s="122"/>
      <c r="L145" s="103">
        <v>1.0060240943135659</v>
      </c>
      <c r="M145" s="104">
        <v>1.852039766494749</v>
      </c>
      <c r="N145" s="104">
        <v>2.4492180871562819</v>
      </c>
      <c r="O145" s="104">
        <v>1.59</v>
      </c>
      <c r="P145" s="104">
        <v>2.073</v>
      </c>
      <c r="Q145" s="104">
        <v>1.427</v>
      </c>
      <c r="R145" s="104">
        <v>2.867</v>
      </c>
      <c r="S145" s="104">
        <v>1.161</v>
      </c>
      <c r="T145" s="104">
        <v>-2.5070000000000001</v>
      </c>
      <c r="U145" s="104">
        <v>4.2210000000000001</v>
      </c>
      <c r="V145" s="104">
        <v>2.1339999999999999</v>
      </c>
      <c r="W145" s="105">
        <f t="shared" si="2"/>
        <v>2.077185911672963</v>
      </c>
    </row>
    <row r="146" spans="1:23" x14ac:dyDescent="0.35">
      <c r="A146" s="95" t="s">
        <v>585</v>
      </c>
      <c r="B146" s="95" t="s">
        <v>727</v>
      </c>
      <c r="C146" s="103">
        <v>4.1942484708972883</v>
      </c>
      <c r="D146" s="104">
        <v>3.7202264352869774</v>
      </c>
      <c r="E146" s="104">
        <v>3.3189477234561782</v>
      </c>
      <c r="G146" s="117" t="s">
        <v>405</v>
      </c>
      <c r="H146" s="115">
        <v>74.109663332036064</v>
      </c>
      <c r="I146" s="107">
        <v>72</v>
      </c>
      <c r="J146" s="107">
        <v>11</v>
      </c>
      <c r="K146" s="122"/>
      <c r="L146" s="103">
        <v>2.2704029453876053</v>
      </c>
      <c r="M146" s="104">
        <v>2.5430680885972134</v>
      </c>
      <c r="N146" s="104">
        <v>4.9538203190596066</v>
      </c>
      <c r="O146" s="104">
        <v>1.466</v>
      </c>
      <c r="P146" s="104">
        <v>2.165</v>
      </c>
      <c r="Q146" s="104">
        <v>3.3109999999999999</v>
      </c>
      <c r="R146" s="104">
        <v>2.7869999999999999</v>
      </c>
      <c r="S146" s="104">
        <v>3.0640000000000001</v>
      </c>
      <c r="T146" s="104">
        <v>3.387</v>
      </c>
      <c r="U146" s="104">
        <v>6.5279999999999996</v>
      </c>
      <c r="V146" s="104">
        <v>2.452</v>
      </c>
      <c r="W146" s="105">
        <f t="shared" si="2"/>
        <v>3.5195870793715778</v>
      </c>
    </row>
    <row r="147" spans="1:23" x14ac:dyDescent="0.35">
      <c r="A147" s="95" t="s">
        <v>585</v>
      </c>
      <c r="B147" s="95" t="s">
        <v>728</v>
      </c>
      <c r="C147" s="103">
        <v>7.1805428191797027</v>
      </c>
      <c r="D147" s="104">
        <v>7.3081795758255463</v>
      </c>
      <c r="E147" s="104">
        <v>7.0632908095879854</v>
      </c>
      <c r="G147" s="117" t="s">
        <v>429</v>
      </c>
      <c r="H147" s="115">
        <v>65.502149613905985</v>
      </c>
      <c r="I147" s="107">
        <v>113</v>
      </c>
      <c r="J147" s="107">
        <v>23</v>
      </c>
      <c r="K147" s="122"/>
      <c r="L147" s="103">
        <v>7.4999994632152305</v>
      </c>
      <c r="M147" s="104">
        <v>7.3999997470037826</v>
      </c>
      <c r="N147" s="104">
        <v>6.7000006901625362</v>
      </c>
      <c r="O147" s="104">
        <v>6</v>
      </c>
      <c r="P147" s="104">
        <v>6.9</v>
      </c>
      <c r="Q147" s="104">
        <v>7.1</v>
      </c>
      <c r="R147" s="104">
        <v>7.6</v>
      </c>
      <c r="S147" s="104">
        <v>7.4</v>
      </c>
      <c r="T147" s="104">
        <v>4.3899999999999997</v>
      </c>
      <c r="U147" s="104">
        <v>9.4</v>
      </c>
      <c r="V147" s="104">
        <v>8</v>
      </c>
      <c r="W147" s="105">
        <f t="shared" si="2"/>
        <v>7.1857351927067654</v>
      </c>
    </row>
    <row r="148" spans="1:23" x14ac:dyDescent="0.35">
      <c r="A148" s="95" t="s">
        <v>589</v>
      </c>
      <c r="B148" s="95" t="s">
        <v>729</v>
      </c>
      <c r="C148" s="103">
        <v>3.6476767570704727</v>
      </c>
      <c r="D148" s="104">
        <v>4.4330707554891102</v>
      </c>
      <c r="E148" s="104">
        <v>5.5432278987954442</v>
      </c>
      <c r="G148" s="117" t="s">
        <v>429</v>
      </c>
      <c r="H148" s="115">
        <v>68.134404341049418</v>
      </c>
      <c r="I148" s="107">
        <v>101</v>
      </c>
      <c r="J148" s="107">
        <v>21</v>
      </c>
      <c r="K148" s="122"/>
      <c r="L148" s="103">
        <v>4.500153559821273</v>
      </c>
      <c r="M148" s="104">
        <v>6.7815856006531599</v>
      </c>
      <c r="N148" s="104">
        <v>6.732461868324811</v>
      </c>
      <c r="O148" s="104">
        <v>6.1609999999999996</v>
      </c>
      <c r="P148" s="104">
        <v>6.867</v>
      </c>
      <c r="Q148" s="104">
        <v>6.7729999999999997</v>
      </c>
      <c r="R148" s="104">
        <v>6.9589999999999996</v>
      </c>
      <c r="S148" s="104">
        <v>6.9889999999999999</v>
      </c>
      <c r="T148" s="104">
        <v>4.8159999999999998</v>
      </c>
      <c r="U148" s="104">
        <v>4.9470000000000001</v>
      </c>
      <c r="V148" s="104">
        <v>4.6879999999999997</v>
      </c>
      <c r="W148" s="105">
        <f t="shared" si="2"/>
        <v>4.9881493271422777</v>
      </c>
    </row>
    <row r="149" spans="1:23" x14ac:dyDescent="0.35">
      <c r="A149" s="95" t="s">
        <v>585</v>
      </c>
      <c r="B149" s="95" t="s">
        <v>730</v>
      </c>
      <c r="C149" s="103">
        <v>-0.75178730142027028</v>
      </c>
      <c r="D149" s="104">
        <v>0.80617945124625834</v>
      </c>
      <c r="E149" s="104">
        <v>1.8254251122560072</v>
      </c>
      <c r="G149" s="117" t="s">
        <v>429</v>
      </c>
      <c r="H149" s="115">
        <v>67.301316099527455</v>
      </c>
      <c r="I149" s="107">
        <v>104</v>
      </c>
      <c r="J149" s="107">
        <v>19</v>
      </c>
      <c r="K149" s="122"/>
      <c r="L149" s="103">
        <v>7.2427962024964359</v>
      </c>
      <c r="M149" s="104">
        <v>2.6874955632055553</v>
      </c>
      <c r="N149" s="104">
        <v>0.98442510993386245</v>
      </c>
      <c r="O149" s="104">
        <v>3.1339999999999999</v>
      </c>
      <c r="P149" s="104">
        <v>3.4350000000000001</v>
      </c>
      <c r="Q149" s="104">
        <v>4.1779999999999999</v>
      </c>
      <c r="R149" s="104">
        <v>4.2229999999999999</v>
      </c>
      <c r="S149" s="104">
        <v>2.1150000000000002</v>
      </c>
      <c r="T149" s="104">
        <v>-6.1609999999999996</v>
      </c>
      <c r="U149" s="104">
        <v>1.5629999999999999</v>
      </c>
      <c r="V149" s="104">
        <v>2.6440000000000001</v>
      </c>
      <c r="W149" s="105">
        <f t="shared" si="2"/>
        <v>1.3158022817511328</v>
      </c>
    </row>
    <row r="150" spans="1:23" x14ac:dyDescent="0.35">
      <c r="A150" s="95" t="s">
        <v>589</v>
      </c>
      <c r="B150" s="95" t="s">
        <v>731</v>
      </c>
      <c r="C150" s="103">
        <v>4.1237007551626403</v>
      </c>
      <c r="D150" s="104">
        <v>4.5599643087248731</v>
      </c>
      <c r="E150" s="104">
        <v>5.0461931715429786</v>
      </c>
      <c r="G150" s="117" t="s">
        <v>405</v>
      </c>
      <c r="H150" s="115">
        <v>71.06383353175876</v>
      </c>
      <c r="I150" s="107">
        <v>84</v>
      </c>
      <c r="J150" s="107">
        <v>12</v>
      </c>
      <c r="K150" s="122"/>
      <c r="L150" s="103">
        <v>6.543507029266066</v>
      </c>
      <c r="M150" s="104">
        <v>6.1123430766482372</v>
      </c>
      <c r="N150" s="104">
        <v>5.9205885732303445</v>
      </c>
      <c r="O150" s="104">
        <v>5.74</v>
      </c>
      <c r="P150" s="104">
        <v>5.6</v>
      </c>
      <c r="Q150" s="104">
        <v>4.3479999999999999</v>
      </c>
      <c r="R150" s="104">
        <v>4.9669999999999996</v>
      </c>
      <c r="S150" s="104">
        <v>5.4640000000000004</v>
      </c>
      <c r="T150" s="104">
        <v>1.758</v>
      </c>
      <c r="U150" s="104">
        <v>5.2590000000000003</v>
      </c>
      <c r="V150" s="104">
        <v>5.399</v>
      </c>
      <c r="W150" s="105">
        <f t="shared" si="2"/>
        <v>4.8030787401339259</v>
      </c>
    </row>
    <row r="151" spans="1:23" x14ac:dyDescent="0.35">
      <c r="A151" s="95" t="s">
        <v>593</v>
      </c>
      <c r="B151" s="95" t="s">
        <v>732</v>
      </c>
      <c r="C151" s="103">
        <v>-2.1662761553291388</v>
      </c>
      <c r="D151" s="104">
        <v>-0.32249691451342599</v>
      </c>
      <c r="E151" s="104">
        <v>-0.73360970360328848</v>
      </c>
      <c r="G151" s="117" t="s">
        <v>429</v>
      </c>
      <c r="H151" s="115">
        <v>65.576173252463747</v>
      </c>
      <c r="I151" s="107">
        <v>112</v>
      </c>
      <c r="J151" s="107">
        <v>14</v>
      </c>
      <c r="K151" s="122"/>
      <c r="L151" s="103">
        <v>1.2699643652024184</v>
      </c>
      <c r="M151" s="104">
        <v>2.2290748047658071</v>
      </c>
      <c r="N151" s="104">
        <v>-0.91254496880826241</v>
      </c>
      <c r="O151" s="104">
        <v>-0.75600000000000001</v>
      </c>
      <c r="P151" s="104">
        <v>-6.7640000000000002</v>
      </c>
      <c r="Q151" s="104">
        <v>-4.7069999999999999</v>
      </c>
      <c r="R151" s="104">
        <v>-0.871</v>
      </c>
      <c r="S151" s="104">
        <v>0.11</v>
      </c>
      <c r="T151" s="104">
        <v>-7.6779999999999999</v>
      </c>
      <c r="U151" s="104">
        <v>-1.0269999999999999</v>
      </c>
      <c r="V151" s="104">
        <v>2.4809999999999999</v>
      </c>
      <c r="W151" s="105">
        <f t="shared" si="2"/>
        <v>-0.52805330905835723</v>
      </c>
    </row>
    <row r="152" spans="1:23" x14ac:dyDescent="0.35">
      <c r="A152" s="95" t="s">
        <v>589</v>
      </c>
      <c r="B152" s="95" t="s">
        <v>733</v>
      </c>
      <c r="C152" s="103">
        <v>-0.76139414796470017</v>
      </c>
      <c r="D152" s="104">
        <v>1.515468696628397</v>
      </c>
      <c r="E152" s="104">
        <v>1.7677168413122724</v>
      </c>
      <c r="G152" s="117" t="s">
        <v>429</v>
      </c>
      <c r="H152" s="115">
        <v>68.074683718311135</v>
      </c>
      <c r="I152" s="107">
        <v>102</v>
      </c>
      <c r="J152" s="107">
        <v>22</v>
      </c>
      <c r="K152" s="122"/>
      <c r="L152" s="103">
        <v>3.9976740023093633</v>
      </c>
      <c r="M152" s="104">
        <v>2.8755238423073424</v>
      </c>
      <c r="N152" s="104">
        <v>2.9713983451090038</v>
      </c>
      <c r="O152" s="104">
        <v>0.96799999999999997</v>
      </c>
      <c r="P152" s="104">
        <v>1.117</v>
      </c>
      <c r="Q152" s="104">
        <v>2.238</v>
      </c>
      <c r="R152" s="104">
        <v>2.625</v>
      </c>
      <c r="S152" s="104">
        <v>1.5880000000000001</v>
      </c>
      <c r="T152" s="104">
        <v>-8.8179999999999996</v>
      </c>
      <c r="U152" s="104">
        <v>4.4050000000000002</v>
      </c>
      <c r="V152" s="104">
        <v>2.5219999999999998</v>
      </c>
      <c r="W152" s="105">
        <f t="shared" si="2"/>
        <v>1.6415927689703347</v>
      </c>
    </row>
    <row r="153" spans="1:23" x14ac:dyDescent="0.35">
      <c r="A153" s="95" t="s">
        <v>600</v>
      </c>
      <c r="B153" s="95" t="s">
        <v>734</v>
      </c>
      <c r="C153" s="103">
        <v>6.2162334826369348</v>
      </c>
      <c r="D153" s="104">
        <v>4.4468380199269797</v>
      </c>
      <c r="E153" s="104">
        <v>5.2521474880545149</v>
      </c>
      <c r="G153" s="117" t="s">
        <v>591</v>
      </c>
      <c r="H153" s="115">
        <v>79.725975588542326</v>
      </c>
      <c r="I153" s="107">
        <v>49</v>
      </c>
      <c r="J153" s="107">
        <v>4</v>
      </c>
      <c r="K153" s="122"/>
      <c r="L153" s="103">
        <v>4.7899402070344061</v>
      </c>
      <c r="M153" s="104">
        <v>8.4913093926863557</v>
      </c>
      <c r="N153" s="104">
        <v>5.1666907030455222</v>
      </c>
      <c r="O153" s="104">
        <v>6.0839999999999996</v>
      </c>
      <c r="P153" s="104">
        <v>3.323</v>
      </c>
      <c r="Q153" s="104">
        <v>7.5019999999999998</v>
      </c>
      <c r="R153" s="104">
        <v>2.98</v>
      </c>
      <c r="S153" s="104">
        <v>0.78400000000000003</v>
      </c>
      <c r="T153" s="104">
        <v>1.94</v>
      </c>
      <c r="U153" s="104">
        <v>11.353</v>
      </c>
      <c r="V153" s="104">
        <v>5.5659999999999998</v>
      </c>
      <c r="W153" s="105">
        <f t="shared" si="2"/>
        <v>4.8494927539907469</v>
      </c>
    </row>
    <row r="154" spans="1:23" x14ac:dyDescent="0.35">
      <c r="A154" s="95" t="s">
        <v>585</v>
      </c>
      <c r="B154" s="95" t="s">
        <v>735</v>
      </c>
      <c r="C154" s="103">
        <v>5.7825311290508274</v>
      </c>
      <c r="D154" s="104">
        <v>5.9692666570670072</v>
      </c>
      <c r="E154" s="104">
        <v>6.9419375690879193</v>
      </c>
      <c r="G154" s="117" t="s">
        <v>405</v>
      </c>
      <c r="H154" s="115">
        <v>73.971445285212496</v>
      </c>
      <c r="I154" s="107">
        <v>74</v>
      </c>
      <c r="J154" s="107">
        <v>12</v>
      </c>
      <c r="K154" s="122"/>
      <c r="L154" s="103">
        <v>11.099999961554488</v>
      </c>
      <c r="M154" s="104">
        <v>10.200000101398992</v>
      </c>
      <c r="N154" s="104">
        <v>10.299999970545908</v>
      </c>
      <c r="O154" s="104">
        <v>2.9860000000000002</v>
      </c>
      <c r="P154" s="104">
        <v>-0.97699999999999998</v>
      </c>
      <c r="Q154" s="104">
        <v>4.7069999999999999</v>
      </c>
      <c r="R154" s="104">
        <v>0.88200000000000001</v>
      </c>
      <c r="S154" s="104">
        <v>-3.3889999999999998</v>
      </c>
      <c r="T154" s="104">
        <v>-2.9369999999999998</v>
      </c>
      <c r="U154" s="104">
        <v>4.62</v>
      </c>
      <c r="V154" s="104">
        <v>1.7889999999999999</v>
      </c>
      <c r="W154" s="105">
        <f t="shared" si="2"/>
        <v>6.4556021130774628</v>
      </c>
    </row>
    <row r="155" spans="1:23" x14ac:dyDescent="0.35">
      <c r="A155" s="95" t="s">
        <v>589</v>
      </c>
      <c r="B155" s="95" t="s">
        <v>736</v>
      </c>
      <c r="C155" s="103">
        <v>3.8036415692147996</v>
      </c>
      <c r="D155" s="104">
        <v>4.8231874950755982</v>
      </c>
      <c r="E155" s="104">
        <v>4.6664450945707259</v>
      </c>
      <c r="G155" s="117" t="s">
        <v>405</v>
      </c>
      <c r="H155" s="115">
        <v>69.556086736265442</v>
      </c>
      <c r="I155" s="107">
        <v>91</v>
      </c>
      <c r="J155" s="107">
        <v>14</v>
      </c>
      <c r="K155" s="122"/>
      <c r="L155" s="103">
        <v>3.8374556059033003</v>
      </c>
      <c r="M155" s="104">
        <v>3.586905826320109</v>
      </c>
      <c r="N155" s="104">
        <v>5.1063073243118193</v>
      </c>
      <c r="O155" s="104">
        <v>8.0060000000000002</v>
      </c>
      <c r="P155" s="104">
        <v>0.159</v>
      </c>
      <c r="Q155" s="104">
        <v>6.83</v>
      </c>
      <c r="R155" s="104">
        <v>5.5019999999999998</v>
      </c>
      <c r="S155" s="104">
        <v>7.782</v>
      </c>
      <c r="T155" s="104">
        <v>-1.3009999999999999</v>
      </c>
      <c r="U155" s="104">
        <v>6.0039999999999996</v>
      </c>
      <c r="V155" s="104">
        <v>4.9329999999999998</v>
      </c>
      <c r="W155" s="105">
        <f t="shared" si="2"/>
        <v>4.7448162948231616</v>
      </c>
    </row>
    <row r="156" spans="1:23" x14ac:dyDescent="0.35">
      <c r="A156" s="95" t="s">
        <v>231</v>
      </c>
      <c r="B156" s="95" t="s">
        <v>737</v>
      </c>
      <c r="C156" s="103">
        <v>-11.461901799668306</v>
      </c>
      <c r="D156" s="104">
        <v>-5.8295559101049328</v>
      </c>
      <c r="E156" s="104">
        <v>-4.15839598326132</v>
      </c>
      <c r="G156" s="117" t="s">
        <v>405</v>
      </c>
      <c r="H156" s="115">
        <v>74.079326507080765</v>
      </c>
      <c r="I156" s="107">
        <v>73</v>
      </c>
      <c r="J156" s="107">
        <v>39</v>
      </c>
      <c r="K156" s="122"/>
      <c r="L156" s="103">
        <v>0.23868172076808841</v>
      </c>
      <c r="M156" s="104">
        <v>-2.66978900718703E-2</v>
      </c>
      <c r="N156" s="104">
        <v>-6.5526312936576572</v>
      </c>
      <c r="O156" s="104">
        <v>-9.7880000000000003</v>
      </c>
      <c r="P156" s="104">
        <v>2.4169999999999998</v>
      </c>
      <c r="Q156" s="104">
        <v>2.36</v>
      </c>
      <c r="R156" s="104">
        <v>3.488</v>
      </c>
      <c r="S156" s="104">
        <v>3.1989999999999998</v>
      </c>
      <c r="T156" s="104">
        <v>-3.7530000000000001</v>
      </c>
      <c r="U156" s="104">
        <v>3.3530000000000002</v>
      </c>
      <c r="V156" s="104">
        <v>-30.26</v>
      </c>
      <c r="W156" s="105">
        <f t="shared" si="2"/>
        <v>-4.9939759466831264</v>
      </c>
    </row>
    <row r="157" spans="1:23" x14ac:dyDescent="0.35">
      <c r="A157" s="95" t="s">
        <v>600</v>
      </c>
      <c r="B157" s="95" t="s">
        <v>738</v>
      </c>
      <c r="C157" s="103">
        <v>1.9883983839421138</v>
      </c>
      <c r="D157" s="104">
        <v>1.9344501122165347</v>
      </c>
      <c r="E157" s="104">
        <v>2.9471413005852209</v>
      </c>
      <c r="G157" s="117" t="s">
        <v>422</v>
      </c>
      <c r="H157" s="115">
        <v>91.971735408895199</v>
      </c>
      <c r="I157" s="107">
        <v>22</v>
      </c>
      <c r="J157" s="107">
        <v>1</v>
      </c>
      <c r="K157" s="122"/>
      <c r="L157" s="103">
        <v>4.4846260849086921</v>
      </c>
      <c r="M157" s="104">
        <v>5.0533458252665762</v>
      </c>
      <c r="N157" s="104">
        <v>4.2843036857947956</v>
      </c>
      <c r="O157" s="104">
        <v>6.7869999999999999</v>
      </c>
      <c r="P157" s="104">
        <v>5.5609999999999999</v>
      </c>
      <c r="Q157" s="104">
        <v>0.73499999999999999</v>
      </c>
      <c r="R157" s="104">
        <v>1.3140000000000001</v>
      </c>
      <c r="S157" s="104">
        <v>1.1080000000000001</v>
      </c>
      <c r="T157" s="104">
        <v>-4.9569999999999999</v>
      </c>
      <c r="U157" s="104">
        <v>3.9159999999999999</v>
      </c>
      <c r="V157" s="104">
        <v>7.4109999999999996</v>
      </c>
      <c r="W157" s="105">
        <f t="shared" si="2"/>
        <v>2.4407957064008778</v>
      </c>
    </row>
    <row r="158" spans="1:23" x14ac:dyDescent="0.35">
      <c r="A158" s="95" t="s">
        <v>231</v>
      </c>
      <c r="B158" s="95" t="s">
        <v>739</v>
      </c>
      <c r="C158" s="103">
        <v>-0.15570963242206304</v>
      </c>
      <c r="D158" s="104">
        <v>0.73784192060712961</v>
      </c>
      <c r="E158" s="104">
        <v>1.4574433295258649</v>
      </c>
      <c r="G158" s="117" t="s">
        <v>422</v>
      </c>
      <c r="H158" s="115">
        <v>95.869504572225566</v>
      </c>
      <c r="I158" s="107">
        <v>16</v>
      </c>
      <c r="J158" s="107">
        <v>11</v>
      </c>
      <c r="K158" s="122"/>
      <c r="L158" s="103">
        <v>1.4789239471568232</v>
      </c>
      <c r="M158" s="104">
        <v>2.1394857010831609</v>
      </c>
      <c r="N158" s="104">
        <v>2.6074759063105102</v>
      </c>
      <c r="O158" s="104">
        <v>2.3929999999999998</v>
      </c>
      <c r="P158" s="104">
        <v>2.165</v>
      </c>
      <c r="Q158" s="104">
        <v>2.444</v>
      </c>
      <c r="R158" s="104">
        <v>1.7050000000000001</v>
      </c>
      <c r="S158" s="104">
        <v>1.6040000000000001</v>
      </c>
      <c r="T158" s="104">
        <v>-11.031000000000001</v>
      </c>
      <c r="U158" s="104">
        <v>7.5970000000000004</v>
      </c>
      <c r="V158" s="104">
        <v>4.0449999999999999</v>
      </c>
      <c r="W158" s="105">
        <f t="shared" si="2"/>
        <v>1.0976426250664972</v>
      </c>
    </row>
    <row r="159" spans="1:23" x14ac:dyDescent="0.35">
      <c r="A159" s="95" t="s">
        <v>593</v>
      </c>
      <c r="B159" s="95" t="s">
        <v>740</v>
      </c>
      <c r="C159" s="103">
        <v>1.6858959431595322</v>
      </c>
      <c r="D159" s="104">
        <v>2.0522235488571683</v>
      </c>
      <c r="E159" s="104">
        <v>2.1214909700318696</v>
      </c>
      <c r="G159" s="117" t="s">
        <v>422</v>
      </c>
      <c r="H159" s="115">
        <v>95.916666666666671</v>
      </c>
      <c r="I159" s="107">
        <v>14</v>
      </c>
      <c r="J159" s="107">
        <v>1</v>
      </c>
      <c r="K159" s="122"/>
      <c r="L159" s="103">
        <v>2.249545852369943</v>
      </c>
      <c r="M159" s="104">
        <v>1.8420810710110016</v>
      </c>
      <c r="N159" s="104">
        <v>2.4519730353603584</v>
      </c>
      <c r="O159" s="104">
        <v>2.7069999999999999</v>
      </c>
      <c r="P159" s="104">
        <v>1.6679999999999999</v>
      </c>
      <c r="Q159" s="104">
        <v>2.242</v>
      </c>
      <c r="R159" s="104">
        <v>2.9449999999999998</v>
      </c>
      <c r="S159" s="104">
        <v>2.2949999999999999</v>
      </c>
      <c r="T159" s="104">
        <v>-2.7679999999999998</v>
      </c>
      <c r="U159" s="104">
        <v>5.9470000000000001</v>
      </c>
      <c r="V159" s="104">
        <v>2.0680000000000001</v>
      </c>
      <c r="W159" s="105">
        <f t="shared" si="2"/>
        <v>2.0868572594445189</v>
      </c>
    </row>
    <row r="160" spans="1:23" x14ac:dyDescent="0.35">
      <c r="A160" s="95" t="s">
        <v>593</v>
      </c>
      <c r="B160" s="95" t="s">
        <v>741</v>
      </c>
      <c r="C160" s="103">
        <v>0.91343850289404838</v>
      </c>
      <c r="D160" s="104">
        <v>2.2569945604846264</v>
      </c>
      <c r="E160" s="104">
        <v>2.3762166744240032</v>
      </c>
      <c r="G160" s="117" t="s">
        <v>591</v>
      </c>
      <c r="H160" s="115">
        <v>81.172173305315454</v>
      </c>
      <c r="I160" s="107">
        <v>43</v>
      </c>
      <c r="J160" s="107">
        <v>5</v>
      </c>
      <c r="K160" s="122"/>
      <c r="L160" s="103">
        <v>3.5381787068568795</v>
      </c>
      <c r="M160" s="104">
        <v>4.6375386431141186</v>
      </c>
      <c r="N160" s="104">
        <v>3.2387912162160193</v>
      </c>
      <c r="O160" s="104">
        <v>0.371</v>
      </c>
      <c r="P160" s="104">
        <v>1.69</v>
      </c>
      <c r="Q160" s="104">
        <v>1.6279999999999999</v>
      </c>
      <c r="R160" s="104">
        <v>0.47799999999999998</v>
      </c>
      <c r="S160" s="104">
        <v>0.35</v>
      </c>
      <c r="T160" s="104">
        <v>-6.1150000000000002</v>
      </c>
      <c r="U160" s="104">
        <v>4.4020000000000001</v>
      </c>
      <c r="V160" s="104">
        <v>4.8860000000000001</v>
      </c>
      <c r="W160" s="105">
        <f t="shared" si="2"/>
        <v>2.3166056174543148</v>
      </c>
    </row>
    <row r="161" spans="1:23" x14ac:dyDescent="0.35">
      <c r="A161" s="95" t="s">
        <v>585</v>
      </c>
      <c r="B161" s="95" t="s">
        <v>742</v>
      </c>
      <c r="C161" s="103">
        <v>4.966226080132774</v>
      </c>
      <c r="D161" s="104">
        <v>5.1922367720162121</v>
      </c>
      <c r="E161" s="104">
        <v>5.7634254597189516</v>
      </c>
      <c r="G161" s="117" t="s">
        <v>429</v>
      </c>
      <c r="H161" s="115">
        <v>68.759088115548678</v>
      </c>
      <c r="I161" s="107">
        <v>99</v>
      </c>
      <c r="J161" s="107">
        <v>18</v>
      </c>
      <c r="K161" s="122"/>
      <c r="L161" s="103">
        <v>7.1024448870695505</v>
      </c>
      <c r="M161" s="104">
        <v>7.2965503696402285</v>
      </c>
      <c r="N161" s="104">
        <v>6.8738384408295845</v>
      </c>
      <c r="O161" s="104">
        <v>7.2190000000000003</v>
      </c>
      <c r="P161" s="104">
        <v>5.9320000000000004</v>
      </c>
      <c r="Q161" s="104">
        <v>4.3949999999999996</v>
      </c>
      <c r="R161" s="104">
        <v>5.88</v>
      </c>
      <c r="S161" s="104">
        <v>5.9820000000000002</v>
      </c>
      <c r="T161" s="104">
        <v>1.996</v>
      </c>
      <c r="U161" s="104">
        <v>7.4029999999999996</v>
      </c>
      <c r="V161" s="104">
        <v>5.6689999999999996</v>
      </c>
      <c r="W161" s="105">
        <f t="shared" si="2"/>
        <v>5.4778311158675823</v>
      </c>
    </row>
    <row r="162" spans="1:23" x14ac:dyDescent="0.35">
      <c r="A162" s="95" t="s">
        <v>585</v>
      </c>
      <c r="B162" s="95" t="s">
        <v>743</v>
      </c>
      <c r="C162" s="103">
        <v>6.367284609117374</v>
      </c>
      <c r="D162" s="104">
        <v>8.0753375154714711</v>
      </c>
      <c r="E162" s="104">
        <v>8.6445538917790046</v>
      </c>
      <c r="G162" s="117" t="s">
        <v>429</v>
      </c>
      <c r="H162" s="115">
        <v>62.623537935388953</v>
      </c>
      <c r="I162" s="107">
        <v>120</v>
      </c>
      <c r="J162" s="107">
        <v>24</v>
      </c>
      <c r="K162" s="122"/>
      <c r="L162" s="103">
        <v>12.410056463111571</v>
      </c>
      <c r="M162" s="104">
        <v>7.2891294784445284</v>
      </c>
      <c r="N162" s="104">
        <v>9.6841913021478785</v>
      </c>
      <c r="O162" s="104">
        <v>6.9870000000000001</v>
      </c>
      <c r="P162" s="104">
        <v>6.69</v>
      </c>
      <c r="Q162" s="104">
        <v>6.94</v>
      </c>
      <c r="R162" s="104">
        <v>7.4649999999999999</v>
      </c>
      <c r="S162" s="104">
        <v>7.359</v>
      </c>
      <c r="T162" s="104">
        <v>2.867</v>
      </c>
      <c r="U162" s="104">
        <v>2.5619999999999998</v>
      </c>
      <c r="V162" s="104">
        <v>8.0180000000000007</v>
      </c>
      <c r="W162" s="105">
        <f t="shared" si="2"/>
        <v>8.3599457036252378</v>
      </c>
    </row>
    <row r="163" spans="1:23" x14ac:dyDescent="0.35">
      <c r="A163" s="95" t="s">
        <v>600</v>
      </c>
      <c r="B163" s="95" t="s">
        <v>744</v>
      </c>
      <c r="C163" s="103">
        <v>-1.1017371120758623</v>
      </c>
      <c r="D163" s="104">
        <v>-1.4008554823266794</v>
      </c>
      <c r="E163" s="104">
        <v>0.43888765074564517</v>
      </c>
      <c r="G163" s="117" t="s">
        <v>587</v>
      </c>
      <c r="H163" s="115">
        <v>44.737558430285063</v>
      </c>
      <c r="I163" s="107">
        <v>145</v>
      </c>
      <c r="J163" s="107">
        <v>11</v>
      </c>
      <c r="K163" s="122"/>
      <c r="L163" s="103">
        <v>16.665428768467855</v>
      </c>
      <c r="M163" s="104">
        <v>1.9894927620720551</v>
      </c>
      <c r="N163" s="104">
        <v>2.3769293269800476</v>
      </c>
      <c r="O163" s="104">
        <v>-27.995000000000001</v>
      </c>
      <c r="P163" s="104">
        <v>-9.375</v>
      </c>
      <c r="Q163" s="104">
        <v>-5.0720000000000001</v>
      </c>
      <c r="R163" s="104">
        <v>0.752</v>
      </c>
      <c r="S163" s="104">
        <v>1.4</v>
      </c>
      <c r="T163" s="104">
        <v>-8.5</v>
      </c>
      <c r="U163" s="104">
        <v>-1</v>
      </c>
      <c r="V163" s="104">
        <v>1.5</v>
      </c>
      <c r="W163" s="105">
        <f t="shared" si="2"/>
        <v>-0.48098391579051714</v>
      </c>
    </row>
    <row r="164" spans="1:23" x14ac:dyDescent="0.35">
      <c r="A164" s="95" t="s">
        <v>589</v>
      </c>
      <c r="B164" s="95" t="s">
        <v>745</v>
      </c>
      <c r="C164" s="103">
        <v>1.6991659105087376</v>
      </c>
      <c r="D164" s="104">
        <v>2.110140268966143</v>
      </c>
      <c r="E164" s="104">
        <v>3.0449788505192199</v>
      </c>
      <c r="G164" s="117" t="s">
        <v>429</v>
      </c>
      <c r="H164" s="115">
        <v>61.004320674622747</v>
      </c>
      <c r="I164" s="107">
        <v>124</v>
      </c>
      <c r="J164" s="107">
        <v>29</v>
      </c>
      <c r="K164" s="122"/>
      <c r="L164" s="103">
        <v>7.5975932105319126</v>
      </c>
      <c r="M164" s="104">
        <v>5.0572317397973361</v>
      </c>
      <c r="N164" s="104">
        <v>4.6979923625298614</v>
      </c>
      <c r="O164" s="104">
        <v>2.92</v>
      </c>
      <c r="P164" s="104">
        <v>3.7770000000000001</v>
      </c>
      <c r="Q164" s="104">
        <v>3.504</v>
      </c>
      <c r="R164" s="104">
        <v>4.0350000000000001</v>
      </c>
      <c r="S164" s="104">
        <v>1.4410000000000001</v>
      </c>
      <c r="T164" s="104">
        <v>-2.7850000000000001</v>
      </c>
      <c r="U164" s="104">
        <v>4.5990000000000002</v>
      </c>
      <c r="V164" s="104">
        <v>3.4409999999999998</v>
      </c>
      <c r="W164" s="105">
        <f t="shared" si="2"/>
        <v>2.5775595597426815</v>
      </c>
    </row>
    <row r="165" spans="1:23" x14ac:dyDescent="0.35">
      <c r="A165" s="95" t="s">
        <v>589</v>
      </c>
      <c r="B165" s="95" t="s">
        <v>746</v>
      </c>
      <c r="C165" s="103">
        <v>3.5464749905308901</v>
      </c>
      <c r="D165" s="104">
        <v>2.7818952866475843</v>
      </c>
      <c r="E165" s="104">
        <v>2.7261309103552733</v>
      </c>
      <c r="G165" s="117" t="s">
        <v>587</v>
      </c>
      <c r="H165" s="115">
        <v>55.033873809516088</v>
      </c>
      <c r="I165" s="107">
        <v>133</v>
      </c>
      <c r="J165" s="107">
        <v>33</v>
      </c>
      <c r="K165" s="122"/>
      <c r="L165" s="103">
        <v>17.615397198362849</v>
      </c>
      <c r="M165" s="104">
        <v>10.75800212279124</v>
      </c>
      <c r="N165" s="104">
        <v>3.9762602630956336</v>
      </c>
      <c r="O165" s="104">
        <v>1.794</v>
      </c>
      <c r="P165" s="104">
        <v>0.47799999999999998</v>
      </c>
      <c r="Q165" s="104">
        <v>4.9829999999999997</v>
      </c>
      <c r="R165" s="104">
        <v>4.7320000000000002</v>
      </c>
      <c r="S165" s="104">
        <v>-6.1219999999999999</v>
      </c>
      <c r="T165" s="104">
        <v>-7.8250000000000002</v>
      </c>
      <c r="U165" s="104">
        <v>8.4619999999999997</v>
      </c>
      <c r="V165" s="104">
        <v>3.0289999999999999</v>
      </c>
      <c r="W165" s="105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40"/>
  <sheetViews>
    <sheetView topLeftCell="J1" zoomScale="96" zoomScaleNormal="96" workbookViewId="0">
      <selection activeCell="U23" sqref="U2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90625" bestFit="1" customWidth="1"/>
    <col min="8" max="8" width="27.90625" customWidth="1"/>
    <col min="9" max="9" width="21" customWidth="1"/>
    <col min="10" max="10" width="33.36328125" customWidth="1"/>
    <col min="11" max="11" width="16" customWidth="1"/>
    <col min="12" max="12" width="17.453125" customWidth="1"/>
    <col min="13" max="13" width="13.08984375" customWidth="1"/>
    <col min="14" max="14" width="13.54296875" customWidth="1"/>
    <col min="15" max="15" width="19.6328125" bestFit="1" customWidth="1"/>
    <col min="16" max="16" width="19.54296875" customWidth="1"/>
    <col min="17" max="17" width="15" customWidth="1"/>
    <col min="18" max="18" width="7.08984375" customWidth="1"/>
    <col min="19" max="19" width="10" customWidth="1"/>
    <col min="20" max="20" width="5.54296875" customWidth="1"/>
    <col min="21" max="21" width="13.08984375" customWidth="1"/>
  </cols>
  <sheetData>
    <row r="1" spans="1:21" x14ac:dyDescent="0.35">
      <c r="L1" s="5">
        <f>Assumption!F55</f>
        <v>0.2</v>
      </c>
      <c r="M1" s="5">
        <f>Assumption!G55</f>
        <v>0.4</v>
      </c>
      <c r="N1" s="5">
        <f>Assumption!H55</f>
        <v>0.4</v>
      </c>
      <c r="O1" s="5">
        <f>Assumption!E55</f>
        <v>0.5</v>
      </c>
      <c r="P1" s="5">
        <f>Assumption!E56</f>
        <v>0.3</v>
      </c>
      <c r="Q1" s="5">
        <f>Assumption!E57</f>
        <v>0.2</v>
      </c>
      <c r="U1" t="s">
        <v>524</v>
      </c>
    </row>
    <row r="2" spans="1:21" x14ac:dyDescent="0.35">
      <c r="B2" s="48" t="s">
        <v>387</v>
      </c>
      <c r="C2" s="48" t="s">
        <v>388</v>
      </c>
      <c r="D2" s="48" t="s">
        <v>62</v>
      </c>
      <c r="E2" s="48" t="s">
        <v>389</v>
      </c>
      <c r="F2" s="48" t="s">
        <v>393</v>
      </c>
      <c r="G2" s="48" t="s">
        <v>392</v>
      </c>
      <c r="H2" s="48" t="s">
        <v>493</v>
      </c>
      <c r="I2" s="48" t="s">
        <v>416</v>
      </c>
      <c r="J2" s="48" t="s">
        <v>487</v>
      </c>
      <c r="L2" s="55" t="s">
        <v>490</v>
      </c>
      <c r="M2" s="48" t="s">
        <v>491</v>
      </c>
      <c r="N2" s="48" t="s">
        <v>492</v>
      </c>
      <c r="O2" t="s">
        <v>504</v>
      </c>
      <c r="P2" t="s">
        <v>505</v>
      </c>
      <c r="Q2" t="s">
        <v>507</v>
      </c>
    </row>
    <row r="3" spans="1:21" x14ac:dyDescent="0.35">
      <c r="A3" t="s">
        <v>437</v>
      </c>
      <c r="B3" t="s">
        <v>478</v>
      </c>
      <c r="C3" t="str" cm="1">
        <f t="array" ref="C3">_xll.FDSB(B3,"FG_COMPANY_NAME")</f>
        <v>Chinese Offshore Renminbi per U.S. Dollar</v>
      </c>
      <c r="D3" cm="1">
        <f t="array" ref="D3">_xll.FDSB(B3,"FG_PRICE(0)")</f>
        <v>7.2088999999999999</v>
      </c>
      <c r="E3" cm="1">
        <f t="array" ref="E3">_xll.FDSB(B3,"FG_PRICE_CHANGE(0,-1AY)")</f>
        <v>4.2170167000000003</v>
      </c>
      <c r="F3" cm="1">
        <f t="array" ref="F3">_xll.FDSB(B3,"FG_PRICE_CHANGE(0,-1AM)")</f>
        <v>-4.0215253999999999E-2</v>
      </c>
      <c r="G3" cm="1">
        <f t="array" ref="G3">_xll.FDSB(B3,"FG_PRICE_CHANGE(0,-3AM)")</f>
        <v>0.78923699999999997</v>
      </c>
      <c r="H3" cm="1">
        <f t="array" ref="H3">_xll.FDSB(B3,"FG_PRICE_CHANGE(0,-6AM)")</f>
        <v>-0.93990563999999999</v>
      </c>
      <c r="I3" cm="1">
        <f t="array" ref="I3">_xll.FDS(B3,"STD(FG_PRICE_CHANGE(0,-1AY,AM))")</f>
        <v>1.2072125129851401</v>
      </c>
      <c r="J3" cm="1">
        <f t="array" ref="J3">_xll.FDS(B3,"STD(FG_PRICE_CHANGE(0,-3AY,M))")*SQRT(12)</f>
        <v>6.2639901813962879</v>
      </c>
      <c r="L3">
        <f t="shared" ref="L3:L23" si="0">(1-(_xlfn.PERCENTRANK.EXC($F$3:$F$23,F3)))*100</f>
        <v>72.8</v>
      </c>
      <c r="M3">
        <f t="shared" ref="M3:M23" si="1">(1-(_xlfn.PERCENTRANK.EXC($G$3:$G$23,G3)))*100</f>
        <v>50</v>
      </c>
      <c r="N3">
        <f t="shared" ref="N3:N23" si="2">(1-(_xlfn.PERCENTRANK.EXC($H$3:$H$23,H3)))*100</f>
        <v>77.3</v>
      </c>
      <c r="O3">
        <f>SUMPRODUCT($L$1:$N$1,L3:N3)</f>
        <v>65.48</v>
      </c>
      <c r="P3">
        <f t="shared" ref="P3:P23" si="3">100- (_xlfn.PERCENTRANK.EXC($J$3:$J$23,J3)*100)</f>
        <v>59.1</v>
      </c>
      <c r="Q3">
        <f>VLOOKUP(A3,CAD!$A$3:$J$23, 10, FALSE)</f>
        <v>59</v>
      </c>
      <c r="S3">
        <f>SUMPRODUCT($O$1:$Q$1,O3:Q3)</f>
        <v>62.269999999999996</v>
      </c>
      <c r="U3" cm="1">
        <f t="array" ref="U3">_xlfn.PERCENTRANK.EXC(_xlfn._xlws.FILTER(S$3:S$23, ISNUMBER(S$3:S$23)),S3)*100</f>
        <v>59</v>
      </c>
    </row>
    <row r="4" spans="1:21" x14ac:dyDescent="0.35">
      <c r="A4" t="s">
        <v>27</v>
      </c>
      <c r="B4" t="s">
        <v>485</v>
      </c>
      <c r="C4" t="str" cm="1">
        <f t="array" ref="C4">_xll.FDSB(B4,"FG_COMPANY_NAME")</f>
        <v>Chilean Peso per U.S. Dollar</v>
      </c>
      <c r="D4" cm="1">
        <f t="array" ref="D4">_xll.FDSB(B4,"FG_PRICE(0)")</f>
        <v>973.22500000000002</v>
      </c>
      <c r="E4" cm="1">
        <f t="array" ref="E4">_xll.FDSB(B4,"FG_PRICE_CHANGE(0,-1AY)")</f>
        <v>20.801472</v>
      </c>
      <c r="F4" cm="1">
        <f t="array" ref="F4">_xll.FDSB(B4,"FG_PRICE_CHANGE(0,-1AM)")</f>
        <v>2.7692676000000001</v>
      </c>
      <c r="G4" cm="1">
        <f t="array" ref="G4">_xll.FDSB(B4,"FG_PRICE_CHANGE(0,-3AM)")</f>
        <v>12.318087</v>
      </c>
      <c r="H4" cm="1">
        <f t="array" ref="H4">_xll.FDSB(B4,"FG_PRICE_CHANGE(0,-6AM)")</f>
        <v>13.796878</v>
      </c>
      <c r="I4" cm="1">
        <f t="array" ref="I4">_xll.FDS(B4,"STD(FG_PRICE_CHANGE(0,-1AY,AM))")</f>
        <v>3.5253186007991699</v>
      </c>
      <c r="J4" cm="1">
        <f t="array" ref="J4">_xll.FDS(B4,"STD(FG_PRICE_CHANGE(0,-3AY,M))")*SQRT(12)</f>
        <v>15.152540340622528</v>
      </c>
      <c r="L4">
        <f t="shared" si="0"/>
        <v>9.0999999999999979</v>
      </c>
      <c r="M4">
        <f t="shared" si="1"/>
        <v>4.6000000000000041</v>
      </c>
      <c r="N4">
        <f t="shared" si="2"/>
        <v>9.0999999999999979</v>
      </c>
      <c r="O4">
        <f t="shared" ref="O4:O23" si="4">SUMPRODUCT($L$1:$N$1,L4:N4)</f>
        <v>7.3000000000000007</v>
      </c>
      <c r="P4">
        <f t="shared" si="3"/>
        <v>9.0999999999999943</v>
      </c>
      <c r="Q4">
        <f>VLOOKUP(A4,CAD!$A$3:$J$23, 10, FALSE)</f>
        <v>9</v>
      </c>
      <c r="S4">
        <f t="shared" ref="S4:S23" si="5">SUMPRODUCT($O$1:$Q$1,O4:Q4)</f>
        <v>8.18</v>
      </c>
      <c r="U4" cm="1">
        <f t="array" ref="U4">_xlfn.PERCENTRANK.EXC(_xlfn._xlws.FILTER(S$3:S$23, ISNUMBER(S$3:S$23)),S4)*100</f>
        <v>9</v>
      </c>
    </row>
    <row r="5" spans="1:21" x14ac:dyDescent="0.35">
      <c r="A5" t="s">
        <v>35</v>
      </c>
      <c r="B5" t="s">
        <v>474</v>
      </c>
      <c r="C5" t="str" cm="1">
        <f t="array" ref="C5">_xll.FDSB(B5,"FG_COMPANY_NAME")</f>
        <v>Indonesian Rupiah per U.S. Dollar</v>
      </c>
      <c r="D5" cm="1">
        <f t="array" ref="D5">_xll.FDSB(B5,"FG_PRICE(0)")</f>
        <v>15740</v>
      </c>
      <c r="E5" cm="1">
        <f t="array" ref="E5">_xll.FDSB(B5,"FG_PRICE_CHANGE(0,-1AY)")</f>
        <v>2.8758168</v>
      </c>
      <c r="F5" cm="1">
        <f t="array" ref="F5">_xll.FDSB(B5,"FG_PRICE_CHANGE(0,-1AM)")</f>
        <v>0.52690506000000004</v>
      </c>
      <c r="G5" cm="1">
        <f t="array" ref="G5">_xll.FDSB(B5,"FG_PRICE_CHANGE(0,-3AM)")</f>
        <v>1.8440604</v>
      </c>
      <c r="H5" cm="1">
        <f t="array" ref="H5">_xll.FDSB(B5,"FG_PRICE_CHANGE(0,-6AM)")</f>
        <v>3.2808423000000002</v>
      </c>
      <c r="I5" cm="1">
        <f t="array" ref="I5">_xll.FDS(B5,"STD(FG_PRICE_CHANGE(0,-1AY,AM))")</f>
        <v>1.6229647843746</v>
      </c>
      <c r="J5" cm="1">
        <f t="array" ref="J5">_xll.FDS(B5,"STD(FG_PRICE_CHANGE(0,-3AY,M))")*SQRT(12)</f>
        <v>5.3588462057020436</v>
      </c>
      <c r="L5">
        <f t="shared" si="0"/>
        <v>36.4</v>
      </c>
      <c r="M5">
        <f t="shared" si="1"/>
        <v>22.799999999999997</v>
      </c>
      <c r="N5">
        <f t="shared" si="2"/>
        <v>13.700000000000001</v>
      </c>
      <c r="O5">
        <f t="shared" si="4"/>
        <v>21.88</v>
      </c>
      <c r="P5">
        <f t="shared" si="3"/>
        <v>72.8</v>
      </c>
      <c r="Q5">
        <f>VLOOKUP(A5,CAD!$A$3:$J$23, 10, FALSE)</f>
        <v>45.4</v>
      </c>
      <c r="S5">
        <f t="shared" si="5"/>
        <v>41.86</v>
      </c>
      <c r="U5" cm="1">
        <f t="array" ref="U5">_xlfn.PERCENTRANK.EXC(_xlfn._xlws.FILTER(S$3:S$23, ISNUMBER(S$3:S$23)),S5)*100</f>
        <v>31.8</v>
      </c>
    </row>
    <row r="6" spans="1:21" x14ac:dyDescent="0.35">
      <c r="A6" t="s">
        <v>30</v>
      </c>
      <c r="B6" t="s">
        <v>484</v>
      </c>
      <c r="C6" t="str" cm="1">
        <f t="array" ref="C6">_xll.FDSB(B6,"FG_COMPANY_NAME")</f>
        <v>Philippines Peso per U.S. Dollar</v>
      </c>
      <c r="D6" cm="1">
        <f t="array" ref="D6">_xll.FDSB(B6,"FG_PRICE(0)")</f>
        <v>55.987499999999997</v>
      </c>
      <c r="E6" cm="1">
        <f t="array" ref="E6">_xll.FDSB(B6,"FG_PRICE_CHANGE(0,-1AY)")</f>
        <v>2.1203756</v>
      </c>
      <c r="F6" cm="1">
        <f t="array" ref="F6">_xll.FDSB(B6,"FG_PRICE_CHANGE(0,-1AM)")</f>
        <v>0.10280609</v>
      </c>
      <c r="G6" cm="1">
        <f t="array" ref="G6">_xll.FDSB(B6,"FG_PRICE_CHANGE(0,-3AM)")</f>
        <v>1.1974692</v>
      </c>
      <c r="H6" cm="1">
        <f t="array" ref="H6">_xll.FDSB(B6,"FG_PRICE_CHANGE(0,-6AM)")</f>
        <v>-1.1432827000000001</v>
      </c>
      <c r="I6" cm="1">
        <f t="array" ref="I6">_xll.FDS(B6,"STD(FG_PRICE_CHANGE(0,-1AY,AM))")</f>
        <v>1.13851568362207</v>
      </c>
      <c r="J6" cm="1">
        <f t="array" ref="J6">_xll.FDS(B6,"STD(FG_PRICE_CHANGE(0,-3AY,M))")*SQRT(12)</f>
        <v>6.1225682989836159</v>
      </c>
      <c r="L6">
        <f t="shared" si="0"/>
        <v>45.499999999999993</v>
      </c>
      <c r="M6">
        <f t="shared" si="1"/>
        <v>36.4</v>
      </c>
      <c r="N6">
        <f t="shared" si="2"/>
        <v>81.899999999999991</v>
      </c>
      <c r="O6">
        <f t="shared" si="4"/>
        <v>56.42</v>
      </c>
      <c r="P6">
        <f t="shared" si="3"/>
        <v>63.7</v>
      </c>
      <c r="Q6">
        <f>VLOOKUP(A6,CAD!$A$3:$J$23, 10, FALSE)</f>
        <v>18.099999999999998</v>
      </c>
      <c r="S6">
        <f t="shared" si="5"/>
        <v>50.94</v>
      </c>
      <c r="U6" cm="1">
        <f t="array" ref="U6">_xlfn.PERCENTRANK.EXC(_xlfn._xlws.FILTER(S$3:S$23, ISNUMBER(S$3:S$23)),S6)*100</f>
        <v>50</v>
      </c>
    </row>
    <row r="7" spans="1:21" x14ac:dyDescent="0.35">
      <c r="A7" t="s">
        <v>23</v>
      </c>
      <c r="B7" t="s">
        <v>482</v>
      </c>
      <c r="C7" t="str" cm="1">
        <f t="array" ref="C7">_xll.FDSB(B7,"FG_COMPANY_NAME")</f>
        <v>Polish Zloty per U.S. Dollar</v>
      </c>
      <c r="D7" cm="1">
        <f t="array" ref="D7">_xll.FDSB(B7,"FG_PRICE(0)")</f>
        <v>3.9748000000000001</v>
      </c>
      <c r="E7" cm="1">
        <f t="array" ref="E7">_xll.FDSB(B7,"FG_PRICE_CHANGE(0,-1AY)")</f>
        <v>-10.514766</v>
      </c>
      <c r="F7" cm="1">
        <f t="array" ref="F7">_xll.FDSB(B7,"FG_PRICE_CHANGE(0,-1AM)")</f>
        <v>-0.76767799999999997</v>
      </c>
      <c r="G7" cm="1">
        <f t="array" ref="G7">_xll.FDSB(B7,"FG_PRICE_CHANGE(0,-3AM)")</f>
        <v>-0.82587003999999997</v>
      </c>
      <c r="H7" cm="1">
        <f t="array" ref="H7">_xll.FDSB(B7,"FG_PRICE_CHANGE(0,-6AM)")</f>
        <v>-4.1523933</v>
      </c>
      <c r="I7" cm="1">
        <f t="array" ref="I7">_xll.FDS(B7,"STD(FG_PRICE_CHANGE(0,-1AY,AM))")</f>
        <v>3.2109010037491998</v>
      </c>
      <c r="J7" cm="1">
        <f t="array" ref="J7">_xll.FDS(B7,"STD(FG_PRICE_CHANGE(0,-3AY,M))")*SQRT(12)</f>
        <v>12.172360695450246</v>
      </c>
      <c r="L7">
        <f t="shared" si="0"/>
        <v>86.4</v>
      </c>
      <c r="M7">
        <f t="shared" si="1"/>
        <v>91</v>
      </c>
      <c r="N7">
        <f t="shared" si="2"/>
        <v>95.5</v>
      </c>
      <c r="O7">
        <f t="shared" si="4"/>
        <v>91.88</v>
      </c>
      <c r="P7">
        <f t="shared" si="3"/>
        <v>22.799999999999997</v>
      </c>
      <c r="Q7">
        <f>VLOOKUP(A7,CAD!$A$3:$J$23, 10, FALSE)</f>
        <v>54.500000000000007</v>
      </c>
      <c r="S7">
        <f t="shared" si="5"/>
        <v>63.679999999999993</v>
      </c>
      <c r="U7" cm="1">
        <f t="array" ref="U7">_xlfn.PERCENTRANK.EXC(_xlfn._xlws.FILTER(S$3:S$23, ISNUMBER(S$3:S$23)),S7)*100</f>
        <v>68.100000000000009</v>
      </c>
    </row>
    <row r="8" spans="1:21" x14ac:dyDescent="0.35">
      <c r="A8" t="s">
        <v>29</v>
      </c>
      <c r="B8" t="s">
        <v>486</v>
      </c>
      <c r="C8" t="str" cm="1">
        <f t="array" ref="C8">_xll.FDSB(B8,"FG_COMPANY_NAME")</f>
        <v>Peruvian New Sol per U.S. Dollar</v>
      </c>
      <c r="D8" cm="1">
        <f t="array" ref="D8">_xll.FDSB(B8,"FG_PRICE(0)")</f>
        <v>3.7656000000000001</v>
      </c>
      <c r="E8" cm="1">
        <f t="array" ref="E8">_xll.FDSB(B8,"FG_PRICE_CHANGE(0,-1AY)")</f>
        <v>-0.53094624999999995</v>
      </c>
      <c r="F8" cm="1">
        <f t="array" ref="F8">_xll.FDSB(B8,"FG_PRICE_CHANGE(0,-1AM)")</f>
        <v>-1.4034390000000001</v>
      </c>
      <c r="G8" cm="1">
        <f t="array" ref="G8">_xll.FDSB(B8,"FG_PRICE_CHANGE(0,-3AM)")</f>
        <v>0.57557820000000004</v>
      </c>
      <c r="H8" cm="1">
        <f t="array" ref="H8">_xll.FDSB(B8,"FG_PRICE_CHANGE(0,-6AM)")</f>
        <v>1.8693328</v>
      </c>
      <c r="I8" cm="1">
        <f t="array" ref="I8">_xll.FDS(B8,"STD(FG_PRICE_CHANGE(0,-1AY,AM))")</f>
        <v>1.5007490058228099</v>
      </c>
      <c r="J8" cm="1">
        <f t="array" ref="J8">_xll.FDS(B8,"STD(FG_PRICE_CHANGE(0,-3AY,M))")*SQRT(12)</f>
        <v>8.3546697976472206</v>
      </c>
      <c r="L8">
        <f t="shared" si="0"/>
        <v>95.5</v>
      </c>
      <c r="M8">
        <f t="shared" si="1"/>
        <v>54.6</v>
      </c>
      <c r="N8">
        <f t="shared" si="2"/>
        <v>22.799999999999997</v>
      </c>
      <c r="O8">
        <f t="shared" si="4"/>
        <v>50.06</v>
      </c>
      <c r="P8">
        <f t="shared" si="3"/>
        <v>36.4</v>
      </c>
      <c r="Q8">
        <f>VLOOKUP(A8,CAD!$A$3:$J$23, 10, FALSE)</f>
        <v>36.299999999999997</v>
      </c>
      <c r="S8">
        <f t="shared" si="5"/>
        <v>43.21</v>
      </c>
      <c r="U8" cm="1">
        <f t="array" ref="U8">_xlfn.PERCENTRANK.EXC(_xlfn._xlws.FILTER(S$3:S$23, ISNUMBER(S$3:S$23)),S8)*100</f>
        <v>36.299999999999997</v>
      </c>
    </row>
    <row r="9" spans="1:21" x14ac:dyDescent="0.35">
      <c r="A9" t="s">
        <v>33</v>
      </c>
      <c r="B9" t="s">
        <v>479</v>
      </c>
      <c r="C9" t="str" cm="1">
        <f t="array" ref="C9">_xll.FDSB(B9,"FG_COMPANY_NAME")</f>
        <v>Malaysian Ringgit per U.S. Dollar</v>
      </c>
      <c r="D9" cm="1">
        <f t="array" ref="D9">_xll.FDSB(B9,"FG_PRICE(0)")</f>
        <v>4.7234999999999996</v>
      </c>
      <c r="E9" cm="1">
        <f t="array" ref="E9">_xll.FDSB(B9,"FG_PRICE_CHANGE(0,-1AY)")</f>
        <v>5.5294869999999996</v>
      </c>
      <c r="F9" cm="1">
        <f t="array" ref="F9">_xll.FDSB(B9,"FG_PRICE_CHANGE(0,-1AM)")</f>
        <v>0.14309883000000001</v>
      </c>
      <c r="G9" cm="1">
        <f t="array" ref="G9">_xll.FDSB(B9,"FG_PRICE_CHANGE(0,-3AM)")</f>
        <v>1.4170647000000001</v>
      </c>
      <c r="H9" cm="1">
        <f t="array" ref="H9">_xll.FDSB(B9,"FG_PRICE_CHANGE(0,-6AM)")</f>
        <v>1.4715313999999999</v>
      </c>
      <c r="I9" cm="1">
        <f t="array" ref="I9">_xll.FDS(B9,"STD(FG_PRICE_CHANGE(0,-1AY,AM))")</f>
        <v>2.0225354059465199</v>
      </c>
      <c r="J9" cm="1">
        <f t="array" ref="J9">_xll.FDS(B9,"STD(FG_PRICE_CHANGE(0,-3AY,M))")*SQRT(12)</f>
        <v>7.690018788879363</v>
      </c>
      <c r="L9">
        <f t="shared" si="0"/>
        <v>41</v>
      </c>
      <c r="M9">
        <f t="shared" si="1"/>
        <v>31.899999999999995</v>
      </c>
      <c r="N9">
        <f t="shared" si="2"/>
        <v>31.899999999999995</v>
      </c>
      <c r="O9">
        <f t="shared" si="4"/>
        <v>33.72</v>
      </c>
      <c r="P9">
        <f t="shared" si="3"/>
        <v>50</v>
      </c>
      <c r="Q9">
        <f>VLOOKUP(A9,CAD!$A$3:$J$23, 10, FALSE)</f>
        <v>72.7</v>
      </c>
      <c r="S9">
        <f t="shared" si="5"/>
        <v>46.4</v>
      </c>
      <c r="U9" cm="1">
        <f t="array" ref="U9">_xlfn.PERCENTRANK.EXC(_xlfn._xlws.FILTER(S$3:S$23, ISNUMBER(S$3:S$23)),S9)*100</f>
        <v>45.4</v>
      </c>
    </row>
    <row r="10" spans="1:21" x14ac:dyDescent="0.35">
      <c r="A10" t="s">
        <v>24</v>
      </c>
      <c r="B10" t="s">
        <v>480</v>
      </c>
      <c r="C10" t="str" cm="1">
        <f t="array" ref="C10">_xll.FDSB(B10,"FG_COMPANY_NAME")</f>
        <v>Taiwan Dollar per U.S. Dollar</v>
      </c>
      <c r="D10" cm="1">
        <f t="array" ref="D10">_xll.FDSB(B10,"FG_PRICE(0)")</f>
        <v>31.515999999999998</v>
      </c>
      <c r="E10" cm="1">
        <f t="array" ref="E10">_xll.FDSB(B10,"FG_PRICE_CHANGE(0,-1AY)")</f>
        <v>2.8909087000000002</v>
      </c>
      <c r="F10" cm="1">
        <f t="array" ref="F10">_xll.FDSB(B10,"FG_PRICE_CHANGE(0,-1AM)")</f>
        <v>0.96751450000000006</v>
      </c>
      <c r="G10" cm="1">
        <f t="array" ref="G10">_xll.FDSB(B10,"FG_PRICE_CHANGE(0,-3AM)")</f>
        <v>0.36303996999999999</v>
      </c>
      <c r="H10" cm="1">
        <f t="array" ref="H10">_xll.FDSB(B10,"FG_PRICE_CHANGE(0,-6AM)")</f>
        <v>-1.1619269999999999</v>
      </c>
      <c r="I10" cm="1">
        <f t="array" ref="I10">_xll.FDS(B10,"STD(FG_PRICE_CHANGE(0,-1AY,AM))")</f>
        <v>1.5029934655082999</v>
      </c>
      <c r="J10" cm="1">
        <f t="array" ref="J10">_xll.FDS(B10,"STD(FG_PRICE_CHANGE(0,-3AY,M))")*SQRT(12)</f>
        <v>6.1199447936821878</v>
      </c>
      <c r="L10">
        <f t="shared" si="0"/>
        <v>22.799999999999997</v>
      </c>
      <c r="M10">
        <f t="shared" si="1"/>
        <v>59.099999999999994</v>
      </c>
      <c r="N10">
        <f t="shared" si="2"/>
        <v>86.4</v>
      </c>
      <c r="O10">
        <f t="shared" si="4"/>
        <v>62.760000000000005</v>
      </c>
      <c r="P10">
        <f t="shared" si="3"/>
        <v>68.2</v>
      </c>
      <c r="Q10">
        <f>VLOOKUP(A10,CAD!$A$3:$J$23, 10, FALSE)</f>
        <v>86.3</v>
      </c>
      <c r="S10">
        <f t="shared" si="5"/>
        <v>69.100000000000009</v>
      </c>
      <c r="U10" cm="1">
        <f t="array" ref="U10">_xlfn.PERCENTRANK.EXC(_xlfn._xlws.FILTER(S$3:S$23, ISNUMBER(S$3:S$23)),S10)*100</f>
        <v>81.8</v>
      </c>
    </row>
    <row r="11" spans="1:21" x14ac:dyDescent="0.35">
      <c r="A11" t="s">
        <v>7</v>
      </c>
      <c r="B11" t="s">
        <v>483</v>
      </c>
      <c r="C11" t="str" cm="1">
        <f t="array" ref="C11">_xll.FDSB(B11,"FG_COMPANY_NAME")</f>
        <v>Mexican Peso per U.S. Dollar</v>
      </c>
      <c r="D11" cm="1">
        <f t="array" ref="D11">_xll.FDSB(B11,"FG_PRICE(0)")</f>
        <v>16.9755</v>
      </c>
      <c r="E11" cm="1">
        <f t="array" ref="E11">_xll.FDSB(B11,"FG_PRICE_CHANGE(0,-1AY)")</f>
        <v>-5.7819605000000003</v>
      </c>
      <c r="F11" cm="1">
        <f t="array" ref="F11">_xll.FDSB(B11,"FG_PRICE_CHANGE(0,-1AM)")</f>
        <v>-0.95396639999999999</v>
      </c>
      <c r="G11" cm="1">
        <f t="array" ref="G11">_xll.FDSB(B11,"FG_PRICE_CHANGE(0,-3AM)")</f>
        <v>-2.4900913</v>
      </c>
      <c r="H11" cm="1">
        <f t="array" ref="H11">_xll.FDSB(B11,"FG_PRICE_CHANGE(0,-6AM)")</f>
        <v>-1.1989593999999999</v>
      </c>
      <c r="I11" cm="1">
        <f t="array" ref="I11">_xll.FDS(B11,"STD(FG_PRICE_CHANGE(0,-1AY,AM))")</f>
        <v>2.5722801286519399</v>
      </c>
      <c r="J11" cm="1">
        <f t="array" ref="J11">_xll.FDS(B11,"STD(FG_PRICE_CHANGE(0,-3AY,M))")*SQRT(12)</f>
        <v>7.8692351999114933</v>
      </c>
      <c r="L11">
        <f t="shared" si="0"/>
        <v>91</v>
      </c>
      <c r="M11">
        <f t="shared" si="1"/>
        <v>95.5</v>
      </c>
      <c r="N11">
        <f t="shared" si="2"/>
        <v>91</v>
      </c>
      <c r="O11">
        <f t="shared" si="4"/>
        <v>92.800000000000011</v>
      </c>
      <c r="P11">
        <f t="shared" si="3"/>
        <v>45.499999999999993</v>
      </c>
      <c r="Q11">
        <f>VLOOKUP(A11,CAD!$A$3:$J$23, 10, FALSE)</f>
        <v>36.299999999999997</v>
      </c>
      <c r="S11">
        <f t="shared" si="5"/>
        <v>67.31</v>
      </c>
      <c r="U11" cm="1">
        <f t="array" ref="U11">_xlfn.PERCENTRANK.EXC(_xlfn._xlws.FILTER(S$3:S$23, ISNUMBER(S$3:S$23)),S11)*100</f>
        <v>77.2</v>
      </c>
    </row>
    <row r="12" spans="1:21" x14ac:dyDescent="0.35">
      <c r="A12" t="s">
        <v>21</v>
      </c>
      <c r="B12" t="s">
        <v>395</v>
      </c>
      <c r="C12" t="str" cm="1">
        <f t="array" ref="C12">_xll.FDSB(B12,"FG_COMPANY_NAME")</f>
        <v>South Korean Won per U.S. Dollar</v>
      </c>
      <c r="D12" cm="1">
        <f t="array" ref="D12">_xll.FDSB(B12,"FG_PRICE(0)")</f>
        <v>1331.25</v>
      </c>
      <c r="E12" cm="1">
        <f t="array" ref="E12">_xll.FDSB(B12,"FG_PRICE_CHANGE(0,-1AY)")</f>
        <v>2.2740364</v>
      </c>
      <c r="F12" cm="1">
        <f t="array" ref="F12">_xll.FDSB(B12,"FG_PRICE_CHANGE(0,-1AM)")</f>
        <v>0.65401790000000004</v>
      </c>
      <c r="G12" cm="1">
        <f t="array" ref="G12">_xll.FDSB(B12,"FG_PRICE_CHANGE(0,-3AM)")</f>
        <v>2.0858050000000001</v>
      </c>
      <c r="H12" cm="1">
        <f t="array" ref="H12">_xll.FDSB(B12,"FG_PRICE_CHANGE(0,-6AM)")</f>
        <v>0.87137220000000004</v>
      </c>
      <c r="I12" cm="1">
        <f t="array" ref="I12">_xll.FDS(B12,"STD(FG_PRICE_CHANGE(0,-1AY,AM))")</f>
        <v>2.1802782600264798</v>
      </c>
      <c r="J12" cm="1">
        <f t="array" ref="J12">_xll.FDS(B12,"STD(FG_PRICE_CHANGE(0,-3AY,M))")*SQRT(12)</f>
        <v>10.430020045116146</v>
      </c>
      <c r="L12">
        <f t="shared" si="0"/>
        <v>27.3</v>
      </c>
      <c r="M12">
        <f t="shared" si="1"/>
        <v>18.200000000000006</v>
      </c>
      <c r="N12">
        <f t="shared" si="2"/>
        <v>36.4</v>
      </c>
      <c r="O12">
        <f t="shared" si="4"/>
        <v>27.300000000000004</v>
      </c>
      <c r="P12">
        <f t="shared" si="3"/>
        <v>31.899999999999991</v>
      </c>
      <c r="Q12">
        <f>VLOOKUP(A12,CAD!$A$3:$J$23, 10, FALSE)</f>
        <v>68.100000000000009</v>
      </c>
      <c r="S12">
        <f t="shared" si="5"/>
        <v>36.840000000000003</v>
      </c>
      <c r="U12" cm="1">
        <f t="array" ref="U12">_xlfn.PERCENTRANK.EXC(_xlfn._xlws.FILTER(S$3:S$23, ISNUMBER(S$3:S$23)),S12)*100</f>
        <v>22.7</v>
      </c>
    </row>
    <row r="13" spans="1:21" x14ac:dyDescent="0.35">
      <c r="A13" t="s">
        <v>12</v>
      </c>
      <c r="B13" t="s">
        <v>475</v>
      </c>
      <c r="C13" t="str" cm="1">
        <f t="array" ref="C13">_xll.FDSB(B13,"FG_COMPANY_NAME")</f>
        <v>Brazilian Real per U.S. Dollar</v>
      </c>
      <c r="D13" cm="1">
        <f t="array" ref="D13">_xll.FDSB(B13,"FG_PRICE(0)")</f>
        <v>4.9461500000000003</v>
      </c>
      <c r="E13" cm="1">
        <f t="array" ref="E13">_xll.FDSB(B13,"FG_PRICE_CHANGE(0,-1AY)")</f>
        <v>-5.1180304999999997</v>
      </c>
      <c r="F13" cm="1">
        <f t="array" ref="F13">_xll.FDSB(B13,"FG_PRICE_CHANGE(0,-1AM)")</f>
        <v>-0.454849</v>
      </c>
      <c r="G13" cm="1">
        <f t="array" ref="G13">_xll.FDSB(B13,"FG_PRICE_CHANGE(0,-3AM)")</f>
        <v>0.34793615</v>
      </c>
      <c r="H13" cm="1">
        <f t="array" ref="H13">_xll.FDSB(B13,"FG_PRICE_CHANGE(0,-6AM)")</f>
        <v>0.64810513999999997</v>
      </c>
      <c r="I13" cm="1">
        <f t="array" ref="I13">_xll.FDS(B13,"STD(FG_PRICE_CHANGE(0,-1AY,AM))")</f>
        <v>2.5627188927428399</v>
      </c>
      <c r="J13" cm="1">
        <f t="array" ref="J13">_xll.FDS(B13,"STD(FG_PRICE_CHANGE(0,-3AY,M))")*SQRT(12)</f>
        <v>12.682998825200471</v>
      </c>
      <c r="L13">
        <f t="shared" si="0"/>
        <v>77.3</v>
      </c>
      <c r="M13">
        <f t="shared" si="1"/>
        <v>63.7</v>
      </c>
      <c r="N13">
        <f t="shared" si="2"/>
        <v>41</v>
      </c>
      <c r="O13">
        <f t="shared" si="4"/>
        <v>57.34</v>
      </c>
      <c r="P13">
        <f t="shared" si="3"/>
        <v>18.200000000000003</v>
      </c>
      <c r="Q13">
        <f>VLOOKUP(A13,CAD!$A$3:$J$23, 10, FALSE)</f>
        <v>27.200000000000003</v>
      </c>
      <c r="S13">
        <f t="shared" si="5"/>
        <v>39.570000000000007</v>
      </c>
      <c r="U13" cm="1">
        <f t="array" ref="U13">_xlfn.PERCENTRANK.EXC(_xlfn._xlws.FILTER(S$3:S$23, ISNUMBER(S$3:S$23)),S13)*100</f>
        <v>27.200000000000003</v>
      </c>
    </row>
    <row r="14" spans="1:21" x14ac:dyDescent="0.35">
      <c r="A14" t="s">
        <v>22</v>
      </c>
      <c r="B14" t="s">
        <v>390</v>
      </c>
      <c r="C14" t="str" cm="1">
        <f t="array" ref="C14">_xll.FDSB(B14,"FG_COMPANY_NAME")</f>
        <v>South African Rand per U.S. Dollar</v>
      </c>
      <c r="D14" cm="1">
        <f t="array" ref="D14">_xll.FDSB(B14,"FG_PRICE(0)")</f>
        <v>19.015000000000001</v>
      </c>
      <c r="E14" cm="1">
        <f t="array" ref="E14">_xll.FDSB(B14,"FG_PRICE_CHANGE(0,-1AY)")</f>
        <v>4.5139073999999999</v>
      </c>
      <c r="F14" cm="1">
        <f t="array" ref="F14">_xll.FDSB(B14,"FG_PRICE_CHANGE(0,-1AM)")</f>
        <v>0.60846805999999998</v>
      </c>
      <c r="G14" cm="1">
        <f t="array" ref="G14">_xll.FDSB(B14,"FG_PRICE_CHANGE(0,-3AM)")</f>
        <v>0.97577570000000002</v>
      </c>
      <c r="H14" cm="1">
        <f t="array" ref="H14">_xll.FDSB(B14,"FG_PRICE_CHANGE(0,-6AM)")</f>
        <v>-0.20992160000000001</v>
      </c>
      <c r="I14" cm="1">
        <f t="array" ref="I14">_xll.FDS(B14,"STD(FG_PRICE_CHANGE(0,-1AY,AM))")</f>
        <v>3.51054907756455</v>
      </c>
      <c r="J14" cm="1">
        <f t="array" ref="J14">_xll.FDS(B14,"STD(FG_PRICE_CHANGE(0,-3AY,M))")*SQRT(12)</f>
        <v>14.029869238448757</v>
      </c>
      <c r="L14">
        <f t="shared" si="0"/>
        <v>31.899999999999995</v>
      </c>
      <c r="M14">
        <f t="shared" si="1"/>
        <v>41</v>
      </c>
      <c r="N14">
        <f t="shared" si="2"/>
        <v>63.7</v>
      </c>
      <c r="O14">
        <f t="shared" si="4"/>
        <v>48.260000000000005</v>
      </c>
      <c r="P14">
        <f t="shared" si="3"/>
        <v>13.700000000000003</v>
      </c>
      <c r="Q14">
        <f>VLOOKUP(A14,CAD!$A$3:$J$23, 10, FALSE)</f>
        <v>22.7</v>
      </c>
      <c r="S14">
        <f t="shared" si="5"/>
        <v>32.78</v>
      </c>
      <c r="U14" cm="1">
        <f t="array" ref="U14">_xlfn.PERCENTRANK.EXC(_xlfn._xlws.FILTER(S$3:S$23, ISNUMBER(S$3:S$23)),S14)*100</f>
        <v>13.600000000000001</v>
      </c>
    </row>
    <row r="15" spans="1:21" x14ac:dyDescent="0.35">
      <c r="A15" t="s">
        <v>28</v>
      </c>
      <c r="B15" t="s">
        <v>473</v>
      </c>
      <c r="C15" t="str" cm="1">
        <f t="array" ref="C15">_xll.FDSB(B15,"FG_COMPANY_NAME")</f>
        <v>Euro per U.S. Dollar</v>
      </c>
      <c r="D15" cm="1">
        <f t="array" ref="D15">_xll.FDSB(B15,"FG_PRICE(0)")</f>
        <v>0.92051362999999997</v>
      </c>
      <c r="E15" cm="1">
        <f t="array" ref="E15">_xll.FDSB(B15,"FG_PRICE_CHANGE(0,-1AY)")</f>
        <v>-2.4485648000000002</v>
      </c>
      <c r="F15" cm="1">
        <f t="array" ref="F15">_xll.FDSB(B15,"FG_PRICE_CHANGE(0,-1AM)")</f>
        <v>-0.56611895999999995</v>
      </c>
      <c r="G15" cm="1">
        <f t="array" ref="G15">_xll.FDSB(B15,"FG_PRICE_CHANGE(0,-3AM)")</f>
        <v>-0.44184327000000001</v>
      </c>
      <c r="H15" cm="1">
        <f t="array" ref="H15">_xll.FDSB(B15,"FG_PRICE_CHANGE(0,-6AM)")</f>
        <v>-0.71800350000000002</v>
      </c>
      <c r="I15" cm="1">
        <f t="array" ref="I15">_xll.FDS(B15,"STD(FG_PRICE_CHANGE(0,-1AY,AM))")</f>
        <v>2.0459717567226301</v>
      </c>
      <c r="J15" cm="1">
        <f t="array" ref="J15">_xll.FDS(B15,"STD(FG_PRICE_CHANGE(0,-3AY,M))")*SQRT(12)</f>
        <v>7.8939456392796519</v>
      </c>
      <c r="L15">
        <f t="shared" si="0"/>
        <v>81.899999999999991</v>
      </c>
      <c r="M15">
        <f t="shared" si="1"/>
        <v>81.899999999999991</v>
      </c>
      <c r="N15">
        <f t="shared" si="2"/>
        <v>68.199999999999989</v>
      </c>
      <c r="O15">
        <f t="shared" si="4"/>
        <v>76.42</v>
      </c>
      <c r="P15">
        <f t="shared" si="3"/>
        <v>41</v>
      </c>
      <c r="Q15">
        <f>VLOOKUP(A15,CAD!$A$3:$J$23, 10, FALSE)</f>
        <v>4.5</v>
      </c>
      <c r="S15">
        <f t="shared" si="5"/>
        <v>51.41</v>
      </c>
      <c r="U15" cm="1">
        <f t="array" ref="U15">_xlfn.PERCENTRANK.EXC(_xlfn._xlws.FILTER(S$3:S$23, ISNUMBER(S$3:S$23)),S15)*100</f>
        <v>54.500000000000007</v>
      </c>
    </row>
    <row r="16" spans="1:21" x14ac:dyDescent="0.35">
      <c r="A16" t="s">
        <v>32</v>
      </c>
      <c r="B16" t="s">
        <v>391</v>
      </c>
      <c r="C16" t="str" cm="1">
        <f t="array" ref="C16">_xll.FDSB(B16,"FG_COMPANY_NAME")</f>
        <v>Indian Rupee per U.S. Dollar</v>
      </c>
      <c r="D16" cm="1">
        <f t="array" ref="D16">_xll.FDSB(B16,"FG_PRICE(0)")</f>
        <v>82.895650000000003</v>
      </c>
      <c r="E16" cm="1">
        <f t="array" ref="E16">_xll.FDSB(B16,"FG_PRICE_CHANGE(0,-1AY)")</f>
        <v>1.1107564000000001</v>
      </c>
      <c r="F16" cm="1">
        <f t="array" ref="F16">_xll.FDSB(B16,"FG_PRICE_CHANGE(0,-1AM)")</f>
        <v>-3.6895274999999998E-2</v>
      </c>
      <c r="G16" cm="1">
        <f t="array" ref="G16">_xll.FDSB(B16,"FG_PRICE_CHANGE(0,-3AM)")</f>
        <v>-0.56150555999999996</v>
      </c>
      <c r="H16" cm="1">
        <f t="array" ref="H16">_xll.FDSB(B16,"FG_PRICE_CHANGE(0,-6AM)")</f>
        <v>0.17752646999999999</v>
      </c>
      <c r="I16" cm="1">
        <f t="array" ref="I16">_xll.FDS(B16,"STD(FG_PRICE_CHANGE(0,-1AY,AM))")</f>
        <v>0.45710138294181402</v>
      </c>
      <c r="J16" cm="1">
        <f t="array" ref="J16">_xll.FDS(B16,"STD(FG_PRICE_CHANGE(0,-3AY,M))")*SQRT(12)</f>
        <v>3.8064421872424559</v>
      </c>
      <c r="L16">
        <f t="shared" si="0"/>
        <v>63.7</v>
      </c>
      <c r="M16">
        <f t="shared" si="1"/>
        <v>86.4</v>
      </c>
      <c r="N16">
        <f t="shared" si="2"/>
        <v>45.499999999999993</v>
      </c>
      <c r="O16">
        <f t="shared" si="4"/>
        <v>65.5</v>
      </c>
      <c r="P16">
        <f t="shared" si="3"/>
        <v>81.900000000000006</v>
      </c>
      <c r="Q16">
        <f>VLOOKUP(A16,CAD!$A$3:$J$23, 10, FALSE)</f>
        <v>31.8</v>
      </c>
      <c r="S16">
        <f t="shared" si="5"/>
        <v>63.68</v>
      </c>
      <c r="U16" cm="1">
        <f t="array" ref="U16">_xlfn.PERCENTRANK.EXC(_xlfn._xlws.FILTER(S$3:S$23, ISNUMBER(S$3:S$23)),S16)*100</f>
        <v>72.7</v>
      </c>
    </row>
    <row r="17" spans="1:21" x14ac:dyDescent="0.35">
      <c r="A17" t="s">
        <v>26</v>
      </c>
      <c r="B17" t="s">
        <v>478</v>
      </c>
      <c r="C17" t="str" cm="1">
        <f t="array" ref="C17">_xll.FDSB(B17,"FG_COMPANY_NAME")</f>
        <v>Chinese Offshore Renminbi per U.S. Dollar</v>
      </c>
      <c r="D17" cm="1">
        <f t="array" ref="D17">_xll.FDSB(B17,"FG_PRICE(0)")</f>
        <v>7.2088999999999999</v>
      </c>
      <c r="E17" cm="1">
        <f t="array" ref="E17">_xll.FDSB(B17,"FG_PRICE_CHANGE(0,-1AY)")</f>
        <v>4.2170167000000003</v>
      </c>
      <c r="F17" cm="1">
        <f t="array" ref="F17">_xll.FDSB(B17,"FG_PRICE_CHANGE(0,-1AM)")</f>
        <v>-4.0215253999999999E-2</v>
      </c>
      <c r="G17" cm="1">
        <f t="array" ref="G17">_xll.FDSB(B17,"FG_PRICE_CHANGE(0,-3AM)")</f>
        <v>0.78923699999999997</v>
      </c>
      <c r="H17" cm="1">
        <f t="array" ref="H17">_xll.FDSB(B17,"FG_PRICE_CHANGE(0,-6AM)")</f>
        <v>-0.93990563999999999</v>
      </c>
      <c r="I17" cm="1">
        <f t="array" ref="I17">_xll.FDS(B17,"STD(FG_PRICE_CHANGE(0,-1AY,AM))")</f>
        <v>1.2072125129851401</v>
      </c>
      <c r="J17" cm="1">
        <f t="array" ref="J17">_xll.FDS(B17,"STD(FG_PRICE_CHANGE(0,-3AY,M))")*SQRT(12)</f>
        <v>6.2639901813962879</v>
      </c>
      <c r="L17">
        <f t="shared" si="0"/>
        <v>72.8</v>
      </c>
      <c r="M17">
        <f t="shared" si="1"/>
        <v>50</v>
      </c>
      <c r="N17">
        <f t="shared" si="2"/>
        <v>77.3</v>
      </c>
      <c r="O17">
        <f t="shared" si="4"/>
        <v>65.48</v>
      </c>
      <c r="P17">
        <f t="shared" si="3"/>
        <v>59.1</v>
      </c>
      <c r="Q17">
        <f>VLOOKUP(A17,CAD!$A$3:$J$23, 10, FALSE)</f>
        <v>59</v>
      </c>
      <c r="S17">
        <f t="shared" si="5"/>
        <v>62.269999999999996</v>
      </c>
      <c r="U17" cm="1">
        <f t="array" ref="U17">_xlfn.PERCENTRANK.EXC(_xlfn._xlws.FILTER(S$3:S$23, ISNUMBER(S$3:S$23)),S17)*100</f>
        <v>59</v>
      </c>
    </row>
    <row r="18" spans="1:21" x14ac:dyDescent="0.35">
      <c r="A18" t="s">
        <v>31</v>
      </c>
      <c r="B18" t="s">
        <v>574</v>
      </c>
      <c r="C18" t="str" cm="1">
        <f t="array" ref="C18">_xll.FDSB(B18,"FG_COMPANY_NAME")</f>
        <v>Qatari Rial per U.S. Dollar</v>
      </c>
      <c r="D18" cm="1">
        <f t="array" ref="D18">_xll.FDSB(B18,"FG_PRICE(0)")</f>
        <v>3.641</v>
      </c>
      <c r="E18" cm="1">
        <f t="array" ref="E18">_xll.FDSB(B18,"FG_PRICE_CHANGE(0,-1AY)")</f>
        <v>-2.0593404999999999E-2</v>
      </c>
      <c r="F18" cm="1">
        <f t="array" ref="F18">_xll.FDSB(B18,"FG_PRICE_CHANGE(0,-1AM)")</f>
        <v>0</v>
      </c>
      <c r="G18" cm="1">
        <f t="array" ref="G18">_xll.FDSB(B18,"FG_PRICE_CHANGE(0,-3AM)")</f>
        <v>0</v>
      </c>
      <c r="H18" cm="1">
        <f t="array" ref="H18">_xll.FDSB(B18,"FG_PRICE_CHANGE(0,-6AM)")</f>
        <v>2.7465819999999998E-2</v>
      </c>
      <c r="I18" cm="1">
        <f t="array" ref="I18">_xll.FDS(B18,"STD(FG_PRICE_CHANGE(0,-1AY,AM))")</f>
        <v>1.5892567041640899E-2</v>
      </c>
      <c r="J18" cm="1">
        <f t="array" ref="J18">_xll.FDS(B18,"STD(FG_PRICE_CHANGE(0,-3AY,M))")*SQRT(12)</f>
        <v>3.9440701829219424E-2</v>
      </c>
      <c r="L18">
        <f t="shared" si="0"/>
        <v>59.099999999999994</v>
      </c>
      <c r="M18">
        <f t="shared" si="1"/>
        <v>72.8</v>
      </c>
      <c r="N18">
        <f t="shared" si="2"/>
        <v>50</v>
      </c>
      <c r="O18">
        <f t="shared" si="4"/>
        <v>60.94</v>
      </c>
      <c r="P18">
        <f t="shared" si="3"/>
        <v>91</v>
      </c>
      <c r="Q18">
        <f>VLOOKUP(A18,CAD!$A$3:$J$23, 10, FALSE)</f>
        <v>90.9</v>
      </c>
      <c r="S18">
        <f t="shared" si="5"/>
        <v>75.95</v>
      </c>
      <c r="U18" cm="1">
        <f t="array" ref="U18">_xlfn.PERCENTRANK.EXC(_xlfn._xlws.FILTER(S$3:S$23, ISNUMBER(S$3:S$23)),S18)*100</f>
        <v>90.9</v>
      </c>
    </row>
    <row r="19" spans="1:21" x14ac:dyDescent="0.35">
      <c r="A19" t="s">
        <v>764</v>
      </c>
      <c r="B19" t="s">
        <v>476</v>
      </c>
      <c r="C19" t="str" cm="1">
        <f t="array" ref="C19">_xll.FDSB(B19,"FG_COMPANY_NAME")</f>
        <v>Thailand Baht per U.S. Dollar</v>
      </c>
      <c r="D19" cm="1">
        <f t="array" ref="D19">_xll.FDSB(B19,"FG_PRICE(0)")</f>
        <v>35.8125</v>
      </c>
      <c r="E19" cm="1">
        <f t="array" ref="E19">_xll.FDSB(B19,"FG_PRICE_CHANGE(0,-1AY)")</f>
        <v>3.213489</v>
      </c>
      <c r="F19" cm="1">
        <f t="array" ref="F19">_xll.FDSB(B19,"FG_PRICE_CHANGE(0,-1AM)")</f>
        <v>1.5957475000000001</v>
      </c>
      <c r="G19" cm="1">
        <f t="array" ref="G19">_xll.FDSB(B19,"FG_PRICE_CHANGE(0,-3AM)")</f>
        <v>2.4824739</v>
      </c>
      <c r="H19" cm="1">
        <f t="array" ref="H19">_xll.FDSB(B19,"FG_PRICE_CHANGE(0,-6AM)")</f>
        <v>1.6750693000000001</v>
      </c>
      <c r="I19" cm="1">
        <f t="array" ref="I19">_xll.FDS(B19,"STD(FG_PRICE_CHANGE(0,-1AY,AM))")</f>
        <v>2.6542872696201001</v>
      </c>
      <c r="J19" cm="1">
        <f t="array" ref="J19">_xll.FDS(B19,"STD(FG_PRICE_CHANGE(0,-3AY,M))")*SQRT(12)</f>
        <v>10.496710501713254</v>
      </c>
      <c r="L19">
        <f t="shared" si="0"/>
        <v>13.700000000000001</v>
      </c>
      <c r="M19">
        <f t="shared" si="1"/>
        <v>13.700000000000001</v>
      </c>
      <c r="N19">
        <f t="shared" si="2"/>
        <v>27.3</v>
      </c>
      <c r="O19">
        <f t="shared" si="4"/>
        <v>19.14</v>
      </c>
      <c r="P19">
        <f t="shared" si="3"/>
        <v>27.299999999999997</v>
      </c>
      <c r="Q19">
        <f>VLOOKUP(A19,CAD!$A$3:$J$23, 10, FALSE)</f>
        <v>77.2</v>
      </c>
      <c r="S19">
        <f t="shared" si="5"/>
        <v>33.200000000000003</v>
      </c>
      <c r="U19" cm="1">
        <f t="array" ref="U19">_xlfn.PERCENTRANK.EXC(_xlfn._xlws.FILTER(S$3:S$23, ISNUMBER(S$3:S$23)),S19)*100</f>
        <v>18.099999999999998</v>
      </c>
    </row>
    <row r="20" spans="1:21" x14ac:dyDescent="0.35">
      <c r="A20" t="s">
        <v>25</v>
      </c>
      <c r="B20" t="s">
        <v>481</v>
      </c>
      <c r="C20" t="str" cm="1">
        <f t="array" ref="C20">_xll.FDSB(B20,"FG_COMPANY_NAME")</f>
        <v>Turkish New Lira per U.S. Dollar</v>
      </c>
      <c r="D20" cm="1">
        <f t="array" ref="D20">_xll.FDSB(B20,"FG_PRICE(0)")</f>
        <v>31.531500000000001</v>
      </c>
      <c r="E20" cm="1">
        <f t="array" ref="E20">_xll.FDSB(B20,"FG_PRICE_CHANGE(0,-1AY)")</f>
        <v>66.884995000000004</v>
      </c>
      <c r="F20" cm="1">
        <f t="array" ref="F20">_xll.FDSB(B20,"FG_PRICE_CHANGE(0,-1AM)")</f>
        <v>3.5109281999999999</v>
      </c>
      <c r="G20" cm="1">
        <f t="array" ref="G20">_xll.FDSB(B20,"FG_PRICE_CHANGE(0,-3AM)")</f>
        <v>9.0819469999999995</v>
      </c>
      <c r="H20" cm="1">
        <f t="array" ref="H20">_xll.FDSB(B20,"FG_PRICE_CHANGE(0,-6AM)")</f>
        <v>17.768001999999999</v>
      </c>
      <c r="I20" cm="1">
        <f t="array" ref="I20">_xll.FDS(B20,"STD(FG_PRICE_CHANGE(0,-1AY,AM))")</f>
        <v>6.3705255986998104</v>
      </c>
      <c r="J20" cm="1">
        <f t="array" ref="J20">_xll.FDS(B20,"STD(FG_PRICE_CHANGE(0,-3AY,M))")*SQRT(12)</f>
        <v>26.476765574336852</v>
      </c>
      <c r="L20">
        <f t="shared" si="0"/>
        <v>4.6000000000000041</v>
      </c>
      <c r="M20">
        <f t="shared" si="1"/>
        <v>9.0999999999999979</v>
      </c>
      <c r="N20">
        <f t="shared" si="2"/>
        <v>4.6000000000000041</v>
      </c>
      <c r="O20">
        <f t="shared" si="4"/>
        <v>6.4000000000000021</v>
      </c>
      <c r="P20">
        <f t="shared" si="3"/>
        <v>4.6000000000000085</v>
      </c>
      <c r="Q20">
        <f>VLOOKUP(A20,CAD!$A$3:$J$23, 10, FALSE)</f>
        <v>13.600000000000001</v>
      </c>
      <c r="S20">
        <f t="shared" si="5"/>
        <v>7.3000000000000043</v>
      </c>
      <c r="U20" cm="1">
        <f t="array" ref="U20">_xlfn.PERCENTRANK.EXC(_xlfn._xlws.FILTER(S$3:S$23, ISNUMBER(S$3:S$23)),S20)*100</f>
        <v>4.5</v>
      </c>
    </row>
    <row r="21" spans="1:21" x14ac:dyDescent="0.35">
      <c r="A21" t="s">
        <v>34</v>
      </c>
      <c r="B21" t="s">
        <v>572</v>
      </c>
      <c r="C21" t="str" cm="1">
        <f t="array" ref="C21">_xll.FDSB(B21,"FG_COMPANY_NAME")</f>
        <v>UAE Dirham per U.S. Dollar</v>
      </c>
      <c r="D21" cm="1">
        <f t="array" ref="D21">_xll.FDSB(B21,"FG_PRICE(0)")</f>
        <v>3.6729500000000002</v>
      </c>
      <c r="E21" cm="1">
        <f t="array" ref="E21">_xll.FDSB(B21,"FG_PRICE_CHANGE(0,-1AY)")</f>
        <v>2.7298927000000001E-3</v>
      </c>
      <c r="F21" cm="1">
        <f t="array" ref="F21">_xll.FDSB(B21,"FG_PRICE_CHANGE(0,-1AM)")</f>
        <v>0</v>
      </c>
      <c r="G21" cm="1">
        <f t="array" ref="G21">_xll.FDSB(B21,"FG_PRICE_CHANGE(0,-3AM)")</f>
        <v>1.2254714999999999E-2</v>
      </c>
      <c r="H21" cm="1">
        <f t="array" ref="H21">_xll.FDSB(B21,"FG_PRICE_CHANGE(0,-6AM)")</f>
        <v>-2.7179717999999999E-3</v>
      </c>
      <c r="I21" cm="1">
        <f t="array" ref="I21">_xll.FDS(B21,"STD(FG_PRICE_CHANGE(0,-1AY,AM))")</f>
        <v>8.2422487171251307E-3</v>
      </c>
      <c r="J21" cm="1">
        <f t="array" ref="J21">_xll.FDS(B21,"STD(FG_PRICE_CHANGE(0,-3AY,M))")*SQRT(12)</f>
        <v>2.6155669863642775E-2</v>
      </c>
      <c r="L21">
        <f t="shared" si="0"/>
        <v>59.099999999999994</v>
      </c>
      <c r="M21">
        <f t="shared" si="1"/>
        <v>68.199999999999989</v>
      </c>
      <c r="N21">
        <f t="shared" si="2"/>
        <v>54.6</v>
      </c>
      <c r="O21">
        <f t="shared" si="4"/>
        <v>60.94</v>
      </c>
      <c r="P21">
        <f t="shared" si="3"/>
        <v>95.5</v>
      </c>
      <c r="Q21">
        <f>VLOOKUP(A21,CAD!$A$3:$J$23, 10, FALSE)</f>
        <v>95.399999999999991</v>
      </c>
      <c r="S21">
        <f t="shared" si="5"/>
        <v>78.199999999999989</v>
      </c>
      <c r="U21" cm="1">
        <f t="array" ref="U21">_xlfn.PERCENTRANK.EXC(_xlfn._xlws.FILTER(S$3:S$23, ISNUMBER(S$3:S$23)),S21)*100</f>
        <v>95.399999999999991</v>
      </c>
    </row>
    <row r="22" spans="1:21" x14ac:dyDescent="0.35">
      <c r="A22" t="s">
        <v>37</v>
      </c>
      <c r="B22" t="s">
        <v>477</v>
      </c>
      <c r="C22" t="str" cm="1">
        <f t="array" ref="C22">_xll.FDSB(B22,"FG_COMPANY_NAME")</f>
        <v>Vietnam Dong per U.S. Dollar</v>
      </c>
      <c r="D22" cm="1">
        <f t="array" ref="D22">_xll.FDSB(B22,"FG_PRICE(0)")</f>
        <v>24686</v>
      </c>
      <c r="E22" cm="1">
        <f t="array" ref="E22">_xll.FDSB(B22,"FG_PRICE_CHANGE(0,-1AY)")</f>
        <v>4.0505766999999997</v>
      </c>
      <c r="F22" cm="1">
        <f t="array" ref="F22">_xll.FDSB(B22,"FG_PRICE_CHANGE(0,-1AM)")</f>
        <v>1.3798714000000001</v>
      </c>
      <c r="G22" cm="1">
        <f t="array" ref="G22">_xll.FDSB(B22,"FG_PRICE_CHANGE(0,-3AM)")</f>
        <v>1.8168329999999999</v>
      </c>
      <c r="H22" cm="1">
        <f t="array" ref="H22">_xll.FDSB(B22,"FG_PRICE_CHANGE(0,-6AM)")</f>
        <v>2.4953246</v>
      </c>
      <c r="I22" cm="1">
        <f t="array" ref="I22">_xll.FDS(B22,"STD(FG_PRICE_CHANGE(0,-1AY,AM))")</f>
        <v>0.88280365249768999</v>
      </c>
      <c r="J22" cm="1">
        <f t="array" ref="J22">_xll.FDS(B22,"STD(FG_PRICE_CHANGE(0,-3AY,M))")*SQRT(12)</f>
        <v>4.2861120152845427</v>
      </c>
      <c r="L22">
        <f t="shared" si="0"/>
        <v>18.200000000000006</v>
      </c>
      <c r="M22">
        <f t="shared" si="1"/>
        <v>27.3</v>
      </c>
      <c r="N22">
        <f t="shared" si="2"/>
        <v>18.200000000000006</v>
      </c>
      <c r="O22">
        <f t="shared" si="4"/>
        <v>21.840000000000003</v>
      </c>
      <c r="P22">
        <f t="shared" si="3"/>
        <v>77.3</v>
      </c>
      <c r="Q22">
        <f>VLOOKUP(A22,CAD!$A$3:$J$23, 10, FALSE)</f>
        <v>50</v>
      </c>
      <c r="S22">
        <f t="shared" si="5"/>
        <v>44.11</v>
      </c>
      <c r="U22" cm="1">
        <f t="array" ref="U22">_xlfn.PERCENTRANK.EXC(_xlfn._xlws.FILTER(S$3:S$23, ISNUMBER(S$3:S$23)),S22)*100</f>
        <v>40.9</v>
      </c>
    </row>
    <row r="23" spans="1:21" x14ac:dyDescent="0.35">
      <c r="A23" t="s">
        <v>36</v>
      </c>
      <c r="B23" t="s">
        <v>573</v>
      </c>
      <c r="C23" t="str" cm="1">
        <f t="array" ref="C23">_xll.FDSB(B23,"FG_COMPANY_NAME")</f>
        <v>Saudi Arabian Riyal per U.S. Dollar</v>
      </c>
      <c r="D23" cm="1">
        <f t="array" ref="D23">_xll.FDSB(B23,"FG_PRICE(0)")</f>
        <v>3.7503000000000002</v>
      </c>
      <c r="E23" cm="1">
        <f t="array" ref="E23">_xll.FDSB(B23,"FG_PRICE_CHANGE(0,-1AY)")</f>
        <v>-7.4607134000000006E-2</v>
      </c>
      <c r="F23" cm="1">
        <f t="array" ref="F23">_xll.FDSB(B23,"FG_PRICE_CHANGE(0,-1AM)")</f>
        <v>5.3286551999999999E-3</v>
      </c>
      <c r="G23" cm="1">
        <f t="array" ref="G23">_xll.FDSB(B23,"FG_PRICE_CHANGE(0,-3AM)")</f>
        <v>-2.6661158000000001E-2</v>
      </c>
      <c r="H23" cm="1">
        <f t="array" ref="H23">_xll.FDSB(B23,"FG_PRICE_CHANGE(0,-6AM)")</f>
        <v>-2.1332502E-2</v>
      </c>
      <c r="I23" cm="1">
        <f t="array" ref="I23">_xll.FDS(B23,"STD(FG_PRICE_CHANGE(0,-1AY,AM))")</f>
        <v>2.3741268820062101E-2</v>
      </c>
      <c r="J23" cm="1">
        <f t="array" ref="J23">_xll.FDS(B23,"STD(FG_PRICE_CHANGE(0,-3AY,M))")*SQRT(12)</f>
        <v>0.14930738978445626</v>
      </c>
      <c r="L23">
        <f t="shared" si="0"/>
        <v>50</v>
      </c>
      <c r="M23">
        <f t="shared" si="1"/>
        <v>77.3</v>
      </c>
      <c r="N23">
        <f t="shared" si="2"/>
        <v>59.099999999999994</v>
      </c>
      <c r="O23">
        <f t="shared" si="4"/>
        <v>64.56</v>
      </c>
      <c r="P23">
        <f t="shared" si="3"/>
        <v>86.4</v>
      </c>
      <c r="Q23">
        <f>VLOOKUP(A23,CAD!$A$3:$J$23, 10, FALSE)</f>
        <v>81.8</v>
      </c>
      <c r="S23">
        <f t="shared" si="5"/>
        <v>74.56</v>
      </c>
      <c r="U23" cm="1">
        <f t="array" ref="U23">_xlfn.PERCENTRANK.EXC(_xlfn._xlws.FILTER(S$3:S$23, ISNUMBER(S$3:S$23)),S23)*100</f>
        <v>86.3</v>
      </c>
    </row>
    <row r="36" spans="10:10" x14ac:dyDescent="0.35">
      <c r="J36" s="65"/>
    </row>
    <row r="38" spans="10:10" x14ac:dyDescent="0.35">
      <c r="J38" s="79"/>
    </row>
    <row r="40" spans="10:10" x14ac:dyDescent="0.35">
      <c r="J40" s="7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23"/>
  <sheetViews>
    <sheetView workbookViewId="0">
      <selection activeCell="A32" sqref="A24:XFD32"/>
    </sheetView>
  </sheetViews>
  <sheetFormatPr defaultRowHeight="14.5" x14ac:dyDescent="0.35"/>
  <cols>
    <col min="3" max="3" width="13.9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6328125" customWidth="1"/>
  </cols>
  <sheetData>
    <row r="1" spans="1:10" x14ac:dyDescent="0.35">
      <c r="F1" t="s">
        <v>497</v>
      </c>
      <c r="G1" t="s">
        <v>498</v>
      </c>
      <c r="H1" t="s">
        <v>499</v>
      </c>
      <c r="J1" t="s">
        <v>508</v>
      </c>
    </row>
    <row r="2" spans="1:10" x14ac:dyDescent="0.35">
      <c r="C2" t="s">
        <v>500</v>
      </c>
      <c r="D2" t="s">
        <v>156</v>
      </c>
      <c r="E2" t="s">
        <v>501</v>
      </c>
      <c r="F2" t="s">
        <v>502</v>
      </c>
      <c r="G2" t="s">
        <v>495</v>
      </c>
      <c r="H2" t="s">
        <v>496</v>
      </c>
    </row>
    <row r="3" spans="1:10" x14ac:dyDescent="0.35">
      <c r="A3" t="s">
        <v>437</v>
      </c>
      <c r="B3" t="s">
        <v>478</v>
      </c>
      <c r="C3" t="str" cm="1">
        <f t="array" ref="C3">_xll.FDS($E3,"FG_COMPANY_NAME")</f>
        <v>China</v>
      </c>
      <c r="D3" t="s">
        <v>108</v>
      </c>
      <c r="E3" t="s">
        <v>181</v>
      </c>
      <c r="F3" t="str">
        <f>_xlfn.CONCAT($F$1,D3)</f>
        <v>CAGDPY@CN</v>
      </c>
      <c r="G3" cm="1">
        <f t="array" ref="G3">IFERROR(_xll.FDS($F3,"EE_ACTUAL_ANNUAL(MED,0)"),0)</f>
        <v>1.7</v>
      </c>
      <c r="H3" cm="1">
        <f t="array" ref="H3">IFERROR(_xll.FDS($F3,"EE_ACTUAL_ANNUAL(MED,+1)"),0)</f>
        <v>1.25</v>
      </c>
      <c r="J3" cm="1">
        <f t="array" ref="J3">_xlfn.PERCENTRANK.EXC(_xlfn._xlws.FILTER(H$3:H$23, ISNUMBER(H$3:H$23)),H3)*100</f>
        <v>59</v>
      </c>
    </row>
    <row r="4" spans="1:10" x14ac:dyDescent="0.35">
      <c r="A4" t="s">
        <v>27</v>
      </c>
      <c r="B4" t="s">
        <v>485</v>
      </c>
      <c r="C4" t="str" cm="1">
        <f t="array" ref="C4">_xll.FDS($E4,"FG_COMPANY_NAME")</f>
        <v>Chile</v>
      </c>
      <c r="D4" t="s">
        <v>111</v>
      </c>
      <c r="E4" t="s">
        <v>298</v>
      </c>
      <c r="F4" t="str">
        <f t="shared" ref="F4:F23" si="0">_xlfn.CONCAT($F$1,D4)</f>
        <v>CAGDPY@CL</v>
      </c>
      <c r="G4" cm="1">
        <f t="array" ref="G4">IFERROR(_xll.FDS($F4,"EE_ACTUAL_ANNUAL(MED,0)"),0)</f>
        <v>-2.9</v>
      </c>
      <c r="H4" cm="1">
        <f t="array" ref="H4">IFERROR(_xll.FDS($F4,"EE_ACTUAL_ANNUAL(MED,+1)"),0)</f>
        <v>-3.7</v>
      </c>
      <c r="J4" cm="1">
        <f t="array" ref="J4">_xlfn.PERCENTRANK.EXC(_xlfn._xlws.FILTER(H$3:H$23, ISNUMBER(H$3:H$23)),H4)*100</f>
        <v>9</v>
      </c>
    </row>
    <row r="5" spans="1:10" x14ac:dyDescent="0.35">
      <c r="A5" t="s">
        <v>35</v>
      </c>
      <c r="B5" t="s">
        <v>474</v>
      </c>
      <c r="C5" t="str" cm="1">
        <f t="array" ref="C5">_xll.FDS($E5,"FG_COMPANY_NAME")</f>
        <v>Indonesia</v>
      </c>
      <c r="D5" t="s">
        <v>128</v>
      </c>
      <c r="E5" t="s">
        <v>191</v>
      </c>
      <c r="F5" t="str">
        <f t="shared" si="0"/>
        <v>CAGDPY@ID</v>
      </c>
      <c r="G5" cm="1">
        <f t="array" ref="G5">IFERROR(_xll.FDS($F5,"EE_ACTUAL_ANNUAL(MED,0)"),0)</f>
        <v>-0.11</v>
      </c>
      <c r="H5" cm="1">
        <f t="array" ref="H5">IFERROR(_xll.FDS($F5,"EE_ACTUAL_ANNUAL(MED,+1)"),0)</f>
        <v>-0.7</v>
      </c>
      <c r="J5" cm="1">
        <f t="array" ref="J5">_xlfn.PERCENTRANK.EXC(_xlfn._xlws.FILTER(H$3:H$23, ISNUMBER(H$3:H$23)),H5)*100</f>
        <v>45.4</v>
      </c>
    </row>
    <row r="6" spans="1:10" x14ac:dyDescent="0.35">
      <c r="A6" t="s">
        <v>30</v>
      </c>
      <c r="B6" t="s">
        <v>484</v>
      </c>
      <c r="C6" t="str" cm="1">
        <f t="array" ref="C6">_xll.FDS($E6,"FG_COMPANY_NAME")</f>
        <v>Philippines</v>
      </c>
      <c r="D6" t="s">
        <v>121</v>
      </c>
      <c r="E6" t="s">
        <v>209</v>
      </c>
      <c r="F6" t="str">
        <f t="shared" si="0"/>
        <v>CAGDPY@PH</v>
      </c>
      <c r="G6" cm="1">
        <f t="array" ref="G6">IFERROR(_xll.FDS($F6,"EE_ACTUAL_ANNUAL(MED,0)"),0)</f>
        <v>-3.15</v>
      </c>
      <c r="H6" cm="1">
        <f t="array" ref="H6">IFERROR(_xll.FDS($F6,"EE_ACTUAL_ANNUAL(MED,+1)"),0)</f>
        <v>-3.15</v>
      </c>
      <c r="J6" cm="1">
        <f t="array" ref="J6">_xlfn.PERCENTRANK.EXC(_xlfn._xlws.FILTER(H$3:H$23, ISNUMBER(H$3:H$23)),H6)*100</f>
        <v>18.099999999999998</v>
      </c>
    </row>
    <row r="7" spans="1:10" x14ac:dyDescent="0.35">
      <c r="A7" t="s">
        <v>23</v>
      </c>
      <c r="B7" t="s">
        <v>482</v>
      </c>
      <c r="C7" t="str" cm="1">
        <f t="array" ref="C7">_xll.FDS($E7,"FG_COMPANY_NAME")</f>
        <v>Poland</v>
      </c>
      <c r="D7" t="s">
        <v>104</v>
      </c>
      <c r="E7" t="s">
        <v>261</v>
      </c>
      <c r="F7" t="str">
        <f t="shared" si="0"/>
        <v>CAGDPY@PL</v>
      </c>
      <c r="G7" cm="1">
        <f t="array" ref="G7">IFERROR(_xll.FDS($F7,"EE_ACTUAL_ANNUAL(MED,0)"),0)</f>
        <v>1.60702813566805</v>
      </c>
      <c r="H7" cm="1">
        <f t="array" ref="H7">IFERROR(_xll.FDS($F7,"EE_ACTUAL_ANNUAL(MED,+1)"),0)</f>
        <v>0.8</v>
      </c>
      <c r="J7" cm="1">
        <f t="array" ref="J7">_xlfn.PERCENTRANK.EXC(_xlfn._xlws.FILTER(H$3:H$23, ISNUMBER(H$3:H$23)),H7)*100</f>
        <v>54.500000000000007</v>
      </c>
    </row>
    <row r="8" spans="1:10" x14ac:dyDescent="0.35">
      <c r="A8" t="s">
        <v>29</v>
      </c>
      <c r="B8" t="s">
        <v>486</v>
      </c>
      <c r="C8" t="str" cm="1">
        <f t="array" ref="C8">_xll.FDS($E8,"FG_COMPANY_NAME")</f>
        <v>Peru</v>
      </c>
      <c r="D8" t="s">
        <v>116</v>
      </c>
      <c r="E8" t="s">
        <v>308</v>
      </c>
      <c r="F8" t="str">
        <f t="shared" si="0"/>
        <v>CAGDPY@PE</v>
      </c>
      <c r="G8" cm="1">
        <f t="array" ref="G8">IFERROR(_xll.FDS($F8,"EE_ACTUAL_ANNUAL(MED,0)"),0)</f>
        <v>0.62568087086372304</v>
      </c>
      <c r="H8" cm="1">
        <f t="array" ref="H8">IFERROR(_xll.FDS($F8,"EE_ACTUAL_ANNUAL(MED,+1)"),0)</f>
        <v>-0.8</v>
      </c>
      <c r="J8" cm="1">
        <f t="array" ref="J8">_xlfn.PERCENTRANK.EXC(_xlfn._xlws.FILTER(H$3:H$23, ISNUMBER(H$3:H$23)),H8)*100</f>
        <v>36.299999999999997</v>
      </c>
    </row>
    <row r="9" spans="1:10" x14ac:dyDescent="0.35">
      <c r="A9" t="s">
        <v>33</v>
      </c>
      <c r="B9" t="s">
        <v>479</v>
      </c>
      <c r="C9" t="str" cm="1">
        <f t="array" ref="C9">_xll.FDS($E9,"FG_COMPANY_NAME")</f>
        <v>Malaysia</v>
      </c>
      <c r="D9" t="s">
        <v>126</v>
      </c>
      <c r="E9" t="s">
        <v>198</v>
      </c>
      <c r="F9" t="str">
        <f t="shared" si="0"/>
        <v>CAGDPY@MY</v>
      </c>
      <c r="G9" cm="1">
        <f t="array" ref="G9">IFERROR(_xll.FDS($F9,"EE_ACTUAL_ANNUAL(MED,0)"),0)</f>
        <v>1.2498866655507599</v>
      </c>
      <c r="H9" cm="1">
        <f t="array" ref="H9">IFERROR(_xll.FDS($F9,"EE_ACTUAL_ANNUAL(MED,+1)"),0)</f>
        <v>2.5</v>
      </c>
      <c r="J9" cm="1">
        <f t="array" ref="J9">_xlfn.PERCENTRANK.EXC(_xlfn._xlws.FILTER(H$3:H$23, ISNUMBER(H$3:H$23)),H9)*100</f>
        <v>72.7</v>
      </c>
    </row>
    <row r="10" spans="1:10" x14ac:dyDescent="0.35">
      <c r="A10" t="s">
        <v>24</v>
      </c>
      <c r="B10" t="s">
        <v>480</v>
      </c>
      <c r="C10" t="str" cm="1">
        <f t="array" ref="C10">_xll.FDS($E10,"FG_COMPANY_NAME")</f>
        <v>Taiwan, China</v>
      </c>
      <c r="D10" t="s">
        <v>107</v>
      </c>
      <c r="E10" t="s">
        <v>221</v>
      </c>
      <c r="F10" t="str">
        <f t="shared" si="0"/>
        <v>CAGDPY@TW</v>
      </c>
      <c r="G10" cm="1">
        <f t="array" ref="G10">IFERROR(_xll.FDS($F10,"EE_ACTUAL_ANNUAL(MED,0)"),0)</f>
        <v>13.726041867164099</v>
      </c>
      <c r="H10" cm="1">
        <f t="array" ref="H10">IFERROR(_xll.FDS($F10,"EE_ACTUAL_ANNUAL(MED,+1)"),0)</f>
        <v>11.5</v>
      </c>
      <c r="J10" cm="1">
        <f t="array" ref="J10">_xlfn.PERCENTRANK.EXC(_xlfn._xlws.FILTER(H$3:H$23, ISNUMBER(H$3:H$23)),H10)*100</f>
        <v>86.3</v>
      </c>
    </row>
    <row r="11" spans="1:10" x14ac:dyDescent="0.35">
      <c r="A11" t="s">
        <v>7</v>
      </c>
      <c r="B11" t="s">
        <v>483</v>
      </c>
      <c r="C11" t="str" cm="1">
        <f t="array" ref="C11">_xll.FDS($E11,"FG_COMPANY_NAME")</f>
        <v>Mexico</v>
      </c>
      <c r="D11" t="s">
        <v>125</v>
      </c>
      <c r="E11" t="s">
        <v>305</v>
      </c>
      <c r="F11" t="str">
        <f t="shared" si="0"/>
        <v>CAGDPY@MX</v>
      </c>
      <c r="G11" cm="1">
        <f t="array" ref="G11">IFERROR(_xll.FDS($F11,"EE_ACTUAL_ANNUAL(MED,0)"),0)</f>
        <v>-0.47499999999999998</v>
      </c>
      <c r="H11" cm="1">
        <f t="array" ref="H11">IFERROR(_xll.FDS($F11,"EE_ACTUAL_ANNUAL(MED,+1)"),0)</f>
        <v>-0.8</v>
      </c>
      <c r="J11" cm="1">
        <f t="array" ref="J11">_xlfn.PERCENTRANK.EXC(_xlfn._xlws.FILTER(H$3:H$23, ISNUMBER(H$3:H$23)),H11)*100</f>
        <v>36.299999999999997</v>
      </c>
    </row>
    <row r="12" spans="1:10" x14ac:dyDescent="0.35">
      <c r="A12" t="s">
        <v>21</v>
      </c>
      <c r="B12" t="s">
        <v>395</v>
      </c>
      <c r="C12" t="str" cm="1">
        <f t="array" ref="C12">_xll.FDS($E12,"FG_COMPANY_NAME")</f>
        <v>South Korea</v>
      </c>
      <c r="D12" t="s">
        <v>105</v>
      </c>
      <c r="E12" t="s">
        <v>214</v>
      </c>
      <c r="F12" t="str">
        <f t="shared" si="0"/>
        <v>CAGDPY@KR</v>
      </c>
      <c r="G12" cm="1">
        <f t="array" ref="G12">IFERROR(_xll.FDS($F12,"EE_ACTUAL_ANNUAL(MED,0)"),0)</f>
        <v>2.04376201054732</v>
      </c>
      <c r="H12" cm="1">
        <f t="array" ref="H12">IFERROR(_xll.FDS($F12,"EE_ACTUAL_ANNUAL(MED,+1)"),0)</f>
        <v>2.4</v>
      </c>
      <c r="J12" cm="1">
        <f t="array" ref="J12">_xlfn.PERCENTRANK.EXC(_xlfn._xlws.FILTER(H$3:H$23, ISNUMBER(H$3:H$23)),H12)*100</f>
        <v>68.100000000000009</v>
      </c>
    </row>
    <row r="13" spans="1:10" x14ac:dyDescent="0.35">
      <c r="A13" t="s">
        <v>12</v>
      </c>
      <c r="B13" t="s">
        <v>475</v>
      </c>
      <c r="C13" t="str" cm="1">
        <f t="array" ref="C13">_xll.FDS($E13,"FG_COMPANY_NAME")</f>
        <v>Brazil</v>
      </c>
      <c r="D13" t="s">
        <v>131</v>
      </c>
      <c r="E13" t="s">
        <v>295</v>
      </c>
      <c r="F13" t="str">
        <f t="shared" si="0"/>
        <v>CAGDPY@BR</v>
      </c>
      <c r="G13" cm="1">
        <f t="array" ref="G13">IFERROR(_xll.FDS($F13,"EE_ACTUAL_ANNUAL(MED,0)"),0)</f>
        <v>-1.31509554047975</v>
      </c>
      <c r="H13" cm="1">
        <f t="array" ref="H13">IFERROR(_xll.FDS($F13,"EE_ACTUAL_ANNUAL(MED,+1)"),0)</f>
        <v>-1.65</v>
      </c>
      <c r="J13" cm="1">
        <f t="array" ref="J13">_xlfn.PERCENTRANK.EXC(_xlfn._xlws.FILTER(H$3:H$23, ISNUMBER(H$3:H$23)),H13)*100</f>
        <v>27.200000000000003</v>
      </c>
    </row>
    <row r="14" spans="1:10" x14ac:dyDescent="0.35">
      <c r="A14" t="s">
        <v>22</v>
      </c>
      <c r="B14" t="s">
        <v>390</v>
      </c>
      <c r="C14" t="str" cm="1">
        <f t="array" ref="C14">_xll.FDS($E14,"FG_COMPANY_NAME")</f>
        <v>South Africa</v>
      </c>
      <c r="D14" t="s">
        <v>103</v>
      </c>
      <c r="E14" t="s">
        <v>370</v>
      </c>
      <c r="F14" t="str">
        <f t="shared" si="0"/>
        <v>CAGDPY@ZA</v>
      </c>
      <c r="G14" cm="1">
        <f t="array" ref="G14">IFERROR(_xll.FDS($F14,"EE_ACTUAL_ANNUAL(MED,0)"),0)</f>
        <v>-1.9</v>
      </c>
      <c r="H14" cm="1">
        <f t="array" ref="H14">IFERROR(_xll.FDS($F14,"EE_ACTUAL_ANNUAL(MED,+1)"),0)</f>
        <v>-2.2000000000000002</v>
      </c>
      <c r="J14" cm="1">
        <f t="array" ref="J14">_xlfn.PERCENTRANK.EXC(_xlfn._xlws.FILTER(H$3:H$23, ISNUMBER(H$3:H$23)),H14)*100</f>
        <v>22.7</v>
      </c>
    </row>
    <row r="15" spans="1:10" x14ac:dyDescent="0.35">
      <c r="A15" t="s">
        <v>28</v>
      </c>
      <c r="B15" t="s">
        <v>473</v>
      </c>
      <c r="C15" t="str" cm="1">
        <f t="array" ref="C15">_xll.FDS($E15,"FG_COMPANY_NAME")</f>
        <v>Greece</v>
      </c>
      <c r="D15" t="s">
        <v>115</v>
      </c>
      <c r="E15" t="s">
        <v>503</v>
      </c>
      <c r="F15" t="str">
        <f t="shared" si="0"/>
        <v>CAGDPY@GR</v>
      </c>
      <c r="G15" cm="1">
        <f t="array" ref="G15">IFERROR(_xll.FDS($F15,"EE_ACTUAL_ANNUAL(MED,0)"),0)</f>
        <v>-7.4</v>
      </c>
      <c r="H15" cm="1">
        <f t="array" ref="H15">IFERROR(_xll.FDS($F15,"EE_ACTUAL_ANNUAL(MED,+1)"),0)</f>
        <v>-6.5</v>
      </c>
      <c r="J15" cm="1">
        <f t="array" ref="J15">_xlfn.PERCENTRANK.EXC(_xlfn._xlws.FILTER(H$3:H$23, ISNUMBER(H$3:H$23)),H15)*100</f>
        <v>4.5</v>
      </c>
    </row>
    <row r="16" spans="1:10" x14ac:dyDescent="0.35">
      <c r="A16" t="s">
        <v>32</v>
      </c>
      <c r="B16" t="s">
        <v>391</v>
      </c>
      <c r="C16" t="str" cm="1">
        <f t="array" ref="C16">_xll.FDS($E16,"FG_COMPANY_NAME")</f>
        <v>India</v>
      </c>
      <c r="D16" t="s">
        <v>122</v>
      </c>
      <c r="E16" t="s">
        <v>188</v>
      </c>
      <c r="F16" t="str">
        <f t="shared" si="0"/>
        <v>CAGDPY@IN</v>
      </c>
      <c r="G16" cm="1">
        <f t="array" ref="G16">IFERROR(_xll.FDS($F16,"EE_ACTUAL_ANNUAL(MED,0)"),0)</f>
        <v>0</v>
      </c>
      <c r="H16" cm="1">
        <f t="array" ref="H16">IFERROR(_xll.FDS($F16,"EE_ACTUAL_ANNUAL(MED,+1)"),0)</f>
        <v>-1.5</v>
      </c>
      <c r="J16" cm="1">
        <f t="array" ref="J16">_xlfn.PERCENTRANK.EXC(_xlfn._xlws.FILTER(H$3:H$23, ISNUMBER(H$3:H$23)),H16)*100</f>
        <v>31.8</v>
      </c>
    </row>
    <row r="17" spans="1:10" x14ac:dyDescent="0.35">
      <c r="A17" t="s">
        <v>26</v>
      </c>
      <c r="B17" t="s">
        <v>478</v>
      </c>
      <c r="C17" t="str" cm="1">
        <f t="array" ref="C17">_xll.FDS($E17,"FG_COMPANY_NAME")</f>
        <v>China</v>
      </c>
      <c r="D17" t="s">
        <v>108</v>
      </c>
      <c r="E17" t="s">
        <v>181</v>
      </c>
      <c r="F17" t="str">
        <f t="shared" si="0"/>
        <v>CAGDPY@CN</v>
      </c>
      <c r="G17" cm="1">
        <f t="array" ref="G17">IFERROR(_xll.FDS($F17,"EE_ACTUAL_ANNUAL(MED,0)"),0)</f>
        <v>1.7</v>
      </c>
      <c r="H17" cm="1">
        <f t="array" ref="H17">IFERROR(_xll.FDS($F17,"EE_ACTUAL_ANNUAL(MED,+1)"),0)</f>
        <v>1.25</v>
      </c>
      <c r="J17" cm="1">
        <f t="array" ref="J17">_xlfn.PERCENTRANK.EXC(_xlfn._xlws.FILTER(H$3:H$23, ISNUMBER(H$3:H$23)),H17)*100</f>
        <v>59</v>
      </c>
    </row>
    <row r="18" spans="1:10" x14ac:dyDescent="0.35">
      <c r="A18" t="s">
        <v>31</v>
      </c>
      <c r="B18" t="s">
        <v>574</v>
      </c>
      <c r="C18" t="str" cm="1">
        <f t="array" ref="C18">_xll.FDS($E18,"FG_COMPANY_NAME")</f>
        <v>Qatar</v>
      </c>
      <c r="D18" t="s">
        <v>124</v>
      </c>
      <c r="E18" t="s">
        <v>364</v>
      </c>
      <c r="F18" t="str">
        <f t="shared" si="0"/>
        <v>CAGDPY@QA</v>
      </c>
      <c r="G18" cm="1">
        <f t="array" ref="G18">IFERROR(_xll.FDS($F18,"EE_ACTUAL_ANNUAL(MED,0)"),0)</f>
        <v>16.399999999999999</v>
      </c>
      <c r="H18" cm="1">
        <f t="array" ref="H18">IFERROR(_xll.FDS($F18,"EE_ACTUAL_ANNUAL(MED,+1)"),0)</f>
        <v>12.05</v>
      </c>
      <c r="J18" cm="1">
        <f t="array" ref="J18">_xlfn.PERCENTRANK.EXC(_xlfn._xlws.FILTER(H$3:H$23, ISNUMBER(H$3:H$23)),H18)*100</f>
        <v>90.9</v>
      </c>
    </row>
    <row r="19" spans="1:10" x14ac:dyDescent="0.35">
      <c r="A19" t="s">
        <v>764</v>
      </c>
      <c r="B19" t="s">
        <v>476</v>
      </c>
      <c r="C19" t="str" cm="1">
        <f t="array" ref="C19">_xll.FDS($E19,"FG_COMPANY_NAME")</f>
        <v>Thailand</v>
      </c>
      <c r="D19" t="s">
        <v>224</v>
      </c>
      <c r="E19" t="s">
        <v>225</v>
      </c>
      <c r="F19" t="str">
        <f t="shared" si="0"/>
        <v>CAGDPY@TH</v>
      </c>
      <c r="G19" cm="1">
        <f t="array" ref="G19">IFERROR(_xll.FDS($F19,"EE_ACTUAL_ANNUAL(MED,0)"),0)</f>
        <v>1.10427993908671</v>
      </c>
      <c r="H19" cm="1">
        <f t="array" ref="H19">IFERROR(_xll.FDS($F19,"EE_ACTUAL_ANNUAL(MED,+1)"),0)</f>
        <v>2.6</v>
      </c>
      <c r="J19" cm="1">
        <f t="array" ref="J19">_xlfn.PERCENTRANK.EXC(_xlfn._xlws.FILTER(H$3:H$23, ISNUMBER(H$3:H$23)),H19)*100</f>
        <v>77.2</v>
      </c>
    </row>
    <row r="20" spans="1:10" x14ac:dyDescent="0.35">
      <c r="A20" t="s">
        <v>25</v>
      </c>
      <c r="B20" t="s">
        <v>481</v>
      </c>
      <c r="C20" t="str" cm="1">
        <f t="array" ref="C20">_xll.FDS($E20,"FG_COMPANY_NAME")</f>
        <v>Turkey</v>
      </c>
      <c r="D20" t="s">
        <v>109</v>
      </c>
      <c r="E20" t="s">
        <v>283</v>
      </c>
      <c r="F20" t="str">
        <f t="shared" si="0"/>
        <v>CAGDPY@TR</v>
      </c>
      <c r="G20" cm="1">
        <f t="array" ref="G20">IFERROR(_xll.FDS($F20,"EE_ACTUAL_ANNUAL(MED,0)"),0)</f>
        <v>-5.07476227051166</v>
      </c>
      <c r="H20" cm="1">
        <f t="array" ref="H20">IFERROR(_xll.FDS($F20,"EE_ACTUAL_ANNUAL(MED,+1)"),0)</f>
        <v>-3.2</v>
      </c>
      <c r="J20" cm="1">
        <f t="array" ref="J20">_xlfn.PERCENTRANK.EXC(_xlfn._xlws.FILTER(H$3:H$23, ISNUMBER(H$3:H$23)),H20)*100</f>
        <v>13.600000000000001</v>
      </c>
    </row>
    <row r="21" spans="1:10" x14ac:dyDescent="0.35">
      <c r="A21" t="s">
        <v>34</v>
      </c>
      <c r="B21" t="s">
        <v>572</v>
      </c>
      <c r="C21" t="str" cm="1">
        <f t="array" ref="C21">_xll.FDS($E21,"FG_COMPANY_NAME")</f>
        <v>United Arab Emirates</v>
      </c>
      <c r="D21" t="s">
        <v>127</v>
      </c>
      <c r="E21" t="s">
        <v>377</v>
      </c>
      <c r="F21" t="str">
        <f t="shared" si="0"/>
        <v>CAGDPY@AE</v>
      </c>
      <c r="G21" cm="1">
        <f t="array" ref="G21">IFERROR(_xll.FDS($F21,"EE_ACTUAL_ANNUAL(MED,0)"),0)</f>
        <v>12.7</v>
      </c>
      <c r="H21" cm="1">
        <f t="array" ref="H21">IFERROR(_xll.FDS($F21,"EE_ACTUAL_ANNUAL(MED,+1)"),0)</f>
        <v>12.85</v>
      </c>
      <c r="J21" cm="1">
        <f t="array" ref="J21">_xlfn.PERCENTRANK.EXC(_xlfn._xlws.FILTER(H$3:H$23, ISNUMBER(H$3:H$23)),H21)*100</f>
        <v>95.399999999999991</v>
      </c>
    </row>
    <row r="22" spans="1:10" x14ac:dyDescent="0.35">
      <c r="A22" t="s">
        <v>37</v>
      </c>
      <c r="B22" t="s">
        <v>477</v>
      </c>
      <c r="C22" t="str" cm="1">
        <f t="array" ref="C22">_xll.FDS($E22,"FG_COMPANY_NAME")</f>
        <v>Vietnam</v>
      </c>
      <c r="D22" t="s">
        <v>130</v>
      </c>
      <c r="E22" t="s">
        <v>228</v>
      </c>
      <c r="F22" t="str">
        <f t="shared" si="0"/>
        <v>CAGDPY@VN</v>
      </c>
      <c r="G22" cm="1">
        <f t="array" ref="G22">IFERROR(_xll.FDS($F22,"EE_ACTUAL_ANNUAL(MED,0)"),0)</f>
        <v>0</v>
      </c>
      <c r="H22" cm="1">
        <f t="array" ref="H22">IFERROR(_xll.FDS($F22,"EE_ACTUAL_ANNUAL(MED,+1)"),0)</f>
        <v>0</v>
      </c>
      <c r="J22" cm="1">
        <f t="array" ref="J22">_xlfn.PERCENTRANK.EXC(_xlfn._xlws.FILTER(H$3:H$23, ISNUMBER(H$3:H$23)),H22)*100</f>
        <v>50</v>
      </c>
    </row>
    <row r="23" spans="1:10" x14ac:dyDescent="0.35">
      <c r="A23" t="s">
        <v>36</v>
      </c>
      <c r="B23" t="s">
        <v>573</v>
      </c>
      <c r="C23" t="str" cm="1">
        <f t="array" ref="C23">_xll.FDS($E23,"FG_COMPANY_NAME")</f>
        <v>Saudi Arabia</v>
      </c>
      <c r="D23" t="s">
        <v>129</v>
      </c>
      <c r="E23" t="s">
        <v>367</v>
      </c>
      <c r="F23" t="str">
        <f t="shared" si="0"/>
        <v>CAGDPY@SA</v>
      </c>
      <c r="G23" cm="1">
        <f t="array" ref="G23">IFERROR(_xll.FDS($F23,"EE_ACTUAL_ANNUAL(MED,0)"),0)</f>
        <v>4.55</v>
      </c>
      <c r="H23" cm="1">
        <f t="array" ref="H23">IFERROR(_xll.FDS($F23,"EE_ACTUAL_ANNUAL(MED,+1)"),0)</f>
        <v>3.6</v>
      </c>
      <c r="J23" cm="1">
        <f t="array" ref="J23">_xlfn.PERCENTRANK.EXC(_xlfn._xlws.FILTER(H$3:H$23, ISNUMBER(H$3:H$23)),H23)*100</f>
        <v>81.8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workbookViewId="0">
      <selection activeCell="B17" sqref="B17"/>
    </sheetView>
  </sheetViews>
  <sheetFormatPr defaultRowHeight="14.5" x14ac:dyDescent="0.35"/>
  <cols>
    <col min="1" max="1" width="10.6328125" customWidth="1"/>
    <col min="2" max="2" width="14" customWidth="1"/>
    <col min="3" max="3" width="11.6328125" customWidth="1"/>
    <col min="24" max="24" width="11.08984375" bestFit="1" customWidth="1"/>
    <col min="25" max="25" width="13.6328125" bestFit="1" customWidth="1"/>
    <col min="40" max="40" width="11.36328125" customWidth="1"/>
  </cols>
  <sheetData>
    <row r="1" spans="1:40" x14ac:dyDescent="0.3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108</v>
      </c>
      <c r="I1" t="s">
        <v>109</v>
      </c>
      <c r="J1" t="s">
        <v>108</v>
      </c>
      <c r="K1" t="s">
        <v>110</v>
      </c>
      <c r="L1" t="s">
        <v>111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T1" t="s">
        <v>119</v>
      </c>
      <c r="U1" t="s">
        <v>120</v>
      </c>
      <c r="W1" t="s">
        <v>108</v>
      </c>
      <c r="Y1" t="s">
        <v>121</v>
      </c>
      <c r="AA1" t="s">
        <v>122</v>
      </c>
      <c r="AB1" t="s">
        <v>123</v>
      </c>
      <c r="AC1" t="s">
        <v>123</v>
      </c>
      <c r="AD1" t="s">
        <v>124</v>
      </c>
      <c r="AE1" t="s">
        <v>122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L1" t="s">
        <v>130</v>
      </c>
      <c r="AM1" t="s">
        <v>131</v>
      </c>
    </row>
    <row r="3" spans="1:40" x14ac:dyDescent="0.35">
      <c r="B3" t="s">
        <v>132</v>
      </c>
      <c r="C3" t="s">
        <v>133</v>
      </c>
      <c r="D3" t="s">
        <v>134</v>
      </c>
      <c r="E3" t="s">
        <v>19</v>
      </c>
      <c r="F3" t="s">
        <v>135</v>
      </c>
      <c r="G3" t="s">
        <v>17</v>
      </c>
      <c r="H3" t="s">
        <v>17</v>
      </c>
      <c r="I3" t="s">
        <v>136</v>
      </c>
      <c r="J3" t="s">
        <v>17</v>
      </c>
      <c r="K3" t="s">
        <v>137</v>
      </c>
      <c r="L3" t="s">
        <v>112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  <c r="R3" t="s">
        <v>143</v>
      </c>
      <c r="S3" t="s">
        <v>144</v>
      </c>
      <c r="T3" t="s">
        <v>145</v>
      </c>
      <c r="U3" t="s">
        <v>146</v>
      </c>
      <c r="V3" t="s">
        <v>144</v>
      </c>
      <c r="W3" t="s">
        <v>17</v>
      </c>
      <c r="X3" t="s">
        <v>144</v>
      </c>
      <c r="Y3" t="s">
        <v>147</v>
      </c>
      <c r="Z3" t="s">
        <v>144</v>
      </c>
      <c r="AA3" t="s">
        <v>18</v>
      </c>
      <c r="AB3" t="s">
        <v>14</v>
      </c>
      <c r="AC3" t="s">
        <v>14</v>
      </c>
      <c r="AD3" t="s">
        <v>148</v>
      </c>
      <c r="AE3" t="s">
        <v>18</v>
      </c>
      <c r="AF3" t="s">
        <v>15</v>
      </c>
      <c r="AG3" t="s">
        <v>149</v>
      </c>
      <c r="AH3" t="s">
        <v>150</v>
      </c>
      <c r="AI3" t="s">
        <v>151</v>
      </c>
      <c r="AJ3" t="s">
        <v>152</v>
      </c>
      <c r="AL3" t="s">
        <v>153</v>
      </c>
      <c r="AM3" t="s">
        <v>20</v>
      </c>
      <c r="AN3" t="s">
        <v>144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7.4903000000000004</v>
      </c>
      <c r="AB7">
        <v>2.4325000000000001</v>
      </c>
      <c r="AC7">
        <v>2.4325000000000001</v>
      </c>
      <c r="AD7" t="e">
        <v>#N/A</v>
      </c>
      <c r="AE7">
        <v>7.4903000000000004</v>
      </c>
      <c r="AF7">
        <v>7.6401000000000003</v>
      </c>
      <c r="AG7">
        <v>3.9025439999999998</v>
      </c>
      <c r="AH7" t="e">
        <v>#N/A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 t="e">
        <v>#N/A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 t="e">
        <v>#N/A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 t="e">
        <v>#N/A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6.4687999999999999</v>
      </c>
      <c r="AB11">
        <v>1.5119</v>
      </c>
      <c r="AC11">
        <v>1.5119</v>
      </c>
      <c r="AD11" t="e">
        <v>#N/A</v>
      </c>
      <c r="AE11">
        <v>6.4687999999999999</v>
      </c>
      <c r="AF11">
        <v>7.5579999999999998</v>
      </c>
      <c r="AG11">
        <v>3.573893</v>
      </c>
      <c r="AH11" t="e">
        <v>#N/A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7.3388</v>
      </c>
      <c r="AB12">
        <v>3.8776000000000002</v>
      </c>
      <c r="AC12">
        <v>3.8776000000000002</v>
      </c>
      <c r="AD12" t="e">
        <v>#N/A</v>
      </c>
      <c r="AE12">
        <v>7.3388</v>
      </c>
      <c r="AF12">
        <v>9.0222999999999995</v>
      </c>
      <c r="AG12">
        <v>4.1318469999999996</v>
      </c>
      <c r="AH12" t="e">
        <v>#N/A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>
        <v>5.3314000000000004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7.2</v>
      </c>
      <c r="AB13">
        <v>3.8791000000000002</v>
      </c>
      <c r="AC13">
        <v>3.8791000000000002</v>
      </c>
      <c r="AD13" t="e">
        <v>#N/A</v>
      </c>
      <c r="AE13">
        <v>7.2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95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401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7.2694000000000001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7.2694000000000001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512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>
        <f t="shared" si="2"/>
        <v>5.3314000000000004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7.2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7.2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AC25"/>
  <sheetViews>
    <sheetView topLeftCell="J1" workbookViewId="0">
      <selection activeCell="W1" sqref="W1:AE1048576"/>
    </sheetView>
  </sheetViews>
  <sheetFormatPr defaultRowHeight="14.5" x14ac:dyDescent="0.35"/>
  <cols>
    <col min="1" max="1" width="10.6328125" customWidth="1"/>
  </cols>
  <sheetData>
    <row r="1" spans="1:22" x14ac:dyDescent="0.35">
      <c r="B1" t="s">
        <v>437</v>
      </c>
      <c r="C1" t="s">
        <v>27</v>
      </c>
      <c r="D1" t="s">
        <v>35</v>
      </c>
      <c r="E1" t="s">
        <v>30</v>
      </c>
      <c r="F1" t="s">
        <v>23</v>
      </c>
      <c r="G1" t="s">
        <v>29</v>
      </c>
      <c r="H1" t="s">
        <v>33</v>
      </c>
      <c r="I1" t="s">
        <v>24</v>
      </c>
      <c r="J1" t="s">
        <v>7</v>
      </c>
      <c r="K1" t="s">
        <v>21</v>
      </c>
      <c r="L1" t="s">
        <v>12</v>
      </c>
      <c r="M1" t="s">
        <v>22</v>
      </c>
      <c r="N1" t="s">
        <v>28</v>
      </c>
      <c r="O1" t="s">
        <v>32</v>
      </c>
      <c r="P1" t="s">
        <v>26</v>
      </c>
      <c r="Q1" t="s">
        <v>31</v>
      </c>
      <c r="R1" t="s">
        <v>764</v>
      </c>
      <c r="S1" t="s">
        <v>25</v>
      </c>
      <c r="T1" t="s">
        <v>34</v>
      </c>
      <c r="U1" t="s">
        <v>37</v>
      </c>
      <c r="V1" t="s">
        <v>36</v>
      </c>
    </row>
    <row r="2" spans="1:22" ht="25.5" customHeight="1" x14ac:dyDescent="0.35">
      <c r="A2" s="2" cm="1">
        <f t="array" ref="A2:A21">_xll.FDS(H1,"JULIAN(FMA_ROE(NTMA,-20AY,NOW,FY,""PORTAGG"",""MEANR"").dates)")</f>
        <v>38352</v>
      </c>
      <c r="B2" t="str" cm="1">
        <f t="array" ref="B2:B21">_xll.FDSB(B1,"FMA_ROE(NTMA,-20AY,NOW,FY,""PORTAGG"",""MEANR"")")</f>
        <v/>
      </c>
      <c r="C2" t="str" cm="1">
        <f t="array" ref="C2:C21">_xll.FDSB(C1,"FMA_ROE(NTMA,-20AY,NOW,FY,""PORTAGG"",""MEANR"")")</f>
        <v/>
      </c>
      <c r="D2" t="str" cm="1">
        <f t="array" ref="D2:D21">_xll.FDSB(D1,"FMA_ROE(NTMA,-20AY,NOW,FY,""PORTAGG"",""MEANR"")")</f>
        <v/>
      </c>
      <c r="E2" t="str" cm="1">
        <f t="array" ref="E2:E21">_xll.FDSB(E1,"FMA_ROE(NTMA,-20AY,NOW,FY,""PORTAGG"",""MEANR"")")</f>
        <v/>
      </c>
      <c r="F2" t="str" cm="1">
        <f t="array" ref="F2:F21">_xll.FDSB(F1,"FMA_ROE(NTMA,-20AY,NOW,FY,""PORTAGG"",""MEANR"")")</f>
        <v/>
      </c>
      <c r="G2" t="str" cm="1">
        <f t="array" ref="G2:G21">_xll.FDSB(G1,"FMA_ROE(NTMA,-20AY,NOW,FY,""PORTAGG"",""MEANR"")")</f>
        <v/>
      </c>
      <c r="H2" cm="1">
        <f t="array" ref="H2:H21">_xll.FDSB(H1,"FMA_ROE(NTMA,-20AY,NOW,FY,""PORTAGG"",""MEANR"")")</f>
        <v>13.376423559145399</v>
      </c>
      <c r="I2" cm="1">
        <f t="array" ref="I2:I21">_xll.FDSB(I1,"FMA_ROE(NTMA,-20AY,NOW,FY,""PORTAGG"",""MEANR"")")</f>
        <v>14.2091388164968</v>
      </c>
      <c r="J2" t="str" cm="1">
        <f t="array" ref="J2:J21">_xll.FDSB(J1,"FMA_ROE(NTMA,-20AY,NOW,FY,""PORTAGG"",""MEANR"")")</f>
        <v/>
      </c>
      <c r="K2" cm="1">
        <f t="array" ref="K2:K21">_xll.FDSB(K1,"FMA_ROE(NTMA,-20AY,NOW,FY,""PORTAGG"",""MEANR"")")</f>
        <v>15.9616854074036</v>
      </c>
      <c r="L2" cm="1">
        <f t="array" ref="L2:L21">_xll.FDSB(L1,"FMA_ROE(NTMA,-20AY,NOW,FY,""PORTAGG"",""MEANR"")")</f>
        <v>10.902459324937</v>
      </c>
      <c r="M2" cm="1">
        <f t="array" ref="M2:M21">_xll.FDSB(M1,"FMA_ROE(NTMA,-20AY,NOW,FY,""PORTAGG"",""MEANR"")")</f>
        <v>17.944307267730601</v>
      </c>
      <c r="N2" t="str" cm="1">
        <f t="array" ref="N2:N21">_xll.FDSB(N1,"FMA_ROE(NTMA,-20AY,NOW,FY,""PORTAGG"",""MEANR"")")</f>
        <v/>
      </c>
      <c r="O2" t="str" cm="1">
        <f t="array" ref="O2:O21">_xll.FDSB(O1,"FMA_ROE(NTMA,-20AY,NOW,FY,""PORTAGG"",""MEANR"")")</f>
        <v/>
      </c>
      <c r="P2" t="str" cm="1">
        <f t="array" ref="P2:P21">_xll.FDSB(P1,"FMA_ROE(NTMA,-20AY,NOW,FY,""PORTAGG"",""MEANR"")")</f>
        <v/>
      </c>
      <c r="Q2" t="str" cm="1">
        <f t="array" ref="Q2:Q21">_xll.FDSB(Q1,"FMA_ROE(NTMA,-20AY,NOW,FY,""PORTAGG"",""MEANR"")")</f>
        <v/>
      </c>
      <c r="R2" cm="1">
        <f t="array" ref="R2:R21">_xll.FDSB(R1,"FMA_ROE(NTMA,-20AY,NOW,FY,""PORTAGG"",""MEANR"")")</f>
        <v>19.477525307428301</v>
      </c>
      <c r="S2" t="str" cm="1">
        <f t="array" ref="S2:S21">_xll.FDSB(S1,"FMA_ROE(NTMA,-20AY,NOW,FY,""PORTAGG"",""MEANR"")")</f>
        <v/>
      </c>
      <c r="T2" t="str" cm="1">
        <f t="array" ref="T2:T21">_xll.FDSB(T1,"FMA_ROE(NTMA,-20AY,NOW,FY,""PORTAGG"",""MEANR"")")</f>
        <v/>
      </c>
      <c r="U2" t="str" cm="1">
        <f t="array" ref="U2:U21">_xll.FDSB(U1,"FMA_ROE(NTMA,-20AY,NOW,FY,""PORTAGG"",""MEANR"")")</f>
        <v/>
      </c>
      <c r="V2" t="str" cm="1">
        <f t="array" ref="V2:V21">_xll.FDSB(V1,"FMA_ROE(NTMA,-20AY,NOW,FY,""PORTAGG"",""MEANR"")")</f>
        <v/>
      </c>
    </row>
    <row r="3" spans="1:22" ht="25.5" customHeight="1" x14ac:dyDescent="0.35">
      <c r="A3" s="2">
        <v>38716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13.259100878288899</v>
      </c>
      <c r="I3">
        <v>14.098545713706599</v>
      </c>
      <c r="J3" s="85" t="str">
        <v/>
      </c>
      <c r="K3" s="85">
        <v>15.4849098528827</v>
      </c>
      <c r="L3">
        <v>15.133006841974501</v>
      </c>
      <c r="M3">
        <v>20.534892815675502</v>
      </c>
      <c r="N3" t="str">
        <v/>
      </c>
      <c r="O3" t="str">
        <v/>
      </c>
      <c r="P3" t="str">
        <v/>
      </c>
      <c r="Q3" t="str">
        <v/>
      </c>
      <c r="R3">
        <v>16.712932607338399</v>
      </c>
      <c r="S3" t="str">
        <v/>
      </c>
      <c r="T3" t="str">
        <v/>
      </c>
      <c r="U3" t="str">
        <v/>
      </c>
      <c r="V3" t="str">
        <v/>
      </c>
    </row>
    <row r="4" spans="1:22" ht="25.5" customHeight="1" x14ac:dyDescent="0.35">
      <c r="A4" s="2">
        <v>39080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13.534364209707901</v>
      </c>
      <c r="I4">
        <v>14.459071034744399</v>
      </c>
      <c r="J4" s="85" t="str">
        <v/>
      </c>
      <c r="K4" s="85">
        <v>13.8927001282369</v>
      </c>
      <c r="L4">
        <v>12.2637569805604</v>
      </c>
      <c r="M4">
        <v>23.396297970604699</v>
      </c>
      <c r="N4" t="str">
        <v/>
      </c>
      <c r="O4" t="str">
        <v/>
      </c>
      <c r="P4" t="str">
        <v/>
      </c>
      <c r="Q4" t="str">
        <v/>
      </c>
      <c r="R4">
        <v>14.8656028990892</v>
      </c>
      <c r="S4" t="str">
        <v/>
      </c>
      <c r="T4" t="str">
        <v/>
      </c>
      <c r="U4" t="str">
        <v/>
      </c>
      <c r="V4" t="str">
        <v/>
      </c>
    </row>
    <row r="5" spans="1:22" ht="25.5" customHeight="1" x14ac:dyDescent="0.35">
      <c r="A5" s="2">
        <v>39447</v>
      </c>
      <c r="B5" t="str">
        <v/>
      </c>
      <c r="C5">
        <v>14.177688160362401</v>
      </c>
      <c r="D5" t="str">
        <v/>
      </c>
      <c r="E5" t="str">
        <v/>
      </c>
      <c r="F5" t="str">
        <v/>
      </c>
      <c r="G5" t="str">
        <v/>
      </c>
      <c r="H5">
        <v>14.6672633006441</v>
      </c>
      <c r="I5">
        <v>16.480780564751502</v>
      </c>
      <c r="J5" s="85" t="str">
        <v/>
      </c>
      <c r="K5" s="85">
        <v>14.403966440200399</v>
      </c>
      <c r="L5">
        <v>16.921333713246799</v>
      </c>
      <c r="M5">
        <v>22.930941215949201</v>
      </c>
      <c r="N5" t="str">
        <v/>
      </c>
      <c r="O5" t="str">
        <v/>
      </c>
      <c r="P5" t="str">
        <v/>
      </c>
      <c r="Q5" t="str">
        <v/>
      </c>
      <c r="R5">
        <v>14.426607707669501</v>
      </c>
      <c r="S5" t="str">
        <v/>
      </c>
      <c r="T5" t="str">
        <v/>
      </c>
      <c r="U5" t="str">
        <v/>
      </c>
      <c r="V5" t="str">
        <v/>
      </c>
    </row>
    <row r="6" spans="1:22" ht="25.5" customHeight="1" x14ac:dyDescent="0.35">
      <c r="A6" s="2">
        <v>39813</v>
      </c>
      <c r="B6" t="str">
        <v/>
      </c>
      <c r="C6">
        <v>11.279880231549299</v>
      </c>
      <c r="D6" t="str">
        <v/>
      </c>
      <c r="E6" t="str">
        <v/>
      </c>
      <c r="F6" t="str">
        <v/>
      </c>
      <c r="G6" t="str">
        <v/>
      </c>
      <c r="H6">
        <v>11.789973955671799</v>
      </c>
      <c r="I6">
        <v>6.1959642113222397</v>
      </c>
      <c r="J6" s="85" t="str">
        <v/>
      </c>
      <c r="K6" s="85">
        <v>9.9245616460946504</v>
      </c>
      <c r="L6">
        <v>15.0739650750282</v>
      </c>
      <c r="M6">
        <v>18.525723394390699</v>
      </c>
      <c r="N6" t="str">
        <v/>
      </c>
      <c r="O6" t="str">
        <v/>
      </c>
      <c r="P6" t="str">
        <v/>
      </c>
      <c r="Q6" t="str">
        <v/>
      </c>
      <c r="R6">
        <v>11.056038571556501</v>
      </c>
      <c r="S6">
        <v>14.532366275604099</v>
      </c>
      <c r="T6" t="str">
        <v/>
      </c>
      <c r="U6" t="str">
        <v/>
      </c>
      <c r="V6" t="str">
        <v/>
      </c>
    </row>
    <row r="7" spans="1:22" ht="25.5" customHeight="1" x14ac:dyDescent="0.35">
      <c r="A7" s="2">
        <v>40178</v>
      </c>
      <c r="B7" t="str">
        <v/>
      </c>
      <c r="C7">
        <v>14.262888391324701</v>
      </c>
      <c r="D7" t="str">
        <v/>
      </c>
      <c r="E7" t="str">
        <v/>
      </c>
      <c r="F7" t="str">
        <v/>
      </c>
      <c r="G7">
        <v>21.648792493302199</v>
      </c>
      <c r="H7">
        <v>12.6973987236168</v>
      </c>
      <c r="I7">
        <v>11.6376050166428</v>
      </c>
      <c r="J7" s="85" t="str">
        <v/>
      </c>
      <c r="K7" s="85">
        <v>13.4147036931661</v>
      </c>
      <c r="L7">
        <v>15.0554926171621</v>
      </c>
      <c r="M7">
        <v>16.422923306743101</v>
      </c>
      <c r="N7" t="str">
        <v/>
      </c>
      <c r="O7" t="str">
        <v/>
      </c>
      <c r="P7" t="str">
        <v/>
      </c>
      <c r="Q7" t="str">
        <v/>
      </c>
      <c r="R7">
        <v>13.178996160463599</v>
      </c>
      <c r="S7">
        <v>15.083253112968899</v>
      </c>
      <c r="T7" t="str">
        <v/>
      </c>
      <c r="U7">
        <v>12.200767858252201</v>
      </c>
      <c r="V7" t="str">
        <v/>
      </c>
    </row>
    <row r="8" spans="1:22" ht="25.5" customHeight="1" x14ac:dyDescent="0.35">
      <c r="A8" s="2">
        <v>40543</v>
      </c>
      <c r="B8" t="str">
        <v/>
      </c>
      <c r="C8">
        <v>14.4661394368492</v>
      </c>
      <c r="D8">
        <v>18.927958558652598</v>
      </c>
      <c r="E8">
        <v>14.7602970828313</v>
      </c>
      <c r="F8">
        <v>12.913640938546299</v>
      </c>
      <c r="G8">
        <v>26.674075406926999</v>
      </c>
      <c r="H8">
        <v>14.629974764894</v>
      </c>
      <c r="I8">
        <v>14.2189185035578</v>
      </c>
      <c r="J8" s="85" t="str">
        <v/>
      </c>
      <c r="K8" s="85">
        <v>14.036452527090301</v>
      </c>
      <c r="L8">
        <v>15.561346162717401</v>
      </c>
      <c r="M8">
        <v>17.9081210683932</v>
      </c>
      <c r="N8" t="str">
        <v/>
      </c>
      <c r="O8" t="str">
        <v/>
      </c>
      <c r="P8" t="str">
        <v/>
      </c>
      <c r="Q8" t="str">
        <v/>
      </c>
      <c r="R8">
        <v>14.9486867959632</v>
      </c>
      <c r="S8">
        <v>15.867602614180599</v>
      </c>
      <c r="T8" t="str">
        <v/>
      </c>
      <c r="U8">
        <v>16.416291532494402</v>
      </c>
      <c r="V8" t="str">
        <v/>
      </c>
    </row>
    <row r="9" spans="1:22" ht="25.5" customHeight="1" x14ac:dyDescent="0.35">
      <c r="A9" s="2">
        <v>40907</v>
      </c>
      <c r="B9" t="str">
        <v/>
      </c>
      <c r="C9">
        <v>14.0754868016221</v>
      </c>
      <c r="D9">
        <v>18.073829290170899</v>
      </c>
      <c r="E9">
        <v>15.192977388624699</v>
      </c>
      <c r="F9">
        <v>11.6682069956937</v>
      </c>
      <c r="G9">
        <v>23.3940784657959</v>
      </c>
      <c r="H9">
        <v>13.8590428625605</v>
      </c>
      <c r="I9">
        <v>11.6486429529888</v>
      </c>
      <c r="J9" s="85" t="str">
        <v/>
      </c>
      <c r="K9" s="85">
        <v>12.893084510288601</v>
      </c>
      <c r="L9">
        <v>13.528023819453299</v>
      </c>
      <c r="M9">
        <v>18.715449271490101</v>
      </c>
      <c r="N9" t="str">
        <v/>
      </c>
      <c r="O9" t="str">
        <v/>
      </c>
      <c r="P9">
        <v>16.2489448712134</v>
      </c>
      <c r="Q9" t="str">
        <v/>
      </c>
      <c r="R9">
        <v>14.3192952203821</v>
      </c>
      <c r="S9">
        <v>14.476918586453699</v>
      </c>
      <c r="T9" t="str">
        <v/>
      </c>
      <c r="U9">
        <v>16.394053839445998</v>
      </c>
      <c r="V9" t="str">
        <v/>
      </c>
    </row>
    <row r="10" spans="1:22" ht="25.5" customHeight="1" x14ac:dyDescent="0.35">
      <c r="A10" s="2">
        <v>41274</v>
      </c>
      <c r="B10" t="str">
        <v/>
      </c>
      <c r="C10">
        <v>12.495289018718699</v>
      </c>
      <c r="D10">
        <v>16.8092892463225</v>
      </c>
      <c r="E10">
        <v>13.700399154582</v>
      </c>
      <c r="F10">
        <v>9.8809529735516293</v>
      </c>
      <c r="G10">
        <v>19.944208300320302</v>
      </c>
      <c r="H10">
        <v>13.233271148596501</v>
      </c>
      <c r="I10">
        <v>11.5182166875632</v>
      </c>
      <c r="J10" s="85" t="str">
        <v/>
      </c>
      <c r="K10" s="85">
        <v>12.474524979665899</v>
      </c>
      <c r="L10">
        <v>11.6623907171401</v>
      </c>
      <c r="M10">
        <v>17.1811698307319</v>
      </c>
      <c r="N10">
        <v>5.1805957088284504</v>
      </c>
      <c r="O10">
        <v>15.6108197056138</v>
      </c>
      <c r="P10">
        <v>14.784483651174799</v>
      </c>
      <c r="Q10" t="str">
        <v/>
      </c>
      <c r="R10">
        <v>15.3579090829836</v>
      </c>
      <c r="S10">
        <v>15.0590425800443</v>
      </c>
      <c r="T10" t="str">
        <v/>
      </c>
      <c r="U10">
        <v>15.4303491131499</v>
      </c>
      <c r="V10" t="str">
        <v/>
      </c>
    </row>
    <row r="11" spans="1:22" ht="25.5" customHeight="1" x14ac:dyDescent="0.35">
      <c r="A11" s="2">
        <v>41639</v>
      </c>
      <c r="B11" t="str">
        <v/>
      </c>
      <c r="C11">
        <v>10.8480668279512</v>
      </c>
      <c r="D11">
        <v>19.102074070579199</v>
      </c>
      <c r="E11">
        <v>13.6976116734629</v>
      </c>
      <c r="F11">
        <v>9.3281966268783805</v>
      </c>
      <c r="G11">
        <v>14.2295976118279</v>
      </c>
      <c r="H11">
        <v>13.0689929250701</v>
      </c>
      <c r="I11">
        <v>11.787759787352099</v>
      </c>
      <c r="J11" s="85" t="str">
        <v/>
      </c>
      <c r="K11" s="85">
        <v>11.4149566191569</v>
      </c>
      <c r="L11">
        <v>12.921670812908999</v>
      </c>
      <c r="M11">
        <v>15.817722548700599</v>
      </c>
      <c r="N11">
        <v>5.0292458068804899</v>
      </c>
      <c r="O11">
        <v>16.096259795639099</v>
      </c>
      <c r="P11">
        <v>14.7477410048543</v>
      </c>
      <c r="Q11" t="str">
        <v/>
      </c>
      <c r="R11">
        <v>14.4834347566328</v>
      </c>
      <c r="S11">
        <v>13.652489797672899</v>
      </c>
      <c r="T11" t="str">
        <v/>
      </c>
      <c r="U11">
        <v>15.275931782209399</v>
      </c>
      <c r="V11" t="str">
        <v/>
      </c>
    </row>
    <row r="12" spans="1:22" ht="25.5" customHeight="1" x14ac:dyDescent="0.35">
      <c r="A12" s="2">
        <v>42004</v>
      </c>
      <c r="B12" t="str">
        <v/>
      </c>
      <c r="C12">
        <v>9.3775833969926392</v>
      </c>
      <c r="D12">
        <v>18.408675050742801</v>
      </c>
      <c r="E12">
        <v>14.219614502703299</v>
      </c>
      <c r="F12">
        <v>9.0840041673954701</v>
      </c>
      <c r="G12">
        <v>12.7121203643147</v>
      </c>
      <c r="H12">
        <v>12.0884430441681</v>
      </c>
      <c r="I12">
        <v>13.127345554295999</v>
      </c>
      <c r="J12" s="85" t="str">
        <v/>
      </c>
      <c r="K12" s="85">
        <v>9.7704768239650406</v>
      </c>
      <c r="L12">
        <v>10.900243591811501</v>
      </c>
      <c r="M12">
        <v>15.0179384562795</v>
      </c>
      <c r="N12">
        <v>6.2845117866267204</v>
      </c>
      <c r="O12">
        <v>15.761277143555301</v>
      </c>
      <c r="P12">
        <v>13.8220324417748</v>
      </c>
      <c r="Q12">
        <v>16.7779984816015</v>
      </c>
      <c r="R12">
        <v>13.1977119976914</v>
      </c>
      <c r="S12">
        <v>12.866544620472</v>
      </c>
      <c r="T12">
        <v>11.0777984350957</v>
      </c>
      <c r="U12">
        <v>10.940366671467601</v>
      </c>
      <c r="V12" t="str">
        <v/>
      </c>
    </row>
    <row r="13" spans="1:22" ht="25.5" customHeight="1" x14ac:dyDescent="0.35">
      <c r="A13" s="2">
        <v>42369</v>
      </c>
      <c r="B13" t="str">
        <v/>
      </c>
      <c r="C13">
        <v>9.5706099133347493</v>
      </c>
      <c r="D13">
        <v>15.6625909554988</v>
      </c>
      <c r="E13">
        <v>13.3322794237975</v>
      </c>
      <c r="F13">
        <v>8.1959389953538402</v>
      </c>
      <c r="G13">
        <v>8.83035011509517</v>
      </c>
      <c r="H13">
        <v>10.6772868053956</v>
      </c>
      <c r="I13">
        <v>12.3828245738855</v>
      </c>
      <c r="J13" s="85" t="str">
        <v/>
      </c>
      <c r="K13" s="85">
        <v>8.8327668312628393</v>
      </c>
      <c r="L13">
        <v>10.634536034874101</v>
      </c>
      <c r="M13">
        <v>14.1296467541483</v>
      </c>
      <c r="N13">
        <v>5.4713363591772302</v>
      </c>
      <c r="O13">
        <v>15.905542104715799</v>
      </c>
      <c r="P13">
        <v>12.264088939939899</v>
      </c>
      <c r="Q13">
        <v>14.881445814290799</v>
      </c>
      <c r="R13">
        <v>12.826134737344599</v>
      </c>
      <c r="S13">
        <v>12.7726870869254</v>
      </c>
      <c r="T13">
        <v>12.304687111449301</v>
      </c>
      <c r="U13">
        <v>8.5756546844961008</v>
      </c>
      <c r="V13">
        <v>12.9007124779981</v>
      </c>
    </row>
    <row r="14" spans="1:22" ht="25.5" customHeight="1" x14ac:dyDescent="0.35">
      <c r="A14" s="2">
        <v>42734</v>
      </c>
      <c r="B14">
        <v>12.035710983290601</v>
      </c>
      <c r="C14">
        <v>8.6838665045544303</v>
      </c>
      <c r="D14">
        <v>15.054606398618001</v>
      </c>
      <c r="E14">
        <v>12.7182053290138</v>
      </c>
      <c r="F14">
        <v>8.8199252772021701</v>
      </c>
      <c r="G14">
        <v>12.5824807721625</v>
      </c>
      <c r="H14">
        <v>9.6001106335987991</v>
      </c>
      <c r="I14">
        <v>11.792466047279699</v>
      </c>
      <c r="J14" s="85">
        <v>12.236196707276701</v>
      </c>
      <c r="K14" s="85">
        <v>9.34985338936219</v>
      </c>
      <c r="L14">
        <v>11.2231596394428</v>
      </c>
      <c r="M14">
        <v>12.9857675631351</v>
      </c>
      <c r="N14">
        <v>4.5660179779951697</v>
      </c>
      <c r="O14">
        <v>15.693091658434399</v>
      </c>
      <c r="P14">
        <v>12.007707790005</v>
      </c>
      <c r="Q14">
        <v>12.143590871822299</v>
      </c>
      <c r="R14">
        <v>12.444505756756399</v>
      </c>
      <c r="S14">
        <v>12.845810717910901</v>
      </c>
      <c r="T14">
        <v>11.0383578639711</v>
      </c>
      <c r="U14">
        <v>13.499140434935599</v>
      </c>
      <c r="V14">
        <v>11.3294751772354</v>
      </c>
    </row>
    <row r="15" spans="1:22" ht="25.5" customHeight="1" x14ac:dyDescent="0.35">
      <c r="A15" s="2">
        <v>43098</v>
      </c>
      <c r="B15">
        <v>13.228058716685799</v>
      </c>
      <c r="C15">
        <v>9.3839204677486396</v>
      </c>
      <c r="D15">
        <v>15.7733994434049</v>
      </c>
      <c r="E15">
        <v>12.3434443766015</v>
      </c>
      <c r="F15">
        <v>10.583812917928499</v>
      </c>
      <c r="G15">
        <v>12.146198718530099</v>
      </c>
      <c r="H15">
        <v>9.8176605925737395</v>
      </c>
      <c r="I15">
        <v>12.5855614416921</v>
      </c>
      <c r="J15" s="85">
        <v>12.6640790394995</v>
      </c>
      <c r="K15" s="85">
        <v>11.1969769851489</v>
      </c>
      <c r="L15">
        <v>13.1487202255739</v>
      </c>
      <c r="M15">
        <v>13.347190311170101</v>
      </c>
      <c r="N15">
        <v>3.9464603441932802</v>
      </c>
      <c r="O15">
        <v>15.3154529754558</v>
      </c>
      <c r="P15">
        <v>13.3821124977803</v>
      </c>
      <c r="Q15">
        <v>12.130655327255299</v>
      </c>
      <c r="R15">
        <v>12.4919200136172</v>
      </c>
      <c r="S15">
        <v>15.205127173103399</v>
      </c>
      <c r="T15">
        <v>12.0257898837902</v>
      </c>
      <c r="U15">
        <v>12.1231419211942</v>
      </c>
      <c r="V15">
        <v>11.9967853551854</v>
      </c>
    </row>
    <row r="16" spans="1:22" ht="25.5" customHeight="1" x14ac:dyDescent="0.35">
      <c r="A16" s="2">
        <v>43465</v>
      </c>
      <c r="B16">
        <v>12.9587909941324</v>
      </c>
      <c r="C16">
        <v>11.2778516938703</v>
      </c>
      <c r="D16">
        <v>15.5352440090718</v>
      </c>
      <c r="E16">
        <v>11.7069295115669</v>
      </c>
      <c r="F16">
        <v>10.265799986894701</v>
      </c>
      <c r="G16">
        <v>10.922533007189999</v>
      </c>
      <c r="H16">
        <v>9.62847705365634</v>
      </c>
      <c r="I16">
        <v>11.512583795260401</v>
      </c>
      <c r="J16" s="85">
        <v>12.897214341888199</v>
      </c>
      <c r="K16" s="85">
        <v>9.7866294798228992</v>
      </c>
      <c r="L16">
        <v>15.197535127506599</v>
      </c>
      <c r="M16">
        <v>14.109787252230101</v>
      </c>
      <c r="N16">
        <v>4.2472666068859901</v>
      </c>
      <c r="O16">
        <v>14.612205045971701</v>
      </c>
      <c r="P16">
        <v>13.2137488528733</v>
      </c>
      <c r="Q16">
        <v>12.394741210409901</v>
      </c>
      <c r="R16">
        <v>12.5523899281401</v>
      </c>
      <c r="S16">
        <v>14.7086929252537</v>
      </c>
      <c r="T16">
        <v>10.390754425831799</v>
      </c>
      <c r="U16">
        <v>15.109726785561501</v>
      </c>
      <c r="V16">
        <v>12.170109651106801</v>
      </c>
    </row>
    <row r="17" spans="1:29" ht="25.5" customHeight="1" x14ac:dyDescent="0.35">
      <c r="A17" s="2">
        <v>43830</v>
      </c>
      <c r="B17">
        <v>13.475671715587101</v>
      </c>
      <c r="C17">
        <v>9.8359095445121802</v>
      </c>
      <c r="D17">
        <v>14.430010326605601</v>
      </c>
      <c r="E17">
        <v>12.053931828905901</v>
      </c>
      <c r="F17">
        <v>9.4389843194853</v>
      </c>
      <c r="G17">
        <v>11.9146021102361</v>
      </c>
      <c r="H17">
        <v>9.3328071547593403</v>
      </c>
      <c r="I17">
        <v>10.898313482389399</v>
      </c>
      <c r="J17" s="85">
        <v>12.0869262506609</v>
      </c>
      <c r="K17" s="85">
        <v>7.6764812398294504</v>
      </c>
      <c r="L17">
        <v>14.522736175078</v>
      </c>
      <c r="M17">
        <v>13.618522645445299</v>
      </c>
      <c r="N17">
        <v>5.8100215417249901</v>
      </c>
      <c r="O17">
        <v>14.5354845941958</v>
      </c>
      <c r="P17">
        <v>12.8854801395228</v>
      </c>
      <c r="Q17">
        <v>11.644637815588201</v>
      </c>
      <c r="R17">
        <v>10.939594922582099</v>
      </c>
      <c r="S17">
        <v>14.960285076136699</v>
      </c>
      <c r="T17">
        <v>8.1284551585419198</v>
      </c>
      <c r="U17">
        <v>15.480793943374101</v>
      </c>
      <c r="V17">
        <v>11.230555981468701</v>
      </c>
    </row>
    <row r="18" spans="1:29" ht="25.5" customHeight="1" x14ac:dyDescent="0.35">
      <c r="A18" s="2">
        <v>44196</v>
      </c>
      <c r="B18">
        <v>12.992301639356601</v>
      </c>
      <c r="C18">
        <v>8.7546394285479305</v>
      </c>
      <c r="D18">
        <v>11.4814604290421</v>
      </c>
      <c r="E18">
        <v>8.9157572982520694</v>
      </c>
      <c r="F18">
        <v>7.2076865078890302</v>
      </c>
      <c r="G18">
        <v>12.086026376396999</v>
      </c>
      <c r="H18">
        <v>10.615395226220899</v>
      </c>
      <c r="I18">
        <v>11.620910867592601</v>
      </c>
      <c r="J18" s="85">
        <v>11.7827107678515</v>
      </c>
      <c r="K18" s="85">
        <v>8.3077031339017395</v>
      </c>
      <c r="L18">
        <v>16.600394582778499</v>
      </c>
      <c r="M18">
        <v>16.711537192718801</v>
      </c>
      <c r="N18">
        <v>5.3671121826145196</v>
      </c>
      <c r="O18">
        <v>12.8423838581616</v>
      </c>
      <c r="P18">
        <v>12.3573578879857</v>
      </c>
      <c r="Q18">
        <v>11.2380998666164</v>
      </c>
      <c r="R18">
        <v>8.3884974999324893</v>
      </c>
      <c r="S18">
        <v>12.998128179312999</v>
      </c>
      <c r="T18">
        <v>6.7620176250090998</v>
      </c>
      <c r="U18">
        <v>17.088911201056401</v>
      </c>
      <c r="V18">
        <v>10.146987054615</v>
      </c>
    </row>
    <row r="19" spans="1:29" ht="25.5" customHeight="1" x14ac:dyDescent="0.35">
      <c r="A19" s="2">
        <v>44561</v>
      </c>
      <c r="B19">
        <v>13.7666448363476</v>
      </c>
      <c r="C19">
        <v>10.603891183835101</v>
      </c>
      <c r="D19">
        <v>13.6928560240483</v>
      </c>
      <c r="E19">
        <v>9.5994541019286697</v>
      </c>
      <c r="F19">
        <v>10.1460102201106</v>
      </c>
      <c r="G19">
        <v>15.0555655388878</v>
      </c>
      <c r="H19">
        <v>9.4736311465114298</v>
      </c>
      <c r="I19">
        <v>14.724411980088</v>
      </c>
      <c r="J19" s="85">
        <v>13.6871625469253</v>
      </c>
      <c r="K19" s="85">
        <v>10.145877621050801</v>
      </c>
      <c r="L19">
        <v>20.353675239160498</v>
      </c>
      <c r="M19">
        <v>16.932589581546001</v>
      </c>
      <c r="N19">
        <v>8.8257668466653296</v>
      </c>
      <c r="O19">
        <v>15.161283532760899</v>
      </c>
      <c r="P19">
        <v>11.973905842199001</v>
      </c>
      <c r="Q19">
        <v>12.7317850147387</v>
      </c>
      <c r="R19">
        <v>9.9474702734584195</v>
      </c>
      <c r="S19">
        <v>18.799460333949298</v>
      </c>
      <c r="T19">
        <v>11.2349425542518</v>
      </c>
      <c r="U19">
        <v>18.384490602079399</v>
      </c>
      <c r="V19">
        <v>12.799787801291201</v>
      </c>
    </row>
    <row r="20" spans="1:29" ht="25.5" customHeight="1" x14ac:dyDescent="0.35">
      <c r="A20" s="2">
        <v>44925</v>
      </c>
      <c r="B20">
        <v>13.371191955749</v>
      </c>
      <c r="C20">
        <v>12.7874449833902</v>
      </c>
      <c r="D20">
        <v>15.6524440836665</v>
      </c>
      <c r="E20">
        <v>10.673124635346801</v>
      </c>
      <c r="F20">
        <v>10.9641857238333</v>
      </c>
      <c r="G20">
        <v>13.6225814185959</v>
      </c>
      <c r="H20">
        <v>10.1683466984571</v>
      </c>
      <c r="I20">
        <v>12.940792083987301</v>
      </c>
      <c r="J20" s="85">
        <v>13.339469941551799</v>
      </c>
      <c r="K20" s="85">
        <v>7.5097938664904698</v>
      </c>
      <c r="L20">
        <v>19.407551564632701</v>
      </c>
      <c r="M20">
        <v>16.8118349535848</v>
      </c>
      <c r="N20">
        <v>11.0341923380188</v>
      </c>
      <c r="O20">
        <v>14.9254235326562</v>
      </c>
      <c r="P20">
        <v>11.5506323774735</v>
      </c>
      <c r="Q20">
        <v>13.290131357764499</v>
      </c>
      <c r="R20">
        <v>10.1243577102345</v>
      </c>
      <c r="S20">
        <v>24.2938213733918</v>
      </c>
      <c r="T20">
        <v>12.9338493780006</v>
      </c>
      <c r="U20">
        <v>14.733462255063101</v>
      </c>
      <c r="V20">
        <v>13.7729696546777</v>
      </c>
    </row>
    <row r="21" spans="1:29" ht="25.5" customHeight="1" x14ac:dyDescent="0.35">
      <c r="A21" s="2">
        <v>45289</v>
      </c>
      <c r="B21">
        <v>12.046140061537701</v>
      </c>
      <c r="C21">
        <v>13.7800684317394</v>
      </c>
      <c r="D21">
        <v>14.0315270121823</v>
      </c>
      <c r="E21">
        <v>11.9407094450334</v>
      </c>
      <c r="F21">
        <v>12.394579327579899</v>
      </c>
      <c r="G21">
        <v>12.932447367368299</v>
      </c>
      <c r="H21">
        <v>9.55887744824477</v>
      </c>
      <c r="I21">
        <v>11.9152161134331</v>
      </c>
      <c r="J21" s="85">
        <v>13.699010101723401</v>
      </c>
      <c r="K21" s="85">
        <v>8.9018523713911009</v>
      </c>
      <c r="L21">
        <v>18.6294532976694</v>
      </c>
      <c r="M21">
        <v>14.5722752976358</v>
      </c>
      <c r="N21">
        <v>13.1253657894167</v>
      </c>
      <c r="O21">
        <v>16.075803560414201</v>
      </c>
      <c r="P21">
        <v>11.5617545760418</v>
      </c>
      <c r="Q21">
        <v>12.1192289718939</v>
      </c>
      <c r="R21">
        <v>9.3489236352672496</v>
      </c>
      <c r="S21">
        <v>26.056797757333701</v>
      </c>
      <c r="T21">
        <v>13.225118228357401</v>
      </c>
      <c r="U21">
        <v>10.732551346519401</v>
      </c>
      <c r="V21">
        <v>11.7570018859186</v>
      </c>
    </row>
    <row r="23" spans="1:29" x14ac:dyDescent="0.35">
      <c r="A23" t="s">
        <v>95</v>
      </c>
      <c r="B23" s="8">
        <f t="shared" ref="B23:V23" si="0">MIN(_xlfn.ANCHORARRAY(B2))</f>
        <v>12.035710983290601</v>
      </c>
      <c r="C23" s="8">
        <f t="shared" si="0"/>
        <v>8.6838665045544303</v>
      </c>
      <c r="D23" s="8">
        <f t="shared" si="0"/>
        <v>11.4814604290421</v>
      </c>
      <c r="E23" s="8">
        <f t="shared" si="0"/>
        <v>8.9157572982520694</v>
      </c>
      <c r="F23" s="8">
        <f t="shared" si="0"/>
        <v>7.2076865078890302</v>
      </c>
      <c r="G23" s="8">
        <f t="shared" si="0"/>
        <v>8.83035011509517</v>
      </c>
      <c r="H23" s="8">
        <f t="shared" si="0"/>
        <v>9.3328071547593403</v>
      </c>
      <c r="I23" s="8">
        <f t="shared" si="0"/>
        <v>6.1959642113222397</v>
      </c>
      <c r="J23" s="8">
        <f t="shared" si="0"/>
        <v>11.7827107678515</v>
      </c>
      <c r="K23" s="8">
        <f t="shared" si="0"/>
        <v>7.5097938664904698</v>
      </c>
      <c r="L23" s="8">
        <f t="shared" si="0"/>
        <v>10.634536034874101</v>
      </c>
      <c r="M23" s="8">
        <f t="shared" si="0"/>
        <v>12.9857675631351</v>
      </c>
      <c r="N23" s="8">
        <f t="shared" si="0"/>
        <v>3.9464603441932802</v>
      </c>
      <c r="O23" s="8">
        <f t="shared" si="0"/>
        <v>12.8423838581616</v>
      </c>
      <c r="P23" s="8">
        <f t="shared" si="0"/>
        <v>11.5506323774735</v>
      </c>
      <c r="Q23" s="8">
        <f t="shared" si="0"/>
        <v>11.2380998666164</v>
      </c>
      <c r="R23" s="8">
        <f t="shared" si="0"/>
        <v>8.3884974999324893</v>
      </c>
      <c r="S23" s="8">
        <f t="shared" si="0"/>
        <v>12.7726870869254</v>
      </c>
      <c r="T23" s="8">
        <f t="shared" si="0"/>
        <v>6.7620176250090998</v>
      </c>
      <c r="U23" s="8">
        <f t="shared" si="0"/>
        <v>8.5756546844961008</v>
      </c>
      <c r="V23" s="8">
        <f t="shared" si="0"/>
        <v>10.146987054615</v>
      </c>
      <c r="W23" s="8"/>
      <c r="X23" s="8"/>
      <c r="Y23" s="8"/>
      <c r="Z23" s="8"/>
      <c r="AA23" s="8"/>
      <c r="AB23" s="8"/>
      <c r="AC23" s="8"/>
    </row>
    <row r="24" spans="1:29" x14ac:dyDescent="0.35">
      <c r="A24" t="s">
        <v>401</v>
      </c>
      <c r="B24" s="8">
        <f t="shared" ref="B24:V24" si="1">MEDIAN(_xlfn.ANCHORARRAY(B2))</f>
        <v>13.110180178021199</v>
      </c>
      <c r="C24" s="8">
        <f t="shared" si="1"/>
        <v>11.2778516938703</v>
      </c>
      <c r="D24" s="8">
        <f t="shared" si="1"/>
        <v>15.657517519582651</v>
      </c>
      <c r="E24" s="8">
        <f t="shared" si="1"/>
        <v>12.530824852807651</v>
      </c>
      <c r="F24" s="8">
        <f t="shared" si="1"/>
        <v>10.013481596831115</v>
      </c>
      <c r="G24" s="8">
        <f t="shared" si="1"/>
        <v>12.932447367368299</v>
      </c>
      <c r="H24" s="8">
        <f t="shared" si="1"/>
        <v>11.93920849991995</v>
      </c>
      <c r="I24" s="8">
        <f t="shared" si="1"/>
        <v>12.1490203436593</v>
      </c>
      <c r="J24" s="8">
        <f t="shared" si="1"/>
        <v>12.78064669069385</v>
      </c>
      <c r="K24" s="8">
        <f t="shared" si="1"/>
        <v>10.671427303099851</v>
      </c>
      <c r="L24" s="8">
        <f t="shared" si="1"/>
        <v>14.78911439612005</v>
      </c>
      <c r="M24" s="8">
        <f t="shared" si="1"/>
        <v>16.7616860731518</v>
      </c>
      <c r="N24" s="8">
        <f t="shared" si="1"/>
        <v>5.4192242708958744</v>
      </c>
      <c r="O24" s="8">
        <f t="shared" si="1"/>
        <v>15.463136340534799</v>
      </c>
      <c r="P24" s="8">
        <f t="shared" si="1"/>
        <v>12.8854801395228</v>
      </c>
      <c r="Q24" s="8">
        <f t="shared" si="1"/>
        <v>12.269166041116101</v>
      </c>
      <c r="R24" s="8">
        <f t="shared" si="1"/>
        <v>13.0025654489041</v>
      </c>
      <c r="S24" s="8">
        <f t="shared" si="1"/>
        <v>14.8344890006952</v>
      </c>
      <c r="T24" s="8">
        <f t="shared" si="1"/>
        <v>11.15637049467375</v>
      </c>
      <c r="U24" s="8">
        <f t="shared" si="1"/>
        <v>15.109726785561501</v>
      </c>
      <c r="V24" s="8">
        <f t="shared" si="1"/>
        <v>11.9967853551854</v>
      </c>
      <c r="W24" s="8"/>
      <c r="X24" s="8"/>
      <c r="Y24" s="8"/>
      <c r="Z24" s="8"/>
      <c r="AA24" s="8"/>
      <c r="AB24" s="8"/>
      <c r="AC24" s="8"/>
    </row>
    <row r="25" spans="1:29" x14ac:dyDescent="0.35">
      <c r="A25" t="s">
        <v>512</v>
      </c>
      <c r="B25" s="8">
        <f t="shared" ref="B25:V25" si="2">B21</f>
        <v>12.046140061537701</v>
      </c>
      <c r="C25" s="8">
        <f t="shared" si="2"/>
        <v>13.7800684317394</v>
      </c>
      <c r="D25" s="8">
        <f t="shared" si="2"/>
        <v>14.0315270121823</v>
      </c>
      <c r="E25" s="8">
        <f t="shared" si="2"/>
        <v>11.9407094450334</v>
      </c>
      <c r="F25" s="8">
        <f t="shared" si="2"/>
        <v>12.394579327579899</v>
      </c>
      <c r="G25" s="8">
        <f t="shared" si="2"/>
        <v>12.932447367368299</v>
      </c>
      <c r="H25" s="8">
        <f t="shared" si="2"/>
        <v>9.55887744824477</v>
      </c>
      <c r="I25" s="8">
        <f t="shared" si="2"/>
        <v>11.9152161134331</v>
      </c>
      <c r="J25" s="8">
        <f t="shared" si="2"/>
        <v>13.699010101723401</v>
      </c>
      <c r="K25" s="8">
        <f t="shared" si="2"/>
        <v>8.9018523713911009</v>
      </c>
      <c r="L25" s="8">
        <f t="shared" si="2"/>
        <v>18.6294532976694</v>
      </c>
      <c r="M25" s="8">
        <f t="shared" si="2"/>
        <v>14.5722752976358</v>
      </c>
      <c r="N25" s="8">
        <f t="shared" si="2"/>
        <v>13.1253657894167</v>
      </c>
      <c r="O25" s="8">
        <f t="shared" si="2"/>
        <v>16.075803560414201</v>
      </c>
      <c r="P25" s="8">
        <f t="shared" si="2"/>
        <v>11.5617545760418</v>
      </c>
      <c r="Q25" s="8">
        <f t="shared" si="2"/>
        <v>12.1192289718939</v>
      </c>
      <c r="R25" s="8">
        <f t="shared" si="2"/>
        <v>9.3489236352672496</v>
      </c>
      <c r="S25" s="8">
        <f t="shared" si="2"/>
        <v>26.056797757333701</v>
      </c>
      <c r="T25" s="8">
        <f t="shared" si="2"/>
        <v>13.225118228357401</v>
      </c>
      <c r="U25" s="8">
        <f t="shared" si="2"/>
        <v>10.732551346519401</v>
      </c>
      <c r="V25" s="8">
        <f t="shared" si="2"/>
        <v>11.7570018859186</v>
      </c>
      <c r="W25" s="8"/>
      <c r="X25" s="8"/>
      <c r="Y25" s="8"/>
      <c r="Z25" s="8"/>
      <c r="AA25" s="8"/>
      <c r="AB25" s="8"/>
      <c r="AC25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AE28"/>
  <sheetViews>
    <sheetView tabSelected="1" topLeftCell="G1" zoomScale="85" zoomScaleNormal="85" workbookViewId="0">
      <selection activeCell="P17" sqref="P17"/>
    </sheetView>
  </sheetViews>
  <sheetFormatPr defaultRowHeight="14.5" x14ac:dyDescent="0.35"/>
  <cols>
    <col min="1" max="1" width="19.6328125" hidden="1" customWidth="1"/>
    <col min="2" max="2" width="12.6328125" hidden="1" customWidth="1"/>
    <col min="3" max="3" width="15.6328125" hidden="1" customWidth="1"/>
    <col min="4" max="4" width="13.90625" hidden="1" customWidth="1"/>
    <col min="5" max="5" width="23.54296875" hidden="1" customWidth="1"/>
    <col min="6" max="6" width="9.6328125" hidden="1" customWidth="1"/>
    <col min="7" max="9" width="19.36328125" customWidth="1"/>
    <col min="10" max="10" width="34.36328125" bestFit="1" customWidth="1"/>
    <col min="11" max="11" width="19.36328125" customWidth="1"/>
    <col min="12" max="12" width="11" customWidth="1"/>
    <col min="13" max="13" width="11" bestFit="1" customWidth="1"/>
    <col min="16" max="16" width="11.453125" customWidth="1"/>
    <col min="17" max="17" width="10.36328125" bestFit="1" customWidth="1"/>
    <col min="18" max="18" width="13.36328125" customWidth="1"/>
    <col min="28" max="28" width="13" customWidth="1"/>
  </cols>
  <sheetData>
    <row r="1" spans="1:28" ht="18.5" x14ac:dyDescent="0.55000000000000004">
      <c r="K1" s="74" t="s">
        <v>802</v>
      </c>
      <c r="L1" s="214">
        <f ca="1">EDATE(TODAY(), -1)</f>
        <v>45328</v>
      </c>
      <c r="M1" s="131"/>
    </row>
    <row r="2" spans="1:28" ht="15" thickBot="1" x14ac:dyDescent="0.4">
      <c r="K2" s="12" t="s">
        <v>803</v>
      </c>
      <c r="L2" s="215">
        <f ca="1">EDATE(TODAY(), -4)</f>
        <v>45236</v>
      </c>
    </row>
    <row r="3" spans="1:28" ht="50.25" customHeight="1" x14ac:dyDescent="0.35">
      <c r="E3" t="s">
        <v>767</v>
      </c>
      <c r="F3" t="s">
        <v>768</v>
      </c>
      <c r="H3" t="s">
        <v>786</v>
      </c>
      <c r="I3" t="s">
        <v>581</v>
      </c>
      <c r="J3" t="s">
        <v>534</v>
      </c>
      <c r="M3" s="129" t="s">
        <v>787</v>
      </c>
      <c r="N3" t="str" cm="1">
        <f t="array" aca="1" ref="N3" ca="1">_xll.FDSRC("-","DUMMY","ECON_DATE("&amp;$L$1&amp;",,, 'MM/YYYY')")</f>
        <v>02/2024</v>
      </c>
      <c r="O3" t="str" cm="1">
        <f t="array" aca="1" ref="O3" ca="1">_xll.FDSRC("-","DUMMY","ECON_DATE("&amp;$L$2&amp;",,, 'MM/YYYY')")</f>
        <v>11/2023</v>
      </c>
      <c r="P3" s="129" t="s">
        <v>793</v>
      </c>
      <c r="Q3" s="129" t="s">
        <v>805</v>
      </c>
      <c r="R3" s="132" t="s">
        <v>806</v>
      </c>
      <c r="S3" s="132" t="s">
        <v>568</v>
      </c>
      <c r="T3" s="132" t="s">
        <v>757</v>
      </c>
    </row>
    <row r="4" spans="1:28" x14ac:dyDescent="0.35">
      <c r="A4" t="s">
        <v>437</v>
      </c>
      <c r="B4" t="s">
        <v>440</v>
      </c>
      <c r="C4" t="s">
        <v>437</v>
      </c>
      <c r="D4" t="s">
        <v>769</v>
      </c>
      <c r="E4">
        <v>53.6</v>
      </c>
      <c r="F4">
        <v>2.4</v>
      </c>
      <c r="G4" t="s">
        <v>108</v>
      </c>
      <c r="H4" s="126" t="s">
        <v>772</v>
      </c>
      <c r="I4" s="127" t="s">
        <v>622</v>
      </c>
      <c r="J4" s="128" t="s">
        <v>440</v>
      </c>
      <c r="K4" s="128" t="s">
        <v>437</v>
      </c>
      <c r="L4" t="s">
        <v>769</v>
      </c>
      <c r="M4" cm="1">
        <f t="array" ref="M4">IF(_xll.FDSRC(,"DUMMY","ECON_EXPR_DATA('FDS_ECON["&amp;H4&amp;"]',,,M)")=0,$J$28,_xll.FDSRC(,"DUMMY","ECON_EXPR_DATA('FDS_ECON["&amp;H4&amp;"]',,,M)"))</f>
        <v>50.918056</v>
      </c>
      <c r="N4" cm="1">
        <f t="array" aca="1" ref="N4" ca="1">_xll.FDSRC("-","DUMMY","ECON_EXPR_DATA('FDS_ECON["&amp;H4&amp;"]',"&amp;$N$3&amp;",,Q)")</f>
        <v>50.34384</v>
      </c>
      <c r="O4" cm="1">
        <f t="array" aca="1" ref="O4" ca="1">_xll.FDSRC("-","DUMMY","ECON_EXPR_DATA('FDS_ECON["&amp;H4&amp;"]',"&amp;$O$3&amp;",,Q)")</f>
        <v>50.266373000000002</v>
      </c>
      <c r="P4">
        <f t="shared" ref="P4:P24" ca="1" si="0">IFERROR(N4-O4,$M$28)</f>
        <v>7.746699999999862E-2</v>
      </c>
      <c r="Q4" cm="1">
        <f t="array" ref="Q4">_xlfn.PERCENTRANK.EXC(_xlfn._xlws.FILTER(M$4:M$24, ISNUMBER(M$4:M$24)),M4)*100</f>
        <v>36.299999999999997</v>
      </c>
      <c r="R4" cm="1">
        <f t="array" aca="1" ref="R4" ca="1">_xlfn.PERCENTRANK.EXC(_xlfn._xlws.FILTER(P$4:P$24, ISNUMBER(P$4:P$24)),P4)*100</f>
        <v>63.6</v>
      </c>
      <c r="S4">
        <f ca="1">Q4*Assumption!$E$27 + R4*Assumption!$F$27</f>
        <v>47.22</v>
      </c>
      <c r="T4" cm="1">
        <f t="array" aca="1" ref="T4" ca="1">_xlfn.PERCENTRANK.EXC(_xlfn._xlws.FILTER(S$4:S$24, ISNUMBER(S$4:S$24)),S4)*100</f>
        <v>59</v>
      </c>
    </row>
    <row r="5" spans="1:28" x14ac:dyDescent="0.35">
      <c r="A5" t="s">
        <v>27</v>
      </c>
      <c r="B5" t="s">
        <v>441</v>
      </c>
      <c r="C5" t="s">
        <v>27</v>
      </c>
      <c r="D5" t="s">
        <v>769</v>
      </c>
      <c r="E5">
        <v>54.9</v>
      </c>
      <c r="F5">
        <v>3.1</v>
      </c>
      <c r="G5" t="s">
        <v>111</v>
      </c>
      <c r="H5" s="126" t="s">
        <v>788</v>
      </c>
      <c r="I5" s="127" t="s">
        <v>621</v>
      </c>
      <c r="J5" s="128" t="s">
        <v>441</v>
      </c>
      <c r="K5" s="128" t="s">
        <v>27</v>
      </c>
      <c r="L5" t="s">
        <v>769</v>
      </c>
      <c r="M5" cm="1">
        <f t="array" ref="M5">IF(_xll.FDSRC(,"DUMMY","ECON_EXPR_DATA('FDS_ECON["&amp;H5&amp;"]',,,M)")=0,$J$28,_xll.FDSRC(,"DUMMY","ECON_EXPR_DATA('FDS_ECON["&amp;H5&amp;"]',,,M)"))</f>
        <v>51.447499999999998</v>
      </c>
      <c r="N5" t="str" cm="1">
        <f t="array" aca="1" ref="N5" ca="1">_xll.FDSRC("-","DUMMY","ECON_EXPR_DATA('FDS_ECON["&amp;H5&amp;"]',"&amp;$N$3&amp;",,Q)")</f>
        <v>-</v>
      </c>
      <c r="O5" t="str" cm="1">
        <f t="array" aca="1" ref="O5" ca="1">_xll.FDSRC("-","DUMMY","ECON_EXPR_DATA('FDS_ECON["&amp;H5&amp;"]',"&amp;$O$3&amp;",,Q)")</f>
        <v>-</v>
      </c>
      <c r="P5">
        <f t="shared" ca="1" si="0"/>
        <v>-0.17349399999999804</v>
      </c>
      <c r="Q5" cm="1">
        <f t="array" ref="Q5">_xlfn.PERCENTRANK.EXC(_xlfn._xlws.FILTER(M$4:M$24, ISNUMBER(M$4:M$24)),M5)*100</f>
        <v>45.4</v>
      </c>
      <c r="R5" cm="1">
        <f t="array" aca="1" ref="R5" ca="1">_xlfn.PERCENTRANK.EXC(_xlfn._xlws.FILTER(P$4:P$24, ISNUMBER(P$4:P$24)),P5)*100</f>
        <v>45.4</v>
      </c>
      <c r="S5">
        <f ca="1">Q5*Assumption!$E$27 + R5*Assumption!$F$27</f>
        <v>45.4</v>
      </c>
      <c r="T5" cm="1">
        <f t="array" aca="1" ref="T5" ca="1">_xlfn.PERCENTRANK.EXC(_xlfn._xlws.FILTER(S$4:S$24, ISNUMBER(S$4:S$24)),S5)*100</f>
        <v>40.9</v>
      </c>
    </row>
    <row r="6" spans="1:28" x14ac:dyDescent="0.35">
      <c r="A6" t="s">
        <v>35</v>
      </c>
      <c r="B6" t="s">
        <v>442</v>
      </c>
      <c r="C6" t="s">
        <v>35</v>
      </c>
      <c r="D6" t="s">
        <v>769</v>
      </c>
      <c r="E6">
        <v>54.9</v>
      </c>
      <c r="F6">
        <v>3.1</v>
      </c>
      <c r="G6" t="s">
        <v>128</v>
      </c>
      <c r="H6" s="126" t="s">
        <v>774</v>
      </c>
      <c r="I6" s="127" t="s">
        <v>658</v>
      </c>
      <c r="J6" s="128" t="s">
        <v>442</v>
      </c>
      <c r="K6" s="128" t="s">
        <v>35</v>
      </c>
      <c r="L6" t="s">
        <v>769</v>
      </c>
      <c r="M6" cm="1">
        <f t="array" ref="M6">IF(_xll.FDSRC(,"DUMMY","ECON_EXPR_DATA('FDS_ECON["&amp;H6&amp;"]',,,M)")=0,$J$28,_xll.FDSRC(,"DUMMY","ECON_EXPR_DATA('FDS_ECON["&amp;H6&amp;"]',,,M)"))</f>
        <v>52.654536999999998</v>
      </c>
      <c r="N6" cm="1">
        <f t="array" aca="1" ref="N6" ca="1">_xll.FDSRC("-","DUMMY","ECON_EXPR_DATA('FDS_ECON["&amp;H6&amp;"]',"&amp;$N$3&amp;",,Q)")</f>
        <v>51.828487000000003</v>
      </c>
      <c r="O6" cm="1">
        <f t="array" aca="1" ref="O6" ca="1">_xll.FDSRC("-","DUMMY","ECON_EXPR_DATA('FDS_ECON["&amp;H6&amp;"]',"&amp;$O$3&amp;",,Q)")</f>
        <v>53.156506</v>
      </c>
      <c r="P6">
        <f t="shared" ca="1" si="0"/>
        <v>-1.3280189999999976</v>
      </c>
      <c r="Q6" cm="1">
        <f t="array" ref="Q6">_xlfn.PERCENTRANK.EXC(_xlfn._xlws.FILTER(M$4:M$24, ISNUMBER(M$4:M$24)),M6)*100</f>
        <v>77.2</v>
      </c>
      <c r="R6" cm="1">
        <f t="array" aca="1" ref="R6" ca="1">_xlfn.PERCENTRANK.EXC(_xlfn._xlws.FILTER(P$4:P$24, ISNUMBER(P$4:P$24)),P6)*100</f>
        <v>22.7</v>
      </c>
      <c r="S6">
        <f ca="1">Q6*Assumption!$E$27 + R6*Assumption!$F$27</f>
        <v>55.4</v>
      </c>
      <c r="T6" cm="1">
        <f t="array" aca="1" ref="T6" ca="1">_xlfn.PERCENTRANK.EXC(_xlfn._xlws.FILTER(S$4:S$24, ISNUMBER(S$4:S$24)),S6)*100</f>
        <v>68.100000000000009</v>
      </c>
    </row>
    <row r="7" spans="1:28" x14ac:dyDescent="0.35">
      <c r="A7" t="s">
        <v>30</v>
      </c>
      <c r="B7" t="s">
        <v>443</v>
      </c>
      <c r="C7" t="s">
        <v>30</v>
      </c>
      <c r="D7" t="s">
        <v>769</v>
      </c>
      <c r="E7">
        <v>54.9</v>
      </c>
      <c r="F7">
        <v>3.1</v>
      </c>
      <c r="G7" t="s">
        <v>121</v>
      </c>
      <c r="H7" s="126" t="s">
        <v>796</v>
      </c>
      <c r="I7" s="127" t="s">
        <v>706</v>
      </c>
      <c r="J7" s="128" t="s">
        <v>443</v>
      </c>
      <c r="K7" s="128" t="s">
        <v>30</v>
      </c>
      <c r="L7" t="s">
        <v>769</v>
      </c>
      <c r="M7" cm="1">
        <f t="array" ref="M7">IF(_xll.FDSRC(,"DUMMY","ECON_EXPR_DATA('FDS_ECON["&amp;H7&amp;"]',,,M)")=0,$J$28,_xll.FDSRC(,"DUMMY","ECON_EXPR_DATA('FDS_ECON["&amp;H7&amp;"]',,,M)"))</f>
        <v>51.447499999999998</v>
      </c>
      <c r="N7" cm="1">
        <f t="array" aca="1" ref="N7" ca="1">_xll.FDSRC("-","DUMMY","ECON_EXPR_DATA('FDS_ECON["&amp;H7&amp;"]',"&amp;$N$3&amp;",,Q)")</f>
        <v>52.222515000000001</v>
      </c>
      <c r="O7" cm="1">
        <f t="array" aca="1" ref="O7" ca="1">_xll.FDSRC("-","DUMMY","ECON_EXPR_DATA('FDS_ECON["&amp;H7&amp;"]',"&amp;$O$3&amp;",,Q)")</f>
        <v>50.747214999999997</v>
      </c>
      <c r="P7">
        <f t="shared" ca="1" si="0"/>
        <v>1.4753000000000043</v>
      </c>
      <c r="Q7" cm="1">
        <f t="array" ref="Q7">_xlfn.PERCENTRANK.EXC(_xlfn._xlws.FILTER(M$4:M$24, ISNUMBER(M$4:M$24)),M7)*100</f>
        <v>45.4</v>
      </c>
      <c r="R7" cm="1">
        <f t="array" aca="1" ref="R7" ca="1">_xlfn.PERCENTRANK.EXC(_xlfn._xlws.FILTER(P$4:P$24, ISNUMBER(P$4:P$24)),P7)*100</f>
        <v>86.3</v>
      </c>
      <c r="S7">
        <f ca="1">Q7*Assumption!$E$27 + R7*Assumption!$F$27</f>
        <v>61.760000000000005</v>
      </c>
      <c r="T7" cm="1">
        <f t="array" aca="1" ref="T7" ca="1">_xlfn.PERCENTRANK.EXC(_xlfn._xlws.FILTER(S$4:S$24, ISNUMBER(S$4:S$24)),S7)*100</f>
        <v>77.2</v>
      </c>
    </row>
    <row r="8" spans="1:28" x14ac:dyDescent="0.35">
      <c r="A8" t="s">
        <v>23</v>
      </c>
      <c r="B8" t="s">
        <v>444</v>
      </c>
      <c r="C8" t="s">
        <v>23</v>
      </c>
      <c r="D8" t="s">
        <v>769</v>
      </c>
      <c r="E8">
        <v>54.9</v>
      </c>
      <c r="F8">
        <v>3.1</v>
      </c>
      <c r="G8" t="s">
        <v>104</v>
      </c>
      <c r="H8" s="126" t="s">
        <v>780</v>
      </c>
      <c r="I8" s="127" t="s">
        <v>707</v>
      </c>
      <c r="J8" s="128" t="s">
        <v>444</v>
      </c>
      <c r="K8" s="128" t="s">
        <v>23</v>
      </c>
      <c r="L8" t="s">
        <v>769</v>
      </c>
      <c r="M8" cm="1">
        <f t="array" ref="M8">IF(_xll.FDSRC(,"DUMMY","ECON_EXPR_DATA('FDS_ECON["&amp;H8&amp;"]',,,M)")=0,$J$28,_xll.FDSRC(,"DUMMY","ECON_EXPR_DATA('FDS_ECON["&amp;H8&amp;"]',,,M)"))</f>
        <v>47.877330000000001</v>
      </c>
      <c r="N8" cm="1">
        <f t="array" aca="1" ref="N8" ca="1">_xll.FDSRC("-","DUMMY","ECON_EXPR_DATA('FDS_ECON["&amp;H8&amp;"]',"&amp;$N$3&amp;",,Q)")</f>
        <v>46.884846000000003</v>
      </c>
      <c r="O8" cm="1">
        <f t="array" aca="1" ref="O8" ca="1">_xll.FDSRC("-","DUMMY","ECON_EXPR_DATA('FDS_ECON["&amp;H8&amp;"]',"&amp;$O$3&amp;",,Q)")</f>
        <v>43.504345000000001</v>
      </c>
      <c r="P8">
        <f t="shared" ca="1" si="0"/>
        <v>3.3805010000000024</v>
      </c>
      <c r="Q8" cm="1">
        <f t="array" ref="Q8">_xlfn.PERCENTRANK.EXC(_xlfn._xlws.FILTER(M$4:M$24, ISNUMBER(M$4:M$24)),M8)*100</f>
        <v>4.5</v>
      </c>
      <c r="R8" cm="1">
        <f t="array" aca="1" ref="R8" ca="1">_xlfn.PERCENTRANK.EXC(_xlfn._xlws.FILTER(P$4:P$24, ISNUMBER(P$4:P$24)),P8)*100</f>
        <v>95.399999999999991</v>
      </c>
      <c r="S8">
        <f ca="1">Q8*Assumption!$E$27 + R8*Assumption!$F$27</f>
        <v>40.86</v>
      </c>
      <c r="T8" cm="1">
        <f t="array" aca="1" ref="T8" ca="1">_xlfn.PERCENTRANK.EXC(_xlfn._xlws.FILTER(S$4:S$24, ISNUMBER(S$4:S$24)),S8)*100</f>
        <v>31.8</v>
      </c>
    </row>
    <row r="9" spans="1:28" x14ac:dyDescent="0.35">
      <c r="A9" t="s">
        <v>29</v>
      </c>
      <c r="B9" t="s">
        <v>445</v>
      </c>
      <c r="C9" t="s">
        <v>29</v>
      </c>
      <c r="D9" t="s">
        <v>769</v>
      </c>
      <c r="E9">
        <v>54.9</v>
      </c>
      <c r="F9">
        <v>3.1</v>
      </c>
      <c r="G9" t="s">
        <v>116</v>
      </c>
      <c r="H9" s="126" t="s">
        <v>789</v>
      </c>
      <c r="I9" s="127" t="s">
        <v>705</v>
      </c>
      <c r="J9" s="128" t="s">
        <v>445</v>
      </c>
      <c r="K9" s="128" t="s">
        <v>29</v>
      </c>
      <c r="L9" t="s">
        <v>769</v>
      </c>
      <c r="M9" cm="1">
        <f t="array" ref="M9">IF(_xll.FDSRC(,"DUMMY","ECON_EXPR_DATA('FDS_ECON["&amp;H9&amp;"]',,,M)")=0,$J$28,_xll.FDSRC(,"DUMMY","ECON_EXPR_DATA('FDS_ECON["&amp;H9&amp;"]',,,M)"))</f>
        <v>51.447499999999998</v>
      </c>
      <c r="N9" t="str" cm="1">
        <f t="array" aca="1" ref="N9" ca="1">_xll.FDSRC("-","DUMMY","ECON_EXPR_DATA('FDS_ECON["&amp;H9&amp;"]',"&amp;$N$3&amp;",,Q)")</f>
        <v>-</v>
      </c>
      <c r="O9" t="str" cm="1">
        <f t="array" aca="1" ref="O9" ca="1">_xll.FDSRC("-","DUMMY","ECON_EXPR_DATA('FDS_ECON["&amp;H9&amp;"]',"&amp;$O$3&amp;",,Q)")</f>
        <v>-</v>
      </c>
      <c r="P9">
        <f t="shared" ca="1" si="0"/>
        <v>-0.17349399999999804</v>
      </c>
      <c r="Q9" cm="1">
        <f t="array" ref="Q9">_xlfn.PERCENTRANK.EXC(_xlfn._xlws.FILTER(M$4:M$24, ISNUMBER(M$4:M$24)),M9)*100</f>
        <v>45.4</v>
      </c>
      <c r="R9" cm="1">
        <f t="array" aca="1" ref="R9" ca="1">_xlfn.PERCENTRANK.EXC(_xlfn._xlws.FILTER(P$4:P$24, ISNUMBER(P$4:P$24)),P9)*100</f>
        <v>45.4</v>
      </c>
      <c r="S9">
        <f ca="1">Q9*Assumption!$E$27 + R9*Assumption!$F$27</f>
        <v>45.4</v>
      </c>
      <c r="T9" cm="1">
        <f t="array" aca="1" ref="T9" ca="1">_xlfn.PERCENTRANK.EXC(_xlfn._xlws.FILTER(S$4:S$24, ISNUMBER(S$4:S$24)),S9)*100</f>
        <v>40.9</v>
      </c>
    </row>
    <row r="10" spans="1:28" x14ac:dyDescent="0.35">
      <c r="A10" t="s">
        <v>33</v>
      </c>
      <c r="B10" t="s">
        <v>446</v>
      </c>
      <c r="C10" t="s">
        <v>33</v>
      </c>
      <c r="D10" t="s">
        <v>769</v>
      </c>
      <c r="E10">
        <v>54.9</v>
      </c>
      <c r="F10">
        <v>3.1</v>
      </c>
      <c r="G10" t="s">
        <v>126</v>
      </c>
      <c r="H10" s="126" t="s">
        <v>797</v>
      </c>
      <c r="I10" s="127" t="s">
        <v>680</v>
      </c>
      <c r="J10" s="128" t="s">
        <v>446</v>
      </c>
      <c r="K10" s="128" t="s">
        <v>33</v>
      </c>
      <c r="L10" t="s">
        <v>769</v>
      </c>
      <c r="M10" cm="1">
        <f t="array" ref="M10">IF(_xll.FDSRC(,"DUMMY","ECON_EXPR_DATA('FDS_ECON["&amp;H10&amp;"]',,,M)")=0,$J$28,_xll.FDSRC(,"DUMMY","ECON_EXPR_DATA('FDS_ECON["&amp;H10&amp;"]',,,M)"))</f>
        <v>49.473457000000003</v>
      </c>
      <c r="N10" cm="1">
        <f t="array" aca="1" ref="N10" ca="1">_xll.FDSRC("-","DUMMY","ECON_EXPR_DATA('FDS_ECON["&amp;H10&amp;"]',"&amp;$N$3&amp;",,Q)")</f>
        <v>47.499214000000002</v>
      </c>
      <c r="O10" cm="1">
        <f t="array" aca="1" ref="O10" ca="1">_xll.FDSRC("-","DUMMY","ECON_EXPR_DATA('FDS_ECON["&amp;H10&amp;"]',"&amp;$O$3&amp;",,Q)")</f>
        <v>47.470973999999998</v>
      </c>
      <c r="P10">
        <f t="shared" ca="1" si="0"/>
        <v>2.8240000000003818E-2</v>
      </c>
      <c r="Q10" cm="1">
        <f t="array" ref="Q10">_xlfn.PERCENTRANK.EXC(_xlfn._xlws.FILTER(M$4:M$24, ISNUMBER(M$4:M$24)),M10)*100</f>
        <v>13.600000000000001</v>
      </c>
      <c r="R10" cm="1">
        <f t="array" aca="1" ref="R10" ca="1">_xlfn.PERCENTRANK.EXC(_xlfn._xlws.FILTER(P$4:P$24, ISNUMBER(P$4:P$24)),P10)*100</f>
        <v>59</v>
      </c>
      <c r="S10">
        <f ca="1">Q10*Assumption!$E$27 + R10*Assumption!$F$27</f>
        <v>31.76</v>
      </c>
      <c r="T10" cm="1">
        <f t="array" aca="1" ref="T10" ca="1">_xlfn.PERCENTRANK.EXC(_xlfn._xlws.FILTER(S$4:S$24, ISNUMBER(S$4:S$24)),S10)*100</f>
        <v>18.099999999999998</v>
      </c>
    </row>
    <row r="11" spans="1:28" x14ac:dyDescent="0.35">
      <c r="A11" t="s">
        <v>24</v>
      </c>
      <c r="B11" t="s">
        <v>40</v>
      </c>
      <c r="C11" t="s">
        <v>24</v>
      </c>
      <c r="D11" t="s">
        <v>769</v>
      </c>
      <c r="E11">
        <v>54.9</v>
      </c>
      <c r="F11">
        <v>3.1</v>
      </c>
      <c r="G11" t="s">
        <v>107</v>
      </c>
      <c r="H11" s="126" t="s">
        <v>777</v>
      </c>
      <c r="I11" s="127" t="s">
        <v>727</v>
      </c>
      <c r="J11" s="128" t="s">
        <v>40</v>
      </c>
      <c r="K11" s="128" t="s">
        <v>24</v>
      </c>
      <c r="L11" t="s">
        <v>769</v>
      </c>
      <c r="M11" cm="1">
        <f t="array" ref="M11">IF(_xll.FDSRC(,"DUMMY","ECON_EXPR_DATA('FDS_ECON["&amp;H11&amp;"]',,,M)")=0,$J$28,_xll.FDSRC(,"DUMMY","ECON_EXPR_DATA('FDS_ECON["&amp;H11&amp;"]',,,M)"))</f>
        <v>48.6</v>
      </c>
      <c r="N11" cm="1">
        <f t="array" aca="1" ref="N11" ca="1">_xll.FDSRC("-","DUMMY","ECON_EXPR_DATA('FDS_ECON["&amp;H11&amp;"]',"&amp;$N$3&amp;",,Q)")</f>
        <v>47.63588</v>
      </c>
      <c r="O11" cm="1">
        <f t="array" aca="1" ref="O11" ca="1">_xll.FDSRC("-","DUMMY","ECON_EXPR_DATA('FDS_ECON["&amp;H11&amp;"]',"&amp;$O$3&amp;",,Q)")</f>
        <v>44.970745000000001</v>
      </c>
      <c r="P11">
        <f t="shared" ca="1" si="0"/>
        <v>2.6651349999999994</v>
      </c>
      <c r="Q11" cm="1">
        <f t="array" ref="Q11">_xlfn.PERCENTRANK.EXC(_xlfn._xlws.FILTER(M$4:M$24, ISNUMBER(M$4:M$24)),M11)*100</f>
        <v>9</v>
      </c>
      <c r="R11" cm="1">
        <f t="array" aca="1" ref="R11" ca="1">_xlfn.PERCENTRANK.EXC(_xlfn._xlws.FILTER(P$4:P$24, ISNUMBER(P$4:P$24)),P11)*100</f>
        <v>90.9</v>
      </c>
      <c r="S11">
        <f ca="1">Q11*Assumption!$E$27 + R11*Assumption!$F$27</f>
        <v>41.760000000000005</v>
      </c>
      <c r="T11" cm="1">
        <f t="array" aca="1" ref="T11" ca="1">_xlfn.PERCENTRANK.EXC(_xlfn._xlws.FILTER(S$4:S$24, ISNUMBER(S$4:S$24)),S11)*100</f>
        <v>36.299999999999997</v>
      </c>
    </row>
    <row r="12" spans="1:28" x14ac:dyDescent="0.35">
      <c r="A12" t="s">
        <v>7</v>
      </c>
      <c r="B12" t="s">
        <v>53</v>
      </c>
      <c r="C12" t="s">
        <v>7</v>
      </c>
      <c r="D12" t="s">
        <v>769</v>
      </c>
      <c r="E12">
        <v>54.9</v>
      </c>
      <c r="F12">
        <v>3.1</v>
      </c>
      <c r="G12" t="s">
        <v>125</v>
      </c>
      <c r="H12" s="126" t="s">
        <v>771</v>
      </c>
      <c r="I12" s="127" t="s">
        <v>685</v>
      </c>
      <c r="J12" s="128" t="s">
        <v>53</v>
      </c>
      <c r="K12" s="128" t="s">
        <v>7</v>
      </c>
      <c r="L12" t="s">
        <v>769</v>
      </c>
      <c r="M12" cm="1">
        <f t="array" ref="M12">IF(_xll.FDSRC(,"DUMMY","ECON_EXPR_DATA('FDS_ECON["&amp;H12&amp;"]',,,M)")=0,$J$28,_xll.FDSRC(,"DUMMY","ECON_EXPR_DATA('FDS_ECON["&amp;H12&amp;"]',,,M)"))</f>
        <v>52.298340000000003</v>
      </c>
      <c r="N12" cm="1">
        <f t="array" aca="1" ref="N12" ca="1">_xll.FDSRC("-","DUMMY","ECON_EXPR_DATA('FDS_ECON["&amp;H12&amp;"]',"&amp;$N$3&amp;",,Q)")</f>
        <v>52.180695</v>
      </c>
      <c r="O12" cm="1">
        <f t="array" aca="1" ref="O12" ca="1">_xll.FDSRC("-","DUMMY","ECON_EXPR_DATA('FDS_ECON["&amp;H12&amp;"]',"&amp;$O$3&amp;",,Q)")</f>
        <v>51.404536999999998</v>
      </c>
      <c r="P12">
        <f t="shared" ca="1" si="0"/>
        <v>0.77615800000000235</v>
      </c>
      <c r="Q12" cm="1">
        <f t="array" ref="Q12">_xlfn.PERCENTRANK.EXC(_xlfn._xlws.FILTER(M$4:M$24, ISNUMBER(M$4:M$24)),M12)*100</f>
        <v>72.7</v>
      </c>
      <c r="R12" cm="1">
        <f t="array" aca="1" ref="R12" ca="1">_xlfn.PERCENTRANK.EXC(_xlfn._xlws.FILTER(P$4:P$24, ISNUMBER(P$4:P$24)),P12)*100</f>
        <v>81.8</v>
      </c>
      <c r="S12">
        <f ca="1">Q12*Assumption!$E$27 + R12*Assumption!$F$27</f>
        <v>76.34</v>
      </c>
      <c r="T12" cm="1">
        <f t="array" aca="1" ref="T12" ca="1">_xlfn.PERCENTRANK.EXC(_xlfn._xlws.FILTER(S$4:S$24, ISNUMBER(S$4:S$24)),S12)*100</f>
        <v>90.9</v>
      </c>
    </row>
    <row r="13" spans="1:28" x14ac:dyDescent="0.35">
      <c r="A13" t="s">
        <v>21</v>
      </c>
      <c r="B13" t="s">
        <v>38</v>
      </c>
      <c r="C13" t="s">
        <v>21</v>
      </c>
      <c r="D13" t="s">
        <v>769</v>
      </c>
      <c r="E13">
        <v>54.9</v>
      </c>
      <c r="F13">
        <v>3.1</v>
      </c>
      <c r="G13" t="s">
        <v>105</v>
      </c>
      <c r="H13" s="126" t="s">
        <v>775</v>
      </c>
      <c r="I13" s="127" t="s">
        <v>776</v>
      </c>
      <c r="J13" s="128" t="s">
        <v>38</v>
      </c>
      <c r="K13" s="128" t="s">
        <v>21</v>
      </c>
      <c r="L13" t="s">
        <v>769</v>
      </c>
      <c r="M13" cm="1">
        <f t="array" ref="M13">IF(_xll.FDSRC(,"DUMMY","ECON_EXPR_DATA('FDS_ECON["&amp;H13&amp;"]',,,M)")=0,$J$28,_xll.FDSRC(,"DUMMY","ECON_EXPR_DATA('FDS_ECON["&amp;H13&amp;"]',,,M)"))</f>
        <v>50.65793</v>
      </c>
      <c r="N13" cm="1">
        <f t="array" aca="1" ref="N13" ca="1">_xll.FDSRC("-","DUMMY","ECON_EXPR_DATA('FDS_ECON["&amp;H13&amp;"]',"&amp;$N$3&amp;",,Q)")</f>
        <v>49.900604000000001</v>
      </c>
      <c r="O13" cm="1">
        <f t="array" aca="1" ref="O13" ca="1">_xll.FDSRC("-","DUMMY","ECON_EXPR_DATA('FDS_ECON["&amp;H13&amp;"]',"&amp;$O$3&amp;",,Q)")</f>
        <v>49.420245999999999</v>
      </c>
      <c r="P13">
        <f t="shared" ca="1" si="0"/>
        <v>0.48035800000000251</v>
      </c>
      <c r="Q13" cm="1">
        <f t="array" ref="Q13">_xlfn.PERCENTRANK.EXC(_xlfn._xlws.FILTER(M$4:M$24, ISNUMBER(M$4:M$24)),M13)*100</f>
        <v>27.200000000000003</v>
      </c>
      <c r="R13" cm="1">
        <f t="array" aca="1" ref="R13" ca="1">_xlfn.PERCENTRANK.EXC(_xlfn._xlws.FILTER(P$4:P$24, ISNUMBER(P$4:P$24)),P13)*100</f>
        <v>72.7</v>
      </c>
      <c r="S13">
        <f ca="1">Q13*Assumption!$E$27 + R13*Assumption!$F$27</f>
        <v>45.400000000000006</v>
      </c>
      <c r="T13" cm="1">
        <f t="array" aca="1" ref="T13" ca="1">_xlfn.PERCENTRANK.EXC(_xlfn._xlws.FILTER(S$4:S$24, ISNUMBER(S$4:S$24)),S13)*100</f>
        <v>54.500000000000007</v>
      </c>
    </row>
    <row r="14" spans="1:28" x14ac:dyDescent="0.35">
      <c r="A14" t="s">
        <v>12</v>
      </c>
      <c r="B14" t="s">
        <v>54</v>
      </c>
      <c r="C14" t="s">
        <v>12</v>
      </c>
      <c r="D14" t="s">
        <v>769</v>
      </c>
      <c r="E14">
        <v>51.8</v>
      </c>
      <c r="F14">
        <v>1.9</v>
      </c>
      <c r="G14" t="s">
        <v>131</v>
      </c>
      <c r="H14" s="126" t="s">
        <v>770</v>
      </c>
      <c r="I14" s="127" t="s">
        <v>610</v>
      </c>
      <c r="J14" s="128" t="s">
        <v>54</v>
      </c>
      <c r="K14" s="128" t="s">
        <v>12</v>
      </c>
      <c r="L14" t="s">
        <v>769</v>
      </c>
      <c r="M14" cm="1">
        <f t="array" ref="M14">IF(_xll.FDSRC(,"DUMMY","ECON_EXPR_DATA('FDS_ECON["&amp;H14&amp;"]',,,M)")=0,$J$28,_xll.FDSRC(,"DUMMY","ECON_EXPR_DATA('FDS_ECON["&amp;H14&amp;"]',,,M)"))</f>
        <v>54.056939999999997</v>
      </c>
      <c r="N14" cm="1">
        <f t="array" aca="1" ref="N14" ca="1">_xll.FDSRC("-","DUMMY","ECON_EXPR_DATA('FDS_ECON["&amp;H14&amp;"]',"&amp;$N$3&amp;",,Q)")</f>
        <v>48.798813000000003</v>
      </c>
      <c r="O14" cm="1">
        <f t="array" aca="1" ref="O14" ca="1">_xll.FDSRC("-","DUMMY","ECON_EXPR_DATA('FDS_ECON["&amp;H14&amp;"]',"&amp;$O$3&amp;",,Q)")</f>
        <v>48.996009999999998</v>
      </c>
      <c r="P14">
        <f t="shared" ca="1" si="0"/>
        <v>-0.19719699999999563</v>
      </c>
      <c r="Q14" cm="1">
        <f t="array" ref="Q14">_xlfn.PERCENTRANK.EXC(_xlfn._xlws.FILTER(M$4:M$24, ISNUMBER(M$4:M$24)),M14)*100</f>
        <v>81.8</v>
      </c>
      <c r="R14" cm="1">
        <f t="array" aca="1" ref="R14" ca="1">_xlfn.PERCENTRANK.EXC(_xlfn._xlws.FILTER(P$4:P$24, ISNUMBER(P$4:P$24)),P14)*100</f>
        <v>40.9</v>
      </c>
      <c r="S14">
        <f ca="1">Q14*Assumption!$E$27 + R14*Assumption!$F$27</f>
        <v>65.44</v>
      </c>
      <c r="T14" cm="1">
        <f t="array" aca="1" ref="T14" ca="1">_xlfn.PERCENTRANK.EXC(_xlfn._xlws.FILTER(S$4:S$24, ISNUMBER(S$4:S$24)),S14)*100</f>
        <v>86.3</v>
      </c>
      <c r="AA14" s="1" t="s">
        <v>910</v>
      </c>
    </row>
    <row r="15" spans="1:28" x14ac:dyDescent="0.35">
      <c r="A15" t="s">
        <v>22</v>
      </c>
      <c r="B15" t="s">
        <v>447</v>
      </c>
      <c r="C15" t="s">
        <v>22</v>
      </c>
      <c r="D15" t="s">
        <v>769</v>
      </c>
      <c r="E15">
        <v>47.5</v>
      </c>
      <c r="F15">
        <v>1.1000000000000001</v>
      </c>
      <c r="G15" t="s">
        <v>103</v>
      </c>
      <c r="H15" s="126" t="s">
        <v>798</v>
      </c>
      <c r="I15" s="127" t="s">
        <v>720</v>
      </c>
      <c r="J15" s="128" t="s">
        <v>447</v>
      </c>
      <c r="K15" s="128" t="s">
        <v>22</v>
      </c>
      <c r="L15" t="s">
        <v>769</v>
      </c>
      <c r="M15" cm="1">
        <f t="array" ref="M15">IF(_xll.FDSRC(,"DUMMY","ECON_EXPR_DATA('FDS_ECON["&amp;H15&amp;"]',,,M)")=0,$J$28,_xll.FDSRC(,"DUMMY","ECON_EXPR_DATA('FDS_ECON["&amp;H15&amp;"]',,,M)"))</f>
        <v>50.781660000000002</v>
      </c>
      <c r="N15" cm="1">
        <f t="array" aca="1" ref="N15" ca="1">_xll.FDSRC("-","DUMMY","ECON_EXPR_DATA('FDS_ECON["&amp;H15&amp;"]',"&amp;$N$3&amp;",,Q)")</f>
        <v>49.293605999999997</v>
      </c>
      <c r="O15" cm="1">
        <f t="array" aca="1" ref="O15" ca="1">_xll.FDSRC("-","DUMMY","ECON_EXPR_DATA('FDS_ECON["&amp;H15&amp;"]',"&amp;$O$3&amp;",,Q)")</f>
        <v>49.704177999999999</v>
      </c>
      <c r="P15">
        <f t="shared" ca="1" si="0"/>
        <v>-0.41057200000000194</v>
      </c>
      <c r="Q15" cm="1">
        <f t="array" ref="Q15">_xlfn.PERCENTRANK.EXC(_xlfn._xlws.FILTER(M$4:M$24, ISNUMBER(M$4:M$24)),M15)*100</f>
        <v>31.8</v>
      </c>
      <c r="R15" cm="1">
        <f t="array" aca="1" ref="R15" ca="1">_xlfn.PERCENTRANK.EXC(_xlfn._xlws.FILTER(P$4:P$24, ISNUMBER(P$4:P$24)),P15)*100</f>
        <v>36.299999999999997</v>
      </c>
      <c r="S15">
        <f ca="1">Q15*Assumption!$E$27 + R15*Assumption!$F$27</f>
        <v>33.599999999999994</v>
      </c>
      <c r="T15" cm="1">
        <f t="array" aca="1" ref="T15" ca="1">_xlfn.PERCENTRANK.EXC(_xlfn._xlws.FILTER(S$4:S$24, ISNUMBER(S$4:S$24)),S15)*100</f>
        <v>27.200000000000003</v>
      </c>
    </row>
    <row r="16" spans="1:28" x14ac:dyDescent="0.35">
      <c r="A16" t="s">
        <v>28</v>
      </c>
      <c r="B16" t="s">
        <v>448</v>
      </c>
      <c r="C16" t="s">
        <v>28</v>
      </c>
      <c r="D16" t="s">
        <v>769</v>
      </c>
      <c r="E16">
        <v>54.9</v>
      </c>
      <c r="F16">
        <v>3.1</v>
      </c>
      <c r="G16" t="s">
        <v>115</v>
      </c>
      <c r="H16" s="126" t="s">
        <v>779</v>
      </c>
      <c r="I16" s="127" t="s">
        <v>647</v>
      </c>
      <c r="J16" s="128" t="s">
        <v>448</v>
      </c>
      <c r="K16" s="128" t="s">
        <v>28</v>
      </c>
      <c r="L16" t="s">
        <v>769</v>
      </c>
      <c r="M16" cm="1">
        <f t="array" ref="M16">IF(_xll.FDSRC(,"DUMMY","ECON_EXPR_DATA('FDS_ECON["&amp;H16&amp;"]',,,M)")=0,$J$28,_xll.FDSRC(,"DUMMY","ECON_EXPR_DATA('FDS_ECON["&amp;H16&amp;"]',,,M)"))</f>
        <v>55.729667999999997</v>
      </c>
      <c r="N16" cm="1">
        <f t="array" aca="1" ref="N16" ca="1">_xll.FDSRC("-","DUMMY","ECON_EXPR_DATA('FDS_ECON["&amp;H16&amp;"]',"&amp;$N$3&amp;",,Q)")</f>
        <v>50.995750000000001</v>
      </c>
      <c r="O16" cm="1">
        <f t="array" aca="1" ref="O16" ca="1">_xll.FDSRC("-","DUMMY","ECON_EXPR_DATA('FDS_ECON["&amp;H16&amp;"]',"&amp;$O$3&amp;",,Q)")</f>
        <v>52.236584000000001</v>
      </c>
      <c r="P16">
        <f t="shared" ca="1" si="0"/>
        <v>-1.2408339999999995</v>
      </c>
      <c r="Q16" cm="1">
        <f t="array" ref="Q16">_xlfn.PERCENTRANK.EXC(_xlfn._xlws.FILTER(M$4:M$24, ISNUMBER(M$4:M$24)),M16)*100</f>
        <v>86.3</v>
      </c>
      <c r="R16" cm="1">
        <f t="array" aca="1" ref="R16" ca="1">_xlfn.PERCENTRANK.EXC(_xlfn._xlws.FILTER(P$4:P$24, ISNUMBER(P$4:P$24)),P16)*100</f>
        <v>27.200000000000003</v>
      </c>
      <c r="S16">
        <f ca="1">Q16*Assumption!$E$27 + R16*Assumption!$F$27</f>
        <v>62.66</v>
      </c>
      <c r="T16" cm="1">
        <f t="array" aca="1" ref="T16" ca="1">_xlfn.PERCENTRANK.EXC(_xlfn._xlws.FILTER(S$4:S$24, ISNUMBER(S$4:S$24)),S16)*100</f>
        <v>81.8</v>
      </c>
      <c r="AB16" t="s">
        <v>904</v>
      </c>
    </row>
    <row r="17" spans="1:31" x14ac:dyDescent="0.35">
      <c r="A17" t="s">
        <v>32</v>
      </c>
      <c r="B17" t="s">
        <v>52</v>
      </c>
      <c r="C17" t="s">
        <v>32</v>
      </c>
      <c r="D17" t="s">
        <v>769</v>
      </c>
      <c r="E17">
        <v>61.6</v>
      </c>
      <c r="F17">
        <v>3.2</v>
      </c>
      <c r="G17" t="s">
        <v>122</v>
      </c>
      <c r="H17" s="126" t="s">
        <v>773</v>
      </c>
      <c r="I17" s="127" t="s">
        <v>657</v>
      </c>
      <c r="J17" s="128" t="s">
        <v>52</v>
      </c>
      <c r="K17" s="128" t="s">
        <v>32</v>
      </c>
      <c r="L17" t="s">
        <v>769</v>
      </c>
      <c r="M17" cm="1">
        <f t="array" ref="M17">IF(_xll.FDSRC(,"DUMMY","ECON_EXPR_DATA('FDS_ECON["&amp;H17&amp;"]',,,M)")=0,$J$28,_xll.FDSRC(,"DUMMY","ECON_EXPR_DATA('FDS_ECON["&amp;H17&amp;"]',,,M)"))</f>
        <v>56.899436999999999</v>
      </c>
      <c r="N17" cm="1">
        <f t="array" aca="1" ref="N17" ca="1">_xll.FDSRC("-","DUMMY","ECON_EXPR_DATA('FDS_ECON["&amp;H17&amp;"]',"&amp;$N$3&amp;",,Q)")</f>
        <v>55.461708000000002</v>
      </c>
      <c r="O17" cm="1">
        <f t="array" aca="1" ref="O17" ca="1">_xll.FDSRC("-","DUMMY","ECON_EXPR_DATA('FDS_ECON["&amp;H17&amp;"]',"&amp;$O$3&amp;",,Q)")</f>
        <v>57.930667999999997</v>
      </c>
      <c r="P17">
        <f t="shared" ca="1" si="0"/>
        <v>-2.4689599999999956</v>
      </c>
      <c r="Q17" cm="1">
        <f t="array" ref="Q17">_xlfn.PERCENTRANK.EXC(_xlfn._xlws.FILTER(M$4:M$24, ISNUMBER(M$4:M$24)),M17)*100</f>
        <v>90.9</v>
      </c>
      <c r="R17" cm="1">
        <f t="array" aca="1" ref="R17" ca="1">_xlfn.PERCENTRANK.EXC(_xlfn._xlws.FILTER(P$4:P$24, ISNUMBER(P$4:P$24)),P17)*100</f>
        <v>9</v>
      </c>
      <c r="S17">
        <f ca="1">Q17*Assumption!$E$27 + R17*Assumption!$F$27</f>
        <v>58.14</v>
      </c>
      <c r="T17" cm="1">
        <f t="array" aca="1" ref="T17" ca="1">_xlfn.PERCENTRANK.EXC(_xlfn._xlws.FILTER(S$4:S$24, ISNUMBER(S$4:S$24)),S17)*100</f>
        <v>72.7</v>
      </c>
    </row>
    <row r="18" spans="1:31" x14ac:dyDescent="0.35">
      <c r="A18" t="s">
        <v>26</v>
      </c>
      <c r="B18" t="s">
        <v>41</v>
      </c>
      <c r="C18" t="s">
        <v>26</v>
      </c>
      <c r="D18" t="s">
        <v>769</v>
      </c>
      <c r="E18">
        <v>53.6</v>
      </c>
      <c r="F18">
        <v>2.4</v>
      </c>
      <c r="G18" t="s">
        <v>108</v>
      </c>
      <c r="H18" s="126" t="s">
        <v>772</v>
      </c>
      <c r="I18" s="127" t="s">
        <v>622</v>
      </c>
      <c r="J18" s="128" t="s">
        <v>41</v>
      </c>
      <c r="K18" s="128" t="s">
        <v>26</v>
      </c>
      <c r="L18" t="s">
        <v>769</v>
      </c>
      <c r="M18" cm="1">
        <f t="array" ref="M18">IF(_xll.FDSRC(,"DUMMY","ECON_EXPR_DATA('FDS_ECON["&amp;H18&amp;"]',,,M)")=0,$J$28,_xll.FDSRC(,"DUMMY","ECON_EXPR_DATA('FDS_ECON["&amp;H18&amp;"]',,,M)"))</f>
        <v>50.918056</v>
      </c>
      <c r="N18" cm="1">
        <f t="array" aca="1" ref="N18" ca="1">_xll.FDSRC("-","DUMMY","ECON_EXPR_DATA('FDS_ECON["&amp;H18&amp;"]',"&amp;$N$3&amp;",,Q)")</f>
        <v>50.34384</v>
      </c>
      <c r="O18" cm="1">
        <f t="array" aca="1" ref="O18" ca="1">_xll.FDSRC("-","DUMMY","ECON_EXPR_DATA('FDS_ECON["&amp;H18&amp;"]',"&amp;$O$3&amp;",,Q)")</f>
        <v>50.266373000000002</v>
      </c>
      <c r="P18">
        <f t="shared" ca="1" si="0"/>
        <v>7.746699999999862E-2</v>
      </c>
      <c r="Q18" cm="1">
        <f t="array" ref="Q18">_xlfn.PERCENTRANK.EXC(_xlfn._xlws.FILTER(M$4:M$24, ISNUMBER(M$4:M$24)),M18)*100</f>
        <v>36.299999999999997</v>
      </c>
      <c r="R18" cm="1">
        <f t="array" aca="1" ref="R18" ca="1">_xlfn.PERCENTRANK.EXC(_xlfn._xlws.FILTER(P$4:P$24, ISNUMBER(P$4:P$24)),P18)*100</f>
        <v>63.6</v>
      </c>
      <c r="S18">
        <f ca="1">Q18*Assumption!$E$27 + R18*Assumption!$F$27</f>
        <v>47.22</v>
      </c>
      <c r="T18" cm="1">
        <f t="array" aca="1" ref="T18" ca="1">_xlfn.PERCENTRANK.EXC(_xlfn._xlws.FILTER(S$4:S$24, ISNUMBER(S$4:S$24)),S18)*100</f>
        <v>59</v>
      </c>
      <c r="AB18" t="s">
        <v>787</v>
      </c>
      <c r="AC18" t="s">
        <v>905</v>
      </c>
      <c r="AE18" t="s">
        <v>508</v>
      </c>
    </row>
    <row r="19" spans="1:31" x14ac:dyDescent="0.35">
      <c r="A19" t="s">
        <v>31</v>
      </c>
      <c r="B19" t="s">
        <v>449</v>
      </c>
      <c r="C19" t="s">
        <v>31</v>
      </c>
      <c r="D19" t="s">
        <v>769</v>
      </c>
      <c r="E19">
        <v>56</v>
      </c>
      <c r="F19">
        <v>10.3</v>
      </c>
      <c r="G19" t="s">
        <v>124</v>
      </c>
      <c r="H19" s="126" t="s">
        <v>799</v>
      </c>
      <c r="I19" s="127" t="s">
        <v>709</v>
      </c>
      <c r="J19" s="128" t="s">
        <v>449</v>
      </c>
      <c r="K19" s="128" t="s">
        <v>31</v>
      </c>
      <c r="L19" t="s">
        <v>769</v>
      </c>
      <c r="M19" cm="1">
        <f t="array" ref="M19">IF(_xll.FDSRC(,"DUMMY","ECON_EXPR_DATA('FDS_ECON["&amp;H19&amp;"]',,,M)")=0,$J$28,_xll.FDSRC(,"DUMMY","ECON_EXPR_DATA('FDS_ECON["&amp;H19&amp;"]',,,M)"))</f>
        <v>51.447499999999998</v>
      </c>
      <c r="N19" cm="1">
        <f t="array" aca="1" ref="N19" ca="1">_xll.FDSRC("-","DUMMY","ECON_EXPR_DATA('FDS_ECON["&amp;H19&amp;"]',"&amp;$N$3&amp;",,Q)")</f>
        <v>50.688426999999997</v>
      </c>
      <c r="O19" cm="1">
        <f t="array" aca="1" ref="O19" ca="1">_xll.FDSRC("-","DUMMY","ECON_EXPR_DATA('FDS_ECON["&amp;H19&amp;"]',"&amp;$O$3&amp;",,Q)")</f>
        <v>53.860751999999998</v>
      </c>
      <c r="P19">
        <f t="shared" ca="1" si="0"/>
        <v>-3.1723250000000007</v>
      </c>
      <c r="Q19" cm="1">
        <f t="array" ref="Q19">_xlfn.PERCENTRANK.EXC(_xlfn._xlws.FILTER(M$4:M$24, ISNUMBER(M$4:M$24)),M19)*100</f>
        <v>45.4</v>
      </c>
      <c r="R19" cm="1">
        <f t="array" aca="1" ref="R19" ca="1">_xlfn.PERCENTRANK.EXC(_xlfn._xlws.FILTER(P$4:P$24, ISNUMBER(P$4:P$24)),P19)*100</f>
        <v>4.5</v>
      </c>
      <c r="S19">
        <f ca="1">Q19*Assumption!$E$27 + R19*Assumption!$F$27</f>
        <v>29.04</v>
      </c>
      <c r="T19" cm="1">
        <f t="array" aca="1" ref="T19" ca="1">_xlfn.PERCENTRANK.EXC(_xlfn._xlws.FILTER(S$4:S$24, ISNUMBER(S$4:S$24)),S19)*100</f>
        <v>13.600000000000001</v>
      </c>
      <c r="AB19" t="s">
        <v>906</v>
      </c>
      <c r="AC19" t="s">
        <v>907</v>
      </c>
      <c r="AE19">
        <v>100</v>
      </c>
    </row>
    <row r="20" spans="1:31" x14ac:dyDescent="0.35">
      <c r="A20" t="s">
        <v>439</v>
      </c>
      <c r="B20" t="s">
        <v>450</v>
      </c>
      <c r="C20" t="s">
        <v>439</v>
      </c>
      <c r="D20" t="s">
        <v>769</v>
      </c>
      <c r="E20">
        <v>54.9</v>
      </c>
      <c r="F20">
        <v>3.1</v>
      </c>
      <c r="G20" t="s">
        <v>224</v>
      </c>
      <c r="H20" s="126" t="s">
        <v>800</v>
      </c>
      <c r="I20" s="127" t="s">
        <v>730</v>
      </c>
      <c r="J20" s="128" t="s">
        <v>765</v>
      </c>
      <c r="K20" s="128" t="s">
        <v>764</v>
      </c>
      <c r="L20" t="s">
        <v>769</v>
      </c>
      <c r="M20" cm="1">
        <f t="array" ref="M20">IF(_xll.FDSRC(,"DUMMY","ECON_EXPR_DATA('FDS_ECON["&amp;H20&amp;"]',,,M)")=0,$J$28,_xll.FDSRC(,"DUMMY","ECON_EXPR_DATA('FDS_ECON["&amp;H20&amp;"]',,,M)"))</f>
        <v>51.447499999999998</v>
      </c>
      <c r="N20" cm="1">
        <f t="array" aca="1" ref="N20" ca="1">_xll.FDSRC("-","DUMMY","ECON_EXPR_DATA('FDS_ECON["&amp;H20&amp;"]',"&amp;$N$3&amp;",,Q)")</f>
        <v>46.695160000000001</v>
      </c>
      <c r="O20" cm="1">
        <f t="array" aca="1" ref="O20" ca="1">_xll.FDSRC("-","DUMMY","ECON_EXPR_DATA('FDS_ECON["&amp;H20&amp;"]',"&amp;$O$3&amp;",,Q)")</f>
        <v>49.120173999999999</v>
      </c>
      <c r="P20">
        <f t="shared" ca="1" si="0"/>
        <v>-2.4250139999999973</v>
      </c>
      <c r="Q20" cm="1">
        <f t="array" ref="Q20">_xlfn.PERCENTRANK.EXC(_xlfn._xlws.FILTER(M$4:M$24, ISNUMBER(M$4:M$24)),M20)*100</f>
        <v>45.4</v>
      </c>
      <c r="R20" cm="1">
        <f t="array" aca="1" ref="R20" ca="1">_xlfn.PERCENTRANK.EXC(_xlfn._xlws.FILTER(P$4:P$24, ISNUMBER(P$4:P$24)),P20)*100</f>
        <v>13.600000000000001</v>
      </c>
      <c r="S20">
        <f ca="1">Q20*Assumption!$E$27 + R20*Assumption!$F$27</f>
        <v>32.68</v>
      </c>
      <c r="T20" cm="1">
        <f t="array" aca="1" ref="T20" ca="1">_xlfn.PERCENTRANK.EXC(_xlfn._xlws.FILTER(S$4:S$24, ISNUMBER(S$4:S$24)),S20)*100</f>
        <v>22.7</v>
      </c>
      <c r="AB20" t="s">
        <v>906</v>
      </c>
      <c r="AC20" t="s">
        <v>908</v>
      </c>
      <c r="AE20">
        <v>75</v>
      </c>
    </row>
    <row r="21" spans="1:31" x14ac:dyDescent="0.35">
      <c r="A21" t="s">
        <v>25</v>
      </c>
      <c r="B21" t="s">
        <v>451</v>
      </c>
      <c r="C21" t="s">
        <v>25</v>
      </c>
      <c r="D21" t="s">
        <v>769</v>
      </c>
      <c r="E21">
        <v>54.9</v>
      </c>
      <c r="F21">
        <v>3.1</v>
      </c>
      <c r="G21" t="s">
        <v>109</v>
      </c>
      <c r="H21" s="126" t="s">
        <v>781</v>
      </c>
      <c r="I21" s="127" t="s">
        <v>734</v>
      </c>
      <c r="J21" s="128" t="s">
        <v>451</v>
      </c>
      <c r="K21" s="128" t="s">
        <v>25</v>
      </c>
      <c r="L21" t="s">
        <v>769</v>
      </c>
      <c r="M21" cm="1">
        <f t="array" ref="M21">IF(_xll.FDSRC(,"DUMMY","ECON_EXPR_DATA('FDS_ECON["&amp;H21&amp;"]',,,M)")=0,$J$28,_xll.FDSRC(,"DUMMY","ECON_EXPR_DATA('FDS_ECON["&amp;H21&amp;"]',,,M)"))</f>
        <v>50.248722000000001</v>
      </c>
      <c r="N21" cm="1">
        <f t="array" aca="1" ref="N21" ca="1">_xll.FDSRC("-","DUMMY","ECON_EXPR_DATA('FDS_ECON["&amp;H21&amp;"]',"&amp;$N$3&amp;",,Q)")</f>
        <v>47.664864000000001</v>
      </c>
      <c r="O21" cm="1">
        <f t="array" aca="1" ref="O21" ca="1">_xll.FDSRC("-","DUMMY","ECON_EXPR_DATA('FDS_ECON["&amp;H21&amp;"]',"&amp;$O$3&amp;",,Q)")</f>
        <v>49.509234999999997</v>
      </c>
      <c r="P21">
        <f t="shared" ca="1" si="0"/>
        <v>-1.8443709999999953</v>
      </c>
      <c r="Q21" cm="1">
        <f t="array" ref="Q21">_xlfn.PERCENTRANK.EXC(_xlfn._xlws.FILTER(M$4:M$24, ISNUMBER(M$4:M$24)),M21)*100</f>
        <v>18.099999999999998</v>
      </c>
      <c r="R21" cm="1">
        <f t="array" aca="1" ref="R21" ca="1">_xlfn.PERCENTRANK.EXC(_xlfn._xlws.FILTER(P$4:P$24, ISNUMBER(P$4:P$24)),P21)*100</f>
        <v>18.099999999999998</v>
      </c>
      <c r="S21">
        <f ca="1">Q21*Assumption!$E$27 + R21*Assumption!$F$27</f>
        <v>18.099999999999998</v>
      </c>
      <c r="T21" cm="1">
        <f t="array" aca="1" ref="T21" ca="1">_xlfn.PERCENTRANK.EXC(_xlfn._xlws.FILTER(S$4:S$24, ISNUMBER(S$4:S$24)),S21)*100</f>
        <v>4.5</v>
      </c>
      <c r="AB21" t="s">
        <v>909</v>
      </c>
      <c r="AC21" t="s">
        <v>907</v>
      </c>
      <c r="AE21">
        <v>50</v>
      </c>
    </row>
    <row r="22" spans="1:31" x14ac:dyDescent="0.35">
      <c r="A22" t="s">
        <v>34</v>
      </c>
      <c r="B22" t="s">
        <v>452</v>
      </c>
      <c r="C22" t="s">
        <v>34</v>
      </c>
      <c r="D22" t="s">
        <v>769</v>
      </c>
      <c r="E22">
        <v>62.7</v>
      </c>
      <c r="F22">
        <v>3.8</v>
      </c>
      <c r="G22" t="s">
        <v>127</v>
      </c>
      <c r="H22" s="126" t="s">
        <v>790</v>
      </c>
      <c r="I22" s="127" t="s">
        <v>34</v>
      </c>
      <c r="J22" s="128" t="s">
        <v>452</v>
      </c>
      <c r="K22" s="128" t="s">
        <v>34</v>
      </c>
      <c r="L22" t="s">
        <v>769</v>
      </c>
      <c r="M22" cm="1">
        <f t="array" ref="M22">IF(_xll.FDSRC(,"DUMMY","ECON_EXPR_DATA('FDS_ECON["&amp;H22&amp;"]',,,M)")=0,$J$28,_xll.FDSRC(,"DUMMY","ECON_EXPR_DATA('FDS_ECON["&amp;H22&amp;"]',,,M)"))</f>
        <v>51.447499999999998</v>
      </c>
      <c r="N22" t="str" cm="1">
        <f t="array" aca="1" ref="N22" ca="1">_xll.FDSRC("-","DUMMY","ECON_EXPR_DATA('FDS_ECON["&amp;H22&amp;"]',"&amp;$N$3&amp;",,Q)")</f>
        <v>-</v>
      </c>
      <c r="O22" t="str" cm="1">
        <f t="array" aca="1" ref="O22" ca="1">_xll.FDSRC("-","DUMMY","ECON_EXPR_DATA('FDS_ECON["&amp;H22&amp;"]',"&amp;$O$3&amp;",,Q)")</f>
        <v>-</v>
      </c>
      <c r="P22">
        <f t="shared" ca="1" si="0"/>
        <v>-0.17349399999999804</v>
      </c>
      <c r="Q22" cm="1">
        <f t="array" ref="Q22">_xlfn.PERCENTRANK.EXC(_xlfn._xlws.FILTER(M$4:M$24, ISNUMBER(M$4:M$24)),M22)*100</f>
        <v>45.4</v>
      </c>
      <c r="R22" cm="1">
        <f t="array" aca="1" ref="R22" ca="1">_xlfn.PERCENTRANK.EXC(_xlfn._xlws.FILTER(P$4:P$24, ISNUMBER(P$4:P$24)),P22)*100</f>
        <v>45.4</v>
      </c>
      <c r="S22">
        <f ca="1">Q22*Assumption!$E$27 + R22*Assumption!$F$27</f>
        <v>45.4</v>
      </c>
      <c r="T22" cm="1">
        <f t="array" aca="1" ref="T22" ca="1">_xlfn.PERCENTRANK.EXC(_xlfn._xlws.FILTER(S$4:S$24, ISNUMBER(S$4:S$24)),S22)*100</f>
        <v>40.9</v>
      </c>
      <c r="AB22" t="s">
        <v>909</v>
      </c>
      <c r="AC22" t="s">
        <v>908</v>
      </c>
      <c r="AE22">
        <v>25</v>
      </c>
    </row>
    <row r="23" spans="1:31" x14ac:dyDescent="0.35">
      <c r="A23" t="s">
        <v>37</v>
      </c>
      <c r="B23" t="s">
        <v>453</v>
      </c>
      <c r="C23" t="s">
        <v>37</v>
      </c>
      <c r="D23" t="s">
        <v>769</v>
      </c>
      <c r="E23">
        <v>54.9</v>
      </c>
      <c r="F23">
        <v>3.1</v>
      </c>
      <c r="G23" t="s">
        <v>130</v>
      </c>
      <c r="H23" s="126" t="s">
        <v>778</v>
      </c>
      <c r="I23" s="127" t="s">
        <v>743</v>
      </c>
      <c r="J23" s="128" t="s">
        <v>453</v>
      </c>
      <c r="K23" s="128" t="s">
        <v>37</v>
      </c>
      <c r="L23" t="s">
        <v>769</v>
      </c>
      <c r="M23" cm="1">
        <f t="array" ref="M23">IF(_xll.FDSRC(,"DUMMY","ECON_EXPR_DATA('FDS_ECON["&amp;H23&amp;"]',,,M)")=0,$J$28,_xll.FDSRC(,"DUMMY","ECON_EXPR_DATA('FDS_ECON["&amp;H23&amp;"]',,,M)"))</f>
        <v>50.372390000000003</v>
      </c>
      <c r="N23" cm="1">
        <f t="array" aca="1" ref="N23" ca="1">_xll.FDSRC("-","DUMMY","ECON_EXPR_DATA('FDS_ECON["&amp;H23&amp;"]',"&amp;$N$3&amp;",,Q)")</f>
        <v>48.597430000000003</v>
      </c>
      <c r="O23" cm="1">
        <f t="array" aca="1" ref="O23" ca="1">_xll.FDSRC("-","DUMMY","ECON_EXPR_DATA('FDS_ECON["&amp;H23&amp;"]',"&amp;$O$3&amp;",,Q)")</f>
        <v>49.616585000000001</v>
      </c>
      <c r="P23">
        <f t="shared" ca="1" si="0"/>
        <v>-1.0191549999999978</v>
      </c>
      <c r="Q23" cm="1">
        <f t="array" ref="Q23">_xlfn.PERCENTRANK.EXC(_xlfn._xlws.FILTER(M$4:M$24, ISNUMBER(M$4:M$24)),M23)*100</f>
        <v>22.7</v>
      </c>
      <c r="R23" cm="1">
        <f t="array" aca="1" ref="R23" ca="1">_xlfn.PERCENTRANK.EXC(_xlfn._xlws.FILTER(P$4:P$24, ISNUMBER(P$4:P$24)),P23)*100</f>
        <v>31.8</v>
      </c>
      <c r="S23">
        <f ca="1">Q23*Assumption!$E$27 + R23*Assumption!$F$27</f>
        <v>26.34</v>
      </c>
      <c r="T23" cm="1">
        <f t="array" aca="1" ref="T23" ca="1">_xlfn.PERCENTRANK.EXC(_xlfn._xlws.FILTER(S$4:S$24, ISNUMBER(S$4:S$24)),S23)*100</f>
        <v>9</v>
      </c>
    </row>
    <row r="24" spans="1:31" x14ac:dyDescent="0.35">
      <c r="A24" t="s">
        <v>36</v>
      </c>
      <c r="B24" t="s">
        <v>454</v>
      </c>
      <c r="C24" t="s">
        <v>36</v>
      </c>
      <c r="D24" t="s">
        <v>769</v>
      </c>
      <c r="E24">
        <v>64.400000000000006</v>
      </c>
      <c r="F24">
        <v>0.8</v>
      </c>
      <c r="G24" t="s">
        <v>129</v>
      </c>
      <c r="H24" s="126" t="s">
        <v>801</v>
      </c>
      <c r="I24" s="127" t="s">
        <v>713</v>
      </c>
      <c r="J24" s="128" t="s">
        <v>454</v>
      </c>
      <c r="K24" s="128" t="s">
        <v>36</v>
      </c>
      <c r="L24" t="s">
        <v>769</v>
      </c>
      <c r="M24" cm="1">
        <f t="array" ref="M24">IF(_xll.FDSRC(,"DUMMY","ECON_EXPR_DATA('FDS_ECON["&amp;H24&amp;"]',,,M)")=0,$J$28,_xll.FDSRC(,"DUMMY","ECON_EXPR_DATA('FDS_ECON["&amp;H24&amp;"]',,,M)"))</f>
        <v>57.158000000000001</v>
      </c>
      <c r="N24" cm="1">
        <f t="array" aca="1" ref="N24" ca="1">_xll.FDSRC("-","DUMMY","ECON_EXPR_DATA('FDS_ECON["&amp;H24&amp;"]',"&amp;$N$3&amp;",,Q)")</f>
        <v>57.793106000000002</v>
      </c>
      <c r="O24" cm="1">
        <f t="array" aca="1" ref="O24" ca="1">_xll.FDSRC("-","DUMMY","ECON_EXPR_DATA('FDS_ECON["&amp;H24&amp;"]',"&amp;$O$3&amp;",,Q)")</f>
        <v>57.151814000000002</v>
      </c>
      <c r="P24">
        <f t="shared" ca="1" si="0"/>
        <v>0.64129199999999997</v>
      </c>
      <c r="Q24" cm="1">
        <f t="array" ref="Q24">_xlfn.PERCENTRANK.EXC(_xlfn._xlws.FILTER(M$4:M$24, ISNUMBER(M$4:M$24)),M24)*100</f>
        <v>95.399999999999991</v>
      </c>
      <c r="R24" cm="1">
        <f t="array" aca="1" ref="R24" ca="1">_xlfn.PERCENTRANK.EXC(_xlfn._xlws.FILTER(P$4:P$24, ISNUMBER(P$4:P$24)),P24)*100</f>
        <v>77.2</v>
      </c>
      <c r="S24">
        <f ca="1">Q24*Assumption!$E$27 + R24*Assumption!$F$27</f>
        <v>88.12</v>
      </c>
      <c r="T24" cm="1">
        <f t="array" aca="1" ref="T24" ca="1">_xlfn.PERCENTRANK.EXC(_xlfn._xlws.FILTER(S$4:S$24, ISNUMBER(S$4:S$24)),S24)*100</f>
        <v>95.399999999999991</v>
      </c>
    </row>
    <row r="26" spans="1:31" x14ac:dyDescent="0.35">
      <c r="K26" t="str" cm="1">
        <f t="array" aca="1" ref="K26" ca="1">_xll.FDSRC("-","DUMMY","ECON_DATE("&amp;$L$1&amp;",,, 'MM/YYYY')")</f>
        <v>02/2024</v>
      </c>
      <c r="L26" t="str" cm="1">
        <f t="array" aca="1" ref="L26" ca="1">_xll.FDSRC("-","DUMMY","ECON_DATE("&amp;$L$2&amp;",,, 'MM/YYYY')")</f>
        <v>11/2023</v>
      </c>
      <c r="M26" t="s">
        <v>804</v>
      </c>
    </row>
    <row r="27" spans="1:31" x14ac:dyDescent="0.35">
      <c r="H27" s="126" t="s">
        <v>782</v>
      </c>
      <c r="I27" s="126" t="s">
        <v>783</v>
      </c>
      <c r="J27" cm="1">
        <f t="array" ref="J27">_xll.FDSRC("-","DUMMY","ECON_EXPR_DATA('FDS_ECON["&amp;H27&amp;"]',,,M)")</f>
        <v>49.253857000000004</v>
      </c>
      <c r="K27" cm="1">
        <f t="array" aca="1" ref="K27" ca="1">_xll.FDSRC("-","DUMMY","ECON_EXPR_DATA('FDS_ECON["&amp;H27&amp;"]',"&amp;$K$26&amp;",,Q)")</f>
        <v>47.378044000000003</v>
      </c>
      <c r="L27" cm="1">
        <f t="array" aca="1" ref="L27" ca="1">_xll.FDSRC("-","DUMMY","ECON_EXPR_DATA('FDS_ECON["&amp;H27&amp;"]',"&amp;$L$26&amp;",,Q)")</f>
        <v>47.086407000000001</v>
      </c>
      <c r="M27">
        <f ca="1">K27-L27</f>
        <v>0.29163700000000148</v>
      </c>
    </row>
    <row r="28" spans="1:31" x14ac:dyDescent="0.35">
      <c r="H28" s="126" t="s">
        <v>784</v>
      </c>
      <c r="I28" s="126" t="s">
        <v>785</v>
      </c>
      <c r="J28" cm="1">
        <f t="array" ref="J28">_xll.FDSRC("-","DUMMY","ECON_EXPR_DATA('FDS_ECON["&amp;H28&amp;"]',,,M)")</f>
        <v>51.447499999999998</v>
      </c>
      <c r="K28" cm="1">
        <f t="array" aca="1" ref="K28" ca="1">_xll.FDSRC("-","DUMMY","ECON_EXPR_DATA('FDS_ECON["&amp;H28&amp;"]',"&amp;$K$26&amp;",,Q)")</f>
        <v>50.640650000000001</v>
      </c>
      <c r="L28" cm="1">
        <f t="array" aca="1" ref="L28" ca="1">_xll.FDSRC("-","DUMMY","ECON_EXPR_DATA('FDS_ECON["&amp;H28&amp;"]',"&amp;$L$26&amp;",,Q)")</f>
        <v>50.814143999999999</v>
      </c>
      <c r="M28">
        <f ca="1">K28-L28</f>
        <v>-0.17349399999999804</v>
      </c>
    </row>
  </sheetData>
  <hyperlinks>
    <hyperlink ref="H15" r:id="rId1" xr:uid="{6D396D60-C22A-444B-AC80-A6C82D2B9EAD}"/>
    <hyperlink ref="H24" r:id="rId2" xr:uid="{9A9BD8AA-4007-4F97-AC85-D0B6E1F2465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33"/>
  <sheetViews>
    <sheetView workbookViewId="0">
      <selection activeCell="J15" sqref="J15"/>
    </sheetView>
  </sheetViews>
  <sheetFormatPr defaultRowHeight="14.5" x14ac:dyDescent="0.35"/>
  <cols>
    <col min="1" max="1" width="14.08984375" customWidth="1"/>
    <col min="2" max="2" width="34.36328125" bestFit="1" customWidth="1"/>
    <col min="3" max="3" width="9.6328125" bestFit="1" customWidth="1"/>
    <col min="4" max="4" width="15.36328125" customWidth="1"/>
    <col min="5" max="5" width="17.6328125" customWidth="1"/>
    <col min="6" max="6" width="19.453125" customWidth="1"/>
    <col min="7" max="7" width="18" customWidth="1"/>
  </cols>
  <sheetData>
    <row r="1" spans="1:7" x14ac:dyDescent="0.35">
      <c r="A1" t="s">
        <v>760</v>
      </c>
      <c r="B1" t="s">
        <v>535</v>
      </c>
      <c r="C1" t="s">
        <v>854</v>
      </c>
      <c r="D1" t="s">
        <v>891</v>
      </c>
      <c r="E1" t="s">
        <v>581</v>
      </c>
      <c r="F1" t="s">
        <v>892</v>
      </c>
      <c r="G1" t="s">
        <v>893</v>
      </c>
    </row>
    <row r="2" spans="1:7" x14ac:dyDescent="0.35">
      <c r="A2" t="s">
        <v>181</v>
      </c>
      <c r="B2" t="s">
        <v>440</v>
      </c>
      <c r="C2" t="s">
        <v>437</v>
      </c>
      <c r="D2" s="168" cm="1">
        <f t="array" ref="D2">_xll.FDS(C2,"FREF_MARKET_VALUE_COMPANY(0,,,USD,,0,,""LEGACY"")")</f>
        <v>186.8295</v>
      </c>
      <c r="E2" t="s">
        <v>622</v>
      </c>
      <c r="F2" t="str">
        <f>_xlfn.CONCAT("FC0000",RIGHT(A2,2))</f>
        <v>FC0000CN</v>
      </c>
      <c r="G2" s="163" cm="1">
        <f t="array" ref="G2">_xll.FDSZ(F2,"FMA_MCAP(0,,,USD,""PORTAGG"")")</f>
        <v>7607175</v>
      </c>
    </row>
    <row r="3" spans="1:7" x14ac:dyDescent="0.35">
      <c r="A3" t="s">
        <v>298</v>
      </c>
      <c r="B3" t="s">
        <v>441</v>
      </c>
      <c r="C3" t="s">
        <v>27</v>
      </c>
      <c r="D3" s="168" cm="1">
        <f t="array" ref="D3">_xll.FDS(C3,"FREF_MARKET_VALUE_COMPANY(0,,,USD,,0,,""LEGACY"")")</f>
        <v>546.55999999999995</v>
      </c>
      <c r="E3" t="s">
        <v>621</v>
      </c>
      <c r="F3" t="str">
        <f t="shared" ref="F3:F17" si="0">_xlfn.CONCAT("FC0000",RIGHT(A3,2))</f>
        <v>FC0000CL</v>
      </c>
      <c r="G3" s="163" cm="1">
        <f t="array" ref="G3">_xll.FDSZ(F3,"FMA_MCAP(0,,,USD,""PORTAGG"")")</f>
        <v>138242.16</v>
      </c>
    </row>
    <row r="4" spans="1:7" x14ac:dyDescent="0.35">
      <c r="A4" t="s">
        <v>191</v>
      </c>
      <c r="B4" t="s">
        <v>442</v>
      </c>
      <c r="C4" t="s">
        <v>35</v>
      </c>
      <c r="D4" s="168" cm="1">
        <f t="array" ref="D4">_xll.FDS(C4,"FREF_MARKET_VALUE_COMPANY(0,,,USD,,0,,""LEGACY"")")</f>
        <v>496.83199999999999</v>
      </c>
      <c r="E4" t="s">
        <v>658</v>
      </c>
      <c r="F4" t="str">
        <f t="shared" si="0"/>
        <v>FC0000ID</v>
      </c>
      <c r="G4" s="163" cm="1">
        <f t="array" ref="G4">_xll.FDSZ(F4,"FMA_MCAP(0,,,USD,""PORTAGG"")")</f>
        <v>645292.80000000005</v>
      </c>
    </row>
    <row r="5" spans="1:7" x14ac:dyDescent="0.35">
      <c r="A5" t="s">
        <v>209</v>
      </c>
      <c r="B5" t="s">
        <v>443</v>
      </c>
      <c r="C5" t="s">
        <v>30</v>
      </c>
      <c r="D5" s="168" cm="1">
        <f t="array" ref="D5">_xll.FDS(C5,"FREF_MARKET_VALUE_COMPANY(0,,,USD,,0,,""LEGACY"")")</f>
        <v>124.65</v>
      </c>
      <c r="E5" t="s">
        <v>706</v>
      </c>
      <c r="F5" t="str">
        <f t="shared" si="0"/>
        <v>FC0000PH</v>
      </c>
      <c r="G5" s="163" cm="1">
        <f t="array" ref="G5">_xll.FDSZ(F5,"FMA_MCAP(0,,,USD,""PORTAGG"")")</f>
        <v>219848.69</v>
      </c>
    </row>
    <row r="6" spans="1:7" x14ac:dyDescent="0.35">
      <c r="A6" t="s">
        <v>261</v>
      </c>
      <c r="B6" t="s">
        <v>444</v>
      </c>
      <c r="C6" t="s">
        <v>23</v>
      </c>
      <c r="D6" s="168" cm="1">
        <f t="array" ref="D6">_xll.FDS(C6,"FREF_MARKET_VALUE_COMPANY(0,,,USD,,0,,""LEGACY"")")</f>
        <v>258.1225</v>
      </c>
      <c r="E6" t="s">
        <v>707</v>
      </c>
      <c r="F6" t="str">
        <f t="shared" si="0"/>
        <v>FC0000PL</v>
      </c>
      <c r="G6" s="163" cm="1">
        <f t="array" ref="G6">_xll.FDSZ(F6,"FMA_MCAP(0,,,USD,""PORTAGG"")")</f>
        <v>202093.47</v>
      </c>
    </row>
    <row r="7" spans="1:7" x14ac:dyDescent="0.35">
      <c r="A7" t="s">
        <v>308</v>
      </c>
      <c r="B7" t="s">
        <v>445</v>
      </c>
      <c r="C7" t="s">
        <v>29</v>
      </c>
      <c r="D7" s="168" cm="1">
        <f t="array" ref="D7">_xll.FDS(C7,"FREF_MARKET_VALUE_COMPANY(0,,,USD,,0,,""LEGACY"")")</f>
        <v>98.024574999999999</v>
      </c>
      <c r="E7" t="s">
        <v>705</v>
      </c>
      <c r="F7" t="str">
        <f t="shared" si="0"/>
        <v>FC0000PE</v>
      </c>
      <c r="G7" s="163" cm="1">
        <f t="array" ref="G7">_xll.FDSZ(F7,"FMA_MCAP(0,,,USD,""PORTAGG"")")</f>
        <v>39537.266000000003</v>
      </c>
    </row>
    <row r="8" spans="1:7" x14ac:dyDescent="0.35">
      <c r="A8" t="s">
        <v>198</v>
      </c>
      <c r="B8" t="s">
        <v>446</v>
      </c>
      <c r="C8" t="s">
        <v>33</v>
      </c>
      <c r="D8" s="168" cm="1">
        <f t="array" ref="D8">_xll.FDS(C8,"FREF_MARKET_VALUE_COMPANY(0,,,USD,,0,,""LEGACY"")")</f>
        <v>243</v>
      </c>
      <c r="E8" t="s">
        <v>680</v>
      </c>
      <c r="F8" t="str">
        <f t="shared" si="0"/>
        <v>FC0000MY</v>
      </c>
      <c r="G8" s="163" cm="1">
        <f t="array" ref="G8">_xll.FDSZ(F8,"FMA_MCAP(0,,,USD,""PORTAGG"")")</f>
        <v>365703.44</v>
      </c>
    </row>
    <row r="9" spans="1:7" x14ac:dyDescent="0.35">
      <c r="A9" t="s">
        <v>221</v>
      </c>
      <c r="B9" t="s">
        <v>40</v>
      </c>
      <c r="C9" t="s">
        <v>24</v>
      </c>
      <c r="D9" s="168" cm="1">
        <f t="array" ref="D9">_xll.FDS(C9,"FREF_MARKET_VALUE_COMPANY(0,,,USD,,0,,""LEGACY"")")</f>
        <v>3858.0479999999998</v>
      </c>
      <c r="E9" t="s">
        <v>727</v>
      </c>
      <c r="F9" t="str">
        <f t="shared" si="0"/>
        <v>FC0000TW</v>
      </c>
      <c r="G9" s="163" cm="1">
        <f t="array" ref="G9">_xll.FDSZ(F9,"FMA_MCAP(0,,,USD,""PORTAGG"")")</f>
        <v>2130373.5</v>
      </c>
    </row>
    <row r="10" spans="1:7" x14ac:dyDescent="0.35">
      <c r="A10" t="s">
        <v>305</v>
      </c>
      <c r="B10" t="s">
        <v>53</v>
      </c>
      <c r="C10" t="s">
        <v>7</v>
      </c>
      <c r="D10" s="168" cm="1">
        <f t="array" ref="D10">_xll.FDS(C10,"FREF_MARKET_VALUE_COMPANY(0,,,USD,,0,,""LEGACY"")")</f>
        <v>1916.396</v>
      </c>
      <c r="E10" t="s">
        <v>685</v>
      </c>
      <c r="F10" t="str">
        <f t="shared" si="0"/>
        <v>FC0000MX</v>
      </c>
      <c r="G10" s="163" cm="1">
        <f t="array" ref="G10">_xll.FDSZ(F10,"FMA_MCAP(0,,,USD,""PORTAGG"")")</f>
        <v>524663.43999999994</v>
      </c>
    </row>
    <row r="11" spans="1:7" x14ac:dyDescent="0.35">
      <c r="A11" t="s">
        <v>214</v>
      </c>
      <c r="B11" t="s">
        <v>38</v>
      </c>
      <c r="C11" t="s">
        <v>21</v>
      </c>
      <c r="D11" s="168" cm="1">
        <f t="array" ref="D11">_xll.FDS(C11,"FREF_MARKET_VALUE_COMPANY(0,,,USD,,0,,""LEGACY"")")</f>
        <v>4736.32</v>
      </c>
      <c r="E11" t="s">
        <v>667</v>
      </c>
      <c r="F11" t="str">
        <f t="shared" si="0"/>
        <v>FC0000KR</v>
      </c>
      <c r="G11" s="163" cm="1">
        <f t="array" ref="G11">_xll.FDSZ(F11,"FMA_MCAP(0,,,USD,""PORTAGG"")")</f>
        <v>1910312.3</v>
      </c>
    </row>
    <row r="12" spans="1:7" x14ac:dyDescent="0.35">
      <c r="A12" t="s">
        <v>295</v>
      </c>
      <c r="B12" t="s">
        <v>54</v>
      </c>
      <c r="C12" t="s">
        <v>12</v>
      </c>
      <c r="D12" s="168" cm="1">
        <f t="array" ref="D12">_xll.FDS(C12,"FREF_MARKET_VALUE_COMPANY(0,,,USD,,0,,""LEGACY"")")</f>
        <v>5265.2039999999997</v>
      </c>
      <c r="E12" t="s">
        <v>610</v>
      </c>
      <c r="F12" t="str">
        <f t="shared" si="0"/>
        <v>FC0000BR</v>
      </c>
      <c r="G12" s="163" cm="1">
        <f t="array" ref="G12">_xll.FDSZ(F12,"FMA_MCAP(0,,,USD,""PORTAGG"")")</f>
        <v>785275.4</v>
      </c>
    </row>
    <row r="13" spans="1:7" x14ac:dyDescent="0.35">
      <c r="A13" t="s">
        <v>370</v>
      </c>
      <c r="B13" t="s">
        <v>447</v>
      </c>
      <c r="C13" t="s">
        <v>22</v>
      </c>
      <c r="D13" s="168" cm="1">
        <f t="array" ref="D13">_xll.FDS(C13,"FREF_MARKET_VALUE_COMPANY(0,,,USD,,0,,""LEGACY"")")</f>
        <v>258.26400000000001</v>
      </c>
      <c r="E13" t="s">
        <v>720</v>
      </c>
      <c r="F13" t="str">
        <f t="shared" si="0"/>
        <v>FC0000ZA</v>
      </c>
      <c r="G13" s="163" cm="1">
        <f t="array" ref="G13">_xll.FDSZ(F13,"FMA_MCAP(0,,,USD,""PORTAGG"")")</f>
        <v>292423.8</v>
      </c>
    </row>
    <row r="14" spans="1:7" x14ac:dyDescent="0.35">
      <c r="A14" t="s">
        <v>503</v>
      </c>
      <c r="B14" t="s">
        <v>448</v>
      </c>
      <c r="C14" t="s">
        <v>28</v>
      </c>
      <c r="D14" s="168" cm="1">
        <f t="array" ref="D14">_xll.FDS(C14,"FREF_MARKET_VALUE_COMPANY(0,,,USD,,0,,""LEGACY"")")</f>
        <v>197.80012694000001</v>
      </c>
      <c r="E14" t="s">
        <v>647</v>
      </c>
      <c r="F14" t="str">
        <f t="shared" si="0"/>
        <v>FC0000GR</v>
      </c>
      <c r="G14" s="163" cm="1">
        <f t="array" ref="G14">_xll.FDSZ(F14,"FMA_MCAP(0,,,USD,""PORTAGG"")")</f>
        <v>83983.57</v>
      </c>
    </row>
    <row r="15" spans="1:7" x14ac:dyDescent="0.35">
      <c r="A15" t="s">
        <v>188</v>
      </c>
      <c r="B15" t="s">
        <v>52</v>
      </c>
      <c r="C15" t="s">
        <v>32</v>
      </c>
      <c r="D15" s="168" cm="1">
        <f t="array" ref="D15">_xll.FDS(C15,"FREF_MARKET_VALUE_COMPANY(0,,,USD,,0,,""LEGACY"")")</f>
        <v>9011.5759999999991</v>
      </c>
      <c r="E15" t="s">
        <v>657</v>
      </c>
      <c r="F15" t="str">
        <f t="shared" si="0"/>
        <v>FC0000IN</v>
      </c>
      <c r="G15" s="163" cm="1">
        <f t="array" ref="G15">_xll.FDSZ(F15,"FMA_MCAP(0,,,USD,""PORTAGG"")")</f>
        <v>4675079</v>
      </c>
    </row>
    <row r="16" spans="1:7" x14ac:dyDescent="0.35">
      <c r="A16" t="s">
        <v>181</v>
      </c>
      <c r="B16" t="s">
        <v>41</v>
      </c>
      <c r="C16" t="s">
        <v>26</v>
      </c>
      <c r="D16" s="168" cm="1">
        <f t="array" ref="D16">_xll.FDS(C16,"FREF_MARKET_VALUE_COMPANY(0,,,USD,,0,,""LEGACY"")")</f>
        <v>5175.03</v>
      </c>
      <c r="E16" t="s">
        <v>622</v>
      </c>
      <c r="F16" t="str">
        <f t="shared" si="0"/>
        <v>FC0000CN</v>
      </c>
      <c r="G16" s="163" cm="1">
        <f t="array" ref="G16">_xll.FDSZ(F16,"FMA_MCAP(0,,,USD,""PORTAGG"")")</f>
        <v>7607175</v>
      </c>
    </row>
    <row r="17" spans="1:7" x14ac:dyDescent="0.35">
      <c r="A17" t="s">
        <v>364</v>
      </c>
      <c r="B17" t="s">
        <v>449</v>
      </c>
      <c r="C17" t="s">
        <v>31</v>
      </c>
      <c r="D17" s="168" cm="1">
        <f t="array" ref="D17">_xll.FDS(C17,"FREF_MARKET_VALUE_COMPANY(0,,,USD,,0,,""LEGACY"")")</f>
        <v>82.3095</v>
      </c>
      <c r="E17" t="s">
        <v>709</v>
      </c>
      <c r="F17" t="str">
        <f t="shared" si="0"/>
        <v>FC0000QA</v>
      </c>
      <c r="G17" s="163" cm="1">
        <f t="array" ref="G17">_xll.FDSZ(F17,"FMA_MCAP(0,,,USD,""PORTAGG"")")</f>
        <v>165065.75</v>
      </c>
    </row>
    <row r="18" spans="1:7" x14ac:dyDescent="0.35">
      <c r="A18" t="s">
        <v>225</v>
      </c>
      <c r="B18" t="s">
        <v>765</v>
      </c>
      <c r="C18" t="s">
        <v>764</v>
      </c>
      <c r="D18" s="168" cm="1">
        <f t="array" ref="D18">_xll.FDS(C18,"FG_MCAP_IDX(0,,,USD)")</f>
        <v>469323.70181374502</v>
      </c>
      <c r="E18" t="s">
        <v>730</v>
      </c>
      <c r="F18" t="s">
        <v>764</v>
      </c>
      <c r="G18" s="163" cm="1">
        <f t="array" ref="G18">_xll.FDSZ(F18,"FMA_MCAP(0,,,USD,""PORTAGG"")")</f>
        <v>469323.70181374502</v>
      </c>
    </row>
    <row r="19" spans="1:7" x14ac:dyDescent="0.35">
      <c r="A19" t="s">
        <v>283</v>
      </c>
      <c r="B19" t="s">
        <v>451</v>
      </c>
      <c r="C19" t="s">
        <v>25</v>
      </c>
      <c r="D19" s="168" cm="1">
        <f t="array" ref="D19">_xll.FDS(C19,"FREF_MARKET_VALUE_COMPANY(0,,,USD,,0,,""LEGACY"")")</f>
        <v>200.91</v>
      </c>
      <c r="E19" t="s">
        <v>734</v>
      </c>
      <c r="F19" t="str">
        <f t="shared" ref="F19:F20" si="1">_xlfn.CONCAT("FC0000",RIGHT(A19,2))</f>
        <v>FC0000TR</v>
      </c>
      <c r="G19" s="163" cm="1">
        <f t="array" ref="G19">_xll.FDSZ(F19,"FMA_MCAP(0,,,USD,""PORTAGG"")")</f>
        <v>373369.53</v>
      </c>
    </row>
    <row r="20" spans="1:7" x14ac:dyDescent="0.35">
      <c r="A20" t="s">
        <v>377</v>
      </c>
      <c r="B20" t="s">
        <v>452</v>
      </c>
      <c r="C20" t="s">
        <v>34</v>
      </c>
      <c r="D20" s="168" cm="1">
        <f t="array" ref="D20">_xll.FDS(C20,"FREF_MARKET_VALUE_COMPANY(0,,,USD,,0,,""LEGACY"")")</f>
        <v>39.514499999999998</v>
      </c>
      <c r="E20" t="s">
        <v>738</v>
      </c>
      <c r="F20" t="str">
        <f t="shared" si="1"/>
        <v>FC0000AE</v>
      </c>
      <c r="G20" s="163" cm="1">
        <f t="array" ref="G20">_xll.FDSZ(F20,"FMA_MCAP(0,,,USD,""PORTAGG"")")</f>
        <v>876853.6</v>
      </c>
    </row>
    <row r="21" spans="1:7" x14ac:dyDescent="0.35">
      <c r="A21" t="s">
        <v>228</v>
      </c>
      <c r="B21" t="s">
        <v>453</v>
      </c>
      <c r="C21" t="s">
        <v>37</v>
      </c>
      <c r="D21" s="168" cm="1">
        <f t="array" ref="D21">_xll.FDS(C21,"FREF_MARKET_VALUE_COMPANY(0,,,USD,,0,,""LEGACY"")")</f>
        <v>552.70600000000002</v>
      </c>
      <c r="E21" t="s">
        <v>743</v>
      </c>
      <c r="F21" t="s">
        <v>889</v>
      </c>
      <c r="G21" s="163" cm="1">
        <f t="array" ref="G21">_xll.FDSZ(F21,"FMA_MCAP(0,,,USD,""PORTAGG"")")</f>
        <v>25172.493287000001</v>
      </c>
    </row>
    <row r="22" spans="1:7" x14ac:dyDescent="0.35">
      <c r="A22" t="s">
        <v>367</v>
      </c>
      <c r="B22" t="s">
        <v>454</v>
      </c>
      <c r="C22" t="s">
        <v>36</v>
      </c>
      <c r="D22" s="168" cm="1">
        <f t="array" ref="D22">_xll.FDS(C22,"FREF_MARKET_VALUE_COMPANY(0,,,USD,,0,,""LEGACY"")")</f>
        <v>843.64800000000002</v>
      </c>
      <c r="E22" t="s">
        <v>713</v>
      </c>
      <c r="F22" t="str">
        <f t="shared" ref="F22:F31" si="2">_xlfn.CONCAT("FC0000",RIGHT(A22,2))</f>
        <v>FC0000SA</v>
      </c>
      <c r="G22" s="163" cm="1">
        <f t="array" ref="G22">_xll.FDSZ(F22,"FMA_MCAP(0,,,USD,""PORTAGG"")")</f>
        <v>2947699.8</v>
      </c>
    </row>
    <row r="23" spans="1:7" x14ac:dyDescent="0.35">
      <c r="A23" t="s">
        <v>202</v>
      </c>
      <c r="B23" t="s">
        <v>455</v>
      </c>
      <c r="C23" t="s">
        <v>438</v>
      </c>
      <c r="D23" s="168" cm="1">
        <f t="array" ref="D23">_xll.FDS(C23,"FREF_MARKET_VALUE_COMPANY(0,,,USD,,0,,""LEGACY"")")</f>
        <v>99.176000000000002</v>
      </c>
      <c r="E23" t="s">
        <v>694</v>
      </c>
      <c r="F23" t="str">
        <f t="shared" si="2"/>
        <v>FC0000NZ</v>
      </c>
      <c r="G23" s="163" cm="1">
        <f t="array" ref="G23">_xll.FDSZ(F23,"FMA_MCAP(0,,,USD,""PORTAGG"")")</f>
        <v>91122.240000000005</v>
      </c>
    </row>
    <row r="24" spans="1:7" x14ac:dyDescent="0.35">
      <c r="A24" t="s">
        <v>178</v>
      </c>
      <c r="B24" t="s">
        <v>45</v>
      </c>
      <c r="C24" t="s">
        <v>44</v>
      </c>
      <c r="D24" s="168" cm="1">
        <f t="array" ref="D24">_xll.FDS(C24,"FREF_MARKET_VALUE_COMPANY(0,,,USD,,0,,""LEGACY"")")</f>
        <v>1955.2280000000001</v>
      </c>
      <c r="E24" t="s">
        <v>596</v>
      </c>
      <c r="F24" t="str">
        <f t="shared" si="2"/>
        <v>FC0000AU</v>
      </c>
      <c r="G24" s="163" cm="1">
        <f t="array" ref="G24">_xll.FDSZ(F24,"FMA_MCAP(0,,,USD,""PORTAGG"")")</f>
        <v>1654518.5</v>
      </c>
    </row>
    <row r="25" spans="1:7" x14ac:dyDescent="0.35">
      <c r="A25" t="s">
        <v>161</v>
      </c>
      <c r="B25" t="s">
        <v>50</v>
      </c>
      <c r="C25" t="s">
        <v>49</v>
      </c>
      <c r="D25" s="168" cm="1">
        <f t="array" ref="D25">_xll.FDS(C25,"FREF_MARKET_VALUE_COMPANY(0,,,USD,,0,,""LEGACY"")")</f>
        <v>2809.8180000000002</v>
      </c>
      <c r="E25" t="s">
        <v>618</v>
      </c>
      <c r="F25" t="str">
        <f t="shared" si="2"/>
        <v>FC0000CA</v>
      </c>
      <c r="G25" s="163" cm="1">
        <f t="array" ref="G25">_xll.FDSZ(F25,"FMA_MCAP(0,,,USD,""PORTAGG"")")</f>
        <v>2662035.5</v>
      </c>
    </row>
    <row r="26" spans="1:7" s="1" customFormat="1" x14ac:dyDescent="0.35">
      <c r="A26" s="170" t="s">
        <v>575</v>
      </c>
      <c r="B26" s="170" t="s">
        <v>39</v>
      </c>
      <c r="C26" s="170" t="s">
        <v>11</v>
      </c>
      <c r="D26" s="168" cm="1">
        <f t="array" ref="D26">_xll.FDS(C26,"FREF_MARKET_VALUE_COMPANY(0,,,USD,,0,,""LEGACY"")")</f>
        <v>1014.09</v>
      </c>
      <c r="E26" s="170" t="s">
        <v>645</v>
      </c>
      <c r="F26" s="170" t="str">
        <f t="shared" si="2"/>
        <v>FC0000DE</v>
      </c>
      <c r="G26" s="171" cm="1">
        <f t="array" ref="G26">_xll.FDSZ(F26,"FMA_MCAP(0,,,USD,""PORTAGG"")")</f>
        <v>2313505.2999999998</v>
      </c>
    </row>
    <row r="27" spans="1:7" x14ac:dyDescent="0.35">
      <c r="A27" t="s">
        <v>168</v>
      </c>
      <c r="B27" t="s">
        <v>47</v>
      </c>
      <c r="C27" t="s">
        <v>46</v>
      </c>
      <c r="D27" s="168" cm="1">
        <f t="array" ref="D27">_xll.FDS(C27,"FREF_MARKET_VALUE_COMPANY(0,,,USD,,0,,""LEGACY"")")</f>
        <v>16560.552</v>
      </c>
      <c r="E27" t="s">
        <v>663</v>
      </c>
      <c r="F27" t="str">
        <f t="shared" si="2"/>
        <v>FC0000JP</v>
      </c>
      <c r="G27" s="163" cm="1">
        <f t="array" ref="G27">_xll.FDSZ(F27,"FMA_MCAP(0,,,USD,""PORTAGG"")")</f>
        <v>6661200</v>
      </c>
    </row>
    <row r="28" spans="1:7" x14ac:dyDescent="0.35">
      <c r="A28" t="s">
        <v>280</v>
      </c>
      <c r="B28" t="s">
        <v>43</v>
      </c>
      <c r="C28" t="s">
        <v>42</v>
      </c>
      <c r="D28" s="168" cm="1">
        <f t="array" ref="D28">_xll.FDS(C28,"FREF_MARKET_VALUE_COMPANY(0,,,USD,,0,,""LEGACY"")")</f>
        <v>1201.5562500000001</v>
      </c>
      <c r="E28" t="s">
        <v>726</v>
      </c>
      <c r="F28" t="str">
        <f t="shared" si="2"/>
        <v>FC0000CH</v>
      </c>
      <c r="G28" s="163" cm="1">
        <f t="array" ref="G28">_xll.FDSZ(F28,"FMA_MCAP(0,,,USD,""PORTAGG"")")</f>
        <v>2133620.2999999998</v>
      </c>
    </row>
    <row r="29" spans="1:7" x14ac:dyDescent="0.35">
      <c r="A29" t="s">
        <v>171</v>
      </c>
      <c r="B29" t="s">
        <v>456</v>
      </c>
      <c r="C29" t="s">
        <v>48</v>
      </c>
      <c r="D29" s="168" cm="1">
        <f t="array" ref="D29">_xll.FDS(C29,"FREF_MARKET_VALUE_COMPANY(0,,,USD,,0,,""LEGACY"")")</f>
        <v>2576.37</v>
      </c>
      <c r="E29" t="s">
        <v>739</v>
      </c>
      <c r="F29" t="str">
        <f t="shared" si="2"/>
        <v>FC0000GB</v>
      </c>
      <c r="G29" s="163" cm="1">
        <f t="array" ref="G29">_xll.FDSZ(F29,"FMA_MCAP(0,,,USD,""PORTAGG"")")</f>
        <v>3041917</v>
      </c>
    </row>
    <row r="30" spans="1:7" x14ac:dyDescent="0.35">
      <c r="A30" t="s">
        <v>174</v>
      </c>
      <c r="B30" t="s">
        <v>457</v>
      </c>
      <c r="C30" t="s">
        <v>51</v>
      </c>
      <c r="D30" s="168" cm="1">
        <f t="array" ref="D30">_xll.FDS(C30,"FREF_MARKET_VALUE_COMPANY(0,,,USD,,0,,""LEGACY"")")</f>
        <v>257331.791</v>
      </c>
      <c r="E30" t="s">
        <v>740</v>
      </c>
      <c r="F30" t="str">
        <f t="shared" si="2"/>
        <v>FC0000US</v>
      </c>
      <c r="G30" s="163" cm="1">
        <f t="array" ref="G30">_xll.FDSZ(F30,"FMA_MCAP(0,,,USD,""PORTAGG"")")</f>
        <v>53679290</v>
      </c>
    </row>
    <row r="31" spans="1:7" x14ac:dyDescent="0.35">
      <c r="A31" t="s">
        <v>174</v>
      </c>
      <c r="B31" t="s">
        <v>1</v>
      </c>
      <c r="C31" t="s">
        <v>1</v>
      </c>
      <c r="D31" s="168" cm="1">
        <f t="array" ref="D31">_xll.FDS(C31,"FREF_MARKET_VALUE_COMPANY(0,,,USD,,0,,""LEGACY"")")</f>
        <v>506424.99482999998</v>
      </c>
      <c r="E31" t="s">
        <v>740</v>
      </c>
      <c r="F31" t="str">
        <f t="shared" si="2"/>
        <v>FC0000US</v>
      </c>
      <c r="G31" s="163" cm="1">
        <f t="array" ref="G31">_xll.FDSZ(F31,"FMA_MCAP(0,,,USD,""PORTAGG"")")</f>
        <v>53679290</v>
      </c>
    </row>
    <row r="33" spans="1:7" x14ac:dyDescent="0.35">
      <c r="A33" s="55" t="s">
        <v>370</v>
      </c>
      <c r="B33" s="55" t="str" cm="1">
        <f t="array" ref="B33">_xll.FDS(C33,"FG_COMPANY_NAME")</f>
        <v>Nasdaq South Africa</v>
      </c>
      <c r="C33" s="55" t="s">
        <v>897</v>
      </c>
      <c r="D33" s="174" cm="1">
        <f t="array" ref="D33">_xll.FDSZ(C33,"FMA_MCAP(0,,,USD,""PORTAGG"")")</f>
        <v>0</v>
      </c>
      <c r="E33" s="55" t="str" cm="1">
        <f t="array" ref="E33">_xll.FDS(A33,"FG_COMPANY_NAME")</f>
        <v>South Africa</v>
      </c>
      <c r="F33" s="55" t="str">
        <f>_xlfn.CONCAT("FC0000",RIGHT(A33,2))</f>
        <v>FC0000ZA</v>
      </c>
      <c r="G33" s="174" cm="1">
        <f t="array" ref="G33">_xll.FDS(F33,"FG_MCAP_IDX(0,,,USD)")</f>
        <v>292423.8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9708362"><![CDATA[{"FC0000ZA^FG_MCAP_IDX(0,,,USD)":292423.8,"FC0000CN^FMA_MCAP(0,,,USD,\"PORTAGG\")":7607175.0,"NQG00809^FMA_MCAP(0,,,USD,\"PORTAGG\")":null,"MCHI^FREF_MARKET_VALUE_COMPANY(0,,,USD,,0,,\"LEGACY\")":5175.03,"FC0000US^FMA_MCAP(0,,,USD,\"PORTAGG\")":53679290.0,"FC0000IN^FMA_MCAP(0,,,USD,\"PORTAGG\")":4675079.0,"SPY^FREF_MARKET_VALUE_COMPANY(0,,,USD,,0,,\"LEGACY\")":506424.99483,"INDA^FREF_MARKET_VALUE_COMPANY(0,,,USD,,0,,\"LEGACY\")":9011.576,"QQQ^FREF_MARKET_VALUE_COMPANY(0,,,USD,,0,,\"LEGACY\")":257331.791,"FC0000BR^FMA_MCAP(0,,,USD,\"PORTAGG\")":785275.4,"FC0000KR^FMA_MCAP(0,,,USD,\"PORTAGG\")":1910312.3,"EWM^FREF_MARKET_VALUE_COMPANY(0,,,USD,,0,,\"LEGACY\")":243.0,"EZA^FREF_MARKET_VALUE_COMPANY(0,,,USD,,0,,\"LEGACY\")":258.264,"EWT^FREF_MARKET_VALUE_COMPANY(0,,,USD,,0,,\"LEGACY\")":3858.048,"EWA^FREF_MARKET_VALUE_COMPANY(0,,,USD,,0,,\"LEGACY\")":1955.228,"FC0000NZ^FMA_MCAP(0,,,USD,\"PORTAGG\")":91122.24,"EPU^FREF_MARKET_VALUE_COMPANY(0,,,USD,,0,,\"LEGACY\")":98.024575,"FC0000SA^FMA_MCAP(0,,,USD,\"PORTAGG\")":2947699.8,"FC0000PL^FMA_MCAP(0,,,USD,\"PORTAGG\")":202093.47,"KSA^FREF_MARKET_VALUE_COMPANY(0,,,USD,,0,,\"LEGACY\")":843.648,"EPOL^FREF_MARKET_VALUE_COMPANY(0,,,USD,,0,,\"LEGACY\")":258.1225,"FTSEWIVNXXXX^FMA_MCAP(0,,,USD,\"PORTAGG\")":25172.493287,"FC0000PH^FMA_MCAP(0,,,USD,\"PORTAGG\")":219848.69,"VNM^FREF_MARKET_VALUE_COMPANY(0,,,USD,,0,,\"LEGACY\")":552.706,"EPHE^FREF_MARKET_VALUE_COMPANY(0,,,USD,,0,,\"LEGACY\")":124.65,"FC0000AE^FMA_MCAP(0,,,USD,\"PORTAGG\")":876853.6,"FC0000ID^FMA_MCAP(0,,,USD,\"PORTAGG\")":645292.8,"UAE^FREF_MARKET_VALUE_COMPANY(0,,,USD,,0,,\"LEGACY\")":39.5145,"EIDO^FREF_MARKET_VALUE_COMPANY(0,,,USD,,0,,\"LEGACY\")":496.832,"FC0000TR^FMA_MCAP(0,,,USD,\"PORTAGG\")":373369.53,"FC0000CL^FMA_MCAP(0,,,USD,\"PORTAGG\")":138242.16,"TUR^FREF_MARKET_VALUE_COMPANY(0,,,USD,,0,,\"LEGACY\")":200.91,"ECH^FREF_MARKET_VALUE_COMPANY(0,,,USD,,0,,\"LEGACY\")":546.56,"SET-BKK^FMA_MCAP(0,,,USD,\"PORTAGG\")":469323.701813745,"SET-BKK^FG_MCAP_IDX(0,,,USD)":469323.701813745,"CNYA^FREF_MARKET_VALUE_COMPANY(0,,,USD,,0,,\"LEGACY\")":186.8295,"FC0000QA^FMA_MCAP(0,,,USD,\"PORTAGG\")":165065.75,"CC_ZA^FG_COMPANY_NAME":"South Africa","QAT^FREF_MARKET_VALUE_COMPANY(0,,,USD,,0,,\"LEGACY\")":82.3095,"NQG00809^FG_COMPANY_NAME":"Nasdaq South Africa","FC0000GR^FMA_MCAP(0,,,USD,\"PORTAGG\")":83983.57,"GREK^FREF_MARKET_VALUE_COMPANY(0,,,USD,,0,,\"LEGACY\")":197.80012694,"FC0000GB^FMA_MCAP(0,,,USD,\"PORTAGG\")":3041917.0,"FC0000ZA^FMA_MCAP(0,,,USD,\"PORTAGG\")":292423.8,"EWU^FREF_MARKET_VALUE_COMPANY(0,,,USD,,0,,\"LEGACY\")":2576.37,"FC0000CH^FMA_MCAP(0,,,USD,\"PORTAGG\")":2133620.3,"EWL^FREF_MARKET_VALUE_COMPANY(0,,,USD,,0,,\"LEGACY\")":1201.55625,"EWZ^FREF_MARKET_VALUE_COMPANY(0,,,USD,,0,,\"LEGACY\")":5265.204,"FC0000JP^FMA_MCAP(0,,,USD,\"PORTAGG\")":6661200.0,"EWJ^FREF_MARKET_VALUE_COMPANY(0,,,USD,,0,,\"LEGACY\")":16560.552,"EWY^FREF_MARKET_VALUE_COMPANY(0,,,USD,,0,,\"LEGACY\")":4736.32,"FC0000DE^FMA_MCAP(0,,,USD,\"PORTAGG\")":2313505.3,"FC0000MX^FMA_MCAP(0,,,USD,\"PORTAGG\")":524663.44,"EWG^FREF_MARKET_VALUE_COMPANY(0,,,USD,,0,,\"LEGACY\")":1014.09,"EWW^FREF_MARKET_VALUE_COMPANY(0,,,USD,,0,,\"LEGACY\")":1916.396,"FC0000CA^FMA_MCAP(0,,,USD,\"PORTAGG\")":2662035.5,"FC0000TW^FMA_MCAP(0,,,USD,\"PORTAGG\")":2130373.5,"EWC^FREF_MARKET_VALUE_COMPANY(0,,,USD,,0,,\"LEGACY\")":2809.818,"FC0000AU^FMA_MCAP(0,,,USD,\"PORTAGG\")":1654518.5,"FC0000MY^FMA_MCAP(0,,,USD,\"PORTAGG\")":365703.44,"FC0000PE^FMA_MCAP(0,,,USD,\"PORTAGG\")":39537.266,"ENZL^FREF_MARKET_VALUE_COMPANY(0,,,USD,,0,,\"LEGACY\")":99.176,"DUMMY^ECON_EXPR_DATA('FDS_ECON[NTCPMIMFGSA@GR]',11/2023,,Q)":52.236584,"DUMMY^ECON_EXPR_DATA('FDS_ECON[PMIQAWHEHE]',11/2023,,Q)":53.860752,"DUMMY^ECON_EXPR_DATA('FDS_ECON[NTCPMIMFGSA@TR]',02/2024,,Q)":47.664864,"DUMMY^ECON_EXPR_DATA('FDS_ECON[NTCPMIMFGSA@BR]',11/2023,,Q)":48.99601,"DUMMY^ECON_EXPR_DATA('FDS_ECON[NTCPMIMFGSA@MX]',11/2023,,Q)":51.404537,"DUMMY^ECON_EXPR_DATA('FDS_ECON[NTCPMIMFGSA@CL]',11/2023,,Q)":null,"DUMMY^ECON_EXPR_DATA('FDS_ECON[NTCPMIMFGSA@PE]',11/2023,,Q)":null,"DUMMY^ECON_EXPR_DATA('FDS_ECON[PMIMYMANHE]',11/2023,,Q)":47.470974,"DUMMY^ECON_EXPR_DATA('FDS_ECON[NTCPMIMFGSA@KR]',11/2023,,Q)":49.420246,"DUMMY^ECON_EXPR_DATA('FDS_ECON[NTCPMIINDEXSA@SA]',02/2024,,Q)":57.793106,"DUMMY^ECON_EXPR_DATA('FDS_ECON[NTCPMIMFGSA@VN]',02/2024,,Q)":48.59743,"DUMMY^ECON_EXPR_DATA('FDS_ECON[NTCPMIMFGSA@ID]',11/2023,,Q)":53.156506,"DUMMY^ECON_EXPR_DATA('FDS_ECON[NTCPMIMFGSA@TW]',11/2023,,Q)":44.970745,"DUMMY^ECON_EXPR_DATA('FDS_ECON[NTCPMITHMANHE]',11/2023,,Q)":49.120174,"DUMMY^ECON_EXPR_DATA('FDS_ECON[NTCPMIMFGSA@CN]',11/2023,,Q)":50.266373,"DUMMY^ECON_EXPR_DATA('FDS_ECON[NTCPMIPHMANHE]',11/2023,,Q)":50.747215,"DUMMY^ECON_EXPR_DATA('FDS_ECON[NTCPMIMFGSA@PL]',11/2023,,Q)":43.504345,"DUMMY^ECON_EXPR_DATA('FDS_ECON[PMIMFGSA@ZA]',11/2023,,Q)":49.704178,"DUMMY^ECON_EXPR_DATA('FDS_ECON[NTCPMIMFGSA@AE]',02/2024,,Q)":null,"DUMMY^ECON_EXPR_DATA('FDS_ECON[NTCPMIMFGSA@IN]',11/2023,,Q)":57.930668,"DUMMY^ECON_EXPR_DATA('FDS_ECON[NTCPMIMFGSA@EME]',MCHI,,Q)":"#NUM","EWM^FMA_ROE(NTMA,-20AY,NOW,FY,\"PORTAGG\",\"MEANR\")":[13.3764235591454,13.2591008782889,13.5343642097079,14.6672633006441,11.7899739556718,12.6973987236168,14.629974764894,13.8590428625605,13.2332711485965,13.0689929250701,12.0884430441681,10.6772868053956,9.6001106335988,9.81766059257374,9.62847705365634,9.33280715475934,10.6153952262209,9.47363114651143,10.1683466984571,9.55887744824477],"TRYMX10Y-FDS^FG_YIELD(-10AY,0,Y,,\"YTM\")":[5.8237,6.2537,7.5651,7.6401,8.7069,6.8373,5.552,7.558,9.0223,8.95],"TRYPE10Y-FDS^FG_YIELD(-10AY,0,Y,,\"YTM\")":[5.681629,7.426917,6.415413,5.167133,5.645114,4.243226,3.535983,5.889906,7.923381,6.6087],"CAGDPY@QA^EE_ACTUAL_ANNUAL(MED,0)":16.4,"CAGDPY@TW^EE_ACTUAL_ANNUAL(MED,0)":13.7260418671641,"CC_VN^FG_COMPANY_NAME":"Vietnam","DUMMY^ECON_EXPR_DATA('FDS_ECON[NTCPMIMFGSA@EME]',EM,,Q)":"#NUM","EPU^FMA_ROE(NTMA,-20AY,NOW,FY,\"PORTAGG\",\"MEANR\")":[null,null,null,null,null,21.6487924933022,26.674075406927,23.3940784657959,19.9442083003203,14.2295976118279,12.7121203643147,8.83035011509517,12.5824807721625,12.1461987185301,10.92253300719,11.9146021102361,12.086026376397,15.0555655388878,13.6225814185959,12.9324473673683],"TRYIN10Y-FDS^FG_YIELD(-10AY,0,Y,,\"YTM\")":[7.86,7.89,6.63,7.4903,7.35,6.55,5.9,6.4688,7.3388,7.2],"TRYGR10Y-FDS^FG_YIELD(-10AY,0,Y,,\"YTM\")":[9.61,8.24,7.15,4.14,4.37,1.45,0.618,1.315,4.585,3.099],"CAGDPY@CN^EE_ACTUAL_ANNUAL(MED,+1)":1.25,"CAGDPY@MY^EE_ACTUAL_ANNUAL(MED,+1)":2.5,"CC_AE^FG_COMPANY_NAME":"United Arab Emirates","CC_ID^FG_COMPANY_NAME":"Indonesia","USDVND^FG_PRICE_CHANGE(0,-1AY)":4.0505767,"KSA^FMA_ROE(NTMA,-20AY,NOW,FY,\"PORTAGG\",\"MEANR\")":[null,null,null,null,null,null,null,null,null,null,null,12.9007124779981,11.3294751772354,11.9967853551854,12.1701096511068,11.2305559814687,10.146987054615,12.7997878012912,13.7729696546777,11.7570018859186],"EPOL^FMA_ROE(NTMA,-20AY,NOW,FY,\"PORTAGG\",\"MEANR\")":[null,null,null,null,null,null,12.9136409385463,11.6682069956937,9.88095297355163,9.32819662687838,9.08400416739547,8.19593899535384,8.81992527720217,10.5838129179285,10.2657999868947,9.4389843194853,7.20768650788903,10.1460102201106,10.9641857238333,12.3945793275799],"TRYQA10Y-FDS^FG_YIELD(-10AY,0,Y,,\"YTM\")":[null,null,null,null,null,null,null,null,null,null],"TRYCH10Y-FDS^FG_YIELD(-10AY,0,Y,,\"YTM\")":[0.314,null,-0.12,-0.09,-0.176,-0.434,-0.49,-0.111,1.617,0.703],"CAGDPY@CN^EE_ACTUAL_ANNUAL(MED,0)":1.7,"CAGDPY@MY^EE_ACTUAL_ANNUAL(MED,0)":1.24988666555076,"CC_TR^FG_COMPANY_NAME":"Turkey","CC_CL^FG_COMPANY_NAME":"Chile","USDVND^FG_PRICE(0)":24686.0,"VNM^FMA_ROE(NTMA,-20AY,NOW,FY,\"PORTAGG\",\"MEANR\")":[null,null,null,null,null,12.2007678582522,16.4162915324944,16.394053839446,15.4303491131499,15.2759317822094,10.9403666714676,8.5756546844961,13.4991404349356,12.1231419211942,15.1097267855615,15.4807939433741,17.0889112010564,18.3844906020794,14.7334622550631,10.7325513465194],"UAE^FMA_ROE(NTMA,-20AY,NOW,FY,\"PORTAGG\",\"MEANR\")":[null,null,null,null,null,null,null,null,null,null,11.0777984350957,12.3046871114493,11.0383578639711,12.0257898837902,10.3907544258318,8.12845515854192,6.7620176250091,11.2349425542518,12.9338493780006,13.2251182283574],"TUR^FMA_ROE(NTMA,-20AY,NOW,FY,\"PORTAGG\",\"MEANR\")":[null,null,null,null,14.5323662756041,15.0832531129689,15.8676026141806,14.4769185864537,15.0590425800443,13.6524897976729,12.866544620472,12.7726870869254,12.8458107179109,15.2051271731034,14.7086929252537,14.9602850761367,12.998128179313,18.7994603339493,24.2938213733918,26.0567977573337],"SET-BKK^FMA_ROE(NTMA,-20AY,NOW,FY,\"PORTAGG\",\"MEANR\")":[19.4775253074283,16.7129326073384,14.8656028990892,14.4266077076695,11.0560385715565,13.1789961604636,14.9486867959632,14.3192952203821,15.3579090829836,14.4834347566328,13.1977119976914,12.8261347373446,12.4445057567564,12.4919200136172,12.5523899281401,10.9395949225821,8.38849749993249,9.94747027345842,10.1243577102345,9.34892363526725],"ECH^FMA_ROE(NTMA,-20AY,NOW,FY,\"PORTAGG\",\"MEANR\")":[null,null,null,14.1776881603624,11.2798802315493,14.2628883913247,14.4661394368492,14.0754868016221,12.4952890187187,10.8480668279512,9.37758339699264,9.57060991333475,8.68386650455443,9.38392046774864,11.2778516938703,9.83590954451218,8.75463942854793,10.6038911838351,12.7874449833902,13.7800684317394],"TRY10Y-FDS^FG_YIELD(-10AY,0,Y,,\"YTM\")":[null,null,null,null,null,null,null,null,null,null],"TRYZA10Y-FDS^FG_YIELD(-10AY,0,Y,,\"YTM\")":[7.9537,9.7513,8.9047,8.58389,9.37766,9.011772,9.179499,9.791837,10.764477,11.358896],"CAGDPY@ID^EE_ACTUAL_ANNUAL(MED,0)":-0.11,"CC_PE^FG_COMPANY_NAME":"Peru","USDTHB^FG_PRICE_CHANGE(0,-3AM)":2.4824739,"USDCNH^FG_PRICE(0)":7.2089,"USDKRW^FG_PRICE_CHANGE(0,-3AM)":2.085805,"USDTWD^FG_COMPANY_NAME":"Taiwan Dollar per U.S. Dollar","USDPLN^FG_PRICE_CHANGE(0,-6AM)":-4.1523933,"FC0000ID^FMA_EPS(NTMA,-20AY,0,CY,,\"PORTAGG\",\"MEANR\")":[29.3284073880372,28.5023046220539,34.6859014024765,3676.24176737639,35.3597916554534,47.7361447001776,65.769342621642,77.3469090906142,77.3051891445901,63.4414356734006,63.874105605238,48.7526184920652,55.9889041636352,62.060562018712,62.7205184660321,63.7324766927396,51.5269225985592,58.7717055822565,64.97279420912,68.0109937628599],"EPOL^P_PRICE_RETURNS_PR('52W',2,-10AY,0,AM)":[13.876128,21.491777,21.479774,16.794968,20.417618,6.5289736,11.696696,-2.233702,-9.067512,-7.659668,-16.142935,-15.006232,-19.48765,-19.41495,-11.356979,-19.34799,-19.709862,-20.739872,-24.254126,-22.478199,-23.65179,-30.213911,-24.183321,-24.162823,-19.882423,-13.657731,-27.249014,-24.888361,-24.68676,-15.419065,-14.314795,-11.928338,-9.767795,-3.9500713,8.48062,21.494793,21.718634,11.380529,32.565735,45.175945,47.806156,44.63463,56.20576,46.960735,49.87861,58.511555,54.550053,43.70563,25.232971,17.013622,4.010749,-2.121216,-8.2393055,-6.6029787,-12.032098,-9.642828,-15.762788,-9.082222,-16.861397,-14.058882,-10.184455,-4.381609,-4.2481956,-2.7203083,10.325766,-7.2242856,-11.415613,-9.915132,1.9689441,-11.292982,-3.9749682,-13.553554,-19.947344,-43.252163,-34.93166,-20.37319,-25.864262,-14.2702465,-12.979639,-15.859842,-28.936905,-4.4014573,-7.4419317,-6.5550623,3.9003134,42.43841,35.4303,33.884502,30.09832,22.195805,35.799812,38.59682,53.606606,13.350164,12.666702,12.3566265,-12.049216,5.167961,-16.345524,-27.2376,-32.09719,-34.24673,-47.1481,-46.714752,-42.362476,-26.74482,-22.535992,-20.557028,-4.91448,-16.022665,9.411454,12.249195,35.50949,46.56372,61.11815,45.709576,65.66561,51.38415,38.77498,39.234577,49.85356],"NI-FDS^FG_PRICE_CHANGE(0,-1AY)":-27.9860684286007,"CPALM-FDS^FG_PRICE_CHANGE(0,-6AM)":2.73657289002558,"BRENT-FDS^FG_PRICE_CHANGE(0,-3AM)":0.0,"TIOS-FDS^FG_PRICE_CHANGE(0,-1AM)":-9.08808209593407,"FC0000TR^FG_PRICE(0)":234.8252,"FC0000IN^FG_PRICE(0)":1292.7876,"FC0000MX^FG_PRICE(0)":517.5995,"FC0000PL^FG_PRICE(0)":210.10811,"TUR^FG_TOTAL_RETURNC(0,-6AM)":-4.0553093,"INDA^FG_TOTAL_RETURNC(0,-3AM)":10.824084,"EWW^P_PRICE(0)/P_PRICE_LOW_PR(0,,,USD,,,\"PRICE\",\"INTRA\",\"52W\")-1":0.25175703,"EPOL^P_PRICE(0)/P_PRICE_HIGH_PR(0,,,USD,,,\"PRICE\",\"INTRA\",\"52W\")":0.9655891,"CNYA^FG_TOTAL_RETURNC(0,-6AM)":-6.0119987,"KSA^PERCENT_CHANGE(FMA_EPS(+1,0,,,,\"PORTAGG\",\"MEAN\"),FMA_EPS(+1,-3AM,,,,\"PORTAGG\",\"MEAN\"))":-18.7858979345625,"QAT^FMA_PCT_ABOVE_MAVG(200,0,,,,\"PORTAGG\")":41.1764705882353,"EWY^PERCENT_CHANGE(FMA_EPS(+1,0,,,,\"PORTAGG\",\"MEAN\"),FMA_EPS(+1,-1AM,,,,\"PORTAGG\",\"MEAN\"))":-37.5095113863797,"GREK^FG_ROE(0)":14.2009773030181,"TRYTH10Y-FDS^FG_YIELD_NAME":"Thailand Benchmark Bond - 10 Year","REFQALEND-FDS^FG_YIELD(NOW,,,0)":6.25,"REFPL7D-FDS^FG_YIELD(NOW,,,0)":5.75,"TRYZA10Y-FDS^PCTCHG(FG_YIELD(0,,,,\"YTM\"),FG_YIELD(-1AM,,,,\"YTM\"))":2.315288,"TRYTH10Y-FDS^FG_YIELD(0,,,,\"YTM\")":2.549184,"TRYCN10Y-FDS^FG_YIELD_NAME":"Treasury - China Benchmark Bond 10Y","VGK^FG_PE_NTM(0,,,90,0)":13.6247659469135,"SET-BKK^FG_FCF_YIELD_NTM(0)":5.16048458964706,"EZA^FMA_EVAL_EBIT(LTMA,NOW,NOW,M,\"PORTAGG\",\"MEANR\")":11.8073404650797,"EWT^FMA_PE(LTM,0,,,\"PORTAGG\",\"MEANR\")":21.6665475135788,"EIDO^FMA_DIV_YLD(NTMA,NOW,NOW,M,\"PORTAGG\",\"MEANR\")":4.10625930553773,"EWM^FG_COMPANY_NAME":"iShares MSCI Malaysia ETF","CAGDPY@GR^EE_ACTUAL_ANNUAL(MED,0)":-7.4,"USDAED^STD(FG_PRICE_CHANGE(0,-1AY,AM))":0.00824224871712513,"USDZAR^STD(FG_PRICE_CHANGE(0,-1AY,AM))":3.51054907756455,"USDKRW^FG_PRICE_CHANGE(0,-1AM)":0.6540179,"USDMYR^STD(FG_PRICE_CHANGE(0,-3AY,M))":2.21991720891639,"USDIDR^FG_PRICE_CHANGE(0,-1AY)":2.8758168,"FC0000SA^FMA_EPS(NTMA,-20AY,0,CY,,\"PORTAGG\",\"MEANR\")":[null,null,null,3.96336847567451,3.26626042393583,2.53989246401814,2.77600916912685,3.29521282805116,3.61051444681354,3.7978958686548,3.75005115904989,3.29103190766382,2.82016085211551,3.21155371352054,3.27157784678448,2.35319343646412,1.93303150117598,3.07367882715563,3.62877879573559,3.01151809254719],"EWW^FG_TOTAL_RETURNC(-10AY,0,AM)":[-2.0404816,6.4308047,0.29512644,2.927053,4.3863177,0.8242965,3.8295984,-6.368285,0.04426241,-8.627045,-5.7444515,-0.6392598,1.4606118,2.4507284,-1.2713253,-2.2365272,0.6430268,-2.1331966,-9.179515,1.5804887,6.991935,-5.2064657,-5.6898236,-1.5691876,5.5693626,3.8635015,-2.4358034,-3.5804093,2.5695086,-1.7818213,3.7693977,-4.0404024,-0.10122061,-12.421476,0.17764568,6.77495,4.2155504,7.73561,-1.6450524,2.3219228,4.7986627,4.7680855,0.5135417,-3.7350237,-8.254022,0.4588008,1.2083411,4.8166513,-5.2382765,5.0089717,-7.2785974,-7.8294754,6.6759706,9.565031,-5.5116596,0.59148073,-10.421735,-9.710276,7.913053,5.720985,-4.5021057,4.3195486,2.4042726,-5.5217385,3.2590508,-8.526606,4.051709,4.252267,3.185153,-4.352653,7.6300383,2.874577,-7.0914507,-41.67236,14.453125,15.017069,-2.5996923,-1.2232482,2.7244568,0.24110079,5.051112,23.354328,1.7026663,-4.2003335999999996,0.4577279,6.8824887,2.8270125,5.738592,0.6587863,1.3429761,2.58919,-4.411769,1.8918872,-4.7133207,9.755695,-4.4914904,1.6573429,12.227428,-8.316684,1.4656305,-7.91986,-1.3559997,-0.54549575,0.92145205,14.826083,0.7004857,-1.0791421,10.4732275,5.8813214,-1.3596416,1.8154263,0.14859438,4.7757983,-0.5230665,-2.0713806,-8.590955,5.962968,5.694604,5.448854,3.9791942,-3.4000635],"INDA^FMA_DIV_YLD(NTMA,-10AY,0,AM,\"PORTAGG\",\"MEANR\")":[1.69102810629932,1.63667101739715,1.7008215048965,1.58990791958375,1.53243978078847,1.62352855882253,1.5343326490728,1.57094333358246,1.54952037918063,1.51730819531465,1.56013850064751,1.49788543409605,1.45936273407361,1.54476225292706,1.65236206734465,1.69370500102658,1.55600391161892,1.54719934270099,1.70162504673475,1.67417879131839,1.67640308583558,1.74008022285964,1.71079423251326,1.79322701463524,1.75910845512022,1.7334075212101,1.72383885285009,1.59225982199575,1.58503288594082,1.54917813942692,1.51345491637727,1.52080003517958,1.61649908585476,1.6897252698966,1.6868095664783,1.610615662511,1.58058751126972,1.54467264722721,1.5611811723823,1.59920354794413,1.62201244219418,1.51567674211271,1.52777470617748,1.56227713406614,1.49430970879299,1.54960029285284,1.506780689185,1.50605762289811,1.55659939597319,1.61818024501763,1.61523137533765,1.61973166357871,1.62095968781963,1.51532722574266,1.49613265441473,1.63844839148982,1.65782612972723,1.62686386646365,1.66610800562286,1.63464423722938,1.64913084865792,1.5758474789393,1.63497281257778,1.64052235968141,1.68641735580842,1.83514913691347,1.83766942515588,1.81643609591845,1.74227210964026,1.66941089475984,1.66038111403765,1.67520392338465,1.78803343326495,2.41581469192692,1.99820288125192,1.71578998380496,1.61380547347235,1.5433896626086,1.5554258892866,1.55122789056089,1.55374515191174,1.36875984493452,1.32082567151721,1.32167237496571,1.32954823328669,1.36936358393601,1.43015675626751,1.39531156204176,1.40000907301192,1.35735220818044,1.28371391583229,1.30157980127367,1.33313733501235,1.36669550591166,1.33893681006267,1.39940126154143,1.54832048101086,1.41986492329277,1.59103819599962,1.59759048367178,1.683908144684,1.4913103859373,1.49576832473624,1.54190879879182,1.49563197613783,1.43010653648159,1.50060878912647,1.54278010157217,1.58298456880016,1.61764432913294,1.60126976305317,1.56226945006763,1.51197842838404,1.49320391766235,1.527895108094,1.5381686285347,1.53857388679165,1.4304417515314,1.37636918057188,1.37049476763983,1.23286264470808],"UAE^FMA_PE(NTMA,-10AY,0,AM,\"PORTAGG\",\"MEANR\")":[null,null,null,17.7236078268824,14.2093325331685,14.6252983727288,15.5211808667411,14.8009086323599,14.1345543157834,13.2361301624016,12.0228587640456,12.6251562110724,12.8807072588032,12.2833039917793,13.8958060381364,12.9643325146311,12.9013251175112,12.6448610077375,11.8188127976228,12.067323782202,11.2683119175943,10.5444173313492,11.5330885154171,10.9670476885469,12.2808567996963,12.4098520627745,12.6656795435833,12.3878913354281,12.5410289126565,12.4202149955983,12.2659017230623,12.6712024556353,11.720949386575,11.2748401039742,11.9926311289989,11.9195063009381,12.0860175197882,12.1148365489311,12.0544266557871,11.0928527308532,11.1215941280298,11.9555221256365,11.404510203833,11.1392687926325,11.3464688947697,10.8721008448869,11.3040495484397,11.4966957035643,11.2855100040864,10.9888296089633,10.8124516536212,10.7913322091897,10.7447326493558,11.307459787993,12.2983446854885,11.9130015486027,11.5498275554137,11.3520886872742,10.909295281479,11.0987783609591,12.0439269583303,11.7039687360685,12.0928078115361,11.5797959863917,11.9819339172523,12.7726312015148,12.7592435523502,12.7276719373767,13.2407457055779,12.8331611603442,13.6758971176178,12.8248459948081,11.9184197466814,10.1334081074023,14.9296381975581,14.8297708333644,16.8592821973982,13.0166538797621,13.6066823985597,12.6728799903031,14.589398079411,15.691869107822,14.9977206288283,15.4778768587904,14.8868245494161,14.2653668429766,14.0470430423307,15.0821303078179,14.5894081486075,14.4961705007977,14.5699511717787,14.5077510420157,15.1371209277967,15.8256683257224,15.4817329338323,15.7764928602393,16.5105331289634,16.663453599435,16.1702935371815,14.5115283192813,12.8570206970496,13.3599590918903,13.026620925282,12.7260158173047,12.5058622486699,12.434171417124,12.119876057672,12.1073635039878,11.3225457696245,10.9503719079511,11.3827965383296,11.0309217370401,11.3245711412492,11.6429418407374,11.0282302286601,11.1710190920128,10.1980779158871,10.3900921884894,10.4742244986375,10.3583086875839,9.50010995017441],"ECH^FMA_PE(NTMA,-10AY,0,AM,\"PORTAGG\",\"MEANR\")":[13.0219042650303,13.5829205218821,14.0714607447896,14.2240616390887,14.5485735408158,14.5303903410335,14.9001205691331,14.140680147208,14.0373276366022,14.0981664051361,13.6425295415782,13.2509899677514,13.4592660789098,13.5951187994793,14.083745790272,13.6836860365952,12.8985912635183,12.4822941607561,12.6777606144809,12.2979420333579,13.7971703554905,12.8880524971538,12.014982672994,12.1507507737711,12.833940293382,13.3841359749028,13.833915958055,13.7392052771142,14.6844560589951,15.598780850424,15.6038822646544,15.4273399307238,16.4676140182651,15.8070977813658,15.8777344284227,15.8655942833833,16.1413426761538,17.1538489906532,17.1997644328628,17.0962420133734,17.0428778123287,17.8563958580212,18.9969561066947,12.7583754379283,14.8443348068945,12.9170445493116,14.3825176847129,14.7693505055789,14.0275164349759,13.5973416711292,13.6112868136095,12.4395379413269,11.5958764245639,12.0473668647443,11.5516829231403,12.3746870761024,14.9006850384383,14.9731977348048,14.830010055628,16.025716416187,15.0518541793722,14.945571168971,15.0846773438458,14.5232282014539,15.0145216255296,14.2825163446556,13.9884392246544,15.2241474229313,14.2158506444819,13.2843118248388,13.7996485063358,13.3709832874895,12.3687771824857,10.5474076036794,11.8775234544039,13.7839993330785,15.3911499675053,15.6331674902879,15.1247468476863,14.0914866982682,13.1874822264109,14.9549555164582,14.1585450972839,14.0970640669905,14.6799497200649,14.2276588385717,12.9615647643161,11.2745752300522,11.2180512623548,10.2000996080411,10.2492414331318,9.65123559967653,9.51428131404218,9.55212558289534,9.22655809387961,9.54154537056158,9.64748717406352,9.66744086029347,8.87809107800681,7.28374488496126,6.31327500940425,6.42328321212286,6.90161526160921,7.38308966965204,7.51316358035801,7.29340570949401,7.07999078417133,7.85560850430661,7.92957505108748,7.25408745788163,7.70993792738522,8.21226026403421,8.6511165730829,9.24366355027475,8.95672380850822,8.46405901309366,8.4927728769294,7.54851805931543,7.40679529166136,7.96115774302391,7.11105670256571],"EWM^FMA_PE(LTMA,-10AY,0,AM,\"PORTAGG\",\"MEANR\")":[16.8072017920807,16.7458910886018,16.7214063965027,16.6902759445879,16.7620453963989,16.7198147988224,16.8771560239545,16.7188357623039,16.6735006932963,16.1809303685665,16.2516335907868,16.5440146676615,17.099051735263,17.0375130082945,16.9248248897087,16.7206228562542,16.656335356023,16.5905222643586,15.8900076128399,16.177625811256,16.6590964958126,16.6752436496855,16.3614425713237,16.4734148664707,16.6464413763541,16.7151971748928,16.4818762398456,16.5935463386591,16.67363379471,16.784354414371,17.161386066035,17.1882020394069,17.1957236015754,16.9922141650758,17.0631129027997,17.1572294081406,17.0617237119603,17.1481774723621,17.2242781234348,17.2005352589974,17.2448558521033,17.2723645019374,17.4489690311956,17.429634094122,17.3661762952293,17.4003029588596,18.4418283836601,18.9098347416561,18.5780269948128,18.2803480058154,18.144913814461,17.8940746488529,17.4525248255035,17.8148409490224,17.9046615274053,17.5969152264906,16.8015093774047,16.8525099360905,16.6464781924237,16.8939934056886,17.078893753173,16.962676696899,16.8915307738423,17.0695162878064,17.2817243091426,16.9760008095674,16.8580036375159,16.5483361102189,16.8737040336636,16.6820746870976,17.2509349334332,16.3203128679681,16.4306381741638,16.1714833240087,16.5587112611545,18.6037689797613,19.0761971886691,19.5806666314135,20.3570479286196,20.1992788241593,19.703402752803,21.4850801034224,20.7189884117656,19.6682856043941,19.7375354985554,19.1836099329359,18.5424815428563,17.8470075721319,17.1646873842285,16.3174309288544,16.1873108416394,15.4085170051951,14.9606483084426,15.2539570970095,15.2589654386395,15.0943435823382,15.9237402266663,15.9210840857436,15.8492559823915,15.5801678801368,15.1248462461333,15.3335640385477,15.2200604185175,14.530095940153,14.6188289631757,14.9102085903782,14.7429442675559,14.8563437334089,14.8639236334665,14.6944040101562,14.5644499000814,14.5312000850452,14.5533547278994,14.7309411962262,14.9872394162357,14.6555068904678,14.9194024569919,15.0699159873728,15.2805484982636,15.4006434371458,16.1475605488485],"WL-FDS^FG_PRICE(0)/MAX(FG_PRICE(0,-1AY))":0.776788053445114,"FC0000CN^FG_PRICE(0)":253.75961,"SET-BKK^FG_PRICE_MAVG(0,,,,200)":1461.8118,"GREK^FG_PRICE_MAVG(0,,,,60)":38.6982,"EWW^FG_PRICE_MAVG(0,,,,30)":66.62867,"EPOL^FG_PRICE(0)":23.15,"SPY^P_PRICE(0)/P_PRICE_LOW_PR(0,,,USD,,,\"PRICE\",\"INTRA\",\"52W\")-1":0.3458557,"VGK^P_PRICE(0)/P_PRICE_HIGH_PR(0,,,USD,,,\"PRICE\",\"INTRA\",\"52W\")":0.99820817,"EWY^FMA_PCT_ABOVE_MAVG(200,0,,,,\"PORTAGG\")":57.6923076923077,"EPHE^PERCENT_CHANGE(FMA_EPS(+1,0,,,,\"PORTAGG\",\"MEAN\"),FMA_EPS(+1,-1AM,,,,\"PORTAGG\",\"MEAN\"))":-7.23854330087571,"URTH^SIZE(FG_CONSTITUENTS)":1469,"UAE^FMA_COS_UP(\"EPS\",\"1M\",+1,NOW,,,\"PORTAGG\",\"MEANR\")":11.0,"GREK^FMA_COS_DOWN(\"EPS\",\"1M\",+1,NOW,,,\"PORTAGG\",\"MEANR\")":5.0,"EWM^SIZE(FG_CONSTITUENTS)":33,"ECH^FMA_COS_UP(\"EPS\",\"1M\",+1,NOW,,,\"PORTAGG\",\"MEANR\")":13.0,"EWT^FMA_RBICS_REV_CURRENT(30, LOC, \"PORTAGG\")":18.2563488397056,"EZA^FG_ROE(0)":16.1615742028116,"REFSAREPO-FDS^(SUBARRAY(NOT_NA(NO_REPEAT_F(FG_YIELD(NOW,-10AY,D))),0,1)-SUBARRAY(NOT_NA(NO_REPEAT_F(FG_YIELD(NOW,-10AY,D))),1,1))*100":25.0,"REFKRBASE-FDS^(SUBARRAY(NOT_NA(NO_REPEAT_F(FG_YIELD(NOW,-10AY,D))),0,1)-SUBARRAY(NOT_NA(NO_REPEAT_F(FG_YIELD(NOW,-10AY,D))),1,1))*100":25.0,"TRYVN10Y-FDS^PCTCHG(FG_YIELD(0,,,,\"YTM\"),FG_YIELD(-1AM,,,,\"YTM\"))":-1.3607517,"TRYID10Y-FDS^PCTCHG(FG_YIELD(0,,,,\"YTM\"),FG_YIELD(-3AM,,,,\"YTM\"))":0.36172345,"TRYMX10Y-FDS^FG_YIELD_NAME":"Treasury - Mexico Benchmark Bond 10Y","CC_PL^IMF_IFS_RCPI_Q(0)":6.202308,"UAE^FMA_EVAL_EBIT(LTMA,NOW,NOW,M,\"PORTAGG\",\"MEANR\")":10.207961038626,"MCHI^FMA_PE(LTM,0,,,\"PORTAGG\",\"MEANR\")":11.5722370607142,"EWY^FMA_DIV_YLD(NTMA,NOW,NOW,M,\"PORTAGG\",\"MEANR\")":2.25723903265232,"EPOL^FMA_EVAL_EBITDA(NTMA,0,,,\"PORTAGG\",\"MEANR\")":4.32299273740311,"CNYA^JULIAN(FMA_DIV_YLD(NTMA,NOW,NOW,M,\"PORTAGG\",\"MEANR\").DATES)":45350,"CNYA^FMA_ROE(NTMA,-20AY,NOW,FY,\"PORTAGG\",\"MEANR\")":[null,null,null,null,null,null,null,null,null,null,null,null,12.0357109832906,13.2280587166858,12.9587909941324,13.4756717155871,12.9923016393566,13.7666448363476,13.371191955749,12.0461400615377],"CAGDPY@CL^EE_ACTUAL_ANNUAL(MED,+1)":-3.7,"USDTHB^FG_PRICE_CHANGE(0,-1AM)":1.5957475,"USDCNH^FG_COMPANY_NAME":"Chinese Offshore Renminbi per U.S. Dollar","USDKRW^FG_PRICE_CHANGE(0,-1AY)":2.2740364,"USDPLN^FG_PRICE_CHANGE(0,-3AM)":-0.82587004,"USDIDR^FG_PRICE(0)":15740.0,"FC0000CL^FMA_EPS(NTMA,-20AY,0,CY,,\"PORTAGG\",\"MEANR\")":[13.4345645762327,13.9377456000386,16.9673771165975,22.3266043070326,16.9726142999547,22.0450374886443,30.8805428396108,24.5524085371812,26.1691360625743,23.6838683927762,20.4877824093345,18.4268311165022,17.2536219467367,26.3633049059602,21.6808239098782,17.3861921503202,15.4747210424778,18.6856862684859,25.9091620891167,28.7106028961196],"EPHE^P_PRICE_RETURNS_PR('52W',2,-10AY,0,AM)":[-12.472391,-13.174618,-14.53436,-1.3528228,8.064461,7.0625663,25.284576,12.7213955,8.518195,21.902287,23.999655,34.049545,24.000395,23.740757,15.74831,7.4493647,6.766844,3.0817986,-11.763578,-6.536084,-5.8495703,-9.904444,-11.58874,-20.496744,-17.498552,-14.953894,-16.597301,-1.0656178,2.372086,2.5924206,12.794209,6.431806,-2.2233784,-5.441922,1.0975957,9.214937,-0.9694636,-2.586919,6.7843914,-0.78490376,-8.138954,-7.5193825,-6.645626,2.0773292,8.42483,10.567009,19.068157,8.557057,8.975113,-0.27433634,-8.298492,-12.289453,-15.730786,-7.7501416,-8.262199,-22.57961,-18.570662,-9.514874,-14.239025,-5.289459,-7.6775193,-0.31816363,7.9861045,8.197856,20.789623,7.2547555,4.6594977,16.643476,18.324268,7.644427,4.3842673,-8.584797,-9.224862,-34.271465,-31.783306,-18.743992,-20.896524,-25.949806,-23.692047,-16.617191,-16.77761,-3.9654791,-2.5999367,-1.0201275,2.4686694,32.758236,22.036325,12.063492,11.920845,13.287067,20.431541,11.932409,8.468318,-3.5096169,-3.3901691,3.9299965,6.4316273,9.004235,1.6789794,-8.823222,-16.482365,-7.2347345,-12.419086,-21.08087,-24.218899,-15.083874,-11.199707,-8.47556,-15.198988,-13.540924,-5.2307186,-7.955188,4.3491483,0.4760623,-4.1864815,9.111107,5.086243,-1.8078268,-1.6134739,-7.2964134,4.569435],"WL-FDS^FG_PRICE_CHANGE(0,-1AY)":0.781781101291634,"NI-FDS^FG_PRICE_CHANGE(0,-6AM)":-14.1636141636142,"CPALM-FDS^FG_PRICE_CHANGE(0,-3AM)":9.21696574225122,"BRENT-FDS^FG_PRICE_CHANGE(0,-1AM)":0.0,"FC0000GR^FG_PRICE(0)":9.824128,"VGK^FG_TOTAL_RETURNC(0,-6AM)":9.44599,"TUR^FG_TOTAL_RETURNC(0,-3AM)":2.2176862,"GREK^P_PRICE(0)/P_PRICE_LOW_PR(0,,,USD,,,\"PRICE\",\"INTRA\",\"52W\")-1":0.41982603,"EWW^P_PRICE(0)/P_PRICE_HIGH_PR(0,,,USD,,,\"PRICE\",\"INTRA\",\"52W\")":0.9413367,"EPOL^FG_TOTAL_RETURNC(0,-6AM)":23.646677,"CNYA^FG_TOTAL_RETURNC(0,-3AM)":0.6244898,"KSA^PERCENT_CHANGE(FMA_EPS(+1,0,,,,\"PORTAGG\",\"MEAN\"),FMA_EPS(+1,-1AM,,,,\"PORTAGG\",\"MEAN\"))":-12.788374045949,"MCHI^PERCENT_CHANGE(FMA_EPS(+1,0,,,,\"PORTAGG\",\"MEAN\"),FMA_EPS(+1,-3AM,,,,\"PORTAGG\",\"MEAN\"))":-19.2634507149347,"EWM^FMA_RBICS_REV_CURRENT(30, LOC, \"PORTAGG\")":41.739834751553,"TRYQA10Y-FDS^FG_YIELD_NAME":"Treasury - Qatar Benchmark Bond 10Y","TRYCA10Y-FDS^FG_YIELD(-10AY,0,Y,,\"YTM\")":[1.79,1.39,1.72,2.04,1.96,1.7,0.67,1.42,3.3,3.0987],"CC_PL^FG_COMPANY_NAME":"Poland","QAT^FMA_ROE(NTMA,-20AY,NOW,FY,\"PORTAGG\",\"MEANR\")":[null,null,null,null,null,null,null,null,null,null,16.7779984816015,14.8814458142908,12.1435908718223,12.1306553272553,12.3947412104099,11.6446378155882,11.2380998666164,12.7317850147387,13.2901313577645,12.1192289718939],"TRYTR7Y-FDS^FG_YIELD(-10AY,0,Y,,\"YTM\")":[7.979133,10.679033,11.110786,11.586128,15.896213,12.034795,12.534946,23.870693,7.323803,21.984322],"CAGDPY@TH^EE_ACTUAL_ANNUAL(MED,+1)":2.6,"CAGDPY@PL^EE_ACTUAL_ANNUAL(MED,0)":1.60702813566805,"CC_TW^FG_COMPANY_NAME":"Taiwan, China","USDAED^STD(FG_PRICE_CHANGE(0,-3AY,M))":0.00755049151830457,"USDTHB^FG_PRICE(0)":35.8125,"USDINR^FG_PRICE_CHANGE(0,-6AM)":0.17752647,"USDBRL^STD(FG_PRICE_CHANGE(0,-3AY,M))":3.6612663929306,"USDMXN^FG_PRICE_CHANGE(0,-1AM)":-0.9539664,"USDPHP^FG_PRICE(0)":55.9875,"FC0000PE^FMA_EPS(NTMA,-20AY,0,CY,,\"PORTAGG\",\"MEANR\")":[24.7583819982859,29.0521601734031,45.7707077798153,47.1889555711687,33.6865156707317,51.8301256972307,null,93.1550651832752,85.6566871872926,59.3544763673265,56.5256555947451,54.9261025352225,78.5260175378315,null,null,null,null,59.664423905694,84.444227608504,null],"EWT^P_PRICE_RETURNS_PR('52W',2,-10AY,0,AM)":[6.5940857,11.151457,7.2360516,12.89171,25.322783,18.518389,20.81126,10.422695,11.008108,11.822069,8.439612,19.342756,15.92251,12.247503,14.407814,5.008793,1.0945559,-8.000755,-19.656128,-9.47721,-5.5455327,-10.994827,-14.575588,-17.574715,-11.971939,-12.371224,-21.299059,-12.677622,-8.50135,8.680654,18.996727,18.18434,8.3991165,15.511095,23.210466,30.288136,22.915733,25.004995,38.02037,32.61334,29.027866,25.26412,27.897358,19.19329,26.00422,23.987818,28.29833,23.884642,19.24615,17.475283,8.799267,11.571587,2.169156,5.2008867,2.6142,1.9513965,-8.06858,-7.0003986,-14.253491,-9.223676,-7.183427,-4.5127153,5.142629,-9.177971,2.2232056,-5.922818,-2.9972672,5.331838,21.651436,22.8917,38.904285,22.554016,20.746338,-4.8639894,3.235197,18.998837,19.256008,35.67984,28.28908,27.371895,19.963623,34.481274,33.463585,48.369873,49.119938,90.9103,72.04997,67.89053,58.0683,46.763134,51.368584,36.63292,38.33064,30.907976,29.482508,14.529181,11.751032,6.3649297,-4.9265385,-8.564645,-21.016186,-20.142454,-23.144495,-23.216421,-30.424976,-21.437883,-28.72122,-17.665482,-16.825872,-13.947225,-9.94069,-2.8312087,14.389086,9.146416,9.213341,15.872383,29.609585,12.495554,22.062635,9.950376,18.833733],"EWT^FG_TOTAL_RETURNC(-10AY,0,AM)":[3.8661718,4.0801644,1.5818477,2.572775,7.1947217,-1.847291,3.1995058,-5.1063895,0.7046819,0.0,-3.08038,5.35475,0.8894563,1.1964679,3.1113863,-5.853951,2.4999976,-10.068792,-9.874826,4.8611164,7.1376085,-5.769229,-6.9795427,1.6559005,7.7473164,0.7374644,-7.393855,8.142292,3.8742661,6.685436,0.6596327,2.0969868,-1.7329872,-0.39190054,0.022661686,6.342292,1.0097742,4.217434,2.2482038,2.4626255,2.4892688,3.5734177,1.5633464,-3.7155032,4.492831,-2.5586963,3.5000086,1.6146302,-1.9332588,2.8625488,-5.303228,5.073476,-6.1477604,6.1006546,-0.42395592,-4.337418,-5.7023644,-1.5044332,-4.572028,7.5752735,0.2708435,5.8223248,3.3182144,-8.399677,5.633807,-3.2340407,3.6059737,3.8766265,8.907652,-0.50024986,5.801904,-3.2391667,-1.2081563,-17.095543,12.753523,5.5873632,6.763029,9.163439,-2.0376563,1.6730785,4.0471435,11.540926,5.001247,7.5678706,-0.708729,4.9965262,2.719283,3.034711,0.51699877,1.3559818,0.87652206,-8.079267,5.339968,3.57368,5.8454156,-4.8546433,-3.1172514,-0.06403327,-8.185166,-1.9016027,-12.715626,2.9747367,-3.7000477,-7.4172916,-4.5494976,17.716812,-4.5909047,10.090399,-0.46604872,1.4938712,-3.9103687,7.8189254,0.8693814,-1.7447948,-2.0967126,-3.3216715,3.3905983,5.5093884,3.5230756,0.99277496,5.6300282],"TUR^FMA_PE(LTMA,-10AY,0,AM,\"PORTAGG\",\"MEANR\")":[9.17838009453704,9.6298291476987,9.92360244916926,10.2300273072113,10.3157777823767,10.7813233843527,10.9406233971568,10.2289053114354,10.9769359360336,11.885170625756,11.8812960561631,12.1124178267789,11.862249791068,11.7153049974592,11.7337079285889,11.597693713863,11.500864471916,11.1002780089286,10.4815949123564,10.5369234423161,11.6335543166515,10.3868010745777,9.51101294450124,10.1178769463393,9.76359651324706,9.85710730061521,9.66175715003448,9.5646400224921,9.50698046131397,9.26219220312936,9.44723019715882,9.3876902811693,8.88514040800431,8.65042297463596,8.76417017887193,10.047071817686,9.89248697152555,9.71877703523504,9.71531154320135,9.78841443355562,9.63713345902915,9.68023765030607,9.59577465268634,9.07090812331204,9.31324165817099,8.62620217602,9.04206535096003,9.08702183686794,9.2009941017301,9.00668174904668,8.63298021725308,8.31756032369071,8.06002803390209,7.7610316016543,7.39455532505504,7.38307975039253,7.16036559763417,6.9406776910248,6.47978782215863,7.49154898489084,7.46642798350413,7.3696058836825,7.23372720301504,7.20517999697535,7.57041697086451,7.67117422013344,7.80896016575825,8.0188565461334,7.96773453802972,8.75175917637153,9.37433457383235,9.74314979681814,8.41549890302236,8.01876079757521,8.20489079322007,9.32086848690877,9.96641422657729,9.8471451809812,10.351036701669,10.9565166464189,12.5037564885593,12.8386614442263,14.3864112804966,13.3403469725594,12.0790141639432,11.5455968192712,10.9374265564771,10.3785608409718,9.73946189210838,9.12210601204892,8.47759399367589,7.6304269995463,7.34632674131383,7.46505180623421,7.12193761789961,6.24247702908219,5.98927574567885,6.00663730569038,5.77836750199052,5.87808386622916,5.46810627468193,5.27009438999004,5.15316687686472,5.02942334406674,5.21855257473003,5.12784709313945,5.76656359941806,4.96806475435516,4.98104289549355,4.98034145494787,4.74930850581233,4.92537053702181,5.40487347509391,6.13385792946406,6.60795509449397,6.78532251293313,6.0044034289639,6.07241122576572,5.67507988073828,6.41330635347078,6.76916577259031],"PLATI-FDS^FG_PRICE_CHANGE(0,-1AM)":-1.75824175824176,"FC0000PH^FG_PRICE(0)":334.28937,"EWZ^FG_PRICE_MAVG(0,,,,30)":33.092335,"VWO^FG_TOTAL_RETURNC(0,-6AM)":4.065597,"GREK^P_PRICE(0)/P_PRICE_HIGH_PR(0,,,USD,,,\"PRICE\",\"INTRA\",\"52W\")":0.9941549,"EWJ^FMA_PCT_ABOVE_MAVG(200,0,,,,\"PORTAGG\")":69.9115044247788,"EPU^PERCENT_CHANGE(FMA_EPS(+1,0,,,,\"PORTAGG\",\"MEAN\"),FMA_EPS(+1,-1AM,,,,\"PORTAGG\",\"MEAN\"))":-23.5670830435808,"GREK^SIZE(FG_CONSTITUENTS)":30,"EWM^FMA_COS_UP(\"EPS\",\"1M\",+1,NOW,,,\"PORTAGG\",\"MEANR\")":16.0,"KSA^FMA_RBICS_REV_CURRENT(30, LOC, \"PORTAGG\")":44.2768099557168,"REFTR1WREPO-FDS^(SUBARRAY(NOT_NA(NO_REPEAT_F(FG_YIELD(NOW,-10AY,D))),0,1)-SUBARRAY(NOT_NA(NO_REPEAT_F(FG_YIELD(NOW,-10AY,D))),1,1))*100":250.0,"REFMYON-FDS^PROPER_NAME(0,,,\"SECURITY\",\"NAME\")":"Malaysia Policy Rate - Overnight","TRYPH10Y-FDS^PCTCHG(FG_YIELD(0,,,,\"YTM\"),FG_YIELD(-3AM,,,,\"YTM\"))":0.80980945,"TRYTW10Y-FDS^FG_YIELD(0,,,,\"YTM\")":1.216,"CC_CL^IMF_IFS_RCPI_Q(0)":4.586063,"UAE^FMA_PE(LTM,0,,,\"PORTAGG\",\"MEANR\")":10.6153243209853,"INDA^FMA_PE(LTM,0,,,\"PORTAGG\",\"MEANR\")":24.9901013610641,"EWZ^FG_FCF_YIELD_NTM(0)":9.8832740753199,"EPU^FG_FCF_YIELD_NTM(0)":5.51238780344363,"CNYA^FG_FCF_YIELD_NTM(0)":3.24075938844808,"TRYAE10Y-FDS^FG_YIELD(-10AY,0,Y,,\"YTM\")":[null,null,null,null,null,null,null,null,null,null],"USDAED^FG_PRICE_CHANGE(0,-6AM)":-0.0027179718,"USDPEN^STD(FG_PRICE_CHANGE(0,-1AY,AM))":1.50074900582281,"USDCNH^FG_PRICE_CHANGE(0,-3AM)":0.789237,"EWM^P_PRICE_RETURNS_PR('52W',2,-10AY,0,AM)":[8.529461,6.027651,4.1514993,1.440692,7.8563094,7.9711556,14.163315,3.3848405,-2.4256706,-9.374964,-11.344582,-5.826628,-10.497295,-10.020929,-10.091078,-17.676878,-20.15614,-23.301893,-37.672127,-32.928837,-28.571093,-18.697388,-21.423292,-17.616589,-12.853026,-9.998923,-17.322588,-12.947488,-6.926775,-4.564619,13.948334,10.463751,3.6114097,-3.8781822,-0.019484758,-1.1978269,-3.9649367,-7.805562,1.6551256,9.031177,1.3017416,3.063023,3.7670016,6.4299107,6.9131613,17.35736,26.672817,27.62456,25.276316,23.096775,17.083025,7.6317906,3.1539798,9.26236,7.4497104,4.9349666,2.2148967,-0.9007156,-7.8712044,-9.762251,-10.230011,-12.894917,-11.55628,-6.964147,1.5709996,-9.972275,-10.43374,-10.168064,-3.3004224,-5.9762955,-0.7406175,-9.011883,-12.103868,-25.240444,-18.654198,-6.404817,-10.205597,-0.47920942,-3.6315918,-2.0675302,-6.004757,7.782173,1.5200615,4.01181,7.678807,25.99429,19.388533,3.985083,0.70040226,-7.202995,4.895365,-0.98252296,1.5646696,-11.611568,-7.0726213,-5.6964517,0.11276007,1.3383746,-2.4061859,-8.55813,-8.800638,-2.4546146,-10.807115,-13.368553,-14.71045,-0.88466406,-5.615926,-0.5421281,-12.074691,-11.3228855,-9.7387905,-10.865325,-5.6044936,-3.265524,-1.5639305,1.253593,7.6122046,-5.3736925,-2.872783,-7.9759064,1.7246723],"EWZ^FMA_DIV_YLD(NTMA,-10AY,0,AM,\"PORTAGG\",\"MEANR\")":[4.42378025088284,4.20821961932471,4.14128769224387,4.18685692266477,3.90535245647452,3.85634504251335,3.55315856328496,3.89601460232443,3.75127121161281,3.93911577513977,4.24243845489451,4.05530902459089,3.99882635971407,3.73081714706648,3.54471346523296,3.85984302866832,3.82259751387557,3.88404592808397,4.29663346105927,4.06107120674547,3.87728405378654,4.04422926538907,4.29728117562966,4.31591346079806,3.59467530448231,3.32171846664013,3.3216664291291,3.38560871868073,3.26952219373193,2.86600807356956,3.05851941593617,3.12478854356874,3.0340235633259,3.43670819004169,3.44654650576319,3.38805309295427,3.47366459388971,3.60121720121928,3.65182803973602,3.69762660559625,3.62049909270681,3.43623144429849,3.24745801941125,3.12922489704249,3.37105061476398,3.57109278990212,3.34661748080595,3.2109306975205,3.34068108047283,3.51020786479996,3.7753272393342,4.00957152184341,4.43251488865923,4.10992530404779,4.52641325973857,4.14288839256871,3.864474122706,3.8821738632966,3.86497173907032,3.56667871874982,3.68211874410804,3.34547358262534,3.42243831646046,3.29840263014578,3.08457005449713,3.22772581834397,3.31251538136584,3.30146409845228,3.21589017134651,3.21786836958187,3.09385065230917,3.11755711064912,3.40010061344679,4.67889673330382,3.85645863943795,3.01463650912663,2.96270087452865,2.8159997884177,2.96624920789226,3.59288104230827,3.49901394879329,3.30983005721916,3.37340817467351,3.60686100481528,4.11217905224661,4.52940069231642,4.9361157977183,4.5980397322876,4.95035754412112,5.67537686295406,6.21671799015035,6.50885432325263,7.55147648040136,7.77166468127194,7.58521478062246,6.88795770346599,7.86601412441722,8.20323920580952,9.14664150982117,9.91924267038205,11.5957052789047,10.4067907446628,10.4384466899992,9.53601322770557,8.30053918538603,7.34337808881726,6.93695182330003,6.8113216183229,7.39785330620001,6.73076343664901,6.93005300031913,6.28924648298845,5.97527707696049,5.77068500800811,5.88234061460276,6.07334537136639,6.1638197923657,6.05794393479292,5.82741698472631,5.88442783722496,6.64555902855697],"INDA^FMA_PE(NTMA,-10AY,0,AM,\"PORTAGG\",\"MEANR\")":[14.3533227395515,14.9606606359402,14.9042714170293,16.1096651405976,16.7805479748274,16.4240633245211,16.9390326215133,16.6984007866649,17.1291975836966,17.5885606829216,17.0524607604346,17.9206682075126,18.5741082016412,17.8425793770102,17.3203929059182,17.186806626498,18.5061774784088,18.6144208260069,17.2329200369462,17.5430256727899,17.6775360902049,17.039794590726,17.0119332718448,16.6568421623319,17.0244121828461,17.2860388314142,17.1318721529137,17.8283293614574,17.7845737354383,18.1271695542333,18.1253542647892,17.9644441186216,17.0191334953119,16.1869186596145,16.2631621972988,17.2145599496869,17.6056975025826,18.0691999111734,18.2141003609702,18.3459102767255,18.0465254757561,18.9913119234003,18.8305221005736,18.4229851275932,19.1363536583763,18.4162060950806,18.9701251381357,18.7433473145432,18.4451860049505,17.7302339979398,18.3677460864033,18.4350431102458,18.3550440169603,19.7415087829154,19.7763877899108,17.7289365256198,17.8924831411739,18.2337350717984,17.7232813401475,18.3095975745039,18.2518347071368,18.9206210891068,19.0255567384048,19.4619114612365,18.9613058208986,17.9378546396224,17.9381474915967,17.9109112169975,19.3646250402199,19.2748370745898,19.1966728339343,18.8942670005731,17.856575123009,13.6727813913714,17.8094948445565,20.7856745799046,22.7515752368464,23.639444744137,22.7600074463415,22.7248223514586,21.9515014266747,23.806356379606,24.4777307115078,23.781079484768,23.8568805456507,23.0460702175929,22.189989503974,23.3095992432416,23.0792924694769,23.6759248404793,24.6765928656535,24.4447452964335,23.9774009606783,23.2615565654386,23.5887851029304,22.6612070787212,20.7593849024849,22.6075485038234,20.9914073234622,20.9372095359446,19.892884408075,22.1994190226053,22.4262330978099,21.6642838913318,22.4704220589308,23.0907986114032,21.8513820738312,20.9643167973152,20.373776025303,19.9692051682862,20.8568679305171,21.3594036174632,21.9449823900554,21.1141980181358,20.5239253146052,20.3277075192132,19.9521241554497,21.1544895382705,22.0071146434305,22.3741781939474,26.0963911885011],"DDR3512M-FDS^MAX(FG_PRICE(0,-5AY))":3.3053632,"PASP-FDS^FG_PRICE_CHANGE(0,-6AM)":-22.5806451612903,"BRENT-FDS^MAX(FG_PRICE(0,-5AY))":140.85,"TIOS-FDS^FG_PRICE_CHANGE(0,-6AM)":-1.0576190879093,"FC0000TW^FG_PRICE(0)":333.411,"VNM^FG_PRICE_MAVG(0,,,,60)":13.04,"MCHI^FG_PRICE_MAVG(0,,,,200)":42.8068,"GREK^FMA_ROE(NTMA,-20AY,NOW,FY,\"PORTAGG\",\"MEANR\")":[null,null,null,null,null,null,null,null,5.18059570882845,5.02924580688049,6.28451178662672,5.47133635917723,4.56601797799517,3.94646034419328,4.24726660688599,5.81002154172499,5.36711218261452,8.82576684666533,11.0341923380188,13.1253657894167],"TRYUS10Y-FDS^FG_YIELD(-10AY,0,Y,,\"YTM\")":[2.1881,2.2961,2.4752,2.4325,2.6836,1.9185,0.9174,1.5119,3.8776,3.8791],"TRYTW10Y-FDS^FG_YIELD(-10AY,0,Y,,\"YTM\")":[1.6015,1.015,1.2037,0.9478,0.8648,0.672,0.315,0.7413,1.2812,1.211],"USDAED^FG_PRICE_CHANGE(0,-1AM)":0.0,"USDINR^FG_PRICE(0)":82.89565,"USDMXN^FG_COMPANY_NAME":"Mexican Peso per U.S. Dollar","USDPEN^FG_PRICE_CHANGE(0,-3AM)":0.5755782,"USDIDR^STD(FG_PRICE_CHANGE(0,-1AY,AM))":1.6229647843746,"USDCNH^FG_PRICE_CHANGE(0,-1AY)":4.2170167,"EZA^FMA_PE(NTMA,-10AY,0,AM,\"PORTAGG\",\"MEANR\")":[14.0929459328546,14.1977739584168,14.1052290764705,14.3554812814814,14.8722332337407,15.1435361053586,15.5642652708194,14.4308154733564,15.1081594305311,14.8684565421548,15.6864717089941,17.042919160328,16.7519680837881,17.1453970574891,17.4563418905736,15.826799373981,16.4653440366134,16.0473332938693,14.9127649704557,15.3379588777987,15.9679719790839,14.4093635290841,14.0763846591768,14.2676131644009,14.6145376825024,14.8720621288309,14.4737045379838,15.2296608573946,14.9553923306025,15.3797256808197,15.1671059526419,14.9881547256077,14.1960129988277,13.698862057148,14.7098323996151,14.9571202543489,15.6104879770199,15.7047869903187,16.0611259604718,15.5552116712227,15.1675531122653,15.831238606034,15.6366160071662,15.0567675766035,15.5073818715271,15.202975425965,14.9187703592678,14.7345487284039,15.1307119428837,14.7498763783627,15.059939334899,14.7957221454702,14.3252361770826,13.9023459122605,13.2919570239192,12.5032287239128,12.502543716395,12.8837233834973,12.6172206507735,12.9119803776963,12.9714459633395,13.2648762210535,13.8947363035959,12.9716990034506,13.0936828891506,12.6117089218342,12.074643793733,11.5124867704597,11.8433404672197,11.9365306080628,12.4800115496499,11.8469609443051,10.4724694445012,8.33726286597395,10.3101671968443,11.1825804038252,11.4014364608554,11.4966498822782,10.705981708596,10.3944560338498,10.1299345848571,9.91250810119478,9.90736373459823,10.12913044905,10.2172524368793,10.1508388508471,9.36011610373776,9.94897556645379,9.40072217973877,9.54830748510509,9.18958342567787,9.27738927178494,9.69461675191942,9.65290545052025,9.91366795844185,9.7648691618629,10.0869859944035,9.938271560841,9.09025264741414,9.00009635179063,8.49155327851864,8.69968372531003,8.43959864189196,8.09212684338455,8.63423929199121,9.00683512751427,9.05772967741549,9.44424128068098,8.96274187278126,9.18201902259176,9.08171256894217,8.79108683732972,9.46081025418351,9.88690116790176,9.62219056093355,9.06517973819913,9.63266706412195,9.77613615407365,9.60259704859723,9.58001310715719,10.6071607470119],"PASP-FDS^FG_PRICE_CHANGE(0,-1AM)":-0.826446280991733,"TIOS-FDS^FG_PRICE_MAVG(0,,,,30)":129.153,"MCHI^FG_PRICE_MAVG(0,,,,30)":38.142666,"CNYA^FG_PRICE_MAVG(0,,,,30)":24.867256,"SET-BKK^P_PRICE(0)/P_PRICE_HIGH_PR(0,,,USD,,,\"PRICE\",\"INTRA\",\"52W\")":28.792727,"EIDO^P_PRICE(0)/P_PRICE_HIGH_PR(0,,,USD,,,\"PRICE\",\"INTRA\",\"52W\")":0.89507663,"EWZ^PERCENT_CHANGE(FMA_EPS(+1,0,,,,\"PORTAGG\",\"MEAN\"),FMA_EPS(+1,-3AM,,,,\"PORTAGG\",\"MEAN\"))":-13.4935516427945,"EWZ^FMA_ROE(NTMA,-20AY,NOW,FY,\"PORTAGG\",\"MEANR\")":[10.902459324937,15.1330068419745,12.2637569805604,16.9213337132468,15.0739650750282,15.0554926171621,15.5613461627174,13.5280238194533,11.6623907171401,12.921670812909,10.9002435918115,10.6345360348741,11.2231596394428,13.1487202255739,15.1975351275066,14.522736175078,16.6003945827785,20.3536752391605,19.4075515646327,18.6294532976694],"TRYKR10Y-FDS^FG_YIELD(-10AY,0,Y,,\"YTM\")":[2.6272,2.0852,2.0916,2.4797,1.9804,1.6728,1.7238,2.2417,3.6906,3.1928],"CAGDPY@GR^EE_ACTUAL_ANNUAL(MED,+1)":-6.5,"USDSAR^STD(FG_PRICE_CHANGE(0,-1AY,AM))":0.0237412688200621,"USDTWD^STD(FG_PRICE_CHANGE(0,-1AY,AM))":1.5029934655083,"USDIDR^FG_PRICE_CHANGE(0,-3AM)":1.8440604,"VNM^FMA_EPS(NTMA,-20AY,0,CY,,\"PORTAGG\",\"MEANR\")":[null,null,null,null,null,1.76556929798562,1.77344510490664,1.79926295005356,2.1935186011017,2.03454772468732,1.57039558296485,1.29980601244052,1.03619480330304,0.937220389578586,1.03904047410582,1.11601822649293,1.03737377793235,1.28884335629541,1.11127492950619,0.886057282514537],"EIDO^FG_TOTAL_RETURNC(-10AY,0,AM)":[10.72191,9.182096,-2.1201372,-1.6967535,-0.60584545,7.5831056,0.2777815,-9.76454,4.8349977,1.6105413,-3.2469153,2.8005958,-0.8354604,1.2454271,-7.670039,-3.9576828,-1.9070983,-5.689001,-15.147453,-5.687201,18.816303,-0.939852,-2.32898,5.8394194,9.517241,-0.71368814,-5.4545403,3.0411482,7.266295,7.852757,-2.0098627,2.1284819,-3.5619497,-6.0903788,2.5819063,1.7558217,-1.0433376,7.2992682,-0.22675395,2.8030276,2.1936655,-2.8467119,1.7280221,-1.0708988,0.82119703,-1.5179574,7.786894,1.8854737,-1.644963,-4.7038317,-10.1645355,5.9422135,-14.054709,10.018217,-7.4503303,-5.3220034,8.030235,8.307827,5.0050497,5.4314375,-5.516988,1.8561482,-3.1511009,-0.98000765,5.173552,-3.0998826,-1.0663509,-3.592813,3.7681103,-1.5961707,3.9190412,-4.3002367,-7.4346423,-38.349514,14.60272,18.800747,-1.7670751,0.9729743,3.7473202,-10.165113,11.372768,17.276955,5.572319,-0.9651661,-3.4322023,-3.773588,-2.3255825,5.088699,-7.2782574,-1.3982594,5.427861,3.6641955,4.4742703,-1.1563182,1.4047623,-0.3012061,3.8843274,4.0299177,2.1166086,-3.1677723,-9.525156,6.247163,2.428639,0.04159212,-1.4552951,1.1814237,-5.9405985,4.9261093,-3.499788,4.4670463,2.2861957999999998,-1.5728414,-0.75962543,-0.2162695,0.6501913,-5.25409,-3.0454576,2.4847627,3.252542,-1.4738739,0.54397583],"EWY^FMA_PE(NTMA,-10AY,0,AM,\"PORTAGG\",\"MEANR\")":[9.19199692707972,9.31044283542982,9.24559688032957,9.62024143432309,9.74615625400839,10.4592160793821,10.2143177108443,9.76703399044993,9.63870443750606,9.96479192753498,9.45805190500041,9.87766898309699,9.96496246307969,9.8780607495454,10.1770436463022,9.61415936683602,9.68596645485529,9.77755174125748,9.18206102175807,9.68399744151388,10.5007241257056,10.0128753623013,9.87219334134496,10.2477039685478,10.4824048926796,10.5392257983983,10.072426837662,10.0483136967126,10.0068242268966,9.85094097939593,10.1465319642702,10.0642224545883,9.75575990460494,9.66327111066665,9.75403602466348,9.50007389383318,9.44939296673337,9.40902871864045,9.19477017251078,9.68478395061013,9.5625924291584,9.32980746769062,9.08816876163614,9.1859886755767,9.50994948307501,9.26829069575092,9.02446725464119,9.27139497942229,8.7637493782098,8.77326232935821,8.84714095022383,8.8553008783259,8.20950731101674,8.28168409433575,8.35124572459016,8.21247204029185,7.96518471123885,8.08116290613458,8.17411272329895,10.2023894722724,10.3283839577046,11.1220583787581,11.3036029716138,10.7930401864785,11.150600937042,10.8204579266329,10.7359075641082,10.7503059491429,11.4507356341532,10.8915106484911,11.2416794592374,11.0676811855908,10.5144271727814,9.4300486593665,11.174853889156,12.926403480498,12.5976657170972,12.8427660118847,12.8431050953384,12.3039844073771,11.8185845913811,13.3941845277117,13.7488342514955,14.0004241234311,13.4319120504984,13.1068452453176,11.2778745108409,11.2881606944841,11.2264777335668,10.7910369206626,10.494305279132,9.89789320288421,10.02677352476,10.1577097729269,10.1583788431679,9.30049009026947,9.3794621225715,9.4126394332386,8.86983919892112,8.93689781522575,8.01666559151165,8.73252711236792,8.52273964501177,8.45047524497305,9.9111680490054,10.8088873146319,10.5223941381436,12.7138806511631,12.9056791135535,13.5826424423713,13.2478928495977,12.9582206292317,12.2277442930274,11.7375933917032,11.4314274283255,10.2554985888932,9.90543817686694,10.1862224463431,10.0463815287497,10.4200601458275,16.3204106203511],"GREK^FMA_PE(LTMA,-10AY,0,AM,\"PORTAGG\",\"MEANR\")":[33.8788384686252,32.4279491583264,32.0577331735894,27.4441596828709,25.2414542698202,22.4061326692448,20.891482666324,18.4133767864681,16.2801994228947,18.952700436919,13.9189050393929,13.9853999454793,17.9754032482461,16.8902221550531,15.5792979170869,14.7343518025343,13.428657844416,12.3429770311122,10.8028587965002,11.9901929879849,10.9128565922788,-0.0698583273513005,-2.76343162317995,-0.775394008706879,0.0601332557881726,1.04944189996068,2.53908060667331,4.26381693050263,4.06629758813671,5.95704311372439,7.7679864683863,9.76079222014999,10.6886560463429,13.9572046245884,15.1109320880538,13.7263251987448,14.3717980636072,14.0152838432081,14.7337521952145,15.3632525194694,15.3152836946116,15.3602995627077,14.902144164901,14.2571624727698,16.9474558051514,17.9144864256213,20.9135379655965,23.5884741281848,23.8365200506433,22.7996502452437,22.4945114272307,21.9713677890186,21.4772034223745,21.0949342878149,20.5911588647531,20.616930215744,18.437003955483,18.4211173059772,14.7338972698772,17.8433880661824,18.7472652641119,18.5822178847334,18.3445218115484,18.2149874856198,18.8087642040518,18.1894070505133,19.0211266466771,17.3078108158832,15.7625677355721,16.9591330844661,17.9788536901449,17.5606142605837,12.5698277137701,11.6407079346065,12.1407532140842,12.9472210225083,15.3234378619019,15.3379871170398,16.3575170405038,15.1149700622277,13.7911601852537,20.6050933419701,19.4275863932909,17.0327419552252,17.8051511152656,17.4116723745442,17.4453184980689,17.1637171568467,16.6081002420361,16.0715647607769,15.4086473073067,13.4780943274935,15.3994644638278,12.7212041464515,12.6027611283333,-119.424373605975,-95.3370042629994,-84.2472865798763,-73.8281595532346,-63.3235114403356,-54.5127568816506,-42.6004184776752,-33.7839722256775,-23.1692855453067,-12.9713918292914,-3.49022777098757,6.25677197683813,7.41603113985555,7.82095408069873,7.63977267764455,7.53496293207687,7.70156588681477,7.961410991095,7.91718861147894,7.47365111147153,6.81034478758113,6.83656642573822,6.45489136774717,6.37381000436011,6.66261790725312,6.67597053074071],"PASP-FDS^FG_PRICE(0)":960.0,"CPALM-FDS^FG_PRICE_CHANGE(0,-1AY)":-6.97081982399259,"BRENT-FDS^FG_PRICE_MAVG(0,,,,30)":85.86,"FC0000SA^FG_PRICE(0)":52.52504,"SET-BKK^FG_PRICE(0)":1362.59,"FC0000MY^FG_PRICE(0)":233.13763,"FC0000ID^FG_PRICE(0)":1085.0732,"INDA^FG_PRICE_MAVG(0,,,,200)":45.596725,"EWY^FG_PRICE(0)":65.6,"SPY^FG_TOTAL_RETURNC(0,-6AM)":14.412403,"SET-BKK^FG_TOTAL_RETURNC(0,-3AM)":-1.5142381,"EZA^FG_TOTAL_RETURNC(0,-6AM)":-2.4009407,"EIDO^FG_TOTAL_RETURNC(0,-3AM)":2.2841215,"CAGDPY@SA^EE_ACTUAL_ANNUAL(MED,0)":4.55,"CAGDPY@KR^EE_ACTUAL_ANNUAL(MED,0)":2.04376201054732,"CC_CN^FG_COMPANY_NAME":"China","USDTRY^FG_PRICE_CHANGE(0,-1AM)":3.5109282,"USDEUR^FG_PRICE(0)":0.92051363,"USDKRW^FG_PRICE_CHANGE(0,-6AM)":0.8713722,"USDPLN^FG_PRICE(0)":3.9748,"USDCLP^FG_PRICE_CHANGE(0,-6AM)":13.796878,"FC0000GR^FMA_EPS(NTMA,-20AY,0,CY,,\"PORTAGG\",\"MEANR\")":[10.0263829592273,10.1383155721295,13.780296395744,19.0687884512301,14.4348202091653,11.7776779993124,7.89872428476136,4.25532007667177,3.48757992339741,1.35869561359766,2.30816157475713,1.40229646911472,0.485154410379686,0.505979411552489,0.451702417206922,0.580096132576718,0.557417673683109,0.621885469021717,0.869531876625146,1.21959709581891],"MCHI^P_PRICE_RETURNS_PR('52W',2,-10AY,0,AM)":[0.22207499,4.484904,-1.0472476,5.974591,22.496212,17.991257,16.818356,3.166902,5.7995915,4.4119954,10.11188,23.586727,16.46788,26.43379,48.219906,33.818756,19.920135,-0.003451109,-18.234539,0.8107066,0.4185915,-5.4089127,-12.205755,-25.98626,-17.589914,-23.495674,-34.65535,-29.131048,-21.61743,-9.109306,14.864016,7.929015,-3.1450987,0.66622496,5.7203293,25.72466,22.718107,22.353195,26.13237,31.4803,30.586601,37.09681,33.640335,35.675003,44.255722,43.611588,59.194553,54.77264,44.79183,36.530983,35.40771,32.618202,17.50723,5.814719,-1.72019,-11.018538,-13.314486,-10.153854,-23.208397,-16.362827,-9.023058,-3.7403762,-1.4807701,-20.53743,-3.4164608,-8.005178,-3.070885,1.5855789,9.357632,5.1964045,29.42183,8.759975,4.451561,-10.170221,-8.943337,16.068256,14.048088,33.873833,32.435703,34.389614,36.67272,37.59519,26.434422,46.70814,34.81686,51.909004,41.13053,31.498886,19.234419,-1.2094319,-3.0369937,-10.6686535,-14.723664,-21.049606,-23.459345,-31.395615,-33.95892,-31.219679,-35.554676,-36.094814,-30.814028,-30.019701,-32.080215,-31.088406,-40.043945,-25.487429,-13.801807,-13.541073,-8.955794,-10.157651,-6.2575874,-11.865007,-16.561634,-1.7512441,-4.4820666,-3.4662306,16.818523,-10.743082,-20.851248,-30.699598,-20.263123],"SET-BKK^FG_TOTAL_RETURNC(-10AY,0,AM)":[5.402398,3.432119,2.1170855,1.9641519,3.203392,1.5743852,3.9720178,-0.5981982,0.94696283,0.79550743,-6.2643948,6.8199277,-2.3109078,-1.7141819,-0.60610175,-2.3474813,-0.08786917,-3.8554192,-4.2879286,-1.780051,5.7243705,-6.312269,-5.261058,2.6673794,6.3541293,1.503408,-0.68344474,3.288281,1.2621522,3.6691546,0.8985758,-0.76898336,-1.5949368,1.0742426,4.1234255,1.2388229,-1.0581493,1.1250138,-0.6799936,-0.34646392,0.4152894,0.26364326,2.588296,4.240608,0.8117199,-0.22686124,5.5024385,2.0284534,-0.84111094,-4.8013744,3.1820655,-3.2912493,-5.3500595,5.087769,0.1355052,0.87435246,-2.7500927,-0.56604743,-5.8116856,4.9830794,-1.1078715,0.54546595,2.1183372,-2.463305,5.292821,-2.2999704,-1.5474439,-3.176099,1.0143518,-3.501314,1.8857241,-4.7392726,-9.264964,-17.392159,14.2970085,8.40081,-2.7455509,-3.02127,-1.4171898,-5.671704,-1.2201726,18.601322,1.2698054,1.003921,3.447783,4.051864,-0.82316995,1.793921,-2.050227,-2.0671666,6.758046,-2.1722913,0.7302642,-2.3415565,5.1687837,0.23587942,-0.14932156,1.8669486,-2.9736996,-0.27961135,-5.3044615,2.4662375,1.4636397,-2.721697,3.0621052,0.94139576,1.926136,0.9030342,-4.8259854,-0.79844,-3.8110495,-0.13696551,-1.0377407,0.99978447,1.1904955,-6.291169,-2.1698534,-2.5511324,3.6898017,-3.5208702,-1.5526533],"VNM^FMA_DIV_YLD(NTMA,-10AY,0,AM,\"PORTAGG\",\"MEANR\")":[null,3.42145655322294,3.4932988014678,3.54624513010546,3.22221982445749,3.47121336914322,2.95779875481764,2.90212120485598,2.87200395663863,3.12949584769964,3.12925811135504,3.02279122078422,3.07476169638771,3.03475311018866,3.0162524155554,2.7488591524019,3.25016290207303,4.17139814242783,3.62074009134013,3.4881497650374,3.17506973264628,2.40071150201823,null,null,2.67903613837586,3.14359529917122,3.12851748742073,3.09964047986111,3.26693633321482,3.22179316447076,3.15138864984038,2.47696340812591,2.69138112143129,null,2.81597169646515,3.12749564184525,3.57143819094124,2.64272344292181,2.49571680483525,2.3791688396826,1.83846611338415,1.53380249854023,1.74240049561973,1.87577681649689,2.0763080351651,1.73366380055274,1.40210533349914,1.74441744442295,1.7222509809738,1.80760748473404,1.98059745864419,1.47103840880778,1.70926383441686,1.68619278047491,1.6595645919764,1.57246202350589,1.76861703987385,1.74317884582809,1.8526488802158,1.76793190117866,1.52429022531947,1.58443314247689,1.54037940113774,1.59525367292748,1.71849176064491,1.82375019058182,1.95885975330351,1.63284733174968,1.64701498523493,1.62562251807096,1.51516261350729,1.6193604354538,1.61351087171358,2.06593259235862,1.78465971736959,1.34095580866645,1.40437319201561,1.37839185155851,1.25727206617169,1.32908418798566,1.33495287691402,1.28943238628104,1.18926413051842,1.22095912684137,1.30100599858429,1.17105567991175,1.18865814750806,1.16291638659763,1.34555661736815,1.3879994245387,1.40424878017145,1.4541647946832,1.3748267810367,1.5225458171112,1.45774029533969,1.66475460360435,1.77456165489561,1.57064772851322,1.75045743325842,1.77865412409125,1.94673064409069,1.88392396858792,1.97354006437278,2.4392015520523,2.60795460598494,2.22061652044089,2.6890947769029,2.61522022506677,2.57587869817544,2.4564678434998,2.63702901352482,2.57870416052676,2.72753115239527,2.57382357080952,2.67705665980223,3.06729234483449,3.0340289811677,2.82290276743482,2.74516943758946,2.80118225907389,2.46292602834872],"CNYA^FMA_DIV_YLD(NTMA,-10AY,0,AM,\"PORTAGG\",\"MEANR\")":[null,null,null,null,null,null,null,null,null,null,null,null,null,null,null,null,null,null,null,null,null,null,null,null,null,null,null,null,2.27537285858895,2.28065325110695,2.19737281848057,2.30380342777205,2.26097585754163,2.12594290543817,2.28846573314511,2.30148712579878,2.30815712599787,2.30113785107071,2.26070626280157,2.17240384952241,2.09758374202612,2.17937865878317,2.1315366537011,2.16414830180331,2.12578350265862,2.19143550558009,2.14216030924177,2.14612455267433,2.31096059542233,2.44476560599555,2.72470059062011,2.71064885272852,3.06680126275281,3.18203038006985,3.14874653117157,3.06043640216341,3.1819093156611,3.16335746904614,3.36198577579865,3.1324797874181,2.74338119308615,2.61045842991296,2.6919600388771,2.82884810824652,2.63393941955045,2.7781443691052,2.6615448351556,2.73843490858548,2.69503576849114,2.57959865167557,2.42126444867541,2.64114668350651,2.38240011017618,2.57776338495143,2.34200962147059,2.22932629567723,2.06363210159095,1.91718258249043,1.87953808080058,1.99094211537394,1.95420732087683,1.83082834429908,1.74575810477864,1.68213840420051,1.78427355494305,1.88584082054403,1.88776631472027,1.81213597328731,1.86274471828083,1.93605515255387,1.99533447256491,2.00026539799996,1.99417759910822,1.95747514012002,1.98727836711787,2.22216095281799,2.24144973399616,2.35681254531135,2.49041278224249,2.41964032924286,2.234389079605,2.43390771719446,2.51935073018154,2.66850932225935,2.63441323530583,2.53396410990028,2.54523612310403,2.38705998082912,2.40957412872715,2.43687383642475,2.49021264890054,2.54909362184359,2.58562522832334,2.53406098020798,2.57079565090424,2.65254579911358,2.7056653476348,2.77046952713829,2.85061764754142,3.01565746044359,2.47073725114103],"EWT^FMA_PE(LTMA,-10AY,0,AM,\"PORTAGG\",\"MEANR\")":[15.7129114883595,15.729709985709,15.5182595646185,15.4856643510494,15.6913170946372,15.175436454649,15.0415992798881,14.4588231293335,14.1659745004048,14.1310144897829,13.9821443421233,14.2912861669368,14.3267402714651,14.1530700971008,14.1841136656268,13.8364861025222,13.8055723053021,13.2789149936774,12.549843311616,12.6350509706458,13.2838068126873,12.5695641730126,11.7181875083932,11.849659753693,12.4185290785954,12.5308947151823,12.3564446655586,12.8389164664154,13.0931136421871,13.5707591950538,13.7114811847225,14.3259265682774,13.9868361425706,14.0963458320987,14.4028439442577,14.243887165887,14.4960578030551,14.3817577877862,14.4019486590657,14.4232164580502,14.6311226063372,14.7730803688064,14.6787248738976,14.4206597777969,14.8784634093531,14.7667325189256,14.8761190757534,15.0553787430953,14.4333806415748,14.3698426981921,14.1897425833765,14.389371881418,14.0387835037807,14.2648239792867,14.012902543453,13.552976234474,12.7338474584887,12.9774890630197,12.0436837015941,13.2606373735338,14.072853548934,14.3037955147066,14.6578691230786,14.4421450483321,14.8597141909207,14.8864149475723,15.1928232789965,15.651678595364,16.6149848778516,16.5395094368682,17.6198237254627,16.8367425866105,16.3733100301297,15.9563067722621,16.3479084046583,16.9610724327447,17.3334132038912,17.9215582122068,17.1178931698824,17.0046776238112,16.8451904909833,17.5326654987612,18.5610740951063,18.693024503935,18.5656415388545,18.3214756221562,17.6191244215289,16.9485866107458,16.5071596490179,15.7605283138053,15.0009358310205,13.8440705331716,13.4796850022504,13.1352335439951,13.1967371634451,12.470741017268,12.3623728843633,12.3071999625653,12.0541278004529,11.9833968107321,11.1551654254859,11.0674846275703,10.9872924222716,10.3101635720994,9.96209592960459,11.2602214188543,10.7369189006646,12.2149519095032,12.4799917400657,12.9660759486539,13.3883719405961,14.3966426230858,15.096457263943,15.9012468410372,16.0174981192695,16.2473174903715,16.7579451830869,17.7901568020237,18.5367519524185,18.995755538046,20.2062765352072],"NI-FDS^FG_PRICE_MAVG(0,,,,30)":16349.0,"FC0000BR^FG_PRICE(0)":217.66154,"TUR^FG_PRICE(0)":36.2,"GREK^FG_PRICE(0)":40.82,"EWT^FG_PRICE_MAVG(0,,,,30)":45.802334,"EWJ^FG_TOTAL_RETURNC(0,-3AM)":13.904452,"VNM^FG_TOTAL_RETURNC(0,-6AM)":-5.3617835,"EWZ^FG_TOTAL_RETURNC(0,-3AM)":1.5822172,"EPU^FG_TOTAL_RETURNC(0,-6AM)":12.914789,"EWT^PERCENT_CHANGE(FMA_EPS(+1,0,,,,\"PORTAGG\",\"MEAN\"),FMA_EPS(+1,-3AM,,,,\"PORTAGG\",\"MEAN\"))":-26.7789166548805,"QAT^FMA_COS_UP(\"EPS\",\"1M\",+1,NOW,,,\"PORTAGG\",\"MEANR\")":5.0,"EWZ^FMA_RBICS_REV_CURRENT(30, LOC, \"PORTAGG\")":27.105017275126,"INDA^FG_ROE(0)":16.1303510074909,"REFCNRMB-FDS^PROPER_NAME(0,,,\"SECURITY\",\"NAME\")":"China Loan Prime Rate (LPR) - 1 Year","REFIDRREPO-FDS^FG_YIELD(NOW,,,0)":6.0,"TRYTW10Y-FDS^PCTCHG(FG_YIELD(0,,,,\"YTM\"),FG_YIELD(-1AM,,,,\"YTM\"))":2.0476665,"TRYZA10Y-FDS^FG_YIELD(0,,,,\"YTM\")":11.671312,"TRYID10Y-FDS^FG_YIELD(0,,,,\"YTM\")":6.647175,"VGK^FMA_EVAL_EBITDA(NTMA,0,,,\"PORTAGG\",\"MEANR\")":9.03209206976305,"SET-BKK^FMA_EVAL_EBITDA(NTMA,0,,,\"PORTAGG\",\"MEANR\")":9.55085100120315,"EZA^FG_FCF_YIELD_NTM(0)":4.95279952559088,"EWM^FG_FCF_YIELD_NTM(0)":7.88304872340842,"QAT^FG_COMPANY_NAME":"iShares MSCI Qatar ETF","EWM^JULIAN(FMA_ROE(NTMA,-20AY,NOW,FY,\"PORTAGG\",\"MEANR\").DATES)":[38352,38716,39080,39447,39813,40178,40543,40907,41274,41639,42004,42369,42734,43098,43465,43830,44196,44561,44925,45289],"USDSAR^FG_COMPANY_NAME":"Saudi Arabian Riyal per U.S. Dollar","USDTRY^FG_PRICE_CHANGE(0,-1AY)":66.884995,"USDCNH^FG_PRICE_CHANGE(0,-6AM)":-0.93990564,"USDMYR^FG_PRICE_CHANGE(0,-6AM)":1.4715314,"EPHE^FMA_PE(NTMA,-10AY,0,AM,\"PORTAGG\",\"MEANR\")":[17.3054814041687,17.4805263168077,17.4721962090013,17.5831311299621,17.4720006482216,17.5282853968385,17.8743673318321,17.5138659517493,17.6318485592057,17.4904034320298,17.2404685740366,18.1573060754645,18.4426296734026,18.5696990271771,17.9591762389565,17.5734726724085,17.5554116812178,17.7349135681402,16.4645722305374,16.1091232586245,16.9577197145372,16.1272840465684,15.7436580298496,15.2856881552169,15.7123194902115,16.8785247022219,16.079767912953,16.7315005629906,17.5621597393515,17.7929026280618,18.2948834258061,17.2103576141654,16.0508590434764,15.4341778061413,15.9897188119897,16.5243722763139,16.2784103434489,17.0093378476689,17.6640682900737,17.7501717101584,17.1564364161441,16.4990117891462,16.6863549222016,17.6912034074974,17.7873922067393,16.7057602973255,17.886972809359,17.6939436782531,17.1654557802892,16.0331835652468,15.4996693585433,15.9057374714049,14.9491262864318,15.8582521841321,15.2486229513764,13.5804642629438,13.8066296264897,15.0037834485071,15.5865044743917,15.6792051883608,14.9621148267843,15.1670566327824,15.5943220477521,15.3952466908579,15.5885440702822,15.4121608048201,13.8694852289422,13.612005850937,14.2147644794286,13.7098032790213,14.1453502773338,12.9515695494731,12.392644286586,9.91941219493709,11.7897485448698,16.1028460437597,15.9162725588583,14.6859110340038,15.3838471045089,16.0074238338807,16.6454241874002,17.1740548088196,16.5951998452385,15.9553338981176,15.8540755331467,14.7878198147702,14.5613938387253,16.3838717701757,16.4447168934053,15.2294443611888,15.920714268953,15.8223987235125,16.2368174762729,15.2492128850362,14.9011920278336,15.5067120793581,15.0354454610452,14.7290933129873,13.6666794541126,13.6549832236333,12.4965659497527,12.9900893982477,13.0411350981614,11.5775851366158,11.8046103019813,12.4191156662776,12.851186249725,13.1549262157973,11.9894945453882,11.7399149182816,11.6545537432568,10.2776667708955,10.1887536959471,9.98541309943836,9.38114675470482,9.94426370774201,9.3574649617646,9.49615181382585,9.60229181228178,9.62740987270476,10.6826859921152],"EPU^FMA_PE(LTMA,-10AY,0,AM,\"PORTAGG\",\"MEANR\")":[15.2018991228054,14.8596197843815,14.7985458468879,15.2482191904113,15.9972007285938,16.2637899846397,15.6953679671657,14.863725297798,14.1286277846594,14.5470508302185,14.2787018214046,15.8331193939616,16.3106453132719,16.0678640709578,15.7030229898499,16.2269204545457,15.8560402259075,15.3572996732201,14.3072907373269,14.6147924604486,11.8803998067271,11.2486332015899,15.0177648022536,16.452635971437,22.5946255292863,21.9090086112884,21.4795762402415,20.7207559839535,20.0443484226961,19.4878076989061,18.3388804365906,16.907253539292,16.2056982302207,15.6732210783213,15.5802241738764,17.2240148144419,16.220229091802,15.7993812471581,14.8980327670608,15.0156033524463,14.796424903224,14.9635975239123,14.9823818634649,17.0354416307464,16.6636315979134,16.7309732693302,17.6001203533878,18.3804142688281,19.8613802352699,19.2664618380131,18.6253330470671,17.9701798822803,17.6815711742206,17.794494285963,16.4747974214185,16.4244758539397,16.4884067189515,16.7393211737227,17.4714886299031,19.064999486265,20.1377285148211,19.8111418987153,18.8543253230113,17.9980728047653,17.7807206021393,18.1280764875984,17.8621254394273,16.8846902781791,17.3866093829073,16.2538978941904,17.0322652856355,16.9356605539617,16.6850308342298,15.469617843098,16.5361880083871,18.7056442414556,21.8441007650139,24.4043645601215,34.4664228055574,38.4885031174583,41.3334490749415,50.2162696013426,49.0265557173429,46.9694761623723,67.1863106440541,62.0083812641205,55.330465936538,49.543332863981,43.5806318250626,36.7933475011876,32.1203402818863,26.3800433808703,21.0376371168874,15.8571255342135,11.6438312802774,11.514429650154,13.6063644112981,13.2338323062739,12.3639770091475,11.7492753988532,10.5814890450214,9.99230890621252,9.53006045103508,9.52464948370271,9.98026263785284,10.0512820174107,9.50744030740823,10.0329031524555,9.43553616339219,9.53053598912444,9.54844434561847,9.69228412917805,10.0997210929447,11.0051148142674,11.0409236584548,10.4765490679137,11.1228640242086,12.7296781614717,14.6279345297278,14.8759824876001,15.6372900976655],"WL-FDS^FG_PRICE_CHANGE(0,-3AM)":-16.4200140944327,"W-FDS^FG_PRICE(0)/MAX(FG_PRICE(0,-1AY))":0.741203551463334,"COPP-FDS^FG_PRICE_CHANGE(0,-3AM)":0.824499411071855,"FTSEWIVNXXXX^FG_PRICE(0)":393.4606993,"FC0000PE^FG_PRICE(0)":866.05597,"SET-BKK^FG_PRICE_MAVG(0,,,,60)":1391.6139,"EIDO^FG_PRICE_MAVG(0,,,,60)":22.168333,"MCHI^P_PRICE(0)/P_PRICE_HIGH_PR(0,,,USD,,,\"PRICE\",\"INTRA\",\"52W\")":0.76958066,"CNYA^P_PRICE(0)/P_PRICE_HIGH_PR(0,,,USD,,,\"PRICE\",\"INTRA\",\"52W\")":0.77883756,"KSA^FMA_PCT_ABOVE_MAVG(200,0,,,,\"PORTAGG\")":71.4285714285714,"INDA^PERCENT_CHANGE(FMA_EPS(+1,0,,,,\"PORTAGG\",\"MEAN\"),FMA_EPS(+1,-3AM,,,,\"PORTAGG\",\"MEAN\"))":-14.7870489287111,"ECH^PERCENT_CHANGE(FMA_EPS(+1,0,,,,\"PORTAGG\",\"MEAN\"),FMA_EPS(+1,-1AM,,,,\"PORTAGG\",\"MEAN\"))":21.8089679065981,"VGK^FMA_COS_UP(\"EPS\",\"1M\",+1,NOW,,,\"PORTAGG\",\"MEANR\")":432.0,"EWW^SIZE(FG_CONSTITUENTS)":44,"EIDO^FMA_COS_DOWN(\"EPS\",\"1M\",+1,NOW,,,\"PORTAGG\",\"MEANR\")":20.0,"REFVNDISC-FDS^(SUBARRAY(NOT_NA(NO_REPEAT_F(FG_YIELD(NOW,-10AY,D))),0,1)-SUBARRAY(NOT_NA(NO_REPEAT_F(FG_YIELD(NOW,-10AY,D))),1,1))*100":-50.0,"REFMXTON-FDS^PROPER_NAME(0,,,\"SECURITY\",\"NAME\")":"Mexico Target Rate - Overnight","TRYQA10Y-FDS^PCTCHG(FG_YIELD(0,,,,\"YTM\"),FG_YIELD(-3AM,,,,\"YTM\"))":null,"TRYSA10Y-FDS^FG_YIELD_NAME":"Treasury - SAUDI ARABIA Benchmark Bond 10Y","CC_MX^IMF_IFS_RCPI_Q(0)":4.4145546,"VNM^FMA_PE(LTM,0,,,\"PORTAGG\",\"MEANR\")":19.4195861548886,"MCHI^JULIAN(FMA_DIV_YLD(NTMA,NOW,NOW,M,\"PORTAGG\",\"MEANR\").DATES)":45351,"EWY^JULIAN(FMA_DIV_YLD(NTMA,NOW,NOW,M,\"PORTAGG\",\"MEANR\").DATES)":45350,"EPOL^JULIAN(FMA_DIV_YLD(NTMA,NOW,NOW,M,\"PORTAGG\",\"MEANR\").DATES)":45351,"ECH^FMA_DIV_YLD(NTMA,NOW,NOW,M,\"PORTAGG\",\"MEANR\")":7.29695388180185,"TRYJP10Y-FDS^FG_YIELD(-10AY,0,Y,,\"YTM\")":[0.3138,0.2604,0.0315,0.0465,-0.0051,-0.0208,0.0201,0.0672,0.4224,0.6127],"CAGDPY@VN^EE_ACTUAL_ANNUAL(MED,+1)":null,"CAGDPY@MX^EE_ACTUAL_ANNUAL(MED,+1)":-0.8,"CC_IN^FG_COMPANY_NAME":"India","USDTRY^FG_PRICE(0)":31.5315,"USDEUR^FG_COMPANY_NAME":"Euro per U.S. Dollar","USDKRW^FG_PRICE(0)":1331.25,"USDPLN^FG_COMPANY_NAME":"Polish Zloty per U.S. Dollar","USDCLP^FG_PRICE_CHANGE(0,-3AM)":12.318087,"FC0000ZA^FMA_EPS(NTMA,-20AY,0,CY,,\"PORTAGG\",\"MEANR\")":[21.1738585852974,23.7133706065956,27.6451629284564,34.5616321819067,25.2671072778123,27.8489815431612,37.9789630694542,35.9045018487394,33.8436615365372,28.3585622697464,25.4355494971776,19.9580367513956,24.0966328377552,27.7235772532822,26.7049155898813,31.8033411235607,34.3219020154309,36.7799117259767,38.5431317680412,33.8852084537244],"INDA^P_PRICE_RETURNS_PR('52W',2,-10AY,0,AM)":[-1.4168441,8.485341,-0.15670061,17.365658,33.15792,32.55191,54.45496,32.12848,29.294765,32.755722,29.651892,39.111675,36.883617,21.864426,14.790988,0.9171963,1.1672139,4.137063,-14.562511,-3.4284055,-10.201359,-15.026408,-10.394973,-20.449596,-20.380121,-16.056787,-11.681461,-2.6809394,-6.363535,-4.1830006,11.198652,4.723716,0.2445221,-0.8528948,1.4936924,15.075445,16.365242,18.663656,22.355986,18.77309,15.366972,19.828749,16.957914,12.620056,25.471067,30.326916,36.06595,24.079918,17.909754,9.434187,8.088673,2.3715615,3.2910943,4.307747,1.3323426,-7.879347,-11.576319,-3.7454426,-7.725209,-7.1837068,-4.940075,4.4777274,4.532373,9.81698,9.701085,-6.570232,-7.3639574,9.480345,13.766599,8.029437,9.490549,8.273864,-0.42384863,-38.10729,-24.485308,-20.541107,-14.977789,0.23989677,6.2431693,4.791534,-0.009375811,9.647572,15.6435375,21.476364,32.914555,90.458595,54.565548,59.56546,46.419132,41.259148,48.174904,43.76581,42.699898,26.926804,23.681593,14.603972,4.409528,16.810465,14.117742,-1.9352019,-4.678708,0.412333,-7.183218,-9.155952,-7.598382,-3.5007775,-10.498184,-12.01405,-5.6483927,-14.728683,-5.927956,-0.21241307,11.12672,2.4698853,2.3641706,5.3523064,4.8933268,6.6559196,17.302216,25.579239,29.728592],"QAT^FG_TOTAL_RETURNC(-10AY,0,AM)":[null,null,null,4.208827,-8.504856,6.663835,3.740549,2.6467204,-1.6816199,-7.8677297,-3.2590747,2.046907,-0.5865216,-1.0383308,3.0988455,-3.9743602,1.2892842,-3.0303597,-5.3013144,4.2105317,-1.6299427,-9.358221,-5.604279,-0.92794895,5.509639,2.114892,-3.8609087,-3.191483,2.790463,8.453428,2.1211267,-3.5034955,-4.564321,-1.7391264,8.877206,-1.600194,2.0650506,-2.1244287,-4.186046,0.72814226,-9.193813,7.5460196,-6.4460993,-5.9146285,-2.6571631,-5.1265,14.883221,0.7941246,-4.303032,5.5098176,-0.22868514,5.884409,-1.7676592,9.991527,-1.4984131,-1.3950884,4.923606,2.8047442,-1.2617707,3.7433147,-5.9278307,1.1506796,3.412795,-3.4573078,2.580607,-4.932058,0.46168566,1.262188,-0.283283,1.6693234,0.5694747,-0.89188814,-10.121548,-5.9694347,5.4209113,4.120779,1.8782258,2.997005,2.848661,2.712059,-2.9775202,8.542562,-0.5083978,-1.0187685,-3.1110466,6.677401,2.9874206,-1.1704803,0.122499466,-0.21345615,3.6913633,3.861785,2.3586035,-2.160877,-0.2986312,10.393119,6.788337,1.7507315,-0.81933737,-5.9479475,-5.1761208,7.4269295,-0.84745884,-0.7197499,-2.265519,-5.5169225,-7.112932,-2.820748,0.9299755,-0.9756088,5.090308,-0.41666627,-3.2481253,5.2809,-4.2155743,-3.3147693,-2.4488568,1.2403965,4.609108,-4.2387066,5.3581834],"UAE^FMA_DIV_YLD(NTMA,-10AY,0,AM,\"PORTAGG\",\"MEANR\")":[null,null,null,2.32400393854218,2.64255741717553,2.63327800563166,2.44109746397268,2.60745272503557,2.78211159955459,3.14281195344006,3.43678242594961,3.40631254337209,3.45999795550253,3.53458018813368,3.20959605132606,3.47868220486436,3.48033194840024,3.52573628634202,4.06179578875996,3.91227949880285,4.13273307975144,4.39041901924104,4.28841825490996,4.42823405637674,4.02498502493766,3.94075544487117,4.13717025382349,4.0049096324476,3.90349713956885,3.8210230931619,3.76689066142745,3.69421292314749,3.78583508830983,4.28722464294588,4.02664332210734,4.18766220707892,4.0093070585032,3.99542472703756,3.94808149398881,4.12119918875552,4.0807863492599,3.8698591267725,4.03140580829636,4.24722873746326,4.22824469693929,4.48021324787165,4.36542728155034,4.30276651420604,4.41440042661908,4.62008716745134,4.8650342499639,4.7852318933994,5.00088093886843,4.69370905490297,4.66268252468438,4.78791348527412,4.91142491302355,5.15549087590156,5.17312931141663,5.12758353413741,5.11620906952294,5.10902481021255,4.83198058844442,5.16954079845603,5.16746305157672,4.91493872780863,4.77844152070069,4.91715431294316,4.73465165370824,4.91489089824397,5.21602077319356,5.31658864484344,5.7235541150571,7.1382409195255,4.98797180751487,4.2685479221952,4.5075516275105,4.69850453195032,4.42361365546453,4.39421962460912,4.27579923745391,4.5617096725686,4.47576633712737,4.22039098671946,4.5287571897445,4.34907206109849,4.37498400261529,4.34593031639707,4.60882849206614,4.57799758137795,4.26394805847962,4.13842186615762,3.8654848723927,4.07593352291887,4.3836227128337,4.27208060607443,3.90113251986284,3.38989570100088,3.55690118294389,3.93430459867816,4.43145398193856,4.14498634007316,4.15648620375889,4.34490412310717,4.41328596427813,4.27700631181649,4.74494518308582,4.71902836720745,4.69133050336627,4.59039695571291,4.41594917485353,4.435886499389,4.3580760754926,4.19038680915504,4.36733550417386,4.25395649543598,4.64159756254336,4.66279326634177,4.60831049029481,4.70759250292572,5.0357170748381],"ECH^JULIAN(FMA_DIV_YLD(NTMA,-10AY,0,AM,\"PORTAGG\",\"MEANR\"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3,44533,44565,44596,44624,44655,44685,44715,44743,44777,44806,44838,44869,44897,44930,44960,44988,45020,45050,45079,45110,45142,45170,45203,45233,45264,45295,45324,45351],"EPOL^FMA_PE(LTMA,-10AY,0,AM,\"PORTAGG\",\"MEANR\")":[15.4051245455637,15.4065371418139,15.3049270532621,15.1746503803411,14.8064928621858,14.6514057738014,15.0196970502093,14.5957742168786,14.8243354189759,14.9187484579395,14.2474355882277,18.5112408427082,20.3073815268554,19.864679369916,19.4699573335937,18.486628072721,17.4852516407262,16.3893087718945,15.2014376535572,13.962922584996,13.3622320041347,11.777612412523,10.9434082866906,11.8194483716677,12.2770220037375,12.5105627640833,12.266753921169,12.0254082932967,11.8086753467929,12.1317186958825,12.1685990216669,12.2387557613023,12.5243187900639,12.4925944829956,14.0909885926501,14.3412095356674,15.8002441579332,15.421836931094,15.2862903443309,14.8831569501786,14.6701307811589,14.4735805496944,14.430277453696,13.399171557608,13.1446263466766,12.4084885245678,12.786976524768,12.6742223216311,11.7292465148398,11.6265392572658,11.6875358012829,11.570922507309,11.3167863564339,11.6724605331691,11.7119206176009,11.675182654395,11.2602498280856,11.9147110294184,11.4933990319877,11.8738152523508,11.5027723154739,11.6769029643913,11.6332291628982,11.3309501022644,11.6484082622892,11.2219677593758,10.8277610214052,10.7971761362525,11.2270429627119,10.5266917902743,11.0834660238848,11.1006628836525,9.77144536371987,9.67197580194275,10.7562797496176,11.9019527724045,11.4684815381176,12.0859032462408,12.6403651520474,13.7095637137778,16.7536578160942,21.2467731820867,22.8263259146853,15.4177994634503,17.1061693380674,16.7322934520974,16.2844818322461,16.2018682920274,15.4795934224765,14.5987175004396,14.1650003505785,13.9127210604969,13.5592100105642,11.4410384688621,10.9424920158969,11.4020351502072,9.77620382786223,9.80745906049133,9.07305752736205,8.52418254165915,8.1058036475737,7.16291181379182,6.8874833767942,6.16749043610952,6.37199993463316,6.06356574489125,6.09357321029198,5.57174410518263,6.00312933302243,5.96410986642713,6.07939729313799,6.43053477981526,6.69095675425023,6.7050910713902,7.05395881319324,6.74267478044839,7.73138402748904,8.41170095322481,8.74158740884754,8.97435584781918,8.84193702463792],"NI-FDS^FG_PRICE(0)":17575.0,"W-FDS^FG_PRICE_CHANGE(0,-1AY)":-19.0082644628099,"FC0000KR^FG_PRICE(0)":474.66577,"EZA^FG_PRICE_MAVG(0,,,,200)":39.4819,"CAGDPY@SA^EE_ACTUAL_ANNUAL(MED,+1)":3.6,"CAGDPY@PE^EE_ACTUAL_ANNUAL(MED,+1)":-0.8,"CC_PH^FG_COMPANY_NAME":"Philippines","USDPLN^FG_PRICE_CHANGE(0,-1AM)":-0.767678,"USDCLP^FG_COMPANY_NAME":"Chilean Peso per U.S. Dollar","KSA^FG_TOTAL_RETURNC(-10AY,0,AM)":[null,null,null,null,null,null,null,null,null,null,null,null,null,null,null,null,null,null,null,null,-4.4593573,4.787278,-7.214731,-10.858482,7.4851036,-3.6593497,8.080112,1.1714578,-0.43005347,-4.22731,-2.2191346,-7.0613804,9.13713,17.54868,-0.7358968,-0.15760064,-2.0520926,1.1792898,-1.0058641,0.12027025,10.902273,-7.3206425,3.1990528,0.0,-3.5591185,1.3492107,5.6365848,2.2539377,-2.0940483,9.7561,2.9059887,5.4485083,-2.7603567,2.060163,-6.0557485,2.0675302,-0.38829446,-2.650112,2.742505,8.716381,0.5324125,6.6978216,4.087591,-9.228611,3.3190846,-3.5304785,-4.222703,-1.9268453,-4.329008,3.2022238,4.262793,-2.783239,-8.319301,-7.237321,-3.8019776,11.321533,0.90203285,-0.037270784,6.785977,2.164805,0.44429302,7.315421,-1.062262,-0.2892971,6.963253,8.348406,4.506254,4.44504,2.4348974,1.0547519,3.3548713,0.3366232,3.0912995,-6.880516,4.00393,8.09766,4.449904,3.0828595,4.6313643,-9.527588,-8.279741,6.1686754,0.11347532,-1.9723415,-1.4107347,-8.045978,-1.4016807,0.81065893,-3.1387806,7.7129126,0.37294626,1.7835021,1.7538309,-1.2584686,0.39215088,-7.250971,3.2376885,1.6318202,8.877397,-1.751107,4.4201493],"PLATI-FDS^FG_PRICE(0)/MAX(FG_PRICE(0,-1AY))":0.787665198237885,"TUR^FG_PRICE_MAVG(0,,,,200)":34.39065,"EZA^FG_PRICE_MAVG(0,,,,30)":38.446,"EWM^FG_PRICE(0)":21.6,"CNYA^FG_PRICE_MAVG(0,,,,60)":25.13954,"KSA^P_PRICE(0)/P_PRICE_HIGH_PR(0,,,USD,,,\"PRICE\",\"INTRA\",\"52W\")":0.9779657,"SET-BKK^PERCENT_CHANGE(FMA_EPS(+1,0,,,,\"PORTAGG\",\"MEAN\"),FMA_EPS(+1,-3AM,,,,\"PORTAGG\",\"MEAN\"))":-2.97524417701999,"EIDO^PERCENT_CHANGE(FMA_EPS(+1,0,,,,\"PORTAGG\",\"MEAN\"),FMA_EPS(+1,-1AM,,,,\"PORTAGG\",\"MEAN\"))":-7.71390200987352,"EWT^SIZE(FG_CONSTITUENTS)":93,"CNYA^FMA_COS_DOWN(\"EPS\",\"1M\",+1,NOW,,,\"PORTAGG\",\"MEANR\")":190.0,"EIDO^FMA_RBICS_REV_CURRENT(30, LOC, \"PORTAGG\")":56.8133989766176,"EPHE^FG_ROE(0)":11.4389552747845,"REFKRBASE-FDS^FG_YIELD(NOW,,,0)":3.5,"MCHI^FMA_ROE(NTMA,-20AY,NOW,FY,\"PORTAGG\",\"MEANR\")":[null,null,null,null,null,null,null,16.2489448712134,14.7844836511748,14.7477410048543,13.8220324417748,12.2640889399399,12.007707790005,13.3821124977803,13.2137488528733,12.8854801395228,12.3573578879857,11.973905842199,11.5506323774735,11.5617545760418],"TRYPH10Y-FDS^FG_YIELD(-10AY,0,Y,,\"YTM\")":[3.8633,4.1,4.6281,5.6986,7.1730304,4.847582,3.4208684,4.796723,6.9293385,6.0028777],"CAGDPY@PE^EE_ACTUAL_ANNUAL(MED,0)":0.625680870863723,"USDTRY^STD(FG_PRICE_CHANGE(0,-1AY,AM))":6.37052559869981,"USDCNH^FG_PRICE_CHANGE(0,-1AM)":-0.040215254,"USDZAR^FG_COMPANY_NAME":"South African Rand per U.S. Dollar","USDCNH^STD(FG_PRICE_CHANGE(0,-3AY,M))":1.80825820871516,"FC0000PH^FMA_EPS(NTMA,-20AY,0,CY,,\"PORTAGG\",\"MEANR\")":[8.59220082539698,10.2584058872744,13.4692809727856,18.2110568110308,13.0515502293789,16.0518603317777,24.4586496686729,25.9703873749774,28.0571210508876,26.0025463366439,28.3275730235173,26.2170868437055,26.5572871869144,30.208789832529,29.6177771378772,33.6632760017342,25.6257109261131,24.8900071994994,26.8368786417054,30.8315679475752],"TUR^FMA_DIV_YLD(NTMA,-10AY,0,AM,\"PORTAGG\",\"MEANR\")":[3.52593078092698,2.9767580036201,2.79770022235621,2.82410015646577,3.16884803075211,2.7265362286678,2.94345571624328,3.2254309164601,2.94196046125513,2.71412117759288,2.76136632869705,2.86129087893592,2.9522843738,2.99202226664555,2.89982571757242,2.97320549459809,3.04302444072222,3.13617132086113,3.40885651568091,3.4250069635294,3.0150428740417,3.47714745798611,3.68427722281529,3.4835543833131,3.28034236077683,3.11688838268505,3.42498764211509,3.50530343832827,3.51395305880939,3.62472024206643,3.56016795510103,3.68549359356276,3.74338605410607,3.89645066775168,3.89999533947038,3.45503838211055,3.52881894439286,3.6534869036519,3.73566155042094,3.51196899443003,3.58323435262452,3.67405383121002,3.77558745425718,4.16507692630594,4.07054561728711,4.34343414139487,4.06713813449108,4.02607825823059,4.22709071628825,4.55023574338231,5.26156248890844,5.39597208785445,5.48508717955456,5.41100037273861,5.8536577989289,5.65446212909326,5.26407879396849,5.43323219237148,5.47449859388039,4.48857940566984,4.57303809213213,4.75567427937629,5.04250332655013,4.9912245246904,4.52296825965259,4.47446260328999,4.96729138814692,4.75547213173042,4.74219561953065,4.52001831940647,4.30148436031132,4.33568686695999,4.57909178896524,5.76250917291432,4.01328039737398,3.38255425009558,3.30643993140655,3.768464357083,4.30896554290756,4.34927203689473,4.35710887139206,3.85764987451376,3.76169947455655,4.13946451616037,4.47699489481779,5.1179910557775,5.36974023138252,5.55545544281609,5.70845020565478,5.95922443091347,5.75106445917983,6.0602037725839,5.68964082389665,4.60501477702597,5.22826500681255,6.16493159720474,6.17790352266363,5.31472599175127,5.5190447004192,5.15313957171825,5.97719491330252,5.79292580081111,4.86953655118813,5.07757787062389,4.99025565215156,4.51941093990233,3.96083101504425,5.12022258832391,4.97973454006461,5.03981313835753,5.45430793857845,5.07490721243657,4.33615108744263,3.59635367643367,3.5117121057673,3.65942083087264,4.15181723054901,4.18488453544825,4.71034258651245,4.18685971927277,3.03977683691967],"QAT^FMA_PE(NTMA,-10AY,0,AM,\"PORTAGG\",\"MEANR\")":[null,null,null,15.9142521267117,14.8176371628861,15.4226424353474,15.8464942183326,15.5599396497602,15.2331046272401,13.8208673535414,13.2710219906438,13.8059195990729,13.5770050188424,13.1646076187754,13.5199204615541,13.4516366669955,13.3621501078623,13.1929721477309,12.4258256281496,12.6201994972898,12.6665831522801,11.3836549654447,11.2122291318848,10.9732426393094,11.6987113153525,11.927726967971,11.8485241594456,11.4219032290315,11.8725297105535,12.7360450747852,13.202687198871,12.6194484991899,12.5449089138966,12.173085022456,13.5751313920797,13.206916065568,13.2514114203048,12.7176228712034,12.862789544208,13.0047584553925,11.7981852536758,12.2978300688503,11.5320585772148,10.6790592825555,11.0764504066984,10.8730515579787,11.8357312754179,11.9638886756496,10.9733625710756,11.1550470243746,11.1135483927924,11.3789906081698,11.3407165727068,12.3153510987601,12.5093957955831,12.496403169975,12.939402274052,13.2197122837601,12.889558890991,13.3765266395047,12.6345095176651,12.7211899410862,13.3245768199872,12.9175733225827,13.4235377069953,13.2798738611646,13.2670983168074,13.4626718807758,13.1971270160428,13.1488825889607,13.8771938107127,13.6418770864636,12.5115208657699,11.6893055328072,13.301037940078,14.3637069689065,14.843575362977,15.2949611047238,15.1490337068608,15.2819020625261,14.6808892320521,15.4789276203535,14.1497417248564,13.8350004758641,13.0797101059657,13.7854614579384,13.9685572947425,13.7032458457998,13.5048735938246,13.1858473069545,13.414748333459,13.3904283623336,13.7020331703337,13.0613314822613,13.088854526181,13.5659516132372,14.225406911907,13.9796148353333,13.7135505952914,12.4769945811365,12.1979786138966,13.5067048602452,12.968090029521,12.9551276056372,12.5455583284718,12.5568375148202,11.2186749701717,11.3162756313515,11.1303906853662,11.151437955138,11.3150693053256,10.9938666049164,11.0695943729741,11.7952641484898,10.9443562912697,10.6959093441621,10.3012214289466,10.418144822227,10.7480730576326,10.3810127031283,11.5169839318491],"INDA^FMA_PE(LTMA,-10AY,0,AM,\"PORTAGG\",\"MEANR\")":[16.345380305916,16.3751748231197,16.3133268186001,16.8372446902812,17.3096907787629,17.3209257796402,17.9524150712421,18.0865304004231,18.8258014600757,19.7392655953185,19.533985469832,20.4315116257925,21.0444587248141,20.7311504363626,20.3850449276404,20.195647864107,20.857810627965,21.0193104269888,20.0868695128379,20.4090302162601,20.589806544472,20.0903384099914,20.2090828972762,19.5872659997024,18.9700674663744,18.9463888235361,18.8585622959608,19.1586995730446,19.2389500380004,19.60075208353,19.8275380119362,19.9318742017262,19.3876669700878,18.7297556649267,19.0766079997045,19.9779250246436,20.5194242918664,20.4456867090286,20.413626130271,20.440480632683,20.2980030697453,20.9356000436548,21.0074511318503,20.9430216474587,21.9614482139908,21.5866252740277,22.6609228164778,22.1082498718561,21.7403746862655,21.3212554032269,21.3321436593979,21.2295649660821,21.1154595932037,22.0372605447537,22.3435335438735,20.8389379111149,21.1309620436668,21.7089116254067,21.2579265457131,21.8698000090814,21.6843635569214,21.6312259130026,21.5622875903765,21.7229547522825,21.5007606192361,20.8760678392174,20.9369242918242,21.0998536307162,22.8707616483134,23.0751102246381,23.5360999888526,22.9142447860103,21.2595838902949,19.9193618765182,20.8925699077209,22.2564972941298,23.7857669113593,25.1448598679575,25.2960795927057,26.0537502388663,26.0881299875189,31.2103986335776,34.0858475294378,33.1368971683819,31.1688107339416,30.4317880578825,29.4890407422182,29.3896851641745,28.8898444419601,28.9758486117701,29.5054295864951,29.2788763811171,29.114727030773,28.5516243684716,29.1287056578132,28.1267766762333,26.2576938581637,26.2992121641457,25.4771691244731,25.1270065447105,24.2849393570845,25.4722416308751,25.6770526484621,25.0966765117762,26.0771609014814,27.0358855525099,25.9083969966444,24.9726739470059,24.1660025692055,23.7865003938314,23.8732885499783,23.9778427621523,24.2867561226381,23.8631554239064,23.4719903646655,23.3677980577377,23.0834876560587,24.5389284022927,25.8062918373386,26.1344246874189,26.7186156323688],"WL-FDS^MAX(FG_PRICE(0,-5AY))":763.4,"PLATI-FDS^FG_PRICE_CHANGE(0,-1AY)":-9.23857868020305,"BRENT-FDS^FG_PRICE(0)/MAX(FG_PRICE(0,-1AY))":0.870614479821537,"USDSAR^STD(FG_PRICE_CHANGE(0,-3AY,M))":0.0431013308420281,"USDBRL^STD(FG_PRICE_CHANGE(0,-1AY,AM))":2.56271889274284,"USDTWD^FG_PRICE_CHANGE(0,-6AM)":-1.161927,"USDPLN^FG_PRICE_CHANGE(0,-1AY)":-10.514766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87439,17.4947707029365,21.2762448567038,20.3723993160167,19.1497417881359],"VNM^FG_TOTAL_RETURNC(-10AY,0,AM)":[1.8948317,0.13947487,-7.7994466,0.9566903,4.8877835,1.521635,9.929741,-4.431182,-5.260813,-4.4705925,-3.8743377,-3.5808325,3.4407496,-11.985218,4.4391155,-0.45950413,10.38661,-7.161522,-12.781536,2.1304011,9.481668,-9.468818,-0.8859694,-8.884436,6.9648027,-5.962986,2.915454,4.5325756,-0.7452607,-1.160413,3.3149242,-0.60160756,-5.581707,-5.3418818,3.1570911,2.1674156,-1.8288195,5.514157,-1.483053,4.7311783,3.969884,-2.8966427,-0.6779671,1.3651967,8.821547,6.126237,9.058512,0.27011633,-0.37715435,10.275817,-13.487005,0.1700759,-14.3180485,7.7939153,-0.30636787,0.8604765,-7.0079207,2.8833508,-4.2568564,5.164325,7.5892925,1.0077119,-3.0516446,-1.6949177,0.12315512,-1.1685133,-2.1157444,3.2422185,2.7709365,-4.6135426,1.8415928,-6.1528864,-7.417226,-23.21173,11.411274,17.140472,-1.3561785,3.9073825,4.526472,-1.0659575,4.1077375,6.209576,7.3264003,1.7094135,-2.6890755,6.7933083,0.8625388,7.589531,3.7754655,-4.978454,1.7632246,-5.445546,5.7591677,0.8415818,6.223643,-8.4068775,-0.40568113,-0.9674072,-12.287927,-7.327074,-8.412403,5.386746,-0.58977604,-15.227425,-11.81959,13.22751,-2.5983393,-0.96852183,-5.704975,7.3465943,-4.267311,8.158112,3.3437014,13.468779,0.33156872,-12.8883,-4.9696565,8.502996,0.3193736,0.077331066,4.94591],"SET-BKK^FMA_DIV_YLD(NTMA,-10AY,0,AM,\"PORTAGG\",\"MEANR\")":[3.94749427651641,3.79978685729407,3.73829383683988,3.6706024834648,5.52897393375344,5.76461132359837,3.36652210172913,3.38749152080062,3.34167937008671,3.30704620971366,3.49789231027955,3.17797731968925,3.2747754662136,3.39238836751531,3.39994426752391,3.46413851646348,3.46184241893181,3.54848457278826,3.66896167729805,3.75915299158427,3.5702479394164,3.78774736868091,3.92141120333566,3.67355288233736,3.41965721416532,3.38247400662211,3.42678750318453,3.29875749981987,3.28492608483857,3.17890933577401,3.1949516979684,3.24534578235946,3.31800303890786,3.27803879112529,3.18338279652461,3.11595744815413,3.13221558558961,3.10889463668986,3.16999225840883,3.19765912041529,3.22341507599945,3.2376794465717,3.12462796198947,3.01540999863726,3.027558409744,3.06944660953095,2.92982962729383,2.88892301356283,2.96412391487391,3.15095153623713,3.03780897615877,3.19817572776346,3.38988828325183,3.24547366052205,3.21540481182509,3.24705312024344,3.344103130452,3.37425320399595,3.53419597518892,3.31549657039101,3.30307348574436,3.30455231257162,3.2423433797739,3.28758417440794,3.12346727788735,3.20780156833913,3.23167625262488,3.35591195850651,3.23260347652609,3.28560031082967,3.1994552893558,3.37043670314244,3.61575242568025,4.00612863092341,3.31873389474884,2.95489233713934,2.96240429156775,3.05878655209326,3.13197682433154,3.25816767607831,3.20732102161047,2.7363865006743,2.77807497759838,2.81612580802242,2.7864048920938,2.74721541916871,2.85429114346273,2.83852447236775,2.91795559859446,2.97990868467468,2.77769862939363,2.85097266380129,2.83867059907051,2.95015176429572,2.82060199726465,2.86682763100259,2.91314577633939,2.90416076806243,3.02471676283758,2.99986196935942,3.19097208843498,3.17090055654504,3.13144464868593,3.19220628713008,3.07973782931037,2.99834542164194,2.97063880836921,2.96472365226587,3.10669401455999,3.12380011787869,3.24521923439936,3.17762528071641,3.17169689724438,3.10586810248435,3.09649427274765,3.30986374986453,3.400166249699,3.43165032291382,3.35280139752453,3.48767304098531,3.48809701021134],"MCHI^FMA_PE(NTMA,-10AY,0,AM,\"PORTAGG\",\"MEANR\")":[8.49485709789136,8.57300472064077,8.4178002050617,8.73764966049538,8.96610284164775,9.31573704249971,9.43804564899764,8.54855486105503,8.85342169632398,9.22280224304841,9.59779550792997,10.0868153055341,10.1158202451801,10.8578491482729,12.3156921450533,11.6665396187192,10.6337651252724,9.40003167343751,8.39077364590597,8.92562047469615,9.71827889610516,9.34459635932663,9.81219002170588,8.94485036993293,9.45760729859295,10.028887980958,9.88623166750171,10.9147790831758,10.9053025551057,11.3466104572802,12.2625733256678,12.4456578792068,11.7863427026273,11.7832916889356,11.4507933150915,11.9226161104338,12.2299118799818,12.438757543541,12.490194591503,13.012981899518,12.9336816043073,13.5989185865205,13.4126813631654,13.8538696352086,13.7171406841987,13.2726066000871,13.8922739570897,13.9007595126965,13.0742506964775,12.2265263280432,12.3238366694731,12.7757068086115,11.8273835437127,11.4595253134029,11.3037795898663,10.6658134564188,10.6126914959205,10.9262642592921,10.0939063769319,11.1543803559634,11.7840479929676,12.1708835276241,12.1832501331457,10.8483181871314,11.6671755759087,10.9788127074644,11.3199662483855,11.0173296783094,11.446431908107,11.4535902952969,12.4817542652005,11.958884861042,12.1869418776044,11.610177849893,12.0586590696618,13.7360737312722,14.4628418668138,15.3324425467793,15.2797379483392,14.8223611915978,15.6471546394841,15.5279461525613,15.564239388903,18.0548324312659,16.8756171721635,16.3815813079586,15.6794966745611,16.1331762722547,15.7751096846914,14.1226964728558,14.0601858739223,12.8080766483546,16.0384447173216,12.5243149063625,12.2146588713277,12.2689010389875,10.8912519755887,11.23847967665,10.7364587949611,11.1678807566956,11.9975169338251,10.8610081687022,10.8652988389275,9.73019814464276,9.28343723731051,10.5360693399488,11.3152373184734,11.6615658033497,11.1944339037359,10.9889257620324,10.5041811424977,10.1633638936749,10.3848488608355,10.880802309843,10.387070822474,9.63702380512246,9.87359652009649,9.32390692905268,9.24395144287673,8.44856774930436,10.4707216811937],"BRENT-FDS^FG_PRICE_CHANGE(0,-1AY)":-1.57056058695404,"TUR^FG_PRICE_MAVG(0,,,,60)":35.140167,"EZA^FG_PRICE(0)":37.98,"EPU^FG_PRICE_MAVG(0,,,,200)":31.705742,"KSA^FG_TOTAL_RETURNC(0,-6AM)":8.699393,"EWY^FG_TOTAL_RETURNC(0,-6AM)":6.4956307,"SET-BKK^PERCENT_CHANGE(FMA_EPS(+1,0,,,,\"PORTAGG\",\"MEAN\"),FMA_EPS(+1,-1AM,,,,\"PORTAGG\",\"MEAN\"))":-1.0739783727442,"EIDO^FMA_PCT_ABOVE_MAVG(200,0,,,,\"PORTAGG\")":32.4324324324324,"EWT^FMA_COS_DOWN(\"EPS\",\"1M\",+1,NOW,,,\"PORTAGG\",\"MEANR\")":34.0,"CNYA^FMA_COS_UP(\"EPS\",\"1M\",+1,NOW,,,\"PORTAGG\",\"MEANR\")":79.0,"EIDO^FG_ROE(0)":13.2313129732196,"REFQALEND-FDS^(SUBARRAY(NOT_NA(NO_REPEAT_F(FG_YIELD(NOW,-10AY,D))),0,1)-SUBARRAY(NOT_NA(NO_REPEAT_F(FG_YIELD(NOW,-10AY,D))),1,1))*100":25.0,"REFKRBASE-FDS^PROPER_NAME(0,,,\"SECURITY\",\"NAME\")":"South Korea Base Rate","INDA^FMA_ROE(NTMA,-20AY,NOW,FY,\"PORTAGG\",\"MEANR\")":[null,null,null,null,null,null,null,null,15.6108197056138,16.0962597956391,15.7612771435553,15.9055421047158,15.6930916584344,15.3154529754558,14.6122050459717,14.5354845941958,12.8423838581616,15.1612835327609,14.9254235326562,16.0758035604142],"CAGDPY@VN^EE_ACTUAL_ANNUAL(MED,0)":null,"CAGDPY@PL^EE_ACTUAL_ANNUAL(MED,+1)":0.8,"USDTRY^FG_PRICE_CHANGE(0,-6AM)":17.768002,"USDCNH^STD(FG_PRICE_CHANGE(0,-1AY,AM))":1.20721251298514,"FC0000CL^JULIAN(FMA_EPS(NTMA,-20AY,0,CY,,\"PORTAGG\",\"MEANR\").DATES)":[38352,38716,39080,39447,39813,40178,40543,40907,41274,41639,42004,42369,42734,43098,43465,43830,44196,44561,44925,45289],"UAE^FG_TOTAL_RETURNC(-10AY,0,AM)":[null,null,null,1.0412216,-12.46829,6.9103837,5.170977,-4.084057,-7.110381,-5.6519747,-9.135664,1.0095716,1.5518188,-2.3604393,11.034811,-2.430433,1.2597084,1.0934353,-14.306784,2.1227717,-6.9101095,-4.465902,-2.4988651,-1.844722,8.614969,1.6577125,0.2298832,-2.6646793,6.2384605,2.824521,-0.2630055,-2.2267878,-4.405153,0.72727203,5.919671,0.17803907,0.5337715,0.17619133,0.99999905,0.0,1.5947104,5.8303833,-0.7234216,-1.6031325,1.1450291,-6.1672745,5.3723574,-0.5077779,-4.205078,1.3229132,-2.6706278,0.0,-3.8231075,5.360687,-1.5075386,-3.5076559,0.79312325,-6.229508,-0.87478757,0.5673766,2.1149516,2.141583,3.7863493,-6.384367,-1.8584371,3.3431292,-0.036257505,-3.8399994,2.218926,-1.1931956,-2.0878673,-2.8653681,-7.7532053,-23.789644,10.514784,4.5589685,0.98466873,3.811872,3.3857942,-3.1365335,2.5714278,9.420609,1.6365767,10.526312,-1.7384708,3.8461566,1.2592554,7.900512,0.14199018,-0.28031468,4.6380997,-1.2760282,6.9387794,4.644406,0.41382313,1.6615391,10.351086,6.198585,-2.5826454,-9.01379,-7.685292,5.487418,-2.5091767,-2.5109887,0.19317865,0.06426573,-3.0174851,-2.1722555,0.06784201,-3.8983047,6.8783045,-2.3762345,1.0546684,5.429554,-1.4341593,2.6455045,-6.25,0.7560134,1.2023568,-0.13568401,-0.57744384],"EZA^FMA_PE(LTMA,-10AY,0,AM,\"PORTAGG\",\"MEANR\")":[15.7849938023462,15.6924304516273,15.5785740667365,15.6305469704877,15.9281827258159,16.2121515272037,16.7473744156194,16.0881687100127,16.9077126773757,16.2768351592917,16.9127637754384,18.3244614112638,18.4341663472201,18.4516734666941,18.5455535266419,17.8783920434133,18.1490850083144,17.8278517932074,17.0520487449507,17.0965782695215,18.0174623871655,16.4394693552749,16.1264653984129,16.2269605758256,15.9979251756356,15.9965582393024,15.8161332796676,16.0864522589377,16.0521610413542,16.3642582306024,16.5588813408636,16.7057872613695,16.2625937292801,15.8916549012327,17.3248216510676,17.4439318321981,18.4690895188876,18.2846420739568,18.2578230355544,17.95624571326,17.6869230351012,18.0689208140867,18.0271050876085,17.5821490358081,18.3475621755598,18.5769705073522,18.4424919594602,17.9852640280375,18.1034345377524,17.7857040717098,17.679117747075,17.3898622183248,17.0315475754608,16.6155705322358,16.11450351131,15.1554434012268,14.91713072424,15.225837411065,14.8798629508405,15.0886504676674,15.386260748471,15.2854887896266,15.3962090993917,14.9480652998759,14.9260002231804,14.5531808837447,14.0679743804565,13.446469432674,13.6936527714031,13.9549134543003,14.7465320995271,14.0902137499727,12.6979644467944,11.9543302488578,12.421573280315,12.8300011779197,13.039874096535,13.4621310688125,13.1609434311661,13.2107772172765,13.1856020646609,13.5590391581766,14.1256589114787,14.0286638624907,13.6253236493804,13.3134160404435,12.7060169099923,12.5772825284486,11.9980563647593,11.6570534960751,11.1302337979842,10.8123701440289,10.8817343458885,10.5553260195963,10.5949222439921,10.8245199768169,11.1915624546173,11.0736288458322,10.6870201344405,10.5108163188026,10.1410044940954,10.1352500523822,9.95575807069149,9.62819448295141,9.92435930272558,10.1990986787057,10.4226216387603,10.8537359432521,10.3062064076585,10.2648795820502,10.169845182229,9.99804438354169,10.3187904100507,10.6150540028019,10.6292334577537,10.2584969488843,10.8590283543061,11.2340764559995,11.3076007672986,11.1929654662958,10.8345406088191],"WL-FDS^FG_PRICE_CHANGE(0,-6AM)":-18.543956043956,"PLATI-FDS^FG_PRICE_CHANGE(0,-6AM)":-9.42249240121581,"BRENT-FDS^FG_PRICE_CHANGE(0,-6AM)":-4.75873544093178,"TUR^FG_PRICE_MAVG(0,,,,30)":36.802334,"EPU^FG_PRICE_MAVG(0,,,,60)":33.74671,"CNYA^FG_PRICE(0)":26.13,"MCHI^P_PRICE(0)/P_PRICE_LOW_PR(0,,,USD,,,\"PRICE\",\"INTRA\",\"52W\")-1":0.09359181,"EPHE^P_PRICE(0)/P_PRICE_HIGH_PR(0,,,USD,,,\"PRICE\",\"INTRA\",\"52W\")":0.994614,"URTH^PERCENT_CHANGE(FMA_EPS(+1,0,,,,\"PORTAGG\",\"MEAN\"),FMA_EPS(+1,-1AM,,,,\"PORTAGG\",\"MEAN\"))":-7.93523738852576,"EWW^PERCENT_CHANGE(FMA_EPS(+1,0,,,,\"PORTAGG\",\"MEAN\"),FMA_EPS(+1,-3AM,,,,\"PORTAGG\",\"MEAN\"))":-25.1935041921468,"USDBRL^FG_PRICE_CHANGE(0,-6AM)":0.64810514,"USDTWD^FG_PRICE_CHANGE(0,-3AM)":0.36303997,"USDPHP^STD(FG_PRICE_CHANGE(0,-3AY,M))":1.76743322777503,"KSA^P_PRICE_RETURNS_PR('52W',2,-10AY,0,AM)":[null,null,null,null,null,null,null,null,null,null,null,null,null,null,null,null,null,null,null,null,null,null,null,null,null,null,null,null,null,null,null,-18.747353,-7.1842074,3.1193137,11.389505,24.494017,15.744591,19.401073,9.363365,8.776676,20.544683,16.651249,24.208714,32.469223,16.792465,0.926733,7.4059367,10.523569,10.429132,19.273603,23.986816,30.585182,14.497709,26.136744,14.779556,17.152668,21.389843,16.229534,13.045239,20.18969,23.413933,19.97509,22.574377,4.4619203,10.992885,4.678142,6.9599986,2.7741432,-1.2916744,4.6423316,8.443033,-5.0417304,-13.402647,-23.687672,-30.41919,-14.666468,-16.054838,-13.645088,-3.7194192,1.3436317,5.301571,9.498429,3.9059877,6.5715194,24.33629,54.13954,57.769585,48.023926,50.272644,51.914288,47.29029,44.40206,48.207508,29.588366,35.18747,46.558475,43.11477,36.159634,36.322628,18.447649,6.1870694,11.08445,8.042276,5.1245213,0.53368807,-1.0702908,-5.884409,-12.150282,-18.90093,-14.949876,-18.411345,-8.969837,1.8301725,-5.293483,-4.9867687,-10.143841,-3.9469063,3.9957285,14.837503,11.14086,20.65332],"EZA^FMA_ROE(NTMA,-20AY,NOW,FY,\"PORTAGG\",\"MEANR\")":[17.9443072677306,20.5348928156755,23.3962979706047,22.9309412159492,18.5257233943907,16.4229233067431,17.9081210683932,18.7154492714901,17.1811698307319,15.8177225487006,15.0179384562795,14.1296467541483,12.9857675631351,13.3471903111701,14.1097872522301,13.6185226454453,16.7115371927188,16.932589581546,16.8118349535848,14.5722752976358],"TRYCN10Y-FDS^FG_YIELD(-10AY,0,Y,,\"YTM\")":[3.653331,2.901145,3.070911,3.93859,3.259862,3.197311,3.1948,2.7893,2.855,2.574],"CAGDPY@AE^EE_ACTUAL_ANNUAL(MED,+1)":12.85,"CAGDPY@PH^EE_ACTUAL_ANNUAL(MED,+1)":-3.15,"USDSAR^FG_PRICE_CHANGE(0,-6AM)":-0.021332502,"USDTRY^FG_PRICE_CHANGE(0,-3AM)":9.081947,"USDINR^STD(FG_PRICE_CHANGE(0,-3AY,M))":1.09882521072959,"USDBRL^FG_PRICE_CHANGE(0,-3AM)":0.34793615,"USDTWD^FG_PRICE_CHANGE(0,-1AM)":0.9675145,"CAGDPY@AE^EE_ACTUAL_ANNUAL(MED,0)":12.7,"USDTWD^FG_PRICE_CHANGE(0,-1AY)":2.8909087,"USDPHP^STD(FG_PRICE_CHANGE(0,-1AY,AM))":1.13851568362207,"UAE^P_PRICE_RETURNS_PR('52W',2,-10AY,0,AM)":[null,null,null,null,null,null,null,null,null,null,null,null,null,null,-15.5306225,-18.432898,-5.640352,-10.774422,-27.299076,-22.78604,-22.427637,-21.452444,-15.715271,-18.096966,-12.400425,-8.795441,-17.670673,-18.198925,-12.657988,-12.354523,1.3694644,-2.3355126,0.2925396,7.0974827,14.8746605,19.136774,7.9262495,6.9373727,7.7590346,10.065805,5.869913,8.964788,9.520721,9.153593,15.370917,7.585907,7.0299745,5.42289,1.0283589,2.4461746,-1.2770057,-1.2770057,-6.5416813,-6.9046617,-7.691354,-9.478026,-9.4103155,-9.852802,-15.197301,-14.280891,-8.625608,-7.8873277,-1.5964329,-8.04739,-6.169009,-7.8500214,-6.5909863,-6.9127083,-5.5959105,-0.52556396,-1.0410786,-5.096799,-14.268028,-35.989983,-31.886314,-23.924065,-21.566313,-21.365118,-18.673212,-17.275501,-17.795753,-8.965391,-5.5025697,7.5255394,14.536476,57.449924,42.99953,47.569572,46.338154,40.569603,41.68414,45.005,51.17911,44.391453,42.840755,31.384218,47.548996,50.89141,45.16641,21.871662,13.558758,19.369305,11.216557,9.824586,2.8969526,-2.9628515,-4.9689713,-8.33075,-17.751139,-24.958574,-17.670727,-12.278146,-3.3014953,-3.3545434,-2.166015,2.879393,-2.4195552,-3.0710459,1.1464715,3.9573908,2.5862932],"MCHI^FMA_DIV_YLD(NTMA,-10AY,0,AM,\"PORTAGG\",\"MEANR\")":[3.75818734844846,3.75541983543631,3.8189670359937,3.69463674536264,3.59659277175031,3.46489351814289,3.41949861707746,3.76535758800843,3.64296813081775,3.49087010735247,3.31423296218917,3.14161582995343,3.13397309514869,2.85589105893199,2.48344618447611,2.63028435179511,2.88602010857243,3.25743899081223,3.67246458379352,3.42172348471877,3.15158947956512,3.2682451892048,2.99397496791035,3.28208945114716,3.11674379879661,2.95035167718743,2.97135313611965,2.58891236986498,2.57807331184569,2.48648404660223,2.28187575263898,2.24799829781049,2.350352739039,2.34255932866192,2.39626271182952,2.32632020133336,2.27858972222694,2.27786880720362,2.28298899806518,2.17502283249759,2.18307028709543,2.06367552386918,2.12140474426229,2.05762312478338,2.05250310158431,2.09247572870534,2.00341941429611,2.01334864346297,2.13712517925635,2.33014216212021,2.31989861853658,2.23775753416015,2.42337519272596,2.48700853514431,2.56598443063215,2.71525714385535,2.74163442441804,2.65853511389645,2.85269006553974,2.56007587985392,2.42275681517404,2.34764287632464,2.34558351175953,2.63710851135206,2.44839410328893,2.5890573988548,2.50265183727336,2.55579496962957,2.44809824556763,2.42773499288796,2.22450634807051,2.3204264447907,2.26245430961154,2.35877267893996,2.27621044148297,1.96874147745807,1.85801769683506,1.75149498688937,1.74267564130952,1.78927746371118,1.69251944967527,1.67771212224022,1.65169519467998,1.36532750564042,1.46761716514923,1.55612097575381,1.63722423196845,1.61086760979784,1.63419713917721,1.82576926055212,1.84546023247061,2.03018737905157,2.36485227542775,2.14286601668594,2.19086144878243,2.18176543802648,2.46212732943178,2.42984687741256,2.56513536045071,2.50729097704394,2.32707096705057,2.55933582803602,2.536238414981,2.76720047136726,2.91528059426328,2.52928746282102,2.31104048979817,2.24817799818888,2.33430405068832,2.4128100815815,2.52271313733296,2.55556509970806,2.50100522597352,2.36100244940475,2.45107868269842,2.6367428325106,2.58349976724091,2.71226659630633,2.71889655706871,2.98093505652132,2.70138157430184],"WL-FDS^FG_PRICE_MAVG(0,,,,30)":646.01666,"FC0000CL^FG_PRICE(0)":196.59589,"EWZ^FG_PRICE_MAVG(0,,,,60)":33.672333,"EPU^FG_PRICE(0)":35.6453,"SPY^FG_TOTAL_RETURNC(0,-3AM)":12.632334,"VNM^P_PRICE(0)/P_PRICE_LOW_PR(0,,,USD,,,\"PRICE\",\"INTRA\",\"52W\")-1":0.18914187,"VWO^PERCENT_CHANGE(FMA_EPS(+1,0,,,,\"PORTAGG\",\"MEAN\"),FMA_EPS(+1,-3AM,,,,\"PORTAGG\",\"MEAN\"))":-16.6418570923085,"QAT^PERCENT_CHANGE(FMA_EPS(+1,0,,,,\"PORTAGG\",\"MEAN\"),FMA_EPS(+1,-3AM,,,,\"PORTAGG\",\"MEAN\"))":-5.6776222647678,"INDA^FMA_COS_DOWN(\"EPS\",\"1M\",+1,NOW,,,\"PORTAGG\",\"MEANR\")":49.0,"CNYA^FG_ROE(0)":10.1269902507728,"REFCNRMB-FDS^(SUBARRAY(NOT_NA(NO_REPEAT_F(FG_YIELD(NOW,-10AY,D))),0,1)-SUBARRAY(NOT_NA(NO_REPEAT_F(FG_YIELD(NOW,-10AY,D))),1,1))*100":-9.99999999999996,"REFMXTON-FDS^FG_YIELD(NOW,,,0)":11.25,"REFCLMPR-FDS^(SUBARRAY(NOT_NA(NO_REPEAT_F(FG_YIELD(NOW,-10AY,D))),0,1)-SUBARRAY(NOT_NA(NO_REPEAT_F(FG_YIELD(NOW,-10AY,D))),1,1))*100":-100.0,"TRYCN10Y-FDS^PCTCHG(FG_YIELD(0,,,,\"YTM\"),FG_YIELD(-1AM,,,,\"YTM\"))":-2.9023058,"TRYMY10Y-FDS^FG_YIELD(0,,,,\"YTM\")":3.812892,"CC_QA^IMF_IFS_RCPI_Q(0)":null,"VWO^FMA_DIV_YLD(NTMA,NOW,NOW,M,\"PORTAGG\",\"MEANR\")":3.15506497935286,"EWW^FMA_DIV_YLD(NTMA,NOW,NOW,M,\"PORTAGG\",\"MEANR\")":3.98326117416942,"EPU^FMA_EVAL_EBITDA(NTMA,0,,,\"PORTAGG\",\"MEANR\")":7.2043027028683,"BRENT-FDS^FG_PRICE(0)":85.86,"EPOL^FG_PRICE_MAVG(0,,,,200)":20.199274,"MCHI^FG_TOTAL_RETURNC(0,-3AM)":-4.1221676,"EIDO^P_PRICE(0)/P_PRICE_LOW_PR(0,,,USD,,,\"PRICE\",\"INTRA\",\"52W\")-1":0.11205816,"EWW^FMA_PCT_ABOVE_MAVG(200,0,,,,\"PORTAGG\")":57.7777777777778,"KSA^FMA_COS_UP(\"EPS\",\"1M\",+1,NOW,,,\"PORTAGG\",\"MEANR\")":29.0,"EPU^SIZE(FG_CONSTITUENTS)":27,"VNM^FG_ROE(0)":8.87219101514007,"TIPSCL10Y-FDS^FG_YIELD_NAME":"Treasury - Chile Inflation-Indexed (TIPS) Bond 10Y","SET-BKK^FMA_EVAL_EBIT(LTMA,NOW,NOW,M,\"PORTAGG\",\"MEANR\")":19.1351825033369,"INDA^FMA_EVAL_EBIT(LTMA,NOW,NOW,M,\"PORTAGG\",\"MEANR\")":23.0351677825172,"EZA^FMA_PE(LTM,0,,,\"PORTAGG\",\"MEANR\")":8.94097425614534,"EIDO^FMA_EVAL_EBIT(LTMA,NOW,NOW,M,\"PORTAGG\",\"MEANR\")":9.61505542820637,"TRYGB10Y-FDS^FG_YIELD(-10AY,0,Y,,\"YTM\")":[1.8155,2.0248,1.2817,1.2536,1.3339,0.822,0.197,0.966,3.662,3.534],"CAGDPY@PH^EE_ACTUAL_ANNUAL(MED,0)":-3.15,"USDSAR^FG_PRICE_CHANGE(0,-3AM)":-0.026661158,"USDTRY^FG_COMPANY_NAME":"Turkish New Lira per U.S. Dollar","USDINR^STD(FG_PRICE_CHANGE(0,-1AY,AM))":0.457101382941814,"USDBRL^FG_PRICE_CHANGE(0,-1AM)":-0.454849,"USDTWD^FG_PRICE(0)":31.516,"GREK^FMA_DIV_YLD(NTMA,-10AY,0,AM,\"PORTAGG\",\"MEANR\")":[2.06872379150175,2.24977695556108,2.13579039460686,1.89023472802029,1.80290767858297,2.07908816229064,1.98896872610267,2.32254632748829,2.60241349354557,2.46415576268819,3.37966910399081,3.20833180259723,3.27670899556031,3.39346206170011,3.20333765305082,3.29833795773011,3.28948286497538,4.13386997787459,3.77759702789696,3.28648585974817,2.90121350984289,2.94436591624293,2.67021606546041,2.95934878209117,2.79769155777613,3.40321242994101,3.02731685066957,2.38267825655244,3.05875670953665,3.01130877328548,2.99073484229522,3.16210014513703,3.12980661179355,2.8182926084825,2.84508726854949,2.96556885798049,2.9037278534157,2.92282756295731,2.41111928968313,2.76428878049542,2.47143611406012,2.54256273843806,2.59503314465284,2.95026286884629,2.8161497865045,2.96922480966932,2.59179829630924,2.58355265006293,3.08773818336958,3.27338785330537,3.08576751928112,3.31242943049751,3.48324858176723,3.49395101226905,3.7681880111014,3.89720489062003,4.22461975109121,4.0261209819649,4.41747073348547,4.35384221112404,3.89492541971883,3.62933606358489,3.59103515623354,3.3620488329148,3.28116903308594,3.06077030424533,3.38362205235725,3.39654808793177,3.24483389243986,3.00149699636979,2.90896342822386,3.15332371882671,3.69070627475142,5.24354612797569,4.91666541633365,3.81000270825061,3.61999514970628,3.55120580760659,3.68688750762882,3.74450219344387,4.26832747944068,3.23262191787335,3.1151446720781,3.45793465856895,3.23831314249572,3.45026262177148,3.3764440949364,3.08590761438566,3.11557906469252,3.02570464718441,3.11448982479971,3.12765671950154,3.07458199141529,3.25429725407646,3.26157401287012,2.97251665645515,3.29286510609587,3.31082207364343,3.40739197126512,3.76535614272359,4.33416349936521,3.9711633701134,4.27129171584458,4.45733113679662,4.19960904096467,4.3424826323325,4.39987683559889,4.12424247138437,3.83088798797253,4.3286896184815,4.15837864750973,4.00023018796717,3.92436738940337,4.13111316103064,4.31341836028859,4.98272007153786,4.84283109907543,4.34023850625314,4.49772395479214,4.56008696357237,4.33728520637973],"EWZ^FMA_PE(NTMA,-10AY,0,AM,\"PORTAGG\",\"MEANR\")":[9.93166388811764,10.6569455122812,11.1093769511407,10.861321100004,11.2854173670343,11.7091424273467,12.5437290912819,11.3492554668627,11.7111528627023,11.0397457559871,10.8276944177991,11.5434132709414,12.1331089409294,13.2258815903509,14.6886710504433,13.4953584838272,12.917635474485,12.0390049312648,10.947791735324,11.1531501629805,11.1189117206495,10.779599241516,9.96753161544782,10.4262005811891,12.9534479527359,12.9910489017748,12.8957989469974,12.4152741584341,12.6250724275705,13.7923050375783,14.1285946193795,13.8364943109604,14.0283452984168,13.0681667066687,12.9950622263564,13.2452819403279,13.4390209221061,12.868229477402,12.5432164044974,11.9517371678424,11.9589176955177,12.7975959331699,13.4673721949783,14.1309377048904,13.2877405742011,13.0899682092599,13.7608500355508,13.8087048915183,13.2051764947123,12.7690603586767,12.2893793696678,11.5667377447099,10.5683824727424,11.4959642026169,10.3358336001925,10.9786226686253,11.6470351669834,11.6965507063487,12.2333380951812,13.155501189909,12.1918157164467,12.091690417894,11.6511656158787,12.0030929788655,12.5102550459745,12.7891032605868,12.6150381261373,12.752356926699,13.5771770606948,13.6207286367175,14.6145744669941,14.1677128180951,13.2372255736499,10.4025924845956,13.3126861481922,17.6125584724454,26.5587949561219,25.4853081153473,22.610451174022,16.3998989595935,14.3931559550966,14.0165137533599,12.7246334591852,11.2428887489644,9.98640142791518,9.25812503877866,8.7075544058352,9.5167641289732,9.13588199824118,8.26621754683916,7.96545153314648,7.55468435914012,7.49203229175705,7.70259565513879,7.65568273388107,8.07029433866747,8.22320139922252,7.82120681707564,6.6295690079069,6.70554857013452,5.87112953092342,6.34902355592148,6.38508529528418,6.96072722539687,7.19849557889748,6.85855580663527,6.72949566457835,6.99251687685744,6.75061938073582,6.55200060432167,6.60377989934861,7.33939201585617,8.00809868051938,8.01915340819494,7.95875890913232,7.51371335925895,7.4749551860027,7.65075818478791,7.84316531556854,7.69861228416717,8.59103163215807],"EWY^FMA_PE(LTMA,-10AY,0,AM,\"PORTAGG\",\"MEANR\")":[11.7775043057101,11.5888477417165,11.3902423918792,11.3650219085343,11.3237157078905,11.7186624314049,11.5898806835099,11.160434192008,11.4570274410571,11.9487594128128,11.3477256568773,12.1352299580251,12.2763537212324,12.0572753226166,11.9274868615917,11.5093065967049,11.3535563272901,11.2704673552823,10.6070916034643,10.7949140694987,11.6416362624588,10.9831381874118,9.81927007495487,10.4503473925106,10.6057459743683,10.6472081248311,10.5105731912561,10.4916832204521,10.4927567186224,10.424751153905,10.6615340439299,10.731498200904,10.6664535250632,10.780962019443,11.1571594638878,11.4937027446692,11.6420975796535,11.4193456421805,11.1567141879325,11.1640938656108,10.9735266737277,10.6878906598423,10.3671110345913,10.3461360870266,10.5766415981161,10.3635401850278,10.136540272911,10.5907535311534,10.5214885286688,10.3608067646955,10.2543314109669,10.1292590196374,9.67458650194853,9.54400021494107,9.45838532344786,9.19355526286647,8.66123081140761,8.51978971662787,8.04402370195135,9.7104033774646,9.99846833270023,10.3234324349643,10.588207863198,10.6369130565164,11.0482332823677,11.2091841876942,11.4785559157573,11.9116952151085,13.1897083506546,13.3477023886094,14.4657869260041,15.3226940023771,15.1598156944254,14.5143701868809,14.7903723609517,15.5071318795861,15.4030229854468,15.8567326963909,16.1621142249736,15.9999557918304,15.8961265992908,18.5346019525936,20.1744574129219,21.1760013157963,20.3972656767017,19.7498963447207,18.2499666322377,17.3761086274809,16.5603408881021,15.3185891506263,14.1608118481608,12.6882591744629,11.5055622984479,10.4225654855518,9.52357585582888,9.22506027204236,9.30343080774516,9.37427165219151,9.21913286739987,9.26278968410431,8.78546890503951,9.03594928769541,8.81313942176574,8.46240297878336,9.34940128486634,9.91387528454844,9.46601467142783,10.440869051663,11.0503576959082,11.6451663231222,12.0644001883912,12.4568529733639,12.6695616858723,13.0795448140755,13.5076796862782,13.2835000682765,13.4036022007354,14.4365518227387,15.1222103334261,15.8887033173071,17.3962663956184],"PLATI-FDS^FG_PRICE_MAVG(0,,,,30)":902.4667,"EWW^FG_TOTAL_RETURNC(0,-6AM)":8.4329605,"VWO^PERCENT_CHANGE(FMA_EPS(+1,0,,,,\"PORTAGG\",\"MEAN\"),FMA_EPS(+1,-1AM,,,,\"PORTAGG\",\"MEAN\"))":-12.8544819381838,"CNYA^PERCENT_CHANGE(FMA_EPS(+1,0,,,,\"PORTAGG\",\"MEAN\"),FMA_EPS(+1,-3AM,,,,\"PORTAGG\",\"MEAN\"))":-22.304102331476,"UAE^FMA_RBICS_REV_CURRENT(30, LOC, \"PORTAGG\")":59.2560889743936,"TRYPL10Y-FDS^PCTCHG(FG_YIELD(0,,,,\"YTM\"),FG_YIELD(-1AM,,,,\"YTM\"))":-0.07057921,"VNM^FG_FCF_YIELD_NTM(0)":-3.7525351502834,"EWY^FMA_ROE(NTMA,-20AY,NOW,FY,\"PORTAGG\",\"MEANR\")":[15.9616854074036,15.4849098528827,13.8927001282369,14.4039664402004,9.92456164609465,13.4147036931661,14.0364525270903,12.8930845102886,12.4745249796659,11.4149566191569,9.77047682396504,8.83276683126284,9.34985338936219,11.1969769851489,9.7866294798229,7.67648123982945,8.30770313390174,10.1458776210508,7.50979386649047,8.9018523713911],"CAGDPY@TR^EE_ACTUAL_ANNUAL(MED,+1)":-3.2,"CAGDPY@ID^EE_ACTUAL_ANNUAL(MED,+1)":-0.7,"USDTHB^STD(FG_PRICE_CHANGE(0,-3AY,M))":3.03013931688486,"USDBRL^FG_PRICE_CHANGE(0,-1AY)":-5.1180305,"USDPHP^FG_PRICE_CHANGE(0,-6AM)":-1.1432827,"TUR^P_PRICE_RETURNS_PR('52W',2,-10AY,0,AM)":[-35.145466,-25.272364,-26.861858,-10.772461,-0.9931207,1.4252543,17.413235,-13.514816,-3.5069644,9.562135,19.007265,23.414253,11.47846,-4.229331,-12.07686,-16.495848,-15.321332,-26.57883,-35.93383,-20.491909,-18.717216,-32.31625,-32.799946,-24.852085,-13.519245,-4.335904,-13.773346,-10.875583,-9.213316,-7.457614,6.3224077,0.13685226,-16.914446,-18.794065,-8.787287,-4.922068,-7.727468,-17.552876,1.1549592,9.657181,6.1492205,22.285843,26.733292,16.795933,16.517818,30.594301,44.42519,33.384884,29.804075,20.886505,-5.776972,-21.863634,-25.891125,-36.44637,-56.335064,-46.53302,-39.93066,-34.525906,-43.07448,-34.429527,-35.53308,-36.48192,-34.05,-25.908894,-11.540503,-1.0987282,31.885921,24.360716,3.7246346,10.833347,20.33745,4.357946,-3.9984643,-20.813639,-11.235982,2.8623462,-5.529177,-14.909494,-19.823193,-22.99711,-24.652773,-11.478454,0.96530914,2.42517,8.821165,33.510494,20.613838,2.0728588,-5.6723237,7.3975444,25.558067,11.366928,22.751545,-16.896975,-24.050385,-31.570614,-29.705465,-5.7437716,-0.82589984,-1.0930359,-6.993854,-7.0602536,-1.848352,17.707384,33.865692,87.82326,97.2203,81.57275,92.25693,61.29819,38.911175,52.9384,57.712494,79.169395,77.543304,66.5567,30.292368,10.834074,-9.76181,16.39291,7.4559093],"MCHI^FG_TOTAL_RETURNC(-10AY,0,AM)":[4.568529,-0.7281482,-1.9337714,4.805088,5.037689,5.5845976,2.9516697,-9.332312,4.202032,2.6476622,0.6480217,3.9395213,-1.4548302,8.91608,13.750672,-5.377865,-6.7970157,-11.083168,-15.818185,10.007202,5.475569,-3.3092022,-6.58406,-12.3752,9.724426,1.1108398,-2.8421283,3.5398245,2.1152258,3.1615853,8.785475,1.0851383,-5.3468227,0.08723736,-1.4936149,5.2267194,3.2689452,3.5354495,0.15882254,7.9682827,1.3850093,8.30456,4.2281866,4.4108152,1.4955282,-1.200062,9.195089,2.2821307,-3.8069963,-1.928097,-0.6651938,5.744052,-10.16714,-2.8486013,-2.8187215,-5.4675817,-1.0932803,2.37118,-6.6708446,11.400032,4.6346426,3.7665725,0.607574,-13.812327,9.188211,-7.269412,2.1785736,-0.9262562,6.4738035,-1.5241921,10.343063,-2.5850058,0.48965216,-11.662996,3.0249119,9.861827,7.67864,8.455456,1.0809302,-1.0961115,10.06893,-0.85953474,1.3928056,13.035452,-7.655448,-2.2169888,-2.5687397,2.3641467,-2.3641765,-10.140246,-0.49723983,-9.147703,5.07257,-8.25941,-1.6531885,1.3151526,-11.10577,1.8388271,-8.709508,0.6592989,8.180857,-10.442418,-3.3600032,-7.8849373,-8.582342,17.375278,10.51222,1.0190368,-3.863728,-1.5640438,-4.74658,-3.885138,0.8424401,5.454147,-4.2961416,-8.607542,3.12351,-3.7919044,-2.0030499,-9.378928,7.9633713],"WL-FDS^FG_PRICE(0)":593.0,"EWJ^P_PRICE(0)/P_PRICE_LOW_PR(0,,,USD,,,\"PRICE\",\"INTRA\",\"52W\")-1":0.28164232,"VNM^P_PRICE(0)/P_PRICE_HIGH_PR(0,,,USD,,,\"PRICE\",\"INTRA\",\"52W\")":0.8680089,"QAT^PERCENT_CHANGE(FMA_EPS(+1,0,,,,\"PORTAGG\",\"MEAN\"),FMA_EPS(+1,-1AM,,,,\"PORTAGG\",\"MEAN\"))":-4.98242020930368,"INDA^FMA_COS_UP(\"EPS\",\"1M\",+1,NOW,,,\"PORTAGG\",\"MEANR\")":63.0,"REFCNRMB-FDS^FG_YIELD(NOW,,,0)":3.45,"REFTWDISC-FDS^(SUBARRAY(NOT_NA(NO_REPEAT_F(FG_YIELD(NOW,-10AY,D))),0,1)-SUBARRAY(NOT_NA(NO_REPEAT_F(FG_YIELD(NOW,-10AY,D))),1,1))*100":12.5,"REFCLMPR-FDS^FG_YIELD(NOW,,,0)":7.25,"TRYIN10Y-FDS^PCTCHG(FG_YIELD(0,,,,\"YTM\"),FG_YIELD(-3AM,,,,\"YTM\"))":-2.9986236,"TRYQA10Y-FDS^FG_YIELD(0,,,,\"YTM\")":null,"TRYMY10Y-FDS^FG_YIELD_NAME":"Treasury - Malaysia Benchmark Bond 10Y","CC_CN^IMF_IFS_RCPI_Q(0)":-0.322581,"VWO^FG_PE_NTM(0,,,90,0)":13.5805423201849,"EWW^FMA_PE(NTMA,0,,,\"PORTAGG\",\"MEANR\")":16.0921488989221,"EZA^FMA_DIV_YLD(NTMA,-10AY,0,AM,\"PORTAGG\",\"MEANR\")":[3.39819931997613,3.43661257044826,3.42941166463549,3.39408252707186,3.29327681000706,3.22699246728023,3.16968116572538,3.47937952032174,3.32744707260425,3.39705718764249,3.33537304380904,3.12291295018923,3.09251709102815,3.01691527505304,3.00399127266403,3.30572021828075,3.12496256124264,3.19937974968132,3.43140876663447,3.36213896189831,3.20010723552755,3.54593013855329,3.58973654261791,3.50322533589402,3.34780948665184,3.25235608194654,3.36401311115634,3.09353172413319,3.12709876186308,2.98692694199078,3.06032382993485,3.15809870586891,3.34570216312535,3.42970156803328,3.18148296692517,3.18588776141629,3.19361840433527,3.18408778681846,3.10758463499182,3.25694282204563,3.33505335689456,3.17614970602598,3.25551733498554,3.31544558488636,3.2139951401164,3.3218286228074,3.35663438388352,3.4111390387239,3.29184376885821,3.39571860982661,3.32761324559411,3.39248249899318,3.52024860628124,3.57346282587986,3.69039864279999,3.94778469504535,3.97301093385788,3.81483022718507,3.81651999463714,3.76098610204244,3.92203096888269,3.78299914566544,3.61790129698659,3.85264087581843,3.79163793059635,3.89615401716463,4.0462705547951,4.3389062031777,4.1430022353961,3.86089515862614,3.66963219966301,3.72935622511654,4.29763139490955,5.11608416906425,3.57553731111662,3.4787548311744,3.4404556454913,3.39102331395105,3.4694070932547,3.577351431353,3.6303105687128,3.76582077601187,3.81966132110725,3.87938450940402,3.8088035949825,3.79696768439555,4.43035109301754,4.10062663931384,4.43424569676151,4.49810052022369,4.86246783008552,4.80469410687443,4.56318120802398,4.57014416615601,4.51634261535758,4.38620495656099,4.37897388183597,4.45441002886902,4.81049002239953,4.89650546452611,5.14082555127967,5.06536787460518,5.20505602407485,5.44177109765656,5.17801656634813,4.94800939498926,4.81731202625676,4.53848398416018,4.69906498980055,4.54297340647566,4.55263723997341,4.73625117092296,4.45503794366681,4.24370386248478,4.4406293688247,4.67706931322415,4.39830102150168,4.21738774296427,4.28136450292493,4.26758609214823,4.02701324855851],"EWW^FMA_PE(LTMA,-10AY,0,AM,\"PORTAGG\",\"MEANR\")":[null,null,null,null,null,null,null,null,null,null,null,null,null,null,null,null,null,null,null,null,null,null,23.3501623185879,23.2567778663221,24.938209322387,24.4380346304805,24.4632666177641,23.5076643473772,23.2156570861323,22.927744755746,22.5706065305414,22.1637311226755,21.889084678675,20.348007377959,20.6495648292446,21.8740421654678,21.5053431134297,21.2421715362192,20.6708617251873,20.3579411593017,19.9704349426412,19.9759392080828,19.5462620694914,18.9749719093974,17.2631463892165,16.9562435500587,17.2694723500071,17.7002566003844,17.948038455705,17.7597710441832,17.5108859474604,17.0561769367545,17.2296636213899,17.4226644984233,17.139382556144,16.915460039421,15.8896047682539,14.7030451081785,14.9081283618333,15.3276945477251,15.5000330319213,15.4059621451523,15.3159627170976,15.0022926177481,14.9077427982119,14.3704117585964,14.7730493920026,15.2166742154617,15.5369974559936,15.0999553405432,15.8962443859231,16.1241771409209,15.24586478538,14.2809909548962,15.5519280633805,16.9971347025571,18.1361507871447,19.3745892991803,19.4408707876382,20.038355746311,20.911216779727,27.2447927282181,32.7050910438253,29.7576392314289,27.3339713122782,26.2719765077182,24.950957895085,23.9531078760364,22.7988707580799,21.2465739721123,19.9964232856431,18.2154409025222,17.0849891701356,15.442365679636,15.3506841069038,14.6219155550718,15.004682345107,15.1237497710178,14.620826294271,14.3322770941291,13.7524268668577,13.485708142179,12.991286127011,12.8598615216751,13.7015231094714,13.4772010865336,13.1091818705376,14.0058469266577,14.6454476152628,14.4588044499329,14.212043714003,13.7322721017309,13.5992105536561,13.4084799167025,13.1005400467289,12.4741971082405,12.7321360928606,13.266943751523,13.5232556324487,14.2195058127476,16.7458630014088],"USDSAR^FG_PRICE_CHANGE(0,-1AM)":0.0053286552,"USDINR^FG_PRICE_CHANGE(0,-3AM)":-0.56150556,"USDBRL^FG_PRICE(0)":4.94615,"USDMYR^STD(FG_PRICE_CHANGE(0,-1AY,AM))":2.02253540594652,"EWW^FMA_ROE(NTMA,-20AY,NOW,FY,\"PORTAGG\",\"MEANR\")":[null,null,null,null,null,null,null,null,null,null,null,null,12.2361967072767,12.6640790394995,12.8972143418882,12.0869262506609,11.7827107678515,13.6871625469253,13.3394699415518,13.6990101017234],"TRYAU10Y-FDS^FG_YIELD(-10AY,0,Y,,\"YTM\")":[2.81,2.88,2.76,2.63,2.315,1.375,0.972,1.671,4.051,3.955],"CAGDPY@TR^EE_ACTUAL_ANNUAL(MED,0)":-5.07476227051166,"CAGDPY@CL^EE_ACTUAL_ANNUAL(MED,0)":-2.9,"USDTHB^STD(FG_PRICE_CHANGE(0,-1AY,AM))":2.6542872696201,"USDINR^FG_PRICE_CHANGE(0,-1AM)":-0.036895275,"USDMYR^FG_PRICE_CHANGE(0,-3AM)":1.4170647,"USDPHP^FG_PRICE_CHANGE(0,-3AM)":1.1974692,"SET-BKK^P_PRICE_RETURNS_PR('52W',2,-10AY,0,AM)":[-12.649929,-8.927286,-10.553175,-6.827545,4.539156,6.927812,21.218384,9.872794,14.170992,16.06314,15.319824,25.294483,16.698647,10.410297,7.9013944,2.8632522,-0.24242997,-5.7404995,-13.22884,-14.230472,-10.202819,-16.535027,-15.64163,-18.921,-11.729282,-8.83956,-8.910489,-3.079468,-2.3516476,5.2906156,10.85869,12.138748,4.3753743,12.110197,23.758709,22.541153,13.547886,13.108182,13.112104,10.079622,8.21898,4.664004,6.416774,11.789131,13.95706,13.048887,14.546108,16.194105,15.417158,8.912635,13.147699,9.804165,3.4997582,8.480274,5.8859587,2.4665713,-1.1804283,-1.4897466,-12.054026,-9.507209,-9.750658,-4.681796,-6.240225,-4.8568306,5.8415174,-1.3797522,-3.253013,-7.1377397,-3.5431385,-6.390524,2.2396922,-8.117944,-15.696817,-30.940056,-22.22023,-13.841444,-21.066315,-21.006578,-20.112652,-23.30755,-24.645407,-7.3857365,-7.9456034,-2.3957133,11.279476,40.236496,21.62392,14.211094,14.871955,16.15932,25.792145,30.458809,33.03475,10.419798,13.760698,12.895656,8.970022,6.6818237,4.3685675,1.862073,-1.1542678,3.421402,-1.5536308,-2.2595525,0.0030755997,3.1278253,0.17781258,1.1569381,-5.259186,-6.393689,-7.2015166,-7.068777,-2.8815508,-4.2714653,-4.529172,-8.032322,-12.663478,-15.721565,-14.26326,-17.740614,-15.202755],"INDA^FG_TOTAL_RETURNC(-10AY,0,AM)":[4.6075106,7.626426,0.5305052,9.988689,4.9966693,-1.9633532,5.3070784,-3.8034856,5.0082445,0.69030523,-4.9330354,6.6140294,2.9320836,-2.5487185,-6.8923054,-3.3046901,5.7389736,0.45440197,-13.602591,7.8908086,-1.59446,-4.7199726,0.24853945,-5.349183,3.0219793,2.7428508,-2.0393014,6.58592,1.0428071,3.4653425,3.0416965,-1.127696,-5.803418,-5.4843245,2.3185968,7.274735,2.7883053,6.229067,1.0088325,2.840197,-1.2587488,7.4668407,-0.8613348,-3.417319,6.776619,-3.5102487,6.824267,-2.8822362,-2.600342,-0.40626526,-0.23309588,-2.5993109,-0.37181973,7.7456236,-2.9930055,-12.197232,2.6929379,4.828906,2.4074793,-2.3123145,-0.2459228,9.4607115,0.16891956,1.9673944,-0.4769683,-9.390724,-2.59099,3.7682056,6.713462,-0.45753717,0.5821705,-0.31446815,-8.259249,-31.19725,20.854164,7.2932363,6.6994905,6.6183686,3.242743,1.9443631,2.2300363,9.156143,6.0824037,4.713464,0.3790617,0.02360344,-3.3270419,10.7639675,-2.0912945,2.861011,8.848011,-1.5895367,1.4720917,-3.8283348,4.3580055,-2.971989,-8.550024,11.903608,-5.5555525,-5.6771574,-4.568529,9.042549,-0.41812062,-2.682525,3.2118917,2.1829963,-4.863638,-4.300046,0.074887276,-1.2222528,4.191923,2.4721265,3.7673473,0.5480647,0.47695637,-0.8363545,0.63825846,6.0928583,4.632783,2.7851462,3.0471444],"EWW^FMA_PE(NTMA,-10AY,0,AM,\"PORTAGG\",\"MEANR\")":[null,null,null,null,null,null,null,null,null,null,null,null,null,null,null,null,null,null,null,null,null,null,16.7915038465012,17.3561602443858,18.1652450562289,18.512008480635,19.5880755315749,18.5202352604345,18.6331712599211,18.5326590204535,18.3508253972159,18.0026829581523,17.6061650998688,16.1594671729047,16.3810020477219,16.5559071971008,16.493397697044,17.1174204759793,16.4899205241962,16.5911114822529,16.7688118854481,17.3195185965947,17.0925632441505,16.6905537555065,15.8713798836702,15.4234715662539,16.1108592423381,16.1173402816073,15.2943401621829,15.4138204190742,15.0894727116139,14.3578102258578,14.921452211506,15.3814680736225,14.9602221339381,14.7326198577541,13.6280974059752,12.4060439843544,12.7076997549204,13.1893771490766,12.759665442753,13.2457236417308,13.4341598491392,12.9740737844983,13.0412207623721,12.2408233436568,13.0402875015041,13.5749172962654,13.8861498656727,13.4505582149437,14.1282272371992,14.4205241052084,13.7716449463892,10.4205614105389,14.1813711286389,16.5162234415221,16.9844636495356,16.8829143480785,15.5745576416456,15.0363516104775,14.2623046483923,15.743414478256,15.1090504335071,14.4189675715027,14.536210847649,14.7572324650823,14.6570602943167,15.112509848782,14.8202950378832,14.5366749090284,14.3895123392596,13.7500654804131,13.8839674489081,13.1257247819747,13.8613088592581,13.3840643228907,13.5290480896501,14.2817645205092,12.8308196620807,12.4159319962174,11.5779493070441,11.5856516794338,11.1172619441789,11.3647684288882,12.5099694560287,12.5055818253103,12.1415068950051,12.8966244138649,12.9496305261656,12.6780394799159,12.3361670723208,11.7244888676062,11.94598393258,11.9594099452276,11.7739112351924,11.2500565731474,11.6120153514428,12.2196911876838,12.5054192568115,13.1191122696811,16.0921488989221],"PASP-FDS^MAX(FG_PRICE(0,-5AY))":3158.12,"CPALM-FDS^MAX(FG_PRICE(0,-5AY))":8163.0,"FC0000AE^FG_PRICE(0)":146.48503,"EPOL^FG_PRICE_MAVG(0,,,,30)":22.471333,"EWJ^P_PRICE(0)/P_PRICE_HIGH_PR(0,,,USD,,,\"PRICE\",\"INTRA\",\"52W\")":0.9932524,"EWT^P_PRICE(0)/P_PRICE_LOW_PR(0,,,USD,,,\"PRICE\",\"INTRA\",\"52W\")-1":0.12237382,"EIDO^FG_TOTAL_RETURNC(0,-6AM)":-3.7066758,"MCHI^PERCENT_CHANGE(FMA_EPS(+1,0,,,,\"PORTAGG\",\"MEAN\"),FMA_EPS(+1,-1AM,,,,\"PORTAGG\",\"MEAN\"))":-13.5724765373815,"GREK^FMA_COS_UP(\"EPS\",\"1M\",+1,NOW,,,\"PORTAGG\",\"MEANR\")":10.0,"TRYVN10Y-FDS^FG_YIELD_NAME":"Treasury - Vietnam Benchmark Bond 10Y","REFSAREPO-FDS^FG_YIELD(NOW,,,0)":6.0,"REFINREPO-FDS^(SUBARRAY(NOT_NA(NO_REPEAT_F(FG_YIELD(NOW,-10AY,D))),0,1)-SUBARRAY(NOT_NA(NO_REPEAT_F(FG_YIELD(NOW,-10AY,D))),1,1))*100":25.0,"REFTWDISC-FDS^FG_YIELD(NOW,,,0)":1.875,"REFCLMPR-FDS^PROPER_NAME(0,,,\"SECURITY\",\"NAME\")":"Chile Monetary Policy Rate","TRYIN10Y-FDS^PCTCHG(FG_YIELD(0,,,,\"YTM\"),FG_YIELD(-1AM,,,,\"YTM\"))":-0.11331299,"TRYPH10Y-FDS^PCTCHG(FG_YIELD(0,,,,\"YTM\"),FG_YIELD(-1AM,,,,\"YTM\"))":2.7664492,"TRYPE10Y-FDS^FG_YIELD(0,,,,\"YTM\")":6.860573,"CC_IN^IMF_IFS_RCPI_Q(0)":null,"EWW^FMA_PE(LTM,0,,,\"PORTAGG\",\"MEANR\")":12.7466594496671,"ECH^FG_COMPANY_NAME":"iShares MSCI Chile ETF","USDSAR^FG_PRICE_CHANGE(0,-1AY)":-0.074607134,"USDINR^FG_PRICE_CHANGE(0,-1AY)":1.1107564,"USDBRL^FG_COMPANY_NAME":"Brazilian Real per U.S. Dollar","USDPHP^FG_PRICE_CHANGE(0,-1AM)":0.10280609,"EWY^FMA_DIV_YLD(NTMA,-10AY,0,AM,\"PORTAGG\",\"MEANR\")":[1.29412916426892,1.27450149868068,1.30173438755569,1.25459357935738,1.26642244803206,1.24977712436445,1.29812159973108,1.40587363088667,1.43992675010112,1.36878684155922,1.45746516012808,1.57307594715874,1.56428869763717,1.55605808384862,1.53240176059014,1.62468664506958,1.63901809547929,1.74645095305986,1.8783028326147,1.79908719145489,1.78247621270204,1.90208103936792,1.99806118445332,1.96196541961348,1.92962903688572,1.93666777476755,1.95959921439415,1.96397899974752,1.94872055256937,1.93091209822343,1.88053953163954,1.88549684968276,1.97964329686457,2.00313025683038,1.94704929875552,1.92893572833299,1.93586532137856,1.89793404040521,1.86875798499322,1.76321313394379,1.75513742835078,1.79979949883612,1.83741792008458,1.79569959359091,1.92974672005206,2.00242303470697,2.0676897611832,2.05999958879405,2.2369737834544,2.25415957085135,2.23767503690587,2.22208153027803,2.41075362112673,2.38292598890963,2.37512096601935,2.45199163358863,2.58583525236482,2.56754333661981,2.72042879453104,2.44353766649569,2.48291131506514,2.45482724016004,2.44783994780756,2.57771043179776,2.53020259304864,2.62474527389519,2.61076275287984,2.56662708954375,2.4083353008667,2.46859379352166,2.36036547019539,2.32008909901782,2.43648707343525,2.86647545796526,2.54065192428417,2.22819639732105,2.25537912945288,2.16514537771069,2.13732625275577,2.14995376797596,2.15157765741118,1.84286973007367,1.75832121109532,1.64001173700543,1.68190051380181,1.69036667782963,1.74116966114131,1.67589696338838,1.68080339757635,1.71574007402945,1.79442255668231,1.90907166577798,1.9714648116669,1.95737728614729,1.95625343233611,2.21248238320185,2.23092723408232,2.227886326887,2.29860415074112,2.3336921132647,2.65614503421737,2.51109570420596,2.60371625909276,2.80176760546458,2.61938355883691,2.48667066763412,2.65311165191589,2.46956757125893,2.45053550603056,2.38937062825944,2.42554871718116,2.31726376043275,2.34013597381356,2.35190327601675,2.3674537504594,2.54831939232372,2.58016876248238,2.36753449933856,2.29990327973533,2.25709262124578,2.16317829337138],"COPP-FDS^FG_PRICE(0)/MAX(FG_PRICE(0,-1AY))":0.929088277858176,"QAT^FG_PRICE_MAVG(0,,,,60)":17.595543,"EWY^FG_PRICE_MAVG(0,,,,200)":62.47405,"EPHE^FG_PRICE_MAVG(0,,,,200)":25.616972,"UAE^P_PRICE(0)/P_PRICE_LOW_PR(0,,,USD,,,\"PRICE\",\"INTRA\",\"52W\")-1":0.099549174,"INDA^P_PRICE(0)/P_PRICE_HIGH_PR(0,,,USD,,,\"PRICE\",\"INTRA\",\"52W\")":0.99865335,"VGK^PERCENT_CHANGE(FMA_EPS(+1,0,,,,\"PORTAGG\",\"MEAN\"),FMA_EPS(+1,-3AM,,,,\"PORTAGG\",\"MEAN\"))":-8.27748470091232,"EWT^FMA_PCT_ABOVE_MAVG(200,0,,,,\"PORTAGG\")":57.1428571428571,"CNYA^FMA_PCT_ABOVE_MAVG(200,0,,,,\"PORTAGG\")":27.886323268206,"VNM^FMA_COS_DOWN(\"EPS\",\"1M\",+1,NOW,,,\"PORTAGG\",\"MEANR\")":8.0,"EPU^FMA_COS_UP(\"EPS\",\"1M\",+1,NOW,,,\"PORTAGG\",\"MEANR\")":9.0,"SET-BKK^FMA_RBICS_REV_CURRENT(30, LOC, \"PORTAGG\")":24.0678590465577,"TUR^FG_ROE(0)":30.3948542375514,"TRYGR10Y-FDS^PCTCHG(FG_YIELD(0,,,,\"YTM\"),FG_YIELD(-3AM,,,,\"YTM\"))":-1.0583507,"EWT^FMA_ROE(NTMA,-20AY,NOW,FY,\"PORTAGG\",\"MEANR\")":[14.2091388164968,14.0985457137066,14.4590710347444,16.4807805647515,6.19596421132224,11.6376050166428,14.2189185035578,11.6486429529888,11.5182166875632,11.7877597873521,13.127345554296,12.3828245738855,11.7924660472797,12.5855614416921,11.5125837952604,10.8983134823894,11.6209108675926,14.724411980088,12.9407920839873,11.9152161134331],"TRYEU10Y-FDS^FG_YIELD(-10AY,0,Y,,\"YTM\")":[0.5475,0.636,0.2082,0.4294,0.239,-0.189,-0.575,-0.181,2.533,2.004],"CAGDPY@TH^EE_ACTUAL_ANNUAL(MED,0)":1.10427993908671,"USDSAR^FG_PRICE(0)":3.7503,"USDTHB^FG_PRICE_CHANGE(0,-6AM)":1.6750693,"USDMYR^FG_PRICE_CHANGE(0,-1AM)":0.14309883,"USDPHP^FG_PRICE_CHANGE(0,-1AY)":2.1203756,"QAT^P_PRICE_RETURNS_PR('52W',2,-10AY,0,AM)":[null,null,null,null,null,null,null,null,null,null,null,null,null,null,-1.7718315,-9.485376,0.45963526,-8.903276,-16.843128,-15.132242,-15.531868,-16.898376,-18.912941,-21.276772,-16.449362,-13.787186,-19.60703,-20.299465,-15.562648,-8.009851,-3.298229,-8.142871,-10.882968,-2.6905298,11.428857,12.46978,7.6781034,2.6149988,2.2679567,6.2918305,-5.997479,-6.783998,-14.604139,-16.737902,-15.487396,-18.001694,-13.478411,-11.692232,-17.028648,-10.421205,-6.7213774,-1.9464612,6.07239,8.299053,14.22168,19.70849,28.008343,39.817776,20.168627,23.684692,21.584713,16.561436,22.152496,10.156691,15.032792,-0.69815516,1.4036775,4.1363835,-1.0314465,-2.1244824,1.316154,-4.763383,-9.009009,-15.022696,-13.771439,-7.0029497,-6.170833,0.06352663,2.4410486,4.619086,1.1003137,7.935095,6.778288,6.6415906,14.95961,34.92478,27.410746,20.935928,18.851757,15.147102,15.424526,17.39006,23.846388,13.114035,11.869204,24.76697,37.514732,31.163895,26.315653,20.333408,14.027691,22.564852,17.949068,12.029993,6.9689393,2.647829,-3.7605166,-15.299064,-19.70433,-22.073381,-17.430145,-12.497282,-10.796565,-12.578547,-15.54817,-17.755604,-15.881997,-12.038887,-0.938493,-2.8621674,1.8988967],"GREK^FG_TOTAL_RETURNC(-10AY,0,AM)":[10.926258,-2.0267546,-5.3785744,1.8801928,0.64378977,-9.211093,-0.89243054,-14.691949,-10.166669,5.6895614,-18.843508,-13.391572,4.3697715,-10.386491,7.0080996,0.8396268,-9.658605,-11.244249,-3.0114174,2.0342588,8.604407,-17.198074,-4.551375,-17.990076,7.715583,2.2471905,7.1428657,10.897422,-18.616182,1.5668273,6.5734267,-5.380583,-0.97087026,10.504198,5.3337455,-3.3128858,-0.38071275,2.4203777,15.049755,5.513513,4.713106,2.8375864,-2.7592897,-9.540111,1.5684247,-0.7454753,16.495632,5.268121,-8.310991,-4.678363,5.112469,-8.463031,-3.719443,1.7660022,-9.86985,-3.4897804,-6.6084805,2.536714,-5.553174,4.5197725,5.810809,5.4917097,2.9055595,6.352949,8.667421,-2.351737,-4.8167586,-1.6501606,11.297536,-1.3065338,4.1337013,-4.880476,-16.020948,-34.0399,13.421679,12.944448,-1.2571216,1.8054128,2.4630547,-4.6634555,-5.7992935,39.052464,1.0723472,-8.087092,7.487309,6.0212493,4.417217,3.9459705,-4.3433666,0.28601885,3.565061,-6.161785,2.971387,-5.4862795,2.7245164,9.111357,-16.254293,11.407459,-0.99447966,-0.2976179,-13.062244,5.2491426,-7.562989,0.39805174,8.237886,7.651615,4.8479557,12.245655,7.1522713,-5.5367527,3.2237053,8.23344,9.734273,2.9655337,-3.8401663,-12.844044,8.111453,5.8705688,2.992165,5.8413744,3.3417702],"EWW^FMA_DIV_YLD(NTMA,-10AY,0,AM,\"PORTAGG\",\"MEANR\")":[null,null,null,null,null,null,null,null,null,null,null,null,null,null,null,null,null,null,null,null,null,null,2.11807875799019,2.08811685435723,2.05502380400337,2.03609526590713,2.07551272753951,2.09499204406732,2.09012463317296,2.07984231231918,2.05659175606335,2.0806200369164,2.16444845222069,2.36212546346927,2.35613159020618,2.36746013765925,2.36529399535609,2.35147469668491,2.45456231803688,2.44279072878381,2.4314482328268,2.39506114181344,2.39950308145103,2.46465864991131,2.55160984958648,2.60016916092467,2.46223464278269,2.48348734825341,2.63624089274369,2.641453871286,2.75076591217139,2.93610713510558,2.80516012859126,2.7275071026813,2.82631428333769,2.83496843894033,3.1607231171665,3.46629388305012,3.370357446172,3.30559621810491,3.41357809935218,3.360231045879,3.34975816591931,3.52266951303086,3.55493024560658,3.88302339972188,3.697382841375,3.55547527263477,3.4882966788786,3.62631866734198,3.41656793133017,3.42499905918889,3.40534042942197,4.73041717955908,3.84307541436839,3.08556764032754,3.03466489018709,3.06005474997427,3.23016635932066,3.41724314655261,3.51256502516518,3.29433692470713,3.43048653359491,3.50838875786448,3.45865839775115,3.38756468018915,3.17008659146618,3.10940292031102,3.15951863402033,3.11695500060611,3.09834586065972,3.30962772858593,3.45293926091665,3.49886425123123,3.38976431415661,3.69017520352238,3.62716085344877,3.41125761956622,3.7552414544469,3.86474902459792,4.12665048719015,4.11633597343836,4.25514815738133,4.14112801150491,3.66043617199247,3.7801146593534,3.86058734660835,3.58956063589519,3.60420413988999,3.690475664369,3.59248768475,3.78176193961431,3.81902966725757,3.90765445148963,4.07570000887635,4.25586219812111,4.20454914308927,3.97815224349344,3.94471268834165,3.70547754454352,3.6789842430158],"EWT^FMA_PE(NTMA,-10AY,0,AM,\"PORTAGG\",\"MEANR\")":[14.0908138170053,14.5694302971449,14.0817276628217,14.2320460937803,14.7534060192728,13.8575801661027,13.838121265884,13.253779108288,13.0865115625861,13.2238568616651,13.1254679895667,12.82600308043,12.8379375459958,12.6065540599903,13.072686403361,12.4373267943581,12.6129960868857,11.9373736301146,11.2495421754546,11.7152162015626,12.6313479649222,11.8711681189259,11.4670743398015,11.7761088865477,12.5459501304551,12.7298301771367,11.9714960166425,12.9902093895443,13.2171437499916,13.5893987245236,13.4102865476984,13.7811057820595,13.184295977033,12.9707625808825,12.9483873488442,13.0028639434866,12.9000372702394,12.9915132517849,13.3500041244467,13.5806430829211,13.9564714038353,14.0985192596181,13.9758036137347,13.4113253813012,13.8799869168277,13.48506762719,13.4644508937113,13.8662396619782,13.2306237226533,13.3695857608728,13.063289253021,13.7594163177787,13.0948988725777,13.5947638525096,13.3492680393149,12.878059584775,12.261562102802,12.6956725183118,12.0427364416449,13.5291442359871,14.2079844204282,14.8286906603835,15.457926594307,14.4114025833321,14.9729317144137,14.6668118685441,14.8069929737701,15.1501228101161,15.9118356222925,15.2285758582396,15.7702413482061,14.8934418837103,14.6283116827206,13.377822260338,14.9466869257847,16.1645097030127,16.4971245041973,17.008353221207,15.5768444481835,15.194562237866,14.855307706789,15.66908268763,16.1268250945106,15.7844411986625,15.3514429357773,15.4461670955149,14.3388250722841,13.8444101810979,13.8883423723967,13.5311335582738,13.2991406750771,12.4618597897413,12.935175369728,13.340427958014,13.9482659246546,12.5768885942864,12.5267784982686,12.2673926623655,11.5871341566632,11.5626943190475,10.1088662647697,10.5458385171366,10.7721630049745,10.2397670726678,10.8056217774564,13.012161636202,12.616926319795,14.4224451677139,14.5100104567214,15.060149394203,15.1464274556981,16.2756187418086,16.2967913213988,16.3682970415819,15.7229279854811,15.1429521619187,15.1721058032919,15.768167272465,15.8200832051545,15.9934458896585,19.6608504675566],"EPHE^FMA_PE(LTMA,-10AY,0,AM,\"PORTAGG\",\"MEANR\")":[19.3495933713033,19.3065055829758,19.2572062441827,19.2588491302069,19.2957259151999,19.4256206430953,19.8240142822179,19.6620860513922,19.8517525678196,20.1451757278109,20.0203367462338,20.9869837383392,21.0795993964331,20.9578228638535,20.5957528717704,20.2693230933908,20.1576784176844,20.1751344596398,19.086994040815,18.6399686878029,19.3431871672458,18.3129246245651,17.7987324970714,17.1835310919575,16.6916656181954,16.9716290619267,16.7667650002392,17.1392906380134,17.6914312231362,18.0455671276902,18.5959775172638,18.0530661808543,17.1531226400806,16.8359978150879,17.5954646115291,18.0125591538828,17.7777334505183,17.8750483163846,18.1187181060162,18.2381978843815,18.0609571052203,17.7618816625261,18.1699401194153,19.1963587853183,19.5375408348401,18.6319637595952,20.2248556183664,19.9943592965906,19.3856773601046,18.9416054975058,18.5273652597817,18.452893950943,17.7621831468148,18.105625192561,17.5765768617487,16.0390277591429,16.0506981672799,16.9328500568905,17.483353743689,17.6556784337632,16.786761296753,16.716295431776,16.795710610923,16.6702288107081,16.758838766501,16.6679205588759,15.4263991574188,15.0457233426378,15.3965967602032,14.7234563939513,15.0821133303162,13.823039458682,13.0412432956176,12.3950827029151,12.905076930921,15.2087475669131,15.7428279853292,15.8989183253537,17.6551118985637,19.5593259816203,21.7167172182078,24.4214986080489,25.5533178617935,24.3510263143881,22.9253134269719,22.109377354273,21.3928271371296,21.6930844960036,21.4165329426641,20.3149450658846,20.5023457562426,20.4091694105998,20.6580527053009,19.721722276093,19.1910155954179,19.7908245279448,19.3222523085848,18.8884079138244,18.1624038618522,17.7528258974007,16.746933270558,16.5022161614986,16.198251193796,14.3916815337468,13.9865317337665,14.0979663376986,14.1186450988531,14.4553259390582,13.2612789746702,13.1139157540727,12.989937706277,12.2931642258437,12.0141173907774,11.6933448137556,11.0585362374976,11.1895846354167,10.5547552412547,10.3044337942323,10.1098818312012,10.214309524925,10.7792793566275],"PASP-FDS^FG_PRICE(0)/MAX(FG_PRICE(0,-1AY))":0.585365853658537,"CPALM-FDS^FG_PRICE(0)/MAX(FG_PRICE(0,-1AY))":0.928356829211925,"COPP-FDS^FG_PRICE_CHANGE(0,-1AY)":-5.5419323197646,"QAT^FG_PRICE_MAVG(0,,,,30)":17.590754,"EWY^FG_PRICE_MAVG(0,,,,60)":62.648335,"EWJ^FG_TOTAL_RETURNC(0,-6AM)":14.29001,"INDA^FG_TOTAL_RETURNC(0,-6AM)":17.33725,"EWT^P_PRICE(0)/P_PRICE_HIGH_PR(0,,,USD,,,\"PRICE\",\"INTRA\",\"52W\")":0.9420203,"MCHI^FMA_PCT_ABOVE_MAVG(200,0,,,,\"PORTAGG\")":34.6581875993641,"VNM^FMA_COS_UP(\"EPS\",\"1M\",+1,NOW,,,\"PORTAGG\",\"MEANR\")":9.0,"EZA^SIZE(FG_CONSTITUENTS)":33,"TRYAE10Y-FDS^FG_YIELD_NAME":"Treasury - United Arab Emirates USD Benchmark Bond 10Y","REFSAREPO-FDS^PROPER_NAME(0,,,\"SECURITY\",\"NAME\")":"Saudi Arabia Repo Rate","REFINREPO-FDS^FG_YIELD(NOW,,,0)":6.5,"REFTWDISC-FDS^PROPER_NAME(0,,,\"SECURITY\",\"NAME\")":"Taiwan China Discount Rate","TRYGR10Y-FDS^PCTCHG(FG_YIELD(0,,,,\"YTM\"),FG_YIELD(-1AM,,,,\"YTM\"))":5.5860834,"TRYID10Y-FDS^PCTCHG(FG_YIELD(0,,,,\"YTM\"),FG_YIELD(-1AM,,,,\"YTM\"))":2.2948084,"TRYCN10Y-FDS^FG_YIELD(0,,,,\"YTM\")":2.3653,"EPHE^FMA_ROE(NTMA,-20AY,NOW,FY,\"PORTAGG\",\"MEANR\")":[null,null,null,null,null,null,14.7602970828313,15.1929773886247,13.700399154582,13.6976116734629,14.2196145027033,13.3322794237975,12.7182053290138,12.3434443766015,11.7069295115669,12.0539318289059,8.91575729825207,9.59945410192867,10.6731246353468,11.9407094450334],"TIPSCL10Y-FDS^FG_YIELD(-10AY,0,Y,,\"YTM\")":[null,null,null,null,null,null,null,null,null,5.3314],"USDVND^STD(FG_PRICE_CHANGE(0,-3AY,M))":1.23729396290071,"USDINR^FG_COMPANY_NAME":"Indian Rupee per U.S. Dollar","USDKRW^STD(FG_PRICE_CHANGE(0,-3AY,M))":3.0108874403505,"USDPHP^FG_COMPANY_NAME":"Philippines Peso per U.S. Dollar","FC0000AE^FMA_EPS(NTMA,-20AY,0,CY,,\"PORTAGG\",\"MEANR\")":[null,null,9.51942202383999,6.27417255991747,8.02074819362704,5.61305265783873,4.48773354464463,4.36276532972229,4.57776089413252,5.61852556037871,6.62765839680209,6.49328499289418,6.08610782877682,7.11967239035059,7.13788542966966,7.02066550129132,5.12773396532515,7.54796836303461,11.3918613611305,11.0560462162474],"EZA^FG_TOTAL_RETURNC(-10AY,0,AM)":[10.795652,3.3375502,3.7501812,-1.5343785,4.836595,2.7257085,0.78618526,-10.767519,7.040274,-2.6833832,-3.5823762,8.896244,-2.9207706,3.1724691,0.7651329,-11.489975,7.1732044,-5.437928,-14.4813175,6.630254,1.254189,-11.304956,-8.692604,-1.0304809,10.035443,5.8586717,-4.6595693,8.098936,0.9441376,8.909392,-4.946387,-0.20014644,-4.138553,-4.450363,7.642722,3.757012,1.5492678,-1.6498148,2.3448825,6.8910837,-5.569786,5.4929614,5.440593,-6.3944283,1.0990858,6.6064596,10.801876,-1.7007351,4.3035746,-5.1853952,-3.4989655,-0.4875064,-10.754633,3.762412,-14.420009,-2.8246343,5.4905057,2.1814108,1.758492,4.6437383,-4.8329115,4.0588975,4.100144,-7.790172,5.7207108,-8.19282,-1.8766165,-1.4242113,5.2012444,-2.8055727,6.8903804,-4.4444504,-8.758963,-36.96999,18.065012,17.73367,1.5841126,1.3355136,0.026893616,0.86044073,5.9450865,10.468042,4.4986486,4.7683835,2.405727,6.4761877,-2.6038587,11.632657,-9.411198,-0.08146167,0.2853632,-4.8983755,2.7356267,-4.8054934,3.4171343,6.554222,4.367864,7.813394,-12.909544,-2.228582,-9.41292,-0.519228,-6.0023785,-2.0444155,4.9471736,5.646944,7.049036,-0.4848957,-6.578076,2.7264118,-3.161788,-7.5071454,4.5663238,3.9608955,-4.991561,-8.248729,12.11617,-0.6908417,-0.53788424,-1.340419,-2.6403427],"EWT^FMA_DIV_YLD(NTMA,-10AY,0,AM,\"PORTAGG\",\"MEANR\")":[3.38635923028935,3.24235337537054,3.25720849263201,3.21037453776594,3.03976975343355,3.22120159763743,3.22544135215011,3.43212312067036,3.47149432314766,3.38520497414904,3.41773328043405,3.40615992718089,3.38545050650861,3.53917696889273,3.48225281950104,3.84279599272722,3.84605150443461,4.15515816910438,4.45016037112001,4.30792811813771,3.93864463111506,4.18351519242003,4.39812065804578,4.41330651483617,4.20408201591351,4.17687220741894,4.54461049547785,4.22304342834836,4.1462086573054,4.06079442058257,4.11919236799307,3.97842622116317,4.11880863323515,4.23272697144186,4.19923773156005,4.16053866889644,4.19074607538359,4.15305222259877,4.0519997474322,4.04317918906606,3.9817722341158,3.95240155841132,4.00753234625683,4.11095949065962,4.04308960550724,4.08926377698325,4.12732357008165,4.03478658675344,4.25419118256891,4.20045636123168,4.45336440914322,4.27405107880328,4.51129840917985,4.34899860674742,4.36376449136935,4.55840377713031,4.87458984908639,4.82741686030435,5.11024124213986,4.63744870200274,4.46834257505539,4.24765208374896,4.16145566492493,4.52663974034053,4.35012415425778,4.40649335125511,4.3597891393366,4.26195753208098,4.02503038600969,4.1314325172383,3.97493935784746,4.14952115632182,4.18011555777635,4.71419114387273,4.18421283258586,3.95169858764489,3.83530017374111,3.61705460808283,3.87751018788279,3.91404932605108,3.90696062509182,3.6934694539303,3.58548057878137,3.55319714344353,3.6436229950495,3.6512275586899,3.85862196635022,4.00441089419233,4.0097172175639,4.13504882413711,4.18468749806361,4.51393544707845,4.37277564072929,4.23830431602271,4.04149711373517,4.41333125964086,4.40656866511315,4.48581322572753,4.74747168675863,4.69686878661694,5.34541247318255,5.17610583581178,5.10002331434993,5.36069031323151,5.11404803137275,4.2967092497577,4.50583178553399,4.02043187075168,3.96180160682935,3.86085278775995,3.77426794678973,3.53622398565209,3.47569812394774,3.49339406578319,3.58622592723257,3.67922867676337,3.58464429312699,3.43177336060956,3.39272294534788,3.38436234295928,2.96912129030213],"EWM^FMA_PE(NTMA,-10AY,0,AM,\"PORTAGG\",\"MEANR\")":[15.6037682641767,15.6376033388966,15.6871598588644,15.6650283903979,15.8061622305644,15.7250153076364,15.8413369455344,15.6398239514591,15.5094641131656,14.9810277598012,15.0459092177901,15.4092505969002,15.92454449203,15.9733342772787,15.8189889884566,15.4210885050251,15.3759407445356,15.2789605879621,14.3389488397287,14.7946087100118,15.3426401768858,15.3584177904402,15.1457933168304,15.3378741894006,15.9108429780035,16.3310188129475,15.6195884419013,16.0394485830964,16.213493407559,16.3584636221512,16.7771564830914,16.6679350430044,16.5217044992188,16.3067639619041,16.4664413372821,16.6500915996771,16.7537377738384,16.9337355697414,16.95681751252,16.6625890000538,16.5205270694884,16.3722882683419,16.4096979658246,16.1939846514786,15.8819865010396,15.8423657113985,16.5071143624968,17.0378065407833,16.5208983284045,16.0350168240934,16.1643388424885,15.9502111613893,15.3779945620972,16.2697034761985,16.6318138225201,16.3194339603432,15.7663897059986,16.0220911767601,15.8139695910341,16.1517974904858,16.4994819491167,16.1405913721112,16.0377099789817,16.4818080370652,16.8312296504898,16.2078058628354,16.0947674057844,15.6442458610263,16.0565473032938,15.79349336464,16.2545433717556,15.424509122183,15.6799795033535,14.738925136124,15.9720783099195,19.8356467611782,19.5471387220439,19.0717986165415,18.5588201411466,17.3609448081312,15.8588793103048,16.0244519991179,14.5665539513971,14.2367331749073,14.1658610681107,14.0601673321322,14.0757827323705,13.8601812079414,13.5432608218969,13.2770931698273,14.1162110999526,13.98396797714,14.3266215448279,14.8196247837466,15.5337537519096,15.1561089932349,15.4033636725602,15.33052287583,15.0391307368798,14.3628513440706,13.5191000961397,13.9763634380395,13.7654864295414,12.9187157439941,13.0348057304188,13.5147926127302,13.3177305879333,13.5194730239414,13.2459999171556,13.112793976489,13.085530049514,13.2140696001971,13.3893041706967,13.7297709266931,13.9368001025816,13.4200553588646,13.6423223643442,13.6446854724642,13.7438852134016,13.8977523407337,15.8657406208458],"PASP-FDS^FG_PRICE_CHANGE(0,-1AY)":-34.6938775510204,"KSA^FG_PRICE_MAVG(0,,,,200)":40.88995,"EWY^FG_PRICE_MAVG(0,,,,30)":62.582333,"EPHE^FG_PRICE_MAVG(0,,,,60)":26.513268,"UAE^P_PRICE(0)/P_PRICE_HIGH_PR(0,,,USD,,,\"PRICE\",\"INTRA\",\"52W\")":0.9330452,"EWT^FG_TOTAL_RETURNC(0,-6AM)":16.47055,"ECH^P_PRICE(0)/P_PRICE_LOW_PR(0,,,USD,,,\"PRICE\",\"INTRA\",\"52W\")-1":0.08153784,"VGK^PERCENT_CHANGE(FMA_EPS(+1,0,,,,\"PORTAGG\",\"MEAN\"),FMA_EPS(+1,-1AM,,,,\"PORTAGG\",\"MEAN\"))":-4.73495093263294,"EWM^PERCENT_CHANGE(FMA_EPS(+1,0,,,,\"PORTAGG\",\"MEAN\"),FMA_EPS(+1,-3AM,,,,\"PORTAGG\",\"MEAN\"))":-14.1063333460165,"SPY^SIZE(FG_CONSTITUENTS)":504,"UAE^SIZE(FG_CONSTITUENTS)":42,"EPOL^SIZE(FG_CONSTITUENTS)":34,"QAT^FMA_RBICS_REV_CURRENT(30, LOC, \"PORTAGG\")":59.7326733309618,"SET-BKK^FG_ROE(0)":7.94237877059886,"VGK^FMA_EVAL_EBIT(LTMA,NOW,NOW,M,\"PORTAGG\",\"MEANR\")":13.0698985396901,"VNM^JULIAN(FMA_DIV_YLD(NTMA,NOW,NOW,M,\"PORTAGG\",\"MEANR\").DATES)":45351,"SET-BKK^FMA_PE(LTM,0,,,\"PORTAGG\",\"MEANR\")":16.7552594711412,"INDA^FMA_DIV_YLD(NTMA,NOW,NOW,M,\"PORTAGG\",\"MEANR\")":1.36035116055069,"EWT^FMA_EVAL_EBIT(LTMA,NOW,NOW,M,\"PORTAGG\",\"MEANR\")":20.3770999914576,"EPU^FMA_PE(LTM,0,,,\"PORTAGG\",\"MEANR\")":14.9509840901102,"EIDO^FMA_PE(NTMA,0,,,\"PORTAGG\",\"MEANR\")":14.2382728957425,"VNM^FG_COMPANY_NAME":"VanEck Vietnam ETF","CAGDPY@ZA^EE_ACTUAL_ANNUAL(MED,0)":-1.9,"USDVND^FG_PRICE_CHANGE(0,-1AM)":1.3798714,"USDIDR^FG_PRICE_CHANGE(0,-1AM)":0.52690506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066520784,33.7047876442092,47.0171429959445,46.0352095905373,54.6770306960927],"EWY^P_PRICE_RETURNS_PR('52W',2,-10AY,0,AM)":[0.48816204,11.145842,9.288263,12.997997,27.604723,19.469154,11.853218,-4.2666793,-9.292096,-7.924032,-10.17704,0.08221865,-5.493045,-5.7680607,-0.42980313,-11.977005,-14.199448,-22.713154,-28.343369,-13.692451,-2.485472,-7.0134583,-9.228921,-13.965702,-10.729247,-8.780729,-16.117023,-7.0884585,-2.9198587,10.945379,22.889853,16.37782,0.6875038,3.4399986,13.498473,26.238955,19.387794,20.437443,26.181757,37.605167,29.888725,27.003265,22.75325,24.414026,40.643322,43.08766,43.860363,30.478775,28.025818,24.88736,21.473026,10.667086,-0.14182925,-1.0914147,0.13735294,-5.2993894,-17.496151,-16.943085,-21.815037,-12.049049,-12.315494,-14.015585,-16.381252,-21.671032,-10.303009,-16.651022,-17.624647,-11.5962925,1.1355877,-4.018843,9.522427,-4.208386,-5.94973,-26.96495,-16.57263,2.9744864,0.7702589,17.35561,20.018435,21.053146,15.930975,47.35726,46.12422,53.253258,53.22734,109.18433,81.48295,64.48012,60.507847,49.007572,39.620007,22.679626,16.516245,-1.80825,-10.143566,-18.912458,-18.337446,-18.867075,-22.824175,-26.162994,-36.679535,-32.04472,-34.02642,-34.739643,-30.765236,-23.199314,-24.945467,-10.865414,-14.849281,-14.931345,-10.21818,-3.8773298,14.225971,8.029306,12.85603,15.269089,16.05692,5.6408405,11.698305,-1.3092458,11.082315],"EPOL^FG_TOTAL_RETURNC(-10AY,0,AM)":[5.29474,0.0,0.7375121,0.7986784,-3.8567662,-0.93489885,0.73400736,-3.6432981,-1.224345,-1.0572374,-10.772162,-1.3941705,-0.25706887,2.4055004,8.30537,-8.288145,-3.757882,-2.7445793,-3.7323594,-0.56737065,-3.518784,-9.561359,-3.0614972,-1.3675213,5.3726196,10.361838,-8.743161,-3.592825,-4.968911,8.933889,-1.9682944,1.6731739,-1.1519432,-5.3829136,11.396456,9.125066,6.3944817,1.4332056,8.614397,1.7624855,0.38032532,6.596458,5.9925795,-4.450929,1.9854903,-1.0857344,8.612453,1.1685491,-7.9103947,-4.294944,-3.4551263,-4.2369366,-5.8941245,8.99955,-0.62867403,-1.8557489,-3.996563,5.7296395,-0.6807208,4.578829,-3.7587762,1.8884182,-2.4852574,-3.5421133,6.7263007,-8.070618,-5.3955197,-0.19333363,8.66828,-8.021397,5.2371025,-3.817153,-10.877019,-27.377684,11.203634,18.03949,-1.0094583,6.709826,-3.9713144,-5.973572,-5.8033047,23.735405,1.8900633,-2.895552,-0.90521574,-0.21494031,5.492735,16.692198,-3.808862,0.22799969,6.596911,-3.926593,4.398048,-11.6595745,4.6771765,-3.1627893,-22.430355,19.31889,-16.087187,0.4328966,-9.528947,-2.6785731,-14.537758,-2.8901696,12.925159,13.62952,9.374201,1.1713982,-3.1078637,-0.8804977,9.327412,6.2101007,5.95628,5.2604437,-5.5854917,-12.610274,21.140135,10.049021,0.26414394,3.795147,1.982379],"EPHE^FMA_DIV_YLD(NTMA,-10AY,0,AM,\"PORTAGG\",\"MEANR\")":[2.10372912751297,2.15529565272546,2.11556889874864,2.11791592558583,2.0585366458937,2.06896037676692,1.95591421502977,2.21399526393493,2.17530444195238,2.1290942427453,2.15059004096773,2.05743950408651,1.90163273707151,1.86848574331595,1.91886999601957,1.99679066473957,1.90756656094583,1.88112551784934,2.0616710352475,2.09852916372992,1.95990513058392,1.96688008450714,1.99621175168149,2.03544791176999,1.95848645047982,1.78226849007297,1.84562196801862,1.70259383973435,1.66614110030201,1.59613379904802,1.63567887555133,1.6434604460345,1.71922581043384,1.75601660160834,1.6793405874545,1.65595234939009,1.64121672336929,1.63574230813213,1.55577278208523,1.5285293103591,1.56484487324527,1.57147397054395,1.56751816200129,1.44869945661585,1.46076153512265,1.63602745450526,1.51998852741836,1.51257421273406,1.56631926436469,1.66303687876095,1.77717579654394,1.75719969201814,1.8415139236627,1.70961836792328,1.69670264675041,1.9086242495253,1.90589676575849,1.75075460546821,1.7121764791419,1.65880653073704,1.76788717521704,1.73151740825387,1.69951191397854,1.76740220459127,1.71555349002929,1.75541256869737,1.85357437502584,1.91190658298559,1.8311032358004,1.88031550756707,1.84460885162284,1.92871657347592,2.03360206933751,2.67155429027444,2.47975577049419,2.05486540415292,2.03031434659969,2.22864419104699,2.14893559648301,1.97879528409488,1.78208140708875,1.6953856878336,1.70129571399491,1.78821820776158,1.76695680838828,1.91976173929783,2.02687043246881,1.8975218512228,1.89421709477744,1.99740054327517,1.93536312080613,1.90128894901711,1.81183202781791,1.81566526159363,1.81911952978785,1.80830128016168,1.89012358365903,1.94737572234941,2.26678495816043,2.20278922548586,2.46885927307303,2.36452672669101,2.31498247340419,2.67223014567149,2.55853956126305,2.41283175990005,2.30398569393864,2.28287605951607,2.45333766641307,2.76114528698617,2.67874693428008,2.9570278505746,2.93789832674776,3.02190684940171,2.96417986033097,2.83491464073075,3.11448233583057,3.13227409461968,3.1216753600091,2.84826095070943,2.62932267222762],"ECH^JULIAN(FMA_DIV_YLD(LTMA,-10AY,0,AM,\"PORTAGG\",\"MEANR\"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3,44533,44565,44596,44624,44655,44685,44715,44743,44777,44806,44838,44869,44897,44930,44960,44988,45020,45050,45079,45110,45142,45170,45203,45233,45264,45295,45324,45351],"EIDO^FG_PRICE_MAVG(0,,,,30)":22.253666,"TUR^P_PRICE(0)/P_PRICE_HIGH_PR(0,,,USD,,,\"PRICE\",\"INTRA\",\"52W\")":0.91046286,"CNYA^P_PRICE(0)/P_PRICE_LOW_PR(0,,,USD,,,\"PRICE\",\"INTRA\",\"52W\")-1":0.13460696,"GREK^PERCENT_CHANGE(FMA_EPS(+1,0,,,,\"PORTAGG\",\"MEAN\"),FMA_EPS(+1,-1AM,,,,\"PORTAGG\",\"MEAN\"))":6.01834713230495,"TUR^FMA_COS_UP(\"EPS\",\"1M\",+1,NOW,,,\"PORTAGG\",\"MEANR\")":24.0,"EZA^FMA_RBICS_REV_CURRENT(30, LOC, \"PORTAGG\")":42.9462830321381,"TRYZA10Y-FDS^FG_YIELD_NAME":"South Africa Benchmark Bond - 10 Year","REFAEREPO-FDS^FG_YIELD(NOW,,,0)":5.4,"REFEUREFI-FDS^PROPER_NAME(0,,,\"SECURITY\",\"NAME\")":"Eurozone Main Refinancing Operations Minimum Bid Rate","TRYVN10Y-FDS^PCTCHG(FG_YIELD(0,,,,\"YTM\"),FG_YIELD(-3AM,,,,\"YTM\"))":-3.0539482,"TRYKR10Y-FDS^PCTCHG(FG_YIELD(0,,,,\"YTM\"),FG_YIELD(-3AM,,,,\"YTM\"))":-5.2332516,"TRYGR10Y-FDS^FG_YIELD(0,,,,\"YTM\")":3.459,"TRYPH10Y-FDS^FG_YIELD_NAME":"Philippines Benchmark Bond - 10 Year","QAT^FG_FCF_YIELD_NTM(0)":null,"MCHI^FG_COMPANY_NAME":"iShares MSCI China ETF","^FG_YIELD(-10AY,0,Y,,\"YTM\")":[null,null,null,null,null,null,null,null,null,null],"CC_GR^FG_COMPANY_NAME":"Greece","USDQAR^FG_PRICE_CHANGE(0,-6AM)":0.02746582,"USDEUR^FG_PRICE_CHANGE(0,-1AM)":-0.56611896,"USDMXN^STD(FG_PRICE_CHANGE(0,-1AY,AM))":2.57228012865194,"USDPEN^FG_PRICE_CHANGE(0,-6AM)":1.8693328,"NI-FDS^MAX(FG_PRICE(0,-5AY))":48241.0,"W-FDS^MAX(FG_PRICE(0,-5AY))":14.2525,"TIOS-FDS^MAX(FG_PRICE(0,-5AY))":219.77,"VNM^FG_PRICE_MAVG(0,,,,200)":13.499775,"EWT^FG_PRICE_MAVG(0,,,,200)":46.2097,"VWO^P_PRICE(0)/P_PRICE_LOW_PR(0,,,USD,,,\"PRICE\",\"INTRA\",\"52W\")-1":0.105326414,"EZA^P_PRICE(0)/P_PRICE_HIGH_PR(0,,,USD,,,\"PRICE\",\"INTRA\",\"52W\")":0.8435313,"EWM^FG_TOTAL_RETURNC(0,-3AM)":3.687644,"VNM^FMA_PCT_ABOVE_MAVG(200,0,,,,\"PORTAGG\")":71.1111111111111,"EPU^FMA_PCT_ABOVE_MAVG(200,0,,,,\"PORTAGG\")":74.0740740740741,"EWJ^FMA_COS_UP(\"EPS\",\"1M\",+1,NOW,,,\"PORTAGG\",\"MEANR\")":108.0,"EWZ^FMA_COS_UP(\"EPS\",\"1M\",+1,NOW,,,\"PORTAGG\",\"MEANR\")":19.0,"EPHE^FMA_COS_DOWN(\"EPS\",\"1M\",+1,NOW,,,\"PORTAGG\",\"MEANR\")":11.0,"EWY^FG_ROE(0)":5.2338747749351,"REFZAREPO-FDS^(SUBARRAY(NOT_NA(NO_REPEAT_F(FG_YIELD(NOW,-10AY,D))),0,1)-SUBARRAY(NOT_NA(NO_REPEAT_F(FG_YIELD(NOW,-10AY,D))),1,1))*100":50.0,"REFPEMPR-FDS^FG_YIELD(NOW,,,0)":6.25,"TRYID10Y-FDS^FG_YIELD_NAME":"Treasury - Indonesia Benchmark Bond 10Y","CC_MY^IMF_IFS_RCPI_Q(0)":null,"VGK^JULIAN(FMA_DIV_YLD(NTMA,NOW,NOW,M,\"PORTAGG\",\"MEANR\").DATES)":45322,"UAE^FMA_PE(NTMA,0,,,\"PORTAGG\",\"MEANR\")":9.50010995017441,"GREK^FMA_EVAL_EBITDA(NTMA,0,,,\"PORTAGG\",\"MEANR\")":5.26720144166751,"EWZ^JULIAN(FMA_DIV_YLD(NTMA,NOW,NOW,M,\"PORTAGG\",\"MEANR\").DATES)":45350,"EWT^FMA_PE(NTMA,0,,,\"PORTAGG\",\"MEANR\")":19.6608504675566,"EPOL^FMA_DIV_YLD(NTMA,NOW,NOW,M,\"PORTAGG\",\"MEANR\")":4.75946767925141,"ECH^FMA_EVAL_EBITDA(NTMA,0,,,\"PORTAGG\",\"MEANR\")":6.39274257048275,"CAGDPY@BR^EE_ACTUAL_ANNUAL(MED,+1)":-1.65,"USDVND^FG_COMPANY_NAME":"Vietnam Dong per U.S. Dollar","USDQAR^FG_PRICE_CHANGE(0,-3AM)":0.0,"USDIDR^FG_COMPANY_NAME":"Indonesian Rupiah per U.S. Dollar","FC0000BR^FMA_EPS(NTMA,-20AY,0,CY,,\"PORTAGG\",\"MEANR\")":[15.9634949001004,22.2696791655794,25.3174251708984,34.9736621173337,24.6574673527732,33.0231081589585,41.0114711872356,37.007882634304,30.1094290911466,25.6248810860719,21.0352241233002,13.1501919917959,17.125192658189,19.0183216245735,20.4219604225124,20.1300196594025,14.9311683661002,18.5635369775184,21.0795022542981,24.0594592101981],"EWW^P_PRICE_RETURNS_PR('52W',2,-10AY,0,AM)":[-13.36165,-10.62541,-8.315897,0.89668036,8.172846,2.5310516,18.1134,6.9183707,4.5637965,-5.6734443,-11.387051,-5.7225285,-2.3530364,-5.93158,-7.4726877,-12.114543,-14.599216,-17.751629,-28.056765,-22.052723,-16.528898,-13.404131,-13.353938,-14.164877,-10.688895,-9.457326,-10.52525,-12.332546,-8.623916,-9.743148,1.8731236,-2.5809646,-9.039479,-16.953636,-10.734391,-2.195239,-3.3474803,-0.8452654,-0.041627884,7.065904,8.382738,15.610493,13.661087,12.339473,4.227388,18.344915,19.56253,18.372858,9.67251,4.021609,-1.9365191,-11.665434,-10.08305,-5.799264,-11.602879,-7.6299787,-10.135115,-18.941795,-13.5719595,-12.826282,-12.149059,-12.725836,-4.7634783,-1.1984885,-4.363179,-18.999815,-12.07366,-8.873791,4.968214,11.196852,13.1875515,7.919228,4.993081,-40.37997,-34.38866,-20.125282,-24.502748,-18.64177,-19.67954,-19.293087,-21.373325,1.403141,-4.181319,-10.77097,-3.520769,69.63683,58.834778,46.021523,50.906586,54.827118,55.986607,47.446133,43.01195,10.728383,19.218838,18.856503,20.275831,26.290535,12.60401,8.907616,-0.26921034,-3.7876844,-7.0415735,-1.5235066,10.977125,16.881966,5.704558,21.712124,25.153744,11.929607,24.299192,22.04255,39.60118,40.77995,41.41228,25.554323,19.226383,21.609211,29.634464,20.63738,11.318493],"EPHE^FG_TOTAL_RETURNC(-10AY,0,AM)":[10.93092,0.55555105,4.7106743,1.6939759,3.4718156,0.85060596,3.2683253,-3.2669723,0.5013108,2.1790385,-1.8144011,7.3733807,2.6148677,2.095735,-3.7322104,-5.597287,1.065445,-0.94509125,-11.603922,1.8961549,1.8036127,-2.2216022,-3.6499321,-3.4451783,6.4846396,5.2447557,-5.592471,12.873912,2.7446032,0.24108887,-0.17721653,-6.3910723,-6.47521,-5.793744,3.4001112,2.6245236,-1.9761682,3.6466002,3.489709,3.5378575,-3.6444008,0.91718435,-1.0740936,4.259467,-0.40053725,-4.1822968,11.350214,-6.462157,-2.7957022,-3.954649,-4.8373165,-0.9682298,-7.4249325,9.774685,-0.996083,-12.01219,6.1330557,5.09305,5.536711,3.298962,-5.246651,3.7014723,2.466631,-0.16992688,3.3487082,-3.2614708,-2.6571453,-1.9371867,7.6623797,-4.3925524,-1.276952,-6.2205133,-5.9100866,-24.824589,6.222224,18.912136,0.13817549,-9.01379,0.31080246,4.4926405,10.1927395,10.326266,0.12681484,-4.699421,-2.5936604,-3.9447784,-0.992465,9.1946125,0.010704994,-7.903123,5.3979278,-1.7399848,6.782484,-1.4080048,-0.20560622,2.5215387,-0.24905801,-1.6229749,-7.645941,-2.6107848,-8.922153,3.4482718,-0.49242377,-11.457938,2.5365472,10.02096,4.7914386,6.028497,-6.857342,-0.81391335,1.2308836,-3.9425194,1.6748905,-0.39137602,-6.0852885,1.8775463,-2.3637772,3.9803028,4.998851,0.8336544,4.09621],"EIDO^FMA_DIV_YLD(NTMA,-10AY,0,AM,\"PORTAGG\",\"MEANR\")":[2.7280200682036,2.50068966023725,2.56281620326761,2.57438627643664,2.66948255865979,2.51839330866107,2.48106990189564,2.64584908914965,2.59766474183676,2.47366114016155,2.46570825934531,2.40175865669286,2.29914789018346,2.3046566806843,2.44676443873627,2.40640164174942,2.44327562076101,2.49590687001761,2.71835870510445,2.92257305798042,2.51141570097891,2.53103645684579,2.53051290741931,2.4691270084649,2.37313248043163,2.38139970544135,2.43916859954355,2.37420169674396,2.28870384520701,2.13475594997368,2.21829151187021,2.17569914708787,2.29997209734604,2.42924822436279,2.41086264473789,2.41418380252782,2.45757674465042,2.37574724291669,2.42912743405803,2.5073855771113,2.4921674561721,2.58148616409435,2.56537606221951,2.54752217530584,2.54095656750691,2.66127089925494,2.52584844187143,2.44621915322147,2.49954274395889,2.73038958973929,3.01008939557068,2.91949282222448,3.25567295422265,2.96407821364378,3.03147417391977,3.13194078107878,2.99063506170752,2.81261400381787,2.8478883887381,2.78892082409787,2.79907611174178,2.80282468974009,2.87233376961658,2.86462636188775,2.74494835282505,2.77137120223077,2.8167872394417,2.9015212491398,2.80381242752065,2.83476779352822,2.78454193448247,2.87025814565184,3.13225019482931,3.907834399557,3.77687229943083,3.28869763044508,2.95213947650939,2.90204219828692,2.73762375409739,3.02146956541719,2.86220392442413,2.34329329074512,2.26850724591932,2.39223910202928,2.48070612504696,2.67671019611163,2.76138504093859,2.74420860218557,2.99752619199799,3.049677516143,3.04656576568516,3.0222868560478,3.00662951426554,3.1157299822304,3.14709754569147,3.13016300256558,3.13278630220658,3.26716770047097,3.25499021698359,3.32268609862663,3.70306541574335,3.64024664237396,3.59220884739498,3.71404615414776,3.89068322724138,3.86737917699967,4.14145469301574,4.13500947923949,4.24886433833054,4.42211207094442,4.42754267305656,4.2948926759766,4.33281918719714,4.12317858779538,4.08273998003857,4.18068685283456,4.27783343686554,4.21727866919683,4.04010286464172,4.10079456698903,4.16303202070314],"KSA^FMA_PE(LTMA,-10AY,0,AM,\"PORTAGG\",\"MEANR\")":[null,null,null,null,null,null,null,null,null,null,null,null,null,null,null,null,null,null,null,null,null,null,13.4549936647179,11.1232876204421,11.6227542965507,11.7987623414076,12.1849068363073,12.6196930664399,12.6969718236264,12.8533952935479,12.6163489625487,12.1836535793845,13.1454049033523,14.7564728305398,15.396754363719,15.217838355924,15.3603007367815,15.2499350599764,15.0138307987486,15.0604403040591,15.6914251322705,15.1689154922941,15.1379268948438,14.9488515662935,14.4064215980186,14.5325673775582,14.6612421012376,15.2686185949438,15.0418603304136,15.2291380178351,15.2742124759351,15.6179774432767,15.4112488695033,15.2765086508123,15.0851913633466,15.0549526677282,15.0258230198153,15.4690364645513,15.4792210293594,17.2322206722605,17.2324228224977,17.432216950087,17.5871038536771,17.0605508099743,17.5168388021197,17.5665465273146,18.1952805286157,18.1597312514685,17.9883133303413,18.3733622360323,20.0860856023734,19.0504188659672,17.6001194240314,17.333484381079,17.814132598966,19.2062545405212,19.4215887604157,20.0153237586816,21.9585174774288,24.5923981034642,25.4947476891492,27.5627799585555,28.7970369168683,26.0303356249001,26.4843562327069,26.0355511453428,25.4060271622529,24.7712686166182,24.2912361864911,23.4681409885998,22.9709988572103,22.0539056382787,21.5494317001404,19.5028751728047,19.7675594969881,20.8334046629202,21.4669265921841,21.2225023908937,21.1912686233341,20.0588811239232,18.9506323156875,19.1075835945989,18.5044842351191,17.7948707849685,17.1012553773584,16.281873335281,15.6395660318605,15.9531549059286,15.252332368096,15.5900744426226,15.877772572031,16.182543932875,16.9571705031047,17.2825979257662,17.879278332001,17.3979775843655,17.9723102875159,18.9663901276418,21.4697763624223,20.8965827867121,22.3399448842482],"DDR3512M-FDS^FG_PRICE(0)/MAX(FG_PRICE(0,-1AY))":0.798999193035903,"VNM^FG_PRICE_MAVG(0,,,,30)":13.097834,"INDA^FG_PRICE_MAVG(0,,,,60)":49.57075,"EIDO^FG_PRICE(0)":22.18,"SET-BKK^P_PRICE(0)/P_PRICE_LOW_PR(0,,,USD,,,\"PRICE\",\"INTRA\",\"52W\")-1":35.12456,"GREK^FMA_PCT_ABOVE_MAVG(200,0,,,,\"PORTAGG\")":88.4615384615385,"URTH^FMA_COS_DOWN(\"EPS\",\"1M\",+1,NOW,,,\"PORTAGG\",\"MEANR\")":495.0,"SET-BKK^SIZE(FG_CONSTITUENTS)":1,"EPHE^FMA_COS_UP(\"EPS\",\"1M\",+1,NOW,,,\"PORTAGG\",\"MEANR\")":9.0,"EWY^FMA_RBICS_REV_CURRENT(30, LOC, \"PORTAGG\")":14.337167053177,"TRYBR10Y-FDS^FG_YIELD_NAME":"Treasury - Brazil Benchmark Bond 10Y","REFAEREPO-FDS^PROPER_NAME(0,,,\"SECURITY\",\"NAME\")":"United Arab Emirates Repo Rate","REFPEMPR-FDS^PROPER_NAME(0,,,\"SECURITY\",\"NAME\")":"Peru Policy Rate","TRYAE10Y-FDS^PCTCHG(FG_YIELD(0,,,,\"YTM\"),FG_YIELD(-3AM,,,,\"YTM\"))":null,"TRYKR10Y-FDS^PCTCHG(FG_YIELD(0,,,,\"YTM\"),FG_YIELD(-1AM,,,,\"YTM\"))":4.3943324,"TRYUS10Y-FDS^FG_YIELD(0,,,,\"YTM\")":4.216,"TRYGR10Y-FDS^FG_YIELD_NAME":"Greece Benchmark Bond - 10 Year","QAT^FMA_DIV_YLD(NTMA,NOW,NOW,M,\"PORTAGG\",\"MEANR\")":4.72989380254282,"ECH^FG_FCF_YIELD_NTM(0)":5.49258896087413,"INDA^FG_COMPANY_NAME":"iShares MSCI India ETF","TRYSA10Y-FDS^FG_YIELD(-10AY,0,Y,,\"YTM\")":[null,null,3.8912454,3.7299898,4.5715504,2.8775356,2.0844028,2.5113702,4.613973,4.608568],"TRYDE10Y-FDS^FG_YIELD(-10AY,0,Y,,\"YTM\")":[0.5475,0.636,0.22,0.47,0.239,-0.189,-0.575,-0.181,2.534,2.004],"CAGDPY@BR^EE_ACTUAL_ANNUAL(MED,0)":-1.31509554047975,"USDQAR^FG_PRICE_CHANGE(0,-1AM)":0.0,"USDEUR^FG_PRICE_CHANGE(0,-1AY)":-2.4485648,"USDMXN^FG_PRICE_CHANGE(0,-6AM)":-1.1989594,"USDPEN^FG_PRICE_CHANGE(0,-1AM)":-1.403439,"DDR3512M-FDS^FG_PRICE_CHANGE(0,-1AY)":-20.1000806964097,"NI-FDS^FG_PRICE(0)/MAX(FG_PRICE(0,-1AY))":0.688136256851997,"W-FDS^FG_PRICE_CHANGE(0,-6AM)":-0.704845814977972,"TIOS-FDS^FG_PRICE(0)/MAX(FG_PRICE(0,-1AY))":0.811182019977802,"INDA^FG_PRICE_MAVG(0,,,,30)":50.593,"EWT^FG_PRICE_MAVG(0,,,,60)":45.874832,"VWO^P_PRICE(0)/P_PRICE_HIGH_PR(0,,,USD,,,\"PRICE\",\"INTRA\",\"52W\")":0.9605569,"EZA^FG_TOTAL_RETURNC(0,-3AM)":-4.4620333,"EPU^P_PRICE(0)/P_PRICE_LOW_PR(0,,,USD,,,\"PRICE\",\"INTRA\",\"52W\")-1":0.2582575,"SPY^PERCENT_CHANGE(FMA_EPS(+1,0,,,,\"PORTAGG\",\"MEAN\"),FMA_EPS(+1,-3AM,,,,\"PORTAGG\",\"MEAN\"))":-10.8740778627976,"UAE^PERCENT_CHANGE(FMA_EPS(+1,0,,,,\"PORTAGG\",\"MEAN\"),FMA_EPS(+1,-3AM,,,,\"PORTAGG\",\"MEAN\"))":10.4826259992566,"EZA^PERCENT_CHANGE(FMA_EPS(+1,0,,,,\"PORTAGG\",\"MEAN\"),FMA_EPS(+1,-3AM,,,,\"PORTAGG\",\"MEAN\"))":-18.3008936860386,"EPOL^PERCENT_CHANGE(FMA_EPS(+1,0,,,,\"PORTAGG\",\"MEAN\"),FMA_EPS(+1,-3AM,,,,\"PORTAGG\",\"MEAN\"))":1.74123363061888,"SET-BKK^FMA_COS_DOWN(\"EPS\",\"1M\",+1,NOW,,,\"PORTAGG\",\"MEANR\")":110.0,"EWY^SIZE(FG_CONSTITUENTS)":108,"EWW^FG_ROE(0)":12.7797433543146,"REFZAREPO-FDS^FG_YIELD(NOW,,,0)":8.25,"TIPSCL10Y-FDS^FG_YIELD(0,,,,\"YTM\")":2.4597888,"CC_PE^IMF_IFS_RCPI_Q(0)":3.9030175,"KSA^FMA_EVAL_EBIT(LTMA,NOW,NOW,M,\"PORTAGG\",\"MEANR\")":21.9707601273543,"QAT^FMA_PE(NTMA,0,,,\"PORTAGG\",\"MEANR\")":11.5169839318491,"GREK^FG_FCF_YIELD_NTM(0)":2.19082352055173,"EWY^FMA_EVAL_EBIT(LTMA,NOW,NOW,M,\"PORTAGG\",\"MEANR\")":21.0813202784537,"EWT^JULIAN(FMA_DIV_YLD(NTMA,NOW,NOW,M,\"PORTAGG\",\"MEANR\").DATES)":45350,"EPOL^FMA_PE(NTMA,0,,,\"PORTAGG\",\"MEANR\")":8.96470493139449,"USDAED^FG_PRICE_CHANGE(0,-3AM)":0.012254715,"USDQAR^FG_PRICE_CHANGE(0,-1AY)":-0.020593405,"FC0000KR^FMA_EPS(NTMA,-20AY,0,CY,,\"PORTAGG\",\"MEANR\")":[25.662347195809,29.7949627913341,31.2503748053754,35.671095666108,19.0450116297318,29.9539754539252,37.906953014038,39.1650245409456,44.428480693782,44.151808890174,37.5299107205561,33.45961264389,36.5379279291672,53.6332908559232,45.9241136881632,35.9039646767675,42.8016146486655,51.3050659025632,35.3889270940163,41.6847962652121],"ECH^FG_TOTAL_RETURNC(-10AY,0,AM)":[7.9259276,3.4317136,2.8533578,0.98924637,-0.51116943,-3.4071267,-0.67400336,-4.071474,-0.21221638,-2.8591633,-3.9957166,0.1522541,3.7496805,1.001215,2.151835,-5.8461547,-3.4244716,-7.184368,-2.5042713,-1.7221272,4.781711,-8.786845,-1.5461326,4.4979453,7.3052406,4.011297,1.0320544,-3.172046,5.03397,2.90792,-1.962322,-1.4144719,4.926908,-2.7347744,-1.047957,7.8573346,1.3177514,7.411039,-2.1475852,1.7044067,-2.2713482,8.954155,6.2239766,3.435111,0.34906864,-10.83284,20.466387,2.0929694,-3.1567454,0.09366274,-2.470523,-2.3795843,-7.165587,2.5253534,-11.705267,5.91321,-1.4182746,-0.9819627,-1.0315657,10.525095,-5.912161,-0.83034635,-4.11858,-5.286753,2.7033567,-7.838768,-5.23209,7.5594664,-8.002109,-10.271817,8.23983,-6.1116037,-9.528297,-22.714632,11.041153,7.472658,4.851866,-1.7955363,-3.9552212,-6.5656605,0.7900238,19.265675,7.3690176,-0.8743465,5.2270412,6.488669,-3.2653034,-11.693793,0.24158955,-7.825482,7.400453,-9.933543,4.1164994,-7.534498,-4.3371916,7.0122004,9.727311,10.53412,-10.402679,15.168535,-18.82016,7.8750014,14.368486,-13.272542,0.42835474,6.1651707,-2.4466395,11.866355,0.61792135,-5.493003,2.8880835,4.0701747,3.9515615,0.43845177,-4.4325113,-12.508785,3.4939766,4.190922,1.4304996,-7.243162,1.9920349],"USDPEN^FG_PRICE_CHANGE(0,-1AY)":-0.53094625,"USDCLP^STD(FG_PRICE_CHANGE(0,-3AY,M))":4.37416162228254,"EPU^P_PRICE_RETURNS_PR('52W',2,-10AY,0,AM)":[-24.97691,-23.213953,-11.844837,-4.1291656,11.357975,13.976515,6.3618064,3.7308693,-4.621583,9.746874,-4.0342093,-2.4215162,-8.172857,-8.172494,-8.371914,-12.0865345,-17.907793,-26.710724,-36.902493,-32.193745,-29.298973,-34.094482,-36.205696,-33.523415,-17.688131,-11.587275,-4.435897,3.6749005,7.628274,34.95009,50.218403,46.27875,43.69459,55.359375,69.01694,82.83938,46.518528,36.295807,14.085436,17.856766,11.722493,4.410851,17.57189,27.973248,33.608044,26.24526,30.58598,23.16221,29.836582,30.301416,35.597946,29.237091,17.5789,13.499414,-1.801753,-7.197404,-13.428879,-8.2703705,-13.302773,-8.4639435,-6.754798,-6.6120744,-10.744917,-15.798741,-1.80071,-8.837473,-3.1209648,-3.86132,3.1016707,-2.3824275,6.7211986,-5.2957478,-13.531661,-43.186073,-30.596918,-16.095287,-22.584486,-10.649901,-6.512296,-10.737932,-15.424585,3.3430815,-2.860999,2.7094603,14.725852,58.76943,26.920425,22.733997,4.2500496,-11.495275,-13.022369,-9.162897,-0.38674474,-17.750067,-9.997606,-7.717383,2.2217393,12.387598,4.898441,-2.5094986,-5.411929,2.3462296,-0.05953908,4.5390368,2.753365,12.498104,0.68591833,3.3990264,-11.389875,-14.716357,0.077188015,1.8433213,23.651302,34.4404,36.999405,16.760195,16.629374,7.927525,20.986916,13.423193,22.970295],"ECH^FMA_DIV_YLD(NTMA,-10AY,0,AM,\"PORTAGG\",\"MEANR\")":[3.46355725150158,3.1721309909717,3.11499300567168,3.03777441618102,2.98920597082212,3.05192229633052,3.03030803000745,3.18687977593186,3.04759392862038,3.07872968451547,3.15325940376066,3.17760900769264,3.19991100662618,3.2166468071952,3.21056517443608,3.4971069683196,3.63947198613991,3.5868994029236,3.60546008136136,3.82045564730793,3.46577708527352,3.73539122676145,3.88285809875304,3.71981577465638,3.55701078619708,3.43879212475584,3.28300067519091,3.26816291909631,3.07156024874806,2.94365144095365,2.95932183174663,3.07952240194033,2.72896644342454,2.89917645235482,2.96199389704249,2.83557276623313,2.75220088241846,2.44765816696396,2.49431895417372,2.45847854878009,2.74491180638798,2.58959488900714,2.44962667249868,3.09251716025899,2.87046961895488,3.22351460380936,2.86720083594118,2.72267440149616,3.05023083729758,3.10352757453184,3.17792654115432,3.19832431836025,3.44205032714624,3.28850679011938,3.76684581419005,3.37856304137591,3.03921217418499,2.98884491583324,3.14872060977686,2.9390157383605,3.06361488504787,2.99891158993555,3.04746630987099,3.31430473694863,3.22056834786257,3.33700668339669,3.50064973736226,3.261104372795,3.53499966211856,3.79070985113963,3.61532543693037,3.75663232829747,4.06121625086271,4.43036353564841,3.93095706257205,3.38783944994343,3.19759552483427,3.45162473329191,3.68006846816888,3.80232843010277,3.8450685154761,3.12725713825697,3.23996330719097,3.2507875532401,2.58420880061733,2.89330091545218,3.43106429436144,3.87183882907591,3.9851016320243,4.76503963248634,4.57448340802597,4.95537262852991,4.70492638606222,5.27455435343747,5.49946749278917,4.9358723611646,4.58282658972233,4.59677734637838,5.15286184864212,6.27238016541773,7.59973074736872,7.46875529499941,7.4429847738615,6.92817824806388,7.02463649907152,8.47275404073879,8.7154090368601,7.72242089780781,7.96484797424852,9.15264673242146,8.17589681476681,7.20075218828988,6.71899216137033,6.22889372902437,6.54940288030411,7.09659160615222,6.65628331758656,6.76300729183752,6.79549484857609,6.96699969673625,7.51485221586827],"VNM^FMA_PE(LTMA,-10AY,0,AM,\"PORTAGG\",\"MEANR\")":[11.6176589075852,11.9393850597458,11.8525339807946,11.9501681709505,12.3465934303218,12.6589947469365,13.7032313387667,13.4804164707277,13.2731161521557,13.2102942996762,12.600604480673,12.2710765284162,16.9802801163339,16.3938374486466,16.7500781395193,16.5912854519585,16.9581580295607,16.8762707750835,17.3467800492299,18.3571469931919,23.5311363969598,24.4545557890489,27.4066617001321,18.5778791352865,-5.5045831316231,-4.12175063924489,-2.24459389297775,-0.316127747014489,1.19492569416226,3.31089160183389,4.91827073232302,9.82442347167809,10.9778164342604,12.5913850181649,14.7246004182152,15.0122501111141,15.6169212741644,15.7426424921771,15.884062280762,15.7394976326064,16.899749541214,16.1491264593825,17.4453276274799,18.0492358751497,18.3403705187659,20.9848002997531,23.2217089837098,25.7974325520195,24.6206953655937,24.7744128254592,23.8726785944953,24.185458537396,21.6848975058096,22.0303901174495,21.861616214181,21.2363119098313,19.6061563789726,19.7565845808057,17.4552556506395,18.3020388237052,19.7485093667935,19.6109853757898,19.6626232813936,19.3457151380533,19.2059186236208,18.6640871860638,17.405081537666,17.3059979755618,17.4853893336692,17.6085272809246,17.0349644352278,15.209076012547,15.0398239937099,14.4998210052399,15.261081778616,16.3708069926483,16.080930797092,16.604962281376,18.1072666950408,18.3291259824169,18.6111041736188,20.1649495045606,23.2957456169641,23.849066315453,24.3481926655006,23.7755433342102,22.9774568880895,23.1832500418717,22.589577348665,21.5237116697108,20.7090512059799,19.9719623371273,19.981549071852,18.7126139852065,18.4952060609145,17.0164380130858,16.4964182503389,16.3609165193504,15.7394001012894,15.2358327783821,14.1227421454575,13.9965817455812,13.7489859110542,12.8641459672086,11.7794069989782,13.37797406295,11.7217836610951,12.3710653320318,12.2830614715601,12.8388320886034,12.9102854628212,13.6710176131939,13.4104861418138,14.3132236837144,15.4391017206135,14.531937846936,14.8645449791189,16.4466307315942,17.1308293691007,16.6956531690026,18.9415627187038],"DDR3512M-FDS^FG_PRICE_CHANGE(0,-6AM)":1.07098388863471,"TIOS-FDS^FG_PRICE_CHANGE(0,-1AY)":-7.6595072646873,"VNM^FG_PRICE(0)":13.58,"EWT^FG_PRICE(0)":47.28,"ECH^FG_PRICE_MAVG(0,,,,200)":27.32952,"EZA^PERCENT_CHANGE(FMA_EPS(+1,0,,,,\"PORTAGG\",\"MEAN\"),FMA_EPS(+1,-1AM,,,,\"PORTAGG\",\"MEAN\"))":-15.2613911228267,"EPOL^PERCENT_CHANGE(FMA_EPS(+1,0,,,,\"PORTAGG\",\"MEAN\"),FMA_EPS(+1,-1AM,,,,\"PORTAGG\",\"MEAN\"))":1.52648860234072,"URTH^FMA_COS_UP(\"EPS\",\"1M\",+1,NOW,,,\"PORTAGG\",\"MEANR\")":714.0,"EIDO^SIZE(FG_CONSTITUENTS)":77,"EWW^FMA_RBICS_REV_CURRENT(30, LOC, \"PORTAGG\")":28.2790580360146,"TRYKR10Y-FDS^FG_YIELD_NAME":"South Korea Benchmark Bond - 10 Year","REFPL7D-FDS^(SUBARRAY(NOT_NA(NO_REPEAT_F(FG_YIELD(NOW,-10AY,D))),0,1)-SUBARRAY(NOT_NA(NO_REPEAT_F(FG_YIELD(NOW,-10AY,D))),1,1))*100":-25.0,"TRYAE10Y-FDS^PCTCHG(FG_YIELD(0,,,,\"YTM\"),FG_YIELD(-1AM,,,,\"YTM\"))":null,"TRYMX10Y-FDS^PCTCHG(FG_YIELD(0,,,,\"YTM\"),FG_YIELD(-3AM,,,,\"YTM\"))":-1.438939,"TRYUS10Y-FDS^FG_YIELD_NAME":"US Benchmark Bond - 10 Year","UAE^JULIAN(FMA_DIV_YLD(NTMA,NOW,NOW,M,\"PORTAGG\",\"MEANR\").DATES)":45350,"ECH^FMA_PE(NTMA,0,,,\"PORTAGG\",\"MEANR\")":7.11105670256571,"GREK^FG_COMPANY_NAME":"Global X MSCI Greece ETF","EIDO^FMA_ROE(NTMA,-20AY,NOW,FY,\"PORTAGG\",\"MEANR\")":[null,null,null,null,null,null,18.9279585586526,18.0738292901709,16.8092892463225,19.1020740705792,18.4086750507428,15.6625909554988,15.054606398618,15.7733994434049,15.5352440090718,14.4300103266056,11.4814604290421,13.6928560240483,15.6524440836665,14.0315270121823],"CAGDPY@KR^EE_ACTUAL_ANNUAL(MED,+1)":2.4,"USDTRY^STD(FG_PRICE_CHANGE(0,-3AY,M))":7.643183865807,"USDMXN^STD(FG_PRICE_CHANGE(0,-3AY,M))":2.27165253049269,"USDCLP^FG_PRICE_CHANGE(0,-1AY)":20.801472,"TUR^FG_TOTAL_RETURNC(-10AY,0,AM)":[1.5621305,19.086456,5.6555867,4.593444,-1.1333823,5.3311467,-1.9865215,-14.892494,11.493063,7.1136713,-6.675911,-4.6265306,-8.26028,0.42471886,-1.1841834,-0.6633878,-0.98323226,-7.52784,-14.474958,6.5615416,12.975681,-10.8070135,-7.342845,6.653452,5.574739,11.088764,-10.932552,3.9135933,-0.5829096,-5.508047,3.4069657,-4.6332,-6.2618074,-11.315865,2.3042321,11.792755,1.2510777,-0.11233091,9.277475,8.129668,0.25781393,8.856451,5.319619,-10.568762,-2.2306561,-4.927188,13.138998,0.9278059,-0.44842362,-5.810815,-14.825445,-10.331273,-4.9099207,-8.358818,-26.288467,9.507048,14.561319,-0.6415367,-1.632905,16.255152,-2.1238923,-7.197106,-11.067808,0.17528534,13.530779,1.6607285,-0.9334862,3.258741,-4.4486704,6.1679363,1.3082623,6.2850714,-9.961283,-27.09148,4.664886,16.086065,4.227686,-8.397269,-6.654257,-1.5453637,-5.8227835,24.731182,15.549505,7.821858,-4.338771,-13.715524,-1.9764543,-1.7589033,-3.681004,4.295051,7.1172833,-11.032176,3.8046002,-15.520364,5.5576563,-2.85424,-1.7313719,15.696753,3.137982,-3.221482,-8.477521,4.4155836,13.880587,5.9851527,18.054401,17.388271,11.917866,-9.294873,3.8574815,-4.111147,-11.176813,6.0585856,-5.1822243,18.621397,10.234177,1.783371,-10.358154,2.8743863,-8.879423,11.310804,0.77952147],"EPU^FMA_PE(NTMA,-10AY,0,AM,\"PORTAGG\",\"MEANR\")":[11.4848485097332,11.3828223954353,11.860491875412,13.5731178188262,15.0815764710555,14.547759695084,13.684819234571,12.4588109376765,12.0799076164621,12.6128636640854,12.3789749108752,13.2826705678411,12.9822911233827,12.8611528580131,13.2842164530177,13.8514328579154,13.316557035889,12.273560473379,10.709450110937,11.429679976129,8.03302622859423,7.70119008791655,11.5150535418401,13.1160362429274,14.6462111816652,14.6155951991167,15.2562029996447,14.6751039636002,14.2959058783495,14.6663559837788,13.9926382045407,13.0059673029777,11.8184945620419,11.6784172120719,11.8740032740809,13.1979568641063,12.9348828751772,12.435617205456,10.7002764050128,11.8179991470875,11.9303870126169,12.5076729987533,12.5183585248119,13.121235356461,13.3693217370623,12.4436051615774,13.7950352513462,14.0173466410939,13.8776301672572,13.8155413041872,13.4336903947882,13.0923353603632,13.3573248908266,14.1351205155825,12.5798545946133,13.0150942056552,13.1971746101392,13.0959346286892,13.5152719946447,15.8429259104545,15.3510294177822,15.6563751597311,13.9773935987943,13.1408525882661,13.7291995044238,14.497394160404,14.4563527593859,13.5742129834765,14.2364472187194,13.0097291533596,14.7743725004278,14.5868685684476,13.7969668286656,9.96564123835183,13.7643315745395,17.1970538599802,19.6867193877087,20.4414257396209,23.2738421533957,20.9830630361347,17.6880566889738,17.0756424409321,14.1041127383774,14.4798696007905,15.1857870858955,13.4179578409746,10.8659457857575,10.4525633935854,8.90035163038965,8.63133876123873,9.10810530951485,9.11709866215279,9.79713389046944,9.71987853683168,10.1714432587048,10.5461880714126,11.564662739115,11.0510088250294,9.08620889920788,8.39677932550544,6.97952082948601,7.24054745774576,7.56133352330727,8.37393411869191,9.42138665980842,9.68122008587332,9.49488330939325,10.1429320430012,9.7225280233625,9.80578244530491,9.52527309195412,9.60229416873481,9.98013131850944,10.8652518858268,10.3802357752499,9.29850521697947,9.5867603643014,10.4054683360267,11.6109030902335,11.4931252575737,15.0043884321815],"FC0000ZA^FG_PRICE(0)":299.88263,"QAT^P_PRICE(0)/P_PRICE_HIGH_PR(0,,,USD,,,\"PRICE\",\"INTRA\",\"52W\")":0.92484665,"EPOL^P_PRICE(0)/P_PRICE_LOW_PR(0,,,USD,,,\"PRICE\",\"INTRA\",\"52W\")-1":0.6279887,"UAE^FMA_COS_DOWN(\"EPS\",\"1M\",+1,NOW,,,\"PORTAGG\",\"MEANR\")":6.0,"EWT^FMA_COS_UP(\"EPS\",\"1M\",+1,NOW,,,\"PORTAGG\",\"MEANR\")":27.0,"EPHE^FMA_RBICS_REV_CURRENT(30, LOC, \"PORTAGG\")":47.2004098653033,"REFIDRREPO-FDS^PROPER_NAME(0,,,\"SECURITY\",\"NAME\")":"Indonesia BI (Reverse) Repo Rate - 7 Day","TRYTW10Y-FDS^PCTCHG(FG_YIELD(0,,,,\"YTM\"),FG_YIELD(-3AM,,,,\"YTM\"))":-3.1075723,"CC_VN^IMF_IFS_RCPI_Q(0)":3.5401578,"VGK^FG_FCF_YIELD_NTM(0)":5.04747369188114,"EPU^FMA_DIV_YLD(NTMA,NOW,NOW,M,\"PORTAGG\",\"MEANR\")":3.78101688856962,"ECH^FMA_PE(LTM,0,,,\"PORTAGG\",\"MEANR\")":9.10962523120107,"EPU^FG_COMPANY_NAME":"iShares MSCI Peru and Global Exposure ETF","SET-BKK^FMA_DIV_YLD(NTMA,NOW,NOW,M,\"PORTAGG\",\"MEANR\")":3.48469524662497,"EPOL^FG_FCF_YIELD_NTM(0)":null,"USDMYR^FG_PRICE(0)":4.7235,"URTH^FG_TOTAL_RETURNC(0,-3AM)":11.331558,"QAT^FMA_COS_DOWN(\"EPS\",\"1M\",+1,NOW,,,\"PORTAGG\",\"MEANR\")":7.0,"CC_ZA^IMF_IFS_RCPI_Q(0)":5.633361,"EWM^FG_PRICE_MAVG(0,,,,60)":21.270334,"QAT^FMA_PE(LTM,0,,,\"PORTAGG\",\"MEANR\")":12.1886490298312,"USDMXN^FG_PRICE_CHANGE(0,-3AM)":-2.4900913,"USDCLP^FG_PRICE(0)":973.225,"EWZ^FG_TOTAL_RETURNC(-10AY,0,AM)":[3.6006093,13.75401,5.048752,-5.3011537,6.285858,2.6546836,8.124614,-18.30508,-2.2360563,-7.7340245,-8.555102,-0.39592385,-5.565029,-0.060123205,8.694339,-9.244394,2.4648428,-15.100061,-17.500002,-0.34632087,4.7784567,-2.653402,-14.123994,3.0591726,21.605837,2.2408962,10.097849,-3.0927777,12.830758,10.579753,1.8957496,-1.0465145,3.8777947,-10.407239,11.268198,8.014929,2.606392,-0.8812845,-3.5041869,-5.3387585,-0.6869495,11.337196,6.0313344,6.6732287,-9.256691,0.8394718,8.283556,6.0984254,1.1983991,-3.9692938,-6.9422245,-10.625773,-9.175796,15.360987,-17.549932,17.92636,13.968778,-5.599618,8.090305,8.703971,-6.7971826,-0.6372452,-2.1615207,3.3260584,4.414451,0.09114742,-6.2158465,2.233553,6.910467,-3.131944,11.66786,-6.8139195,-13.282651,-43.811237,9.591543,27.01006,-1.692909,6.958592,-1.0155499,-12.920809,4.528713,27.333582,1.933217,-2.980584,-8.906424,0.9282112,7.9705834,18.313444,-1.8800676,-6.5309167,-4.7555804,-10.59972,-8.673943,1.7082334,-1.5439272,16.299557,8.238638,15.252256,-16.270245,6.497431,-19.525797,8.274841,5.3224206,5.863297,3.641367,-7.528782,-9.484309,8.656036,-4.786867,0.2568841,1.2811184,10.552942,9.956861,-2.345419,-1.9338787,-7.092881,9.20918,5.485904,4.9077272,-4.109192,0.97950697],"COPP-FDS^FG_PRICE_MAVG(0,,,,30)":3.8158166,"KSA^FG_PRICE_MAVG(0,,,,60)":42.7355,"EWZ^FG_PRICE(0)":32.99,"SPY^P_PRICE(0)/P_PRICE_HIGH_PR(0,,,USD,,,\"PRICE\",\"INTRA\",\"52W\")":0.99630487,"QAT^FG_TOTAL_RETURNC(0,-6AM)":0.7799387,"UAE^FMA_PCT_ABOVE_MAVG(200,0,,,,\"PORTAGG\")":43.2432432432432,"TUR^SIZE(FG_CONSTITUENTS)":97,"EWM^FMA_COS_DOWN(\"EPS\",\"1M\",+1,NOW,,,\"PORTAGG\",\"MEANR\")":15.0,"TRYTW10Y-FDS^FG_YIELD_NAME":"Taiwan China Benchmark Bond - 10 Year","REFEUREFI-FDS^FG_YIELD(NOW,,,0)":4.5,"TRYIN10Y-FDS^FG_YIELD(0,,,,\"YTM\")":7.052,"CC_AE^IMF_IFS_RCPI_Q(0)":null,"TUR^FMA_DIV_YLD(NTMA,NOW,NOW,M,\"PORTAGG\",\"MEANR\")":4.22696534981452,"EWY^FMA_PE(NTMA,0,,,\"PORTAGG\",\"MEANR\")":16.3204106203511,"EPU^FMA_PE(NTMA,0,,,\"PORTAGG\",\"MEANR\")":15.0043884321815,"KSA^FMA_DIV_YLD(NTMA,NOW,NOW,M,\"PORTAGG\",\"MEANR\")":3.26115068468361,"PLATI-FDS^MAX(FG_PRICE(0,-5AY))":1272.59,"REFMYON-FDS^FG_YIELD(NOW,,,0)":3.0,"USDTHB^FG_PRICE_CHANGE(0,-1AY)":3.213489,"EPOL^FMA_PE(NTMA,-10AY,0,AM,\"PORTAGG\",\"MEANR\")":[13.7221650850328,14.0932294817603,13.8584505453682,13.6886460074589,13.1013011016644,12.9911684016722,13.7700856872593,13.4226201442664,13.5109592742904,13.8702193105167,13.3644338400543,13.3382788380927,13.4983216544939,14.1695526410561,14.8814491867151,13.8344384903342,13.1827506079705,12.8302384288633,12.3813982497584,11.7574018574626,12.0555710666974,11.6567630139404,12.1427457258452,12.4452683827449,13.2352428336654,13.6957716688152,12.5292499369948,11.7989409272477,11.382131967877,12.0468222012439,11.8050757054271,11.6800025424627,11.5133121463489,11.4390539334829,12.0856354965745,12.3453388688258,12.7902591548865,12.3804850461852,12.8246460647092,12.4654717413893,12.6184626040312,12.7162068572175,12.9738647194501,12.0360633466983,12.0789917872411,11.5105765877235,12.2380654081276,12.2265719984095,11.1627896729696,10.8801824738521,11.1223450946983,10.8294682665205,10.4633115837654,11.044055662723,11.0048394633705,10.8302983689325,10.3411716448321,11.0766688297204,10.5701923140096,10.9976119370005,10.699844310671,11.3856711199813,11.0855272218636,10.352474571344,10.9388969630251,10.177675182171,9.6978369555981,9.60533710766948,10.3346520188585,9.72631983188091,10.4941539292784,10.3570868466222,9.73054194322197,9.04325859777144,11.5838299736807,13.2256116689612,12.2063932884467,12.3424693269499,12.1179988932566,11.7538933877269,12.3529867039781,14.0252900453312,13.3345815350797,11.0282857444158,11.5201142064972,11.9302801929968,12.1755002924347,13.1180655699606,12.5128959199169,11.9552044526337,11.9947725679775,11.7468553027454,12.161634197333,10.2370740781904,10.8713513386065,9.91442780757767,8.95750674733084,9.54103646826533,7.48486964786418,6.8382946693209,6.58718226692505,6.1494465254,5.98764599894519,5.74673841161325,6.96481131233675,7.39578453029454,7.84777959428203,7.92184661887477,7.40963932388426,6.89469692324719,7.03030185752672,7.65731879487919,8.21289643089584,8.17975030716469,8.35196963946471,7.6249838343543,8.64191540892534,8.66127787092503,8.35128783232083,8.67350900833569,8.96470493139449],"PASP-FDS^FG_PRICE_MAVG(0,,,,30)":953.93335,"QAT^FG_TOTAL_RETURNC(0,-3AM)":5.5426,"TUR^PERCENT_CHANGE(FMA_EPS(+1,0,,,,\"PORTAGG\",\"MEAN\"),FMA_EPS(+1,-3AM,,,,\"PORTAGG\",\"MEAN\"))":-23.9858523557139,"EPOL^FMA_PCT_ABOVE_MAVG(200,0,,,,\"PORTAGG\")":62.5,"EPU^FMA_COS_DOWN(\"EPS\",\"1M\",+1,NOW,,,\"PORTAGG\",\"MEANR\")":9.0,"ECH^FMA_RBICS_REV_CURRENT(30, LOC, \"PORTAGG\")":31.8032529247925,"TRYMY10Y-FDS^PCTCHG(FG_YIELD(0,,,,\"YTM\"),FG_YIELD(-3AM,,,,\"YTM\"))":1.1082156,"VGK^FMA_DIV_YLD(NTMA,NOW,NOW,M,\"PORTAGG\",\"MEANR\")":3.63179726396542,"INDA^FMA_PE(NTMA,0,,,\"PORTAGG\",\"MEANR\")":26.0963911885011,"ECH^JULIAN(FMA_DIV_YLD(NTMA,NOW,NOW,M,\"PORTAGG\",\"MEANR\").DATES)":45351,"EPOL^FG_COMPANY_NAME":"iShares MSCI Poland ETF","CAGDPY@MX^EE_ACTUAL_ANNUAL(MED,0)":-0.475,"USDTHB^FG_COMPANY_NAME":"Thailand Baht per U.S. Dollar","USDMXN^FG_PRICE_CHANGE(0,-1AY)":-5.7819605,"EWY^FG_TOTAL_RETURNC(-10AY,0,AM)":[5.474019,2.0301223,0.59370995,3.2700539,1.8690109,1.000762,-2.0867705,-9.751612,-2.5144398,-0.8016765,-2.7286112,4.679215,-0.40160418,1.7005563,6.3264966,-8.706224,-0.9589791,-8.786088,-9.219575,8.423555,10.425413,-5.407852,-5.046165,-0.78333616,3.345108,3.9203763,-2.224797,1.8203378,2.6622653,4.353583,3.7547588,-0.48951507,-4.462397,-2.0044148,3.3178926,8.290434,-2.0030558,6.547725,2.4386287,8.966839,-1.2525499,2.0353913,-0.7516563,1.9079447,8.317852,-0.59375167,3.8758278,-2.566123,-2.35008,3.1673431,-0.36197305,-0.7265866,-10.897261,0.33465624,1.2128592,-3.624934,-5.533099,-0.032907724,-2.2173285,9.604227,-2.6459157,1.1670709,-2.9077113,-7.1940064,2.034378,-7.6143026,0.9488344,3.4279466,8.071995,-5.127782,8.15196,-1.0999799,-4.4156733,-21.587355,11.118484,14.550531,1.6008377,5.737293,3.2393932,2.2748709,5.5683374,20.589947,7.246983,3.7250876,-4.4318256,3.5865188,-0.37490726,3.8184881,-0.85288286,-1.8387079,-3.9325297,-9.509688,0.26462078,-1.1059403,0.8529782,-6.3972235,-3.754127,2.914703,-5.233926,-1.8165946,-14.353919,5.8013916,-7.903838,-9.350973,6.3708067,10.21694,-1.9012928,10.031247,-4.416406,-0.08250475,0.016522408,7.5957775,-0.56783557,0.06173849,-2.4988472,-8.637876,3.3246756,3.9886117,3.7237048,-0.1753807,4.7755957],"EIDO^FMA_PE(NTMA,-10AY,0,AM,\"PORTAGG\",\"MEANR\")":[13.6409847009137,14.3619395696715,14.1602704069994,14.2412196727126,13.8047834024498,14.671353798874,14.9248742678413,13.8476998150438,14.3583503217542,15.0916044371183,14.9657655111364,15.5637960236358,16.0831782099825,16.0623472356164,14.8400217705749,14.9419488362259,14.5690629196576,14.3818000044744,13.5163626715238,12.6297728259526,14.4756641538192,14.4585151544878,14.2431570720322,14.7030757719034,15.2749304747562,15.2498610444873,14.6709607421029,14.878491681277,15.4976293174601,16.8315160847733,16.3531350210218,16.9249994052798,15.9136599759787,15.2765066147729,15.3724748309254,15.2969864934501,15.0727252770232,15.6848036628866,15.7455339887975,15.6434833925987,16.0576021165686,15.4658832101648,15.6706460652008,15.7011544549903,15.6065004183268,15.0531476176002,15.788133771327,15.8523218341257,15.382920875959,14.3563341701705,13.3619386319456,13.5776967261456,12.1392349295112,13.3368362097605,13.3495150706631,12.8398151120287,13.4646151412379,14.1335301227437,14.2388110772926,14.6509953268834,14.440919320877,14.215663346676,13.8789815615707,13.673918113259,14.2411955534382,14.766941798841,14.5912016813585,14.096708304213,14.5473853600505,14.7971896765001,15.1364585294629,14.7149051414485,14.0957647136367,10.8447059936948,11.8750968928122,14.9168611887475,16.1739388785901,16.244299460745,16.8876322823673,15.0942799669298,15.4649572941672,17.7922380127717,17.7388905933203,17.3548993795165,16.8300418021396,15.6499380840994,15.789308134511,16.2172785439503,14.9391301476124,14.8196569542635,15.0969125660646,15.1346963794133,15.1469892647377,14.7273977048101,14.7160473424251,14.8768531775593,15.0753706083451,14.9594147891199,14.6639848582523,13.6904702700869,12.2880383451718,12.831355507942,12.9257418775565,12.804989046651,12.7279777126533,12.7832483169064,12.0657255778877,12.3075024322624,11.8432514648297,11.967821537345,12.1131240613399,13.3284347332843,13.359709991075,13.4405829485729,13.6842699972067,13.0764053261144,12.2953206066663,12.5063149685551,12.9630383097664,12.9259948809858,14.2382728957425],"COPP-FDS^FG_PRICE(0)":3.852,"KSA^FG_PRICE_MAVG(0,,,,30)":43.618668,"EPOL^FG_TOTAL_RETURNC(0,-3AM)":6.1323524,"EPHE^PERCENT_CHANGE(FMA_EPS(+1,0,,,,\"PORTAGG\",\"MEAN\"),FMA_EPS(+1,-3AM,,,,\"PORTAGG\",\"MEAN\"))":-4.9788488423029,"TUR^FMA_COS_DOWN(\"EPS\",\"1M\",+1,NOW,,,\"PORTAGG\",\"MEANR\")":11.0,"CNYA^FMA_RBICS_REV_CURRENT(30, LOC, \"PORTAGG\")":21.5842601267149,"REFZAREPO-FDS^PROPER_NAME(0,,,\"SECURITY\",\"NAME\")":"South Africa Repo Rate","TRYIN10Y-FDS^FG_YIELD_NAME":"India Benchmark Bond - 10 Year","CC_TR^IMF_IFS_RCPI_Q(0)":62.72422,"TUR^FMA_PE(NTMA,0,,,\"PORTAGG\",\"MEANR\")":6.52339758464223,"EWY^FMA_PE(LTM,0,,,\"PORTAGG\",\"MEANR\")":18.6094932992425,"EPHE^FG_COMPANY_NAME":"iShares MSCI Philippines ETF","TRYBR10Y-FDS^FG_YIELD(-10AY,0,Y,,\"YTM\")":[12.319731,15.989595,11.062725,9.887577,8.936093,6.883678,6.961219,10.970291,12.900059,10.455909],"EWM^FG_TOTAL_RETURNC(-10AY,0,AM)":[4.197693,1.1695862,1.7341018,0.37878752,3.316319,-0.9282172,-0.062459707,-3.6249995,-1.9455254,-8.862436,-2.4076462,1.7463923,-0.9701431,2.0346642,1.3293982,-8.090383,-0.539279,-4.119551,-18.786854,4.0456414,4.087734,3.7356377,-5.679721,6.6755652,4.75595,5.376339,-6.916094,-1.4616311,3.6755562,-0.96618533,0.4878044,-2.6698947,-2.369082,-6.162196,0.61507225,4.09894,1.0183334,3.2594085,2.6358604,3.0754566,-1.2324929,0.7556677,0.4374981,0.56004524,-1.2995064,2.3511052,8.60157,4.133451,-0.39693713,1.7364144,-2.3782969,-5.2450476,-5.34153,6.388521,-0.91911554,-1.7934442,-3.5264492,-1.1096597,0.9627104,1.9960046,-0.9132445,-1.283735,-1.1337101,-0.06745458,3.3424735,-5.8178186,-1.3060391,-1.5021384,3.848946,-3.8461566,5.0955653,-5.178446,-4.280442,-16.345411,7.9723477,14.980793,-1.0189295,4.5576334,-4.432231,0.4599452,-0.6867528,10.257399,-1.0104537,-2.8511047,-0.90579987,-0.40219426,0.5506635,0.1460433,-4.1455564,-3.6484897,7.6547265,-4.841155,1.8680453,-3.9797068,4.0004134,-1.4124334,5.1985264,0.8171201,-3.164798,-5.858904,-4.824567,3.177476,-2.4197042,-6.7628503,0.29013157,11.041474,-0.47875047,4.185021,-6.976742,1.3636351,-1.4349759,-5.459505,-0.88567734,5.734062,-0.74801445,-4.050863,4.17279,-0.094240904,2.151525,-0.32895207,1.8387556],"EWW^FG_PRICE_MAVG(0,,,,200)":62.377,"EPU^JULIAN(FMA_DIV_YLD(NTMA,NOW,NOW,M,\"PORTAGG\",\"MEANR\").DATES)":45350,"CNYA^FMA_EVAL_EBIT(LTMA,NOW,NOW,M,\"PORTAGG\",\"MEANR\")":16.1452888338932,"EIDO^FG_COMPANY_NAME":"iShares MSCI Indonesia ETF","CNYA^FMA_PE(NTMA,-10AY,0,AM,\"PORTAGG\",\"MEANR\")":[null,null,null,null,null,null,null,null,null,null,null,null,null,null,null,null,null,null,null,null,null,null,null,null,null,null,null,null,13.1781824564606,13.4954628886743,13.9646087843244,13.5583365262821,13.801493280749,14.357397918091,13.2844078906021,13.0548804856184,13.1850114881749,13.2853389737055,13.3007436072378,13.6371099830497,14.2162894648609,13.9747978665205,14.3667675853411,14.2066576499613,14.4649501609437,13.9340094656345,14.1029653853238,14.1958692880357,13.1508579817732,12.5973590190788,11.6274646150455,11.8270867979175,10.5320711398005,10.0041663701384,10.3594726978515,10.5854736064854,10.1720696723895,10.1895503411421,9.53302905655891,10.2263470680679,11.7142373655975,12.2552738471047,11.8487600172177,11.1647541606153,12.0128615316137,11.3245379345648,11.8414605489038,11.5133368799466,11.8542492641418,12.0487243207745,12.8670676243085,11.7854489253888,12.9610929951688,11.9579211486552,13.1016436332262,13.6736878051955,14.8227220340857,16.2505103210558,16.4909484219167,15.6934349794852,15.9940518687965,16.7517623774853,17.4543295147601,18.0171640233688,17.0015300786024,16.2660438071947,16.152857393227,16.8406045042753,16.2799047965959,15.58555694731,15.3282757238486,15.2117611740718,15.2255920216618,15.5179310499705,15.1767824584714,13.7273718126461,13.6032621277807,12.987436891015,12.4847956783951,12.7330320328358,13.8037809556959,12.5554136575545,12.3924534244533,11.626165422174,11.7954275083276,12.0227145961734,11.807171177506,12.5328452683153,12.3951754632823,12.4020638994538,12.2961550206558,11.9509459401564,11.9016876183669,12.2189622847587,12.0635231455117,11.641513877748,11.5976222462723,11.4023290162888,11.0250888970963,10.3164241874496,13.3195767224934],"NI-FDS^FG_PRICE_CHANGE(0,-3AM)":7.49235474006116,"URTH^P_PRICE(0)/P_PRICE_LOW_PR(0,,,USD,,,\"PRICE\",\"INTRA\",\"52W\")-1":0.291286,"MCHI^FG_TOTAL_RETURNC(0,-6AM)":-13.064355,"EPHE^P_PRICE(0)/P_PRICE_LOW_PR(0,,,USD,,,\"PRICE\",\"INTRA\",\"52W\")-1":0.19654429,"TUR^PERCENT_CHANGE(FMA_EPS(+1,0,,,,\"PORTAGG\",\"MEAN\"),FMA_EPS(+1,-1AM,,,,\"PORTAGG\",\"MEAN\"))":-17.3204550073297,"EPHE^FMA_PCT_ABOVE_MAVG(200,0,,,,\"PORTAGG\")":65.7142857142857,"EPOL^FMA_COS_DOWN(\"EPS\",\"1M\",+1,NOW,,,\"PORTAGG\",\"MEANR\")":5.0,"TRYMY10Y-FDS^PCTCHG(FG_YIELD(0,,,,\"YTM\"),FG_YIELD(-1AM,,,,\"YTM\"))":1.0585077,"VGK^FG_PE(0)":12.3288653041064,"INDA^JULIAN(FMA_DIV_YLD(NTMA,NOW,NOW,M,\"PORTAGG\",\"MEANR\").DATES)":45350,"USDMXN^FG_PRICE(0)":16.9755,"TRYVN10Y-FDS^FG_YIELD(-10AY,0,Y,,\"YTM\")":[7.3,6.277413,7.1117578,5.6717234,4.738006,3.5404546,2.4877946,2.059403,4.687226,2.9473283],"CAGDPY@TW^EE_ACTUAL_ANNUAL(MED,+1)":11.5,"USDQAR^STD(FG_PRICE_CHANGE(0,-3AY,M))":0.0113855499090638,"FC0000TR^FMA_EPS(NTMA,-20AY,0,CY,,\"PORTAGG\",\"MEANR\")":[9.86463285413856,13.697013097437,15.4857358154397,22.3352325303583,17.0194207562287,19.5831499482532,23.3457716305229,19.9467070950164,22.8671187954567,20.0828803302685,19.5514117112726,17.4011919479576,16.4826621500299,20.8864123256607,19.0848898388226,22.5659653832585,23.2814278835731,19.7583566298998,36.4008265142301,47.7168770163727],"TIOS-FDS^FG_PRICE_CHANGE(0,-3AM)":-10.3633297562471,"KSA^FG_PRICE(0)":43.94,"INDA^P_PRICE(0)/P_PRICE_LOW_PR(0,,,USD,,,\"PRICE\",\"INTRA\",\"52W\")-1":0.3745532,"EPHE^FG_TOTAL_RETURNC(0,-6AM)":13.989663,"TUR^FMA_PCT_ABOVE_MAVG(200,0,,,,\"PORTAGG\")":84.0909090909091,"SET-BKK^FMA_COS_UP(\"EPS\",\"1M\",+1,NOW,,,\"PORTAGG\",\"MEANR\")":69.0,"KSA^FG_ROE(0)":9.82789369570018,"TRYPE10Y-FDS^FG_YIELD_NAME":"Treasury - Peru Benchmark Bond 10Y","REFBRSELIC-FDS^(SUBARRAY(NOT_NA(NO_REPEAT_F(FG_YIELD(NOW,-10AY,D))),0,1)-SUBARRAY(NOT_NA(NO_REPEAT_F(FG_YIELD(NOW,-10AY,D))),1,1))*100":-50.0,"TRYSA10Y-FDS^PCTCHG(FG_YIELD(0,,,,\"YTM\"),FG_YIELD(-3AM,,,,\"YTM\"))":2.57813,"TRYBR10Y-FDS^FG_YIELD(0,,,,\"YTM\")":10.887092,"CC_TH^IMF_IFS_RCPI_Q(0)":null,"KSA^FMA_EVAL_EBITDA(NTMA,0,,,\"PORTAGG\",\"MEANR\")":12.6350403485301,"TUR^FMA_PE(LTM,0,,,\"PORTAGG\",\"MEANR\")":6.89374693724686,"EWW^FMA_EVAL_EBIT(LTMA,NOW,NOW,M,\"PORTAGG\",\"MEANR\")":10.5547023680576,"TRYID10Y-FDS^FG_YIELD(-10AY,0,Y,,\"YTM\")":[7.922017,8.942368,7.89735,6.462641,8.148183,7.263584,5.902206,6.458283,6.936579,6.498571],"USDQAR^STD(FG_PRICE_CHANGE(0,-1AY,AM))":0.0158925670416409,"FC0000TH^FMA_EPS(NTMA,-20AY,0,CY,,\"PORTAGG\",\"MEANR\")":[31.2696221195453,27.830708973543,28.9087147679287,30.2976622903306,23.8840282811916,35.3892777377471,41.7866258502755,42.2131083571648,48.114746973891,45.5007724746185,42.846065697041,39.0473397635884,39.7546846722989,47.2983820623366,49.7080844180477,48.1240323799116,34.7106307464763,40.2723415312121,42.4815782712942,40.1815773721635],"EPU^FG_TOTAL_RETURNC(-10AY,0,AM)":[3.5849094,-0.42501092,5.0385,-0.30040145,7.84986,-1.1726141,-0.36486983,-7.843685,-0.8421004,0.9537935,-3.6240458,-4.3219566,-2.520454,-1.5782416,6.0388923,-4.3422403,-0.6097555,-10.599863,-14.220357,-0.3111124,2.7115226,-5.8937016,-6.711352,-0.29910207,20.7,5.7166576,14.615989,4.444444,2.2058964,12.439573,-3.4967065,-3.9501011,0.89702606,-0.27612448,3.5471678,5.535722,-4.4275227,1.7114282,-4.061508,3.6589026,0.8474827,5.080998,5.9565544,7.2222233,4.5645237,-5.073154,7.1074486,-0.07097125,-0.23674965,2.6815414,-0.16177297,-1.2037039,-8.249736,2.2170663,-9.029007,1.3307452,-2.5718153,0.70204735,1.2313962,5.5063725,1.6260147,2.838707,-5.043912,-6.3425007,7.0032597,-6.3281593,-2.0648062,0.5563617,4.48457,-4.6544075,8.987772,-4.926908,-7.21184,-32.887756,16.788292,13.227057,-1.3140321,8.158183,2.4703503,-5.5265245,0.61005354,16.503216,2.4448156,0.52508116,3.6438227,-5.27755,-8.458429,9.492278,-16.176313,-8.177412,1.0188699,-1.6436338,10.330415,-4.0275393,12.361681,3.0718923,14.806593,4.142499,-14.558464,-2.6070833,-14.318538,-1.4654875,-2.38747,3.9695263,8.445824,5.903268,-0.22351146,5.513692,-1.6553104,0.59405565,0.2624631,0.12238026,2.9785275,7.1320653,-2.2444725,-9.835559,1.5829325,4.5054197,11.849594,-0.37636757,5.8666587],"UAE^FMA_PE(LTMA,-10AY,0,AM,\"PORTAGG\",\"MEANR\")":[null,null,null,null,null,null,null,null,null,null,11.6490690204424,12.7230386115885,13.1191940805261,13.0263340212762,13.6526274642944,13.4411684133362,13.5446384392144,13.4947514608692,13.3178477514647,13.4510796389945,12.9690005296438,12.2126026968026,13.3826093334772,12.4616660682492,13.0331761122062,13.046635331384,13.1776603818692,13.176969926822,13.3205997413925,13.3559074831783,13.4335754097376,13.7993795720498,12.8708131448553,12.4362659330165,13.235514953179,13.1885815025373,13.414456882311,13.3459975751461,13.2856737865728,12.8558860418262,12.7772270766804,13.2311581742235,12.59680119793,12.1704859637182,12.3854955648195,11.5406943889332,12.1515306861522,12.2999991649049,12.4514249371929,12.3472797705282,12.1170039280114,11.8955713676985,11.9423184111742,12.2584486545998,13.1203891223379,12.8125877087853,12.6995825715028,12.4653235316049,11.8125462046203,12.1587915718051,12.8092768021197,12.7111860678704,12.8391777217515,12.6695314873369,13.09958502359,13.8987498940867,14.2462049194863,13.7818015173329,14.3613933786701,14.3981889980876,16.0588071918669,15.3665379908737,14.6281732558221,13.9345040210631,15.6289057927944,15.8843447808917,17.5472504835002,15.2731420012253,16.6711460118412,15.9203513214785,20.7821926946585,24.6767360054318,24.5561563326371,23.22675159884,27.3621222266997,26.1436084726082,24.8132165504948,24.0306257875732,22.8888455835197,21.6194198525947,20.7016118086373,19.5095225775806,18.8908219299828,18.1004165293636,16.5752308420887,16.8403515075646,17.3687490567661,17.4224930160417,17.340947058296,16.5914988637871,15.6117046908871,15.5533317311671,15.0993172083769,14.585337887124,14.1485920845113,13.7521702033925,12.5601040246468,12.4829134148992,12.2447255649385,12.0521061443274,12.0789250415272,11.8043809496831,11.8255856869647,11.7965808432402,11.2111803007001,11.2168875725925,10.4107405960707,10.19411408963,10.0705405972161,9.86759831927603,9.36705492455679],"NI-FDS^FG_PRICE_CHANGE(0,-1AM)":8.99224806201551,"UAE^FG_PRICE_MAVG(0,,,,200)":14.800627,"URTH^P_PRICE(0)/P_PRICE_HIGH_PR(0,,,USD,,,\"PRICE\",\"INTRA\",\"52W\")":0.99672145,"EPHE^FG_TOTAL_RETURNC(0,-3AM)":10.211002,"EIDO^PERCENT_CHANGE(FMA_EPS(+1,0,,,,\"PORTAGG\",\"MEAN\"),FMA_EPS(+1,-3AM,,,,\"PORTAGG\",\"MEAN\"))":-11.2069851423001,"EPOL^FMA_COS_UP(\"EPS\",\"1M\",+1,NOW,,,\"PORTAGG\",\"MEANR\")":15.0,"UAE^FG_ROE(0)":12.9419933694601,"KSA^FG_FCF_YIELD_NTM(0)":2.56303065910498,"GREK^FMA_EVAL_EBIT(LTMA,NOW,NOW,M,\"PORTAGG\",\"MEANR\")":7.21776276830445,"EPOL^FMA_EVAL_EBIT(LTMA,NOW,NOW,M,\"PORTAGG\",\"MEANR\")":7.52204815254496,"CNYA^FMA_EVAL_EBITDA(NTMA,0,,,\"PORTAGG\",\"MEANR\")":10.7878664651675,"CNYA^FG_COMPANY_NAME":"iShares MSCI China A ETF","EWW^FG_PRICE(0)":65.63,"URTH^FG_TOTAL_RETURNC(0,-6AM)":13.214933,"SET-BKK^FMA_PCT_ABOVE_MAVG(200,0,,,,\"PORTAGG\")":26.4350453172205,"QAT^SIZE(FG_CONSTITUENTS)":35,"TUR^JULIAN(FMA_DIV_YLD(NTMA,NOW,NOW,M,\"PORTAGG\",\"MEANR\").DATES)":45350,"EWW^FMA_EVAL_EBITDA(NTMA,0,,,\"PORTAGG\",\"MEANR\")":6.66623302902966,"SET-BKK^FMA_PE(LTMA,-10AY,0,AM,\"PORTAGG\",\"MEANR\")":[18.8142842453122,18.4673316231962,18.2824105837836,18.0449915017648,17.7691475215956,17.6756959334849,19.0925901149473,19.0826663434152,19.6355133668342,20.2740023806337,19.2508733401759,22.6559874337983,23.5919317171857,22.7700133436565,22.0905645606783,21.5043090175477,20.994889714468,20.097569396628,19.0781300610042,18.3356542847826,18.5400906176266,15.4168718109521,13.8575936212839,15.8937638148541,16.6556459703124,16.5367630338707,16.3449141946767,16.440678702918,16.44752238761,16.6411441050629,16.4829948791182,16.3094600392382,15.8947442977688,16.0562207884455,16.5121515233157,16.6822589419131,16.3667730063428,16.2984360532912,16.1590397315596,16.0508853259376,15.9905631472538,16.0208685558562,16.1974056859024,16.6250643118103,16.9939269865223,17.083342704956,18.245245799133,18.3650037540151,17.8145005953151,17.3302303490323,17.2776589155669,17.0189528721437,16.4209418520875,16.5808987812363,16.3890449214998,16.225667568268,15.7301179105318,15.4549239559106,14.4226790149199,15.5683930496858,16.2119491359137,16.1254643055799,16.1686275678231,16.0381881298989,16.4685438540841,16.2830148245123,16.5212019197133,16.2938503086829,16.9197822370094,16.8725354365969,17.1911254978058,16.3497120672266,14.953867220875,14.6735015465393,15.6641121319933,17.874624192772,18.7857677119314,19.6303865280696,20.6475956133628,20.9233338047878,20.2399210042356,25.0582006748658,27.5899514128149,26.984828744543,27.6464432729907,27.0315827133154,26.1300651682756,24.8086390889454,23.691601526853,22.5352727262376,22.5598695905739,21.1854711756183,20.4215632107901,19.0353015238354,19.1808595193557,18.9979966282819,18.8399705031,18.8114826201711,18.4088687317895,18.1636557218593,17.4351418428861,17.2967080916814,16.8937834322685,16.2823552837061,16.4280819225284,16.8494992083231,16.9540358807343,17.494904211133,17.4303903589906,17.2982556794525,17.0818994631522,17.121091693093,17.1119640158304,17.2840940209202,17.5767422710436,16.7439177623873,16.6601407839636,16.0527069372333,16.1608522528798,15.979815445024,16.8979603184621],"UAE^FG_PRICE_MAVG(0,,,,60)":14.765345,"EPHE^SIZE(FG_CONSTITUENTS)":35,"QAT^FG_ROE(0)":10.1052304344597,"UAE^FG_PRICE_MAVG(0,,,,30)":14.777857,"EWM^FG_PRICE_MAVG(0,,,,200)":21.0002,"ECH^P_PRICE(0)/P_PRICE_HIGH_PR(0,,,USD,,,\"PRICE\",\"INTRA\",\"52W\")":0.7985028,"REFVNDISC-FDS^FG_YIELD(NOW,,,0)":3.0,"EWW^FG_PRICE_MAVG(0,,,,60)":66.401,"TRYPL10Y-FDS^FG_YIELD_NAME":"Treasury - Poland Benchmark Bond 10Y","REFBRSELIC-FDS^FG_YIELD(NOW,,,0)":11.25,"TRYPE10Y-FDS^PCTCHG(FG_YIELD(0,,,,\"YTM\"),FG_YIELD(-3AM,,,,\"YTM\"))":-1.4562865,"USDQAR^FG_PRICE(0)":3.641,"USDTWD^STD(FG_PRICE_CHANGE(0,-3AY,M))":1.76667588702903,"FC0000QA^FMA_EPS(NTMA,-20AY,0,CY,,\"PORTAGG\",\"MEANR\")":[null,null,8.19979965085614,9.86863008324955,11.8416183510855,9.76511455010403,8.67191902894658,9.6607184301563,10.0321675505118,9.69647619984179,9.72756648791858,9.25802090548642,8.13418419337586,7.80636838365136,8.33677509681871,7.7374565221449,7.78465315909482,9.35773101457557,9.97398745950005,9.61320801792281],"TRYSA10Y-FDS^PCTCHG(FG_YIELD(0,,,,\"YTM\"),FG_YIELD(-1AM,,,,\"YTM\"))":3.507322,"GREK^FMA_DIV_YLD(NTMA,NOW,NOW,M,\"PORTAGG\",\"MEANR\")":4.61711724726576,"CNYA^FG_TOTAL_RETURNC(-10AY,0,AM)":[null,null,null,null,null,null,null,null,null,null,null,null,null,null,null,null,null,null,null,null,null,null,null,null,null,null,null,null,null,3.1409264,1.8950939,-1.1363626,1.1877418,3.8621783,-7.3518753,3.4689069,1.0404587,1.4302015,-2.0078897,4.946089,3.4249902,3.8338661,5.470085,1.7795801,0.01910925,0.30249357,5.4269075,3.5151482,-4.42037,-2.4808645,-3.3103049,1.1826873,-14.335859,-2.5583148,-0.34748912,-1.3948023,-0.8039355,-0.7343888,-4.1195273,7.3662877,17.32483,5.8020473,-3.709674,-9.949756,8.529758,-6.127363,3.300333,-1.8359959,6.137538,-3.0323744,8.626926,-6.8189263,10.294115,-12.190479,0.0003695488,7.6641083,11.49851,11.782479,2.5945902,-3.2665908,8.278858,4.2756557,6.0121536,4.154241,-5.5971804,-2.754438,0.40806532,7.889068,-4.075509,-0.8628011,-0.76341033,-2.1284044,3.3281207,1.5581369,-0.53485036,-6.6449823,-0.97063184,-5.3782344,-10.9429,4.0858984,8.914244,-8.355295,-4.4291077,-4.4237137,-2.8022647,4.632318,1.4242768,5.253279,-0.8021414,-0.68882704,-2.9936612,-6.271279,-1.9865274,5.0186515,-6.4901533,-4.7651887,-0.50761104,-1.4212847,-3.688532,-7.756901,13.263977],"TIOS-FDS^FG_PRICE(0)":116.94,"GREK^FG_TOTAL_RETURNC(0,-6AM)":12.377548,"REFBRSELIC-FDS^PROPER_NAME(0,,,\"SECURITY\",\"NAME\")":"Brazil Target Selic Rate","TRYPE10Y-FDS^PCTCHG(FG_YIELD(0,,,,\"YTM\"),FG_YIELD(-1AM,,,,\"YTM\"))":4.544037,"CC_GR^IMF_IFS_RCPI_Q(0)":3.309465,"TRYPL10Y-FDS^PCTCHG(FG_YIELD(0,,,,\"YTM\"),FG_YIELD(-3AM,,,,\"YTM\"))":-4.158209,"CNYA^FMA_DIV_YLD(NTMA,NOW,NOW,M,\"PORTAGG\",\"MEANR\")":2.75719382742403,"TRYMY10Y-FDS^FG_YIELD(-10AY,0,Y,,\"YTM\")":[4.131911,4.345605,4.195897,3.902544,4.235642,3.300551,2.804181,3.573893,4.131847,3.727505],"CC_SA^FG_COMPANY_NAME":"Saudi Arabia","USDMYR^FG_PRICE_CHANGE(0,-1AY)":5.529487,"USDQAR^FG_COMPANY_NAME":"Qatari Rial per U.S. Dollar","MCHI^SIZE(FG_CONSTITUENTS)":662,"CC_TH^FG_COMPANY_NAME":"Thailand","ECH^JULIAN(FG_TOTAL_RETURNC(-10AY,0,AM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],"QAT^FMA_PE(LTMA,-10AY,0,AM,\"PORTAGG\",\"MEANR\")":[null,null,null,null,null,null,null,null,null,null,15.0868993496923,15.0606265418493,15.0121033634611,14.8088339011439,14.8058589156783,14.704987015603,14.5938749044472,14.4983022409804,13.8913165590987,13.9390469471764,13.7980596703593,12.4158210913343,11.8526135404325,11.7982168665558,12.0159054360449,12.1124591873494,12.1608084229907,12.0306183500095,12.2658825618133,12.7872659134784,13.3053330891411,13.1707403669391,13.2169591621742,13.3075006072164,14.7804641338139,14.492872725022,14.8969939638941,14.6430023715687,14.570100840489,14.5644103141896,13.8767064193012,14.1038903119872,13.4658536551579,12.5931181815311,12.8407979461341,12.2733309952219,13.4505459042391,13.3987012280626,12.8150291361151,12.6973402683742,12.5676340243946,12.5940710145799,12.5456473599829,13.0464221640279,13.1529308297631,13.2488284305388,13.8228791156888,14.2517723164627,14.1052222032196,14.4935650226436,13.6146832010668,13.5646930193674,13.7351751540794,13.6007053911033,13.9057295783443,13.84884556096,13.8300254921415,14.06398506631,14.0525723703152,14.0888678973619,14.7681545796229,14.7850367254031,13.830975396715,13.5269483169538,14.0124986373337,14.5696928242632,15.0766683615081,15.7752585271951,16.1270154824719,16.3099514559044,16.690580679498,17.9069320540723,17.3872500738884,17.1137177344939,16.8340651713986,16.7216793409227,16.5236979607597,16.2038861132121,15.9284226717647,15.5559783972996,15.4972314454248,15.5326816451048,15.7680960259955,15.0947764931237,14.8681554283121,15.8215283666738,16.3248831762019,16.1001234714649,15.8410324133602,15.1336595485931,14.7195085338287,15.2476390228784,14.7265155565681,14.5571735890321,13.7767858867382,13.5811018033019,12.1804971598812,12.063658904513,11.8114251363057,11.7875696803719,11.8277912599034,11.701850849639,11.748141738216,12.2478242894056,11.7236214638997,11.5302112875739,11.2169161883632,11.3586541356471,11.7516637451833,11.2152422093296,11.6669590931203],"GREK^FG_TOTAL_RETURNC(0,-3AM)":12.651121,"ECH^FG_TOTAL_RETURNC(0,-6AM)":-9.470499,"INDA^PERCENT_CHANGE(FMA_EPS(+1,0,,,,\"PORTAGG\",\"MEAN\"),FMA_EPS(+1,-1AM,,,,\"PORTAGG\",\"MEAN\"))":-14.1529077330767,"ECH^PERCENT_CHANGE(FMA_EPS(+1,0,,,,\"PORTAGG\",\"MEAN\"),FMA_EPS(+1,-3AM,,,,\"PORTAGG\",\"MEAN\"))":4.68811631529015,"EIDO^FMA_COS_UP(\"EPS\",\"1M\",+1,NOW,,,\"PORTAGG\",\"MEANR\")":19.0,"MCHI^FG_ROE(0)":10.6948722051233,"TRYTR7Y-FDS^PCTCHG(FG_YIELD(0,,,,\"YTM\"),FG_YIELD(-3AM,,,,\"YTM\"))":7.23698,"CC_BR^IMF_IFS_RCPI_Q(0)":4.7076507,"KSA^FMA_PE(NTMA,0,,,\"PORTAGG\",\"MEANR\")":21.8695965204228,"EPHE^FMA_EVAL_EBIT(LTMA,NOW,NOW,M,\"PORTAGG\",\"MEANR\")":13.6900780038393,"USDMYR^FG_COMPANY_NAME":"Malaysian Ringgit per U.S. Dollar","FC0000MX^FMA_EPS(NTMA,-20AY,0,CY,,\"PORTAGG\",\"MEANR\")":[12.7623750851153,17.4927009872891,24.3227140078413,28.6358691988307,18.3981121787071,21.1225586549364,25.2833135475083,25.3632619889916,28.0716519822771,26.2005304543781,23.6403453539385,20.9545559014505,19.8032110904755,23.4173783162506,25.5454576160172,25.3691273780414,22.3569609119383,28.1816281678625,32.5319871082448,39.3662186301441],"MCHI^FMA_PE(LTMA,-10AY,0,AM,\"PORTAGG\",\"MEANR\")":[9.30418966266939,9.27744522155945,9.1960762726117,9.2983876339264,9.4295010037906,9.70547563368795,9.89896246327087,9.28306759138205,9.55167961123423,9.90941049168586,10.3565038181273,10.5953630078414,10.813528510991,10.9815919135102,11.5621961782633,11.493996631358,11.0948764288738,10.3877205333614,9.56514291306609,9.82929834194366,10.3692201646661,9.97205700774237,10.461568478299,9.40381078596333,9.34522771909135,9.55572115416119,9.63140506931801,10.2382537200477,10.4559688870478,11.0473492239977,12.1012373211574,12.7539351725342,12.6894343079414,13.0696748092159,13.2223782279887,13.663710809673,14.0422619040381,13.9650721624185,13.8975541913051,14.0890426724976,14.0740360108915,14.5646164383314,14.5388959276112,15.1076091655255,15.1765215891528,15.0394106799328,15.9752947591378,16.1488276261151,15.3196825981027,14.9284101866257,14.7640408840465,14.8042207696221,14.2047659380358,13.8115017544129,13.4675574709011,12.8166617071438,12.5207925859058,12.5384804704509,11.3848499115122,12.5615100513583,12.880812217478,12.9270632988142,12.9370505740745,12.371127691041,12.7511582556053,12.3437714477616,12.497304304135,12.2829267850767,12.6715080915389,12.7219708621977,13.9548136289274,13.3845988615303,13.0912198702118,12.9259051819474,13.0544234628458,13.8649678885264,14.4716023500369,15.4230298509627,15.8594403001815,15.9409894446821,17.3301246486824,17.7599318351365,18.3946374757213,21.1575759601981,19.7451219840771,19.4410195060579,18.9703334556562,18.944112154352,18.6159962438559,17.3234382541697,16.9913218075702,15.6613563337607,19.0082295292296,14.6074066785218,13.8389262262029,14.0304760557835,12.9584384327618,12.8946633695714,12.635344621667,12.7125040832874,13.1092156524071,12.4645924781105,12.431878225272,11.4620921020454,10.8897970084107,12.0508528421547,12.9883695249885,13.4666654860408,12.4478961659559,12.3232543855999,12.090748132908,11.8566287983596,11.8741420748621,12.1340567285989,11.8009479696931,11.1934968150257,11.4000076480897,10.7939107542146,10.7584798178677,9.77971459037179,10.6988742278433],"CC_QA^FG_COMPANY_NAME":"Qatar","VNM^FMA_DIV_YLD(NTMA,NOW,NOW,M,\"PORTAGG\",\"MEANR\")":2.6937472044039,"KSA^FMA_DIV_YLD(NTMA,-10AY,0,AM,\"PORTAGG\",\"MEANR\")":[null,null,null,null,null,null,null,null,null,null,null,null,null,null,null,null,null,null,null,4.54992710264549,4.6959200545445,4.51943906393361,4.76701795412372,5.15216132914023,4.79845570081548,4.68464099875893,4.25084371107932,4.06636745562554,4.25538550661898,4.43934946823597,4.77721178850205,4.99398715217149,4.58315593829078,3.76294898964184,3.76343727515652,3.77489653012546,3.86047584791442,4.01409413701851,4.09658350378425,3.98465467267617,3.59445337933167,3.86693674273046,4.07161994066141,4.23249092677633,4.40573346687041,4.30389264360761,4.26634601673702,4.13408236869018,4.30580272309706,3.8881155280335,3.86651846090316,3.65892955820511,3.86679988916358,3.88180709873168,4.16228701617981,4.18519361528653,4.21128187202341,4.17523924924859,4.2485053685503,3.95802109731425,3.87608712329009,3.69189986166064,3.60416241432921,3.98362525672633,3.85491757491223,3.95492012098811,4.11184155249721,4.24115394492423,4.32484121091796,4.2119279980495,3.98002905320396,4.22164273824209,4.66037372905901,4.98498818502588,4.70359969825572,4.06300955436611,3.90995194592762,3.77777065398452,3.49353544519123,3.40256721935154,3.51672833054825,3.38903943900154,3.55281837320425,3.63126472976336,3.52853455389323,3.33510942025712,3.2572394440963,3.25124588535522,3.22247572966536,3.19496711839044,3.08309651941238,3.07451307001819,2.96201988363328,3.27053948396156,3.21512157037506,3.08288670801676,2.90990917962371,2.84413011331751,2.63429815859763,2.9709583164012,3.25136901665109,3.16205971627581,3.20643034624889,3.35769006867325,3.41083670169473,3.58528905536932,3.75073547073053,3.74099150307295,3.83779357647596,3.52182698967155,3.44819788327538,3.55925757223357,3.42300475815017,3.5347354602996,3.55574992552712,3.79980681817601,3.83635466981011,3.74903735269942,3.39450053683892,3.45594069371692,3.01622850007321],"PLATI-FDS^FG_PRICE_CHANGE(0,-3AM)":-4.38502673796791,"EWZ^P_PRICE(0)/P_PRICE_LOW_PR(0,,,USD,,,\"PRICE\",\"INTRA\",\"52W\")-1":0.3196001,"ECH^FG_TOTAL_RETURNC(0,-3AM)":-4.042101,"INDA^FMA_PCT_ABOVE_MAVG(200,0,,,,\"PORTAGG\")":77.0992366412214,"CNYA^PERCENT_CHANGE(FMA_EPS(+1,0,,,,\"PORTAGG\",\"MEAN\"),FMA_EPS(+1,-1AM,,,,\"PORTAGG\",\"MEAN\"))":-15.3700375952153,"MCHI^FMA_COS_DOWN(\"EPS\",\"1M\",+1,NOW,,,\"PORTAGG\",\"MEANR\")":214.0,"ECH^SIZE(FG_CONSTITUENTS)":29,"EWZ^FG_ROE(0)":19.758409936509,"REFMXTON-FDS^(SUBARRAY(NOT_NA(NO_REPEAT_F(FG_YIELD(NOW,-10AY,D))),0,1)-SUBARRAY(NOT_NA(NO_REPEAT_F(FG_YIELD(NOW,-10AY,D))),1,1))*100":25.0,"TRYTR7Y-FDS^PCTCHG(FG_YIELD(0,,,,\"YTM\"),FG_YIELD(-1AM,,,,\"YTM\"))":5.1373744,"CC_KR^IMF_IFS_RCPI_Q(0)":3.404687,"KSA^FMA_PE(LTM,0,,,\"PORTAGG\",\"MEANR\")":23.2636474969611,"SET-BKK^JULIAN(FMA_DIV_YLD(NTMA,NOW,NOW,M,\"PORTAGG\",\"MEANR\").DATES)":45351,"EPHE^FMA_EVAL_EBITDA(NTMA,0,,,\"PORTAGG\",\"MEANR\")":9.90864240028151,"CNYA^FMA_PE(LTM,0,,,\"PORTAGG\",\"MEANR\")":13.8509561597744,"VGK^P_PRICE(0)/P_PRICE_LOW_PR(0,,,USD,,,\"PRICE\",\"INTRA\",\"52W\")-1":0.19288051,"MCHI^FMA_COS_UP(\"EPS\",\"1M\",+1,NOW,,,\"PORTAGG\",\"MEANR\")":120.0,"EWT^FG_ROE(0)":9.47623099198739,"GREK^JULIAN(FMA_DIV_YLD(NTMA,NOW,NOW,M,\"PORTAGG\",\"MEANR\").DATES)":45351,"CC_US^IMF_IFS_RCPI_Q(0)":3.2433991,"UAE^FG_COMPANY_NAME":"iShares MSCI UAE ETF","CC_BR^FG_COMPANY_NAME":"Brazil","USDPEN^STD(FG_PRICE_CHANGE(0,-3AY,M))":2.41178542833103,"FC0000TW^FMA_EPS(NTMA,-20AY,0,CY,,\"PORTAGG\",\"MEANR\")":[9.12031426379573,8.9303476254386,10.2763772347485,12.3642519570992,4.81199406443955,7.91488615207717,11.8918959542291,8.78728433127933,9.24807829331148,10.3356087291291,11.5748258148764,10.8182747076803,11.1314122132999,13.6882434720029,12.8934590818377,12.9786240170966,15.9439970065549,24.3051164393724,19.7601608520258,19.096081665624],"EWZ^FMA_PE(LTMA,-10AY,0,AM,\"PORTAGG\",\"MEANR\")":[11.3357047827036,11.4220870110077,11.5723894719453,11.533991638563,11.7995701747188,12.2070668508505,13.101462166825,12.3184894460862,12.6529396836046,12.3258852881716,12.031497452811,12.3729762572714,12.868622625711,13.1851384600131,13.9395664698409,13.8192793765756,13.7011480595632,13.2797358589307,12.6723731240921,12.5198338251554,12.5727005392234,12.5376793191669,11.6726133871233,11.5309302116847,12.9544194689805,13.0828397067232,13.0925454483979,13.0786851204858,13.3009299606477,14.1691485691564,14.671091085014,14.6276397920742,14.7421025881364,14.7479196852206,15.0957775307436,15.5842227139862,16.8446167216415,16.3957946747067,15.978130312612,15.3939405455762,15.0244999108373,15.3044751058037,15.3933543763867,15.76121730188,14.8811786088286,14.6233228126056,15.2740892972009,16.2829515374467,16.5689358601382,16.1484431013847,15.6831913049053,15.0706388257779,14.2364796447885,14.4267094987633,13.2383889744873,13.6061092752295,14.1022507921051,14.0741042303247,14.3595211824485,15.36433589877,14.7488634667041,14.4812035266139,14.1281458605269,14.1321905017032,14.2793926835631,14.514018272725,14.1744194563079,14.3946586201897,15.5426217820368,15.8108722362438,17.5323856963451,17.0642431878654,17.0909593110283,16.0737323069489,16.7828622325278,19.3287580543733,29.2238404994409,32.824725367392,35.2759704085927,28.4159441241335,28.4945207815376,32.806282191914,36.4868502356459,28.8527893629731,20.5590779380768,19.3681171071388,17.9503916546996,17.1094768430748,15.8555219751141,14.0483095588725,12.409623934813,10.7158297973512,9.18816170894729,7.73749785572548,6.43291129586558,7.0486657634659,7.0797878850285,7.06405201762777,6.68448942692764,6.66357096387996,6.19405398941611,6.27198990936443,6.17326706701706,6.28630231653833,6.33432656158937,5.88026458567047,5.46271728169062,5.7895941400499,5.54231632684392,5.61815894170873,5.74017261040768,6.20584184404075,6.8299326454778,7.06923736231483,7.20661641035494,7.18245229516869,7.44387454992464,8.13401229719541,8.61814968916982,8.11687803425307,8.70037241315001],"PLATI-FDS^FG_PRICE(0)":894.0,"EWM^FG_PRICE_MAVG(0,,,,30)":21.314667,"REFVNDISC-FDS^PROPER_NAME(0,,,\"SECURITY\",\"NAME\")":"Vietnam Discount Rate","TIPSCL10Y-FDS^PCTCHG(FG_YIELD(0,,,,\"YTM\"),FG_YIELD(-1AM,,,,\"YTM\"))":-53.505203,"TRYMX10Y-FDS^FG_YIELD(0,,,,\"YTM\")":9.2127,"REFTR1WREPO-FDS^FG_YIELD(NOW,,,0)":45.0,"EPOL^FG_ROE(0)":14.2407626350079,"TRYFR10Y-FDS^FG_YIELD(-10AY,0,Y,,\"YTM\")":[0.837,0.9989,0.682,0.785,0.71,0.118,-0.344,0.201,3.07,2.534],"CC_KR^FG_COMPANY_NAME":"South Korea","USDEUR^STD(FG_PRICE_CHANGE(0,-3AY,M))":2.27878581990319,"USDPEN^FG_PRICE(0)":3.7656,"FC0000MY^FMA_EPS(NTMA,-20AY,0,CY,,\"PORTAGG\",\"MEANR\")":[10.1502703335633,10.4437641251748,12.9724796418955,18.2503396188415,14.0466581252587,15.3757138406976,21.4306644102707,21.3490176148404,22.6884806281536,22.3178913580133,20.4911207311994,16.0128576219857,14.3791410735133,17.4218065826708,16.3463734540467,15.6987954764485,16.3882261576277,16.0109602108945,16.7075627044622,16.7744907426134],"QAT^FMA_DIV_YLD(NTMA,-10AY,0,AM,\"PORTAGG\",\"MEANR\")":[null,null,null,3.79447528245519,4.23302241089978,4.09470783833922,3.97635312792247,4.01392649861292,4.02998536938229,4.30322507615454,4.4478774477712,4.23243481592271,4.27269343745184,4.58882638724177,4.51293962147853,4.57524039729968,4.60772444459874,4.75880891646063,5.01988265891236,4.94190998813943,4.8522997394017,5.44523791900786,5.54312716820441,5.69188641052755,4.75503313981316,4.27503575869733,4.45647207096335,4.40080780262337,4.25598298850967,3.91941918727808,3.74610742160267,3.94767636467569,4.03097023730326,4.23276403902539,3.70817840831527,3.79397686393883,3.78585110423409,3.92794445132073,3.96389555210975,4.07969594105624,4.53302724097102,4.17758058204907,4.50433218853723,4.72425737783952,4.50026014828319,4.72484765667722,4.29269373927464,4.33880478077307,4.85381836501789,4.90800320394685,4.7625229410241,4.80342619966966,4.82296242799035,4.36650791592911,4.23673143387385,4.33105958985911,4.34237189968574,4.31605997417855,4.53207628348741,4.29028193141727,4.53874534680524,4.40748084831701,4.16684255991074,4.18948978672078,4.13002994778529,4.13304720493354,4.18486368118866,4.13595961522521,4.12293190936423,4.10194680319274,4.02194086820905,4.21182114041672,4.54707406663265,4.65202966360776,4.29265791244847,4.03420606272256,3.79122873763226,3.68437518810137,3.65211521921318,3.48865072181524,3.82516942652268,3.64451575906174,3.67892090157945,3.80666970120838,3.97440938329686,3.80784926737296,3.75538745810847,3.79089785190381,3.82115794554376,3.81304900526576,4.00824372571695,3.91538333885317,3.76922581290469,3.94020833447282,4.05677829057182,3.89593680600263,3.68749256500742,3.77883109183656,3.8293974021581,4.28282605908517,4.31112571029893,3.85357979327054,3.99724400183126,3.92253366989221,4.07018210728295,4.23947447619614,4.77657367357601,4.64567918394666,4.74516492527329,4.76591458758808,4.69648375060394,4.81119065165675,4.74037768524805,4.46446886247339,4.66776895965398,4.72372479208396,5.02826598027718,4.96827190265423,4.79215276138679,4.92385427497745,4.40637511023362],"EIDO^FMA_PE(LTMA,-10AY,0,AM,\"PORTAGG\",\"MEANR\")":[15.6036808825278,15.6698115718987,15.5822517736807,15.5888832318105,15.3749720306505,15.7592952304139,16.0283040176068,15.2600686707068,15.8285311493078,16.5295361878758,16.9032477597894,17.1993959250211,17.98911690122,17.8954018452139,17.3857313052164,17.2964715995941,16.9835167787929,16.8005176768551,16.0398952129228,15.1378774173924,16.5686878302179,16.4025024866069,15.9585104581782,16.4348923382159,16.8503684287173,16.7603220556126,16.4879736724711,16.5171652697214,16.8616337285482,17.8657322033813,17.7779469629173,18.4614919908471,17.8530826694541,17.4850864776254,18.0062207825194,17.6642419897505,17.5198784224215,17.5057230178134,17.4466566891862,17.3423142815278,17.5288663335166,17.1672563756189,17.3595832748853,17.4174169444389,17.3667683905709,16.9025551403294,17.8818290768316,18.2179193267017,17.671830375458,17.2209180183857,16.6475616896681,16.4568480523338,15.453660445598,15.8632394905823,15.6223838210609,14.9936995836151,15.3564910202285,15.763109419263,15.7754546621359,16.239974729823,15.905141300121,15.7513878342479,15.5530511624684,15.3864189392098,15.6349465582567,15.9757738234546,15.9038779467244,15.5547479271156,16.0047725436818,16.3441055798877,16.8133773236766,16.8081996876118,15.1759451816206,14.3048754736918,14.3919759711224,15.7635968771728,16.8324151764953,17.5446951923135,19.0425409271996,18.2771687977027,19.805629861986,24.0886796596357,25.1807503365686,24.7186092265586,24.0059160787008,23.1340210880619,22.464617082412,22.0328397890219,20.8201427045925,20.0834406680635,19.7267325918033,19.2172411178233,18.345259404776,17.4171180340616,16.9218103147301,17.0557916505193,17.4221835940073,17.2040601601048,16.8988942404287,16.2155257258906,15.2079530707736,15.0464534470533,14.693903671211,14.1922843926058,13.6455444992692,13.2964037930916,12.2254912737355,12.507820006738,12.0345977684643,12.0807710702569,12.1593004227073,12.790573524051,13.0094049482995,13.2615897058054,13.6533423284834,13.4228002377376,13.0203534444258,13.4432316171118,14.0988985484609,14.1857232789242,14.4257413470304],"VGK^FG_TOTAL_RETURNC(0,-3AM)":6.92575,"EWZ^P_PRICE(0)/P_PRICE_HIGH_PR(0,,,USD,,,\"PRICE\",\"INTRA\",\"52W\")":0.9230554,"SPY^PERCENT_CHANGE(FMA_EPS(+1,0,,,,\"PORTAGG\",\"MEAN\"),FMA_EPS(+1,-1AM,,,,\"PORTAGG\",\"MEAN\"))":-9.53125538140812,"GREK^PERCENT_CHANGE(FMA_EPS(+1,0,,,,\"PORTAGG\",\"MEAN\"),FMA_EPS(+1,-3AM,,,,\"PORTAGG\",\"MEAN\"))":8.79020494216877,"SPY^FMA_COS_DOWN(\"EPS\",\"1M\",+1,NOW,,,\"PORTAGG\",\"MEANR\")":94.0,"INDA^SIZE(FG_CONSTITUENTS)":138,"ECH^FMA_COS_DOWN(\"EPS\",\"1M\",+1,NOW,,,\"PORTAGG\",\"MEANR\")":8.0,"TRYTH10Y-FDS^PCTCHG(FG_YIELD(0,,,,\"YTM\"),FG_YIELD(-3AM,,,,\"YTM\"))":-13.4101305,"CC_TW^IMF_IFS_RCPI_Q(0)":null,"KSA^JULIAN(FMA_DIV_YLD(NTMA,NOW,NOW,M,\"PORTAGG\",\"MEANR\").DATES)":45350,"QAT^FMA_EVAL_EBIT(LTMA,NOW,NOW,M,\"PORTAGG\",\"MEANR\")":15.831228894215,"EWT^FMA_EVAL_EBITDA(NTMA,0,,,\"PORTAGG\",\"MEANR\")":11.6159174483773,"EPHE^FG_FCF_YIELD_NTM(0)":6.55011037178749,"KSA^FG_COMPANY_NAME":"iShares MSCI Saudi Arabia ETF","EWT^FG_FCF_YIELD_NTM(0)":4.70338278810931,"USDEUR^STD(FG_PRICE_CHANGE(0,-1AY,AM))":2.04597175672263,"USDPEN^FG_COMPANY_NAME":"Peruvian New Sol per U.S. Dollar","CPALM-FDS^FG_PRICE_CHANGE(0,-1AM)":6.04540654699051,"SET-BKK^FG_PRICE_MAVG(0,,,,30)":1381.816,"SPY^FMA_PCT_ABOVE_MAVG(200,0,,,,\"PORTAGG\")":72.962226640159,"SPY^FMA_COS_UP(\"EPS\",\"1M\",+1,NOW,,,\"PORTAGG\",\"MEANR\")":239.0,"CNYA^SIZE(FG_CONSTITUENTS)":520,"EWM^FG_ROE(0)":7.53462957183998,"REFAEREPO-FDS^(SUBARRAY(NOT_NA(NO_REPEAT_F(FG_YIELD(NOW,-10AY,D))),0,1)-SUBARRAY(NOT_NA(NO_REPEAT_F(FG_YIELD(NOW,-10AY,D))),1,1))*100":25.0,"REFMYON-FDS^(SUBARRAY(NOT_NA(NO_REPEAT_F(FG_YIELD(NOW,-10AY,D))),0,1)-SUBARRAY(NOT_NA(NO_REPEAT_F(FG_YIELD(NOW,-10AY,D))),1,1))*100":25.0,"TRYCN10Y-FDS^PCTCHG(FG_YIELD(0,,,,\"YTM\"),FG_YIELD(-3AM,,,,\"YTM\"))":-12.2565565,"CC_PH^IMF_IFS_RCPI_Q(0)":null,"VNM^FMA_EVAL_EBIT(LTMA,NOW,NOW,M,\"PORTAGG\",\"MEANR\")":19.9390933632469,"EZA^FMA_EVAL_EBITDA(NTMA,0,,,\"PORTAGG\",\"MEANR\")":7.50925020358567,"TRYTH10Y-FDS^PCTCHG(FG_YIELD(0,,,,\"YTM\"),FG_YIELD(-1AM,,,,\"YTM\"))":-3.8010025,"QAT^FMA_EVAL_EBITDA(NTMA,0,,,\"PORTAGG\",\"MEANR\")":9.43473274376874,"QAT^FG_PRICE(0)":18.09,"EZA^FMA_COS_DOWN(\"EPS\",\"1M\",+1,NOW,,,\"PORTAGG\",\"MEANR\")":14.0,"EWY^P_PRICE(0)/P_PRICE_LOW_PR(0,,,USD,,,\"PRICE\",\"INTRA\",\"52W\")-1":0.20389056,"CC_MX^FG_COMPANY_NAME":"Mexico","USDPLN^STD(FG_PRICE_CHANGE(0,-3AY,M))":3.51385786209571,"FC0000PL^FMA_EPS(NTMA,-20AY,0,CY,,\"PORTAGG\",\"MEANR\")":[11.3956611787009,13.1552545733141,20.1382940093796,27.2509703511728,17.8154691533002,15.6334740740598,20.0842977011357,17.7256437482491,16.740047713355,17.3182407358996,14.5525654325642,12.4912768812566,13.2484078165723,19.4716186195535,18.0244220851928,16.9181600231376,12.7251193000516,16.7959254186769,17.0889243836624,23.3955887248491],"ECH^FMA_PE(LTMA,-10AY,0,AM,\"PORTAGG\",\"MEANR\")":[15.6145028601608,15.5680686512875,15.6708560901989,15.8704842300345,16.0651412784902,16.2585848617624,16.7028935635618,16.2829222952869,15.9890262180581,17.041743932529,16.75473510868,16.3966275780789,16.6529265283695,16.4345048918826,16.3927607148367,16.1064675229773,15.5872180921036,15.1428938945913,15.3461770044213,14.9780696221897,16.0459313261503,15.9295977338882,15.8363309022421,15.6446632688501,15.5492439707843,15.4564170253032,15.4188164540386,15.1772421644432,15.4055470707204,16.0366870194766,16.0233313280443,15.8704953819488,16.8337332307527,16.4849117719887,15.5425029892371,16.3265401421986,16.8161904129355,17.0630322214271,17.2105729461826,17.2371109030877,17.5135857328311,18.2365267454521,19.6135053247665,15.8201003465452,18.5988111962604,16.2605009289916,18.3035061047078,18.2713050812839,17.5317931691996,17.1278389161968,16.8586473819873,16.0884055611586,15.3671607103656,15.4378680662089,14.9170261615176,14.993599580183,16.9320735077725,17.210630270861,16.7068059838083,18.0321210065069,15.7673030874754,15.7245989062969,15.8447906978149,15.6487009931995,16.0346726940098,15.6266621860928,15.597834730444,16.7348702808423,15.8629871836613,15.3760962506354,15.5674999645639,14.9892677870366,15.7503662051947,15.0184858369317,15.1585035248593,15.9293674009311,17.2816886465152,18.6962209823542,19.656021659065,19.3803427925595,19.4615648073364,23.6111011968693,23.4458678819102,25.9945817876795,32.3082739678593,30.5823235138167,28.1775255201053,25.4942959564652,23.5472280564104,20.4486736437795,18.7928003362606,16.1921091813061,13.8699593801361,11.1967260225417,9.75817597964567,9.28314516232856,9.87254450317135,9.85739081694274,9.56949396837086,8.602747790339,7.89712834462123,7.50794106892243,7.28154396575395,7.4603967843326,7.2458748487822,5.80730294723533,5.28253496928202,5.94347575710537,5.8817018952001,5.88127038262486,6.18699253300172,6.60473245463427,7.10768227979612,7.7440708215046,7.87752496971044,7.76146463131509,8.06460625726125,7.84496121743929,8.32712286064251,8.5206275422005,7.03444364076779],"QAT^FG_PRICE_MAVG(0,,,,200)":17.757387,"EPU^FG_PRICE_MAVG(0,,,,30)":34.244957,"KSA^P_PRICE(0)/P_PRICE_LOW_PR(0,,,USD,,,\"PRICE\",\"INTRA\",\"52W\")-1":0.22806036,"EWZ^FG_TOTAL_RETURNC(0,-6AM)":8.722698,"EPHE^FMA_DIV_YLD(NTMA,NOW,NOW,M,\"PORTAGG\",\"MEANR\")":2.73459708345032,"EWJ^PERCENT_CHANGE(FMA_EPS(+1,0,,,,\"PORTAGG\",\"MEAN\"),FMA_EPS(+1,-3AM,,,,\"PORTAGG\",\"MEAN\"))":-10.1999095336708,"EWJ^SIZE(FG_CONSTITUENTS)":219,"EPU^FG_ROE(0)":10.3842354978066,"USDEUR^FG_PRICE_CHANGE(0,-6AM)":-0.7180035,"VNM^P_PRICE_RETURNS_PR('52W',2,-10AY,0,AM)":[12.261522,8.575702,7.227993,-0.6807327,14.927554,17.172575,40.212322,27.079033,15.154481,7.138121,5.0242662,-10.872757,-9.520549,-21.134663,-9.919685,-11.18331,-6.080425,-14.521778,-32.18142,-27.492779,-16.2472,-20.629257,-18.161774,-22.66333,-20.028597,-14.556718,-15.803253,-11.784291,-19.015593,-15.35818,-3.2957733,-2.4193108,-15.845251,-10.525352,-8.419662,2.4632096,-4.906207,5.749202,1.2295842,3.3117533,6.2400103,4.373789,0.6764531,2.3254037,18.695736,32.223022,39.787247,37.19133,39.740635,45.502758,27.773739,22.20912,0.712955,12.181187,12.219214,11.660444,-4.0475903,-7.49765,-18.79161,-14.827818,-8.016926,-15.747637,-4.666209,-7.3428035,8.274042,0.13064146,-2.5300384,-0.22835135,10.263432,2.2287726,11.969482,-2.961719,-16.49658,-36.219425,-27.048647,-13.071066,-14.618004,-9.956825,-3.846705,-6.3598814,-6.660527,3.9303303,9.527624,18.703604,24.765718,80.32093,57.08878,44.280697,51.786434,38.80613,36.500786,29.154491,31.203222,24.496185,23.292053,11.029112,13.634396,5.376518,-8.362466,-20.074814,-30.270874,-22.738665,-23.770386,-32.33319,-43.580418,-37.720734,-41.91188,-37.32163,-40.83754,-35.544205,-29.6502,-18.97137,-7.3561788,-0.25138855,0.21067858,3.450954,11.192978,6.835234,10.035539,8.803391,23.757685],"EWM^FMA_DIV_YLD(NTMA,-10AY,0,AM,\"PORTAGG\",\"MEANR\")":[3.13402831445942,3.11995304183306,3.10712642674051,3.12318700703081,3.12262388544524,3.15695965179843,3.12077301066678,3.20856720109384,3.20921205885262,3.34350638376182,3.31433153802784,3.22958217780747,3.13990146970396,3.15392872983743,3.1493660898767,3.2438569923412,3.2594032098575,3.27331299588846,3.52012243173695,3.39817448656519,3.26788184982274,3.28314933063496,3.32015960187959,3.26046483285895,3.10481167206684,3.03153800615455,3.16932450986036,3.07996690417152,3.0577501382467,3.01081280206452,2.94396318544016,2.96915793809975,2.9873959217737,3.00194337582839,3.01669625800829,2.98886934987591,3.00024777388668,2.96396254149874,2.96025710489655,3.01142436995719,3.02793261231353,3.02851573579058,3.02214697801929,3.08036186364705,3.21092723300044,3.29279852714413,3.13877368370347,3.06566882841655,3.16907630241934,3.26381308213837,3.22659529775308,3.26674721731321,3.39860993320689,3.20632002856089,3.15671601152179,3.23218917706069,3.37091715381114,3.30876929698448,3.32142773726388,3.2782643672053,3.29649878266594,3.37544071498456,3.38863595503034,3.33729627479517,3.38576392773991,3.46846070801204,3.50926157913504,3.60273854562233,3.48477579009704,3.54160479074508,3.42717598934066,3.62009251577053,3.73269905006751,4.06163628295628,3.75941788932128,3.00197269604541,3.05371770178362,3.0914677705182,3.14915789208374,3.29439819694926,3.55730544065153,3.42341386623144,3.71615165438849,3.82607397246555,4.00091432860639,4.05933205277505,4.01682159365549,4.15179832995741,4.21567462825211,4.30300209010121,4.00782422264451,4.08194550849246,3.97546999703582,3.96605940647568,3.76794385080381,3.86716577950849,3.77627656447403,3.78299541016406,3.83064955295423,3.97398576907036,4.18217664488216,4.03374644645574,4.12018359091496,4.37583362322183,4.29831617074155,4.17422721783257,4.25765994128516,4.21883345948946,4.37652647988682,4.41122160834263,4.40961043908035,4.4571459764954,4.42059450462336,4.28195646813085,4.24340427802819,4.3864046068988,4.29802375321324,4.30556651230863,4.26490396149557,4.21653067778778,4.1210936331915],"CPALM-FDS^FG_PRICE_MAVG(0,,,,30)":3942.3333,"EZA^FMA_PCT_ABOVE_MAVG(200,0,,,,\"PORTAGG\")":45.4545454545455,"CC_MY^FG_COMPANY_NAME":"Malaysia","USDPLN^STD(FG_PRICE_CHANGE(0,-1AY,AM))":3.2109010037492,"GREK^P_PRICE_RETURNS_PR('52W',2,-10AY,0,AM)":[38.620853,68.868576,27.917957,34.222244,56.000053,22.151434,21.130741,-8.566737,-26.27818,-25.347244,-38.980877,-45.987946,-49.180424,-55.059937,-47.43167,-47.968586,-52.973907,-54.340706,-55.316933,-46.674503,-35.38863,-49.380566,-40.466183,-43.627155,-41.81999,-33.617794,-33.53418,-31.201195,-32.915836,-24.647925999999998,-17.729795,-23.21828,-29.987865,-6.6734734,3.1120539,15.952444,12.430107,12.618982,20.929993,18.201946,48.041534,49.893784,39.141273,30.755054,32.990326,20.455276,33.21955,47.857346,34.00867,24.243904,13.512492,-1.523608,-9.453917,-10.821671,-16.949451,-11.394691,-18.701136,-15.833825,-31.763727,-32.248817,-21.81388,-13.472038,-16.587013,-1.577568,11.084854,7.1712494,12.565958,14.711618,36.705338,31.581402,50.387264,32.029106,4.787779,-35.03063,-27.784431,-23.308681,-29.153835,-27.346104,-21.78939,-23.93037,-35.83177,-9.591282,-12.249147,-15.207356,8.52865,76.78329,60.595047,47.800148,43.180622,41.043724,45.498646,40.32016,53.384853,8.018923,5.959618,25.786448,-1.9970298,2.9818177,-2.3554862,-4.8117757,-15.121299,-10.665905,-20.319695,-14.690882,-10.327726,3.2660007,4.248476,8.209908,31.136477,16.347408,21.30444,30.56339,66.213585,62.607216,64.499756,46.84509,53.026318,44.246937,41.693783,32.647453,28.857958],"EPU^FMA_DIV_YLD(NTMA,-10AY,0,AM,\"PORTAGG\",\"MEANR\")":[2.65703123405958,2.61913271431949,2.5275391146666,2.33679635501887,2.16646307729116,2.12390650808908,2.11388204959425,2.27479972547513,2.25325584227272,2.02822275721024,2.1362845338949,2.18973128015426,2.22855698781796,2.37263537347733,1.86831297716611,1.89217138423143,1.99453272198696,2.09564085721493,2.40450933599332,2.50666166930727,2.30824313872436,2.38320390469967,2.66347140746372,2.61259574366568,2.17438681968397,2.16247516924119,1.78863517622462,1.88372295716988,1.78395182041684,1.60319212744836,1.4400715239378,1.59907235185362,1.81710141126839,1.98121855254127,2.23844152265697,1.96553199715112,1.99106641096681,1.99213559984946,2.06318072164154,2.28189549375542,2.28176630368352,2.30819387227052,2.02633958431685,2.23617319296614,2.25502290873593,2.81241745040501,2.63789888392769,2.50554115404332,2.32799203186567,2.10413888199359,2.09212199495295,4.64692559766146,2.06695961129914,4.23374181721607,2.47469017089606,2.31918913966976,2.51663320185564,2.25366530048881,2.40492850813228,2.06404618969261,2.20872473910935,2.23631467691896,2.50195112764969,2.72137911084815,2.66104137241774,2.88804417929997,2.92521427124829,3.09256591126967,2.93625890689277,2.85135609633695,2.57665163218833,2.85798756703908,3.1555436762982,4.59737765582522,3.36418168632485,3.18496372022543,3.15020173955314,2.85609992005815,2.55712417124344,2.67213500673366,2.50689992640073,1.77546874247674,1.6351144532276,1.67118414456433,1.8427828256766,2.14004631135925,2.43090749224176,2.41411323597489,2.83604947705328,3.37526145215511,3.51840670238073,3.71199768215749,3.71920241470206,4.01999975021907,4.04898137872701,3.83989076978921,3.20717677131288,3.57637615306917,4.21262983849423,4.58912519346609,5.14275570438848,5.46973932997961,5.19793506304837,4.87822302119949,4.2157788536439,3.68110396610617,3.73665753740127,3.83924595321971,4.35131137194315,4.84821166115977,4.80654246492071,5.15821258599428,4.92926492171688,4.29728886388692,4.64812636478899,5.21759250081987,4.81944760052458,3.99552265147279,3.52244277362479,3.53708873045448,3.83684774271498],"CNYA^FMA_PE(LTMA,-10AY,0,AM,\"PORTAGG\",\"MEANR\")":[null,null,null,null,null,null,null,null,null,null,null,null,null,null,null,null,null,null,null,null,null,null,null,null,null,null,null,null,null,null,null,null,null,null,15.138751628164,14.9296569232706,15.2110633158182,15.0850781816058,14.9794405341805,15.0413608900365,15.3274356212603,15.2342005083557,15.6043898736033,15.6495140545358,16.0667845860207,15.8380535647022,16.3076308695192,16.4354030529086,15.2970177740928,14.9895828026131,14.4711273902853,14.3139500814439,13.4298446212934,12.7767972435104,12.7128201910195,12.6508469231929,12.0251472541632,11.7494792516318,10.7098585281728,11.4577364942197,12.7551017887783,12.838322247069,12.7096795396898,12.41718653328,12.836873204144,12.4643095981788,12.8472106847131,12.6748693927908,13.1106612920929,13.669817199153,14.8395793078427,13.6171252672158,14.3707301997624,14.026012929976,14.307519026563,14.5688185154863,15.2668028557563,16.4594248431833,17.1089985427986,16.9132697341141,17.6938402262725,19.0704326403864,20.4326666792557,21.110068265102,20.0947234055898,19.6955186142463,19.3641810709973,19.4421393129509,19.0034027302662,18.3244889060055,18.0525867196702,17.7910524252209,17.855221622429,18.2544227345825,18.0629326031867,16.5158292461628,16.5874173532234,16.1963404286176,15.7850669413389,15.6454287732252,16.0335206798002,15.1681431162038,14.9480892509451,14.1721827072402,14.1840753645834,14.398747083813,14.0635024212894,14.9387026999649,14.6311810008415,14.4689853325477,14.3140481524153,14.0653114213301,13.9296616391485,14.0463601602958,13.9872069737675,13.6553624073923,13.6069777210965,13.4387401242006,13.0228235652905,12.1684716931972,13.6549531043246],"EPOL^FG_PRICE_MAVG(0,,,,60)":22.36075,"KSA^FG_TOTAL_RETURNC(0,-3AM)":11.699116,"USDEUR^FG_PRICE_CHANGE(0,-3AM)":-0.44184327,"CPALM-FDS^FG_PRICE(0)":4017.0,"MCHI^FG_PRICE_MAVG(0,,,,60)":38.907333,"EPHE^FG_PRICE_MAVG(0,,,,30)":27.079,"EWY^P_PRICE(0)/P_PRICE_HIGH_PR(0,,,USD,,,\"PRICE\",\"INTRA\",\"52W\")":0.9654158,"EWJ^PERCENT_CHANGE(FMA_EPS(+1,0,,,,\"PORTAGG\",\"MEAN\"),FMA_EPS(+1,-1AM,,,,\"PORTAGG\",\"MEAN\"))":-10.0414784091281,"VNM^FMA_RBICS_REV_CURRENT(30, LOC, \"PORTAGG\")":55.231368279198,"REFTR1WREPO-FDS^PROPER_NAME(0,,,\"SECURITY\",\"NAME\")":"Turkey Repo Rate - 1 Week","VNM^FMA_PE(NTMA,0,,,\"PORTAGG\",\"MEANR\")":18.7078003029592,"QAT^JULIAN(FMA_DIV_YLD(NTMA,NOW,NOW,M,\"PORTAGG\",\"MEANR\").DATES)":45350,"EZA^FMA_PE(NTMA,0,,,\"PORTAGG\",\"MEANR\")":10.6071607470119,"EWM^FMA_EVAL_EBIT(LTMA,NOW,NOW,M,\"PORTAGG\",\"MEANR\")":18.4618655197468,"TUR^FG_COMPANY_NAME":"iShares MSCI Turkey ETF","TRYPL10Y-FDS^FG_YIELD(-10AY,0,Y,,\"YTM\")":[2.5048,2.9303,3.6245,3.292,2.8144,2.1086,1.235,3.6216,6.8411,5.1912],"USDZAR^STD(FG_PRICE_CHANGE(0,-3AY,M))":4.05007439075682,"EZA^P_PRICE_RETURNS_PR('52W',2,-10AY,0,AM)":[0.6671071,7.254386,6.8508387,15.071594,24.824333,20.099031,23.961662,2.684617,7.048762,13.08887,4.71313,23.900747,8.561945,6.2897205,5.2700043,-5.3735733,-3.1947255,-10.952115,-24.44145,-9.441113,-14.590364,-22.15706,-26.282804,-33.002693,-24.061214,-22.084076,-26.278687,-11.650265,-14.453136,-2.3290813,2.6994228,1.6067147,-3.8048148,0.64029694,22.169209,30.24292,20.456577,9.817278,17.885303,21.993542,9.045971,5.625248,20.884598,9.8952055,11.530054,29.311287,33.106388,27.413166,31.983603,24.868858,17.738903,9.6115,3.593099,2.286327,-17.298805,-14.144861,-11.496168,-14.134079,-21.142262,-16.052591,-23.405987,-15.938175,-7.986909,-15.97321,-0.46125054,-10.349631,0.9785414,2.4337769,2.152884,-2.8326988,7.6323986,-6.796801,-10.641831,-45.79576,-38.613586,-21.621716,-24.894958,-16.872162,-15.259558,-10.582579,-12.682491,-0.7577479,-2.9783487,6.375861,19.392513,95.62649,66.38062,57.7587,40.68313,38.715946,41.123497,31.133688,27.161158,10.46027,8.445501,10.29402,12.407291,13.818991,1.7755628,-9.572262,-10.00194,-11.253953,-15.320826,-14.321947,-12.477589,-2.7400374,0.5436301,-6.75233,-18.844532,-19.912582,-10.948652,-17.159622,-2.7561069,1.6232729,2.5607944,-3.7897408,11.486793,-3.3834994,-10.2310295,-13.697916,-7.251537],"EPOL^FMA_DIV_YLD(NTMA,-10AY,0,AM,\"PORTAGG\",\"MEANR\")":[3.95713770566377,3.76307449819711,3.86327145434105,3.89957506286195,4.22398150554554,4.18292726971304,4.10399825307104,4.04323034394359,3.96149207416221,3.89853447805068,4.04728648995733,3.8284664652637,3.73147702579303,3.47561141377991,3.30775850567161,3.50146518080729,3.64634487141035,3.6477548808894,3.72861278105034,3.87133944062899,3.70560446508135,4.14131285681136,4.21555290692846,4.12852914573083,3.93215191436775,3.61191510066683,3.75613180717364,3.85835547128384,3.87175107026034,3.54676989493959,3.59387092184899,3.53651717680248,3.4064245978191,3.27213747130107,2.96904582669266,2.72148466435369,2.39849016187578,2.54347993058236,2.4686507644261,2.4681484916909,2.393220540857,2.33420268246013,2.3344965476574,2.50434410038323,2.41080752080995,2.73531605957695,2.78325061049516,2.84893476818302,3.10578816954135,3.19108908372362,3.08860164208759,3.08542394164394,3.09349210020994,2.81161053651749,2.8323798508913,3.00898028510246,3.15106793759479,3.0314486261634,3.15221271721099,2.99163096925576,3.04907109950899,3.03808525106994,3.18359926780625,3.3150538901557,3.22711671540845,3.48365160322704,3.81669049856898,3.5966706643184,3.31655688367012,3.55687208415416,3.49946811865931,3.86655452372351,3.91413504707838,4.29334608171294,3.4124955497905,2.44978087990242,2.59349268098388,2.62327879711,2.97409213500194,3.18118145695954,2.88672545253332,2.69715308377864,2.6821117274924,2.8684260683908,2.93811174305621,2.84514864867845,2.9583589113786,2.92208693400108,3.08637682702061,3.04693515781612,2.91614249313248,3.09662894818527,2.9309313925568,3.40146694224251,3.26658953639884,3.34610838073162,3.82921875140617,3.3867825639269,3.87884300085553,4.17138111333714,4.34343342824355,4.34382312436809,4.62459535027604,4.80211216768546,4.40460546602284,4.14896634642618,4.01168833333073,4.03751021176274,4.20658156486398,4.71129601453504,4.408614093518,3.94545362441423,3.93847572891384,3.81293142024274,4.06508249640543,4.4724352755791,4.20122232830183,5.00619349721985,4.87458711144896,4.86769903152391,3.99091920898458],"W-FDS^FG_PRICE_CHANGE(0,-3AM)":-5.41334452370961,"FC0000QA^FG_PRICE(0)":105.97004,"VNM^FG_TOTAL_RETURNC(0,-3AM)":5.362487,"EWY^FG_TOTAL_RETURNC(0,-3AM)":8.486509,"EWZ^PERCENT_CHANGE(FMA_EPS(+1,0,,,,\"PORTAGG\",\"MEAN\"),FMA_EPS(+1,-1AM,,,,\"PORTAGG\",\"MEAN\"))":-9.38947558484361,"VWO^SIZE(FG_CONSTITUENTS)":4677,"EWZ^SIZE(FG_CONSTITUENTS)":51,"TUR^FMA_RBICS_REV_CURRENT(30, LOC, \"PORTAGG\")":20.7687153748575,"REFPEMPR-FDS^(SUBARRAY(NOT_NA(NO_REPEAT_F(FG_YIELD(NOW,-10AY,D))),0,1)-SUBARRAY(NOT_NA(NO_REPEAT_F(FG_YIELD(NOW,-10AY,D))),1,1))*100":-25.0,"TRYVN10Y-FDS^FG_YIELD(0,,,,\"YTM\")":2.2360842,"TRYPL10Y-FDS^FG_YIELD(0,,,,\"YTM\")":5.239,"EZA^JULIAN(FMA_DIV_YLD(NTMA,NOW,NOW,M,\"PORTAGG\",\"MEANR\").DATES)":45350,"EPHE^FMA_PE(LTM,0,,,\"PORTAGG\",\"MEANR\")":11.5649307950047,"SET-BKK^FG_COMPANY_NAME":"Thailand SET","USDVND^STD(FG_PRICE_CHANGE(0,-1AY,AM))":0.88280365249769,"USDZAR^FG_PRICE_CHANGE(0,-6AM)":-0.2099216,"DDR3512M-FDS^FG_PRICE_CHANGE(0,-3AM)":-3.39849560506278,"EPHE^FG_PRICE(0)":27.7,"URTH^PERCENT_CHANGE(FMA_EPS(+1,0,,,,\"PORTAGG\",\"MEAN\"),FMA_EPS(+1,-3AM,,,,\"PORTAGG\",\"MEAN\"))":-9.75131154500311,"MCHI^FMA_RBICS_REV_CURRENT(30, LOC, \"PORTAGG\")":23.3465581141155,"REFTHREPO-FDS^(SUBARRAY(NOT_NA(NO_REPEAT_F(FG_YIELD(NOW,-10AY,D))),0,1)-SUBARRAY(NOT_NA(NO_REPEAT_F(FG_YIELD(NOW,-10AY,D))),1,1))*100":25.0,"MCHI^FMA_EVAL_EBIT(LTMA,NOW,NOW,M,\"PORTAGG\",\"MEANR\")":13.1577427684821,"EWZ^FMA_EVAL_EBIT(LTMA,NOW,NOW,M,\"PORTAGG\",\"MEANR\")":6.88101024870924,"EWM^FMA_EVAL_EBITDA(NTMA,0,,,\"PORTAGG\",\"MEANR\")":9.80333143724263,"EPHE^JULIAN(FMA_DIV_YLD(NTMA,NOW,NOW,M,\"PORTAGG\",\"MEANR\").DATES)":45351,"USDIDR^STD(FG_PRICE_CHANGE(0,-3AY,M))":1.54696564970394,"EWZ^P_PRICE_RETURNS_PR('52W',2,-10AY,0,AM)":[-23.521078,-10.468883,-8.442724,-7.276416,17.596006,15.445339,26.962042,-7.37924,-12.382931,-9.151774,-15.495902,-7.1684957,-15.38139,-25.802052,-23.077381,-26.280426,-28.152126,-41.22254,-55.1523,-43.87025,-41.3684,-38.139854,-41.907074,-39.89193,-22.597605,-20.815498,-19.793028,-15.592039,-3.587389,22.83318,46.388054,50.64529,49.350357,39.473976,78.09743,94.51796,65.790764,52.688313,33.824444,34.777035,15.061558,15.8497095,23.311829,29.956352,13.044918,27.77536,24.347925,23.090982,24.19994,16.712498,12.554157,6.267786,-2.815503,0.35614967,-21.698088,-13.437891,7.109809,1.7752767,1.5936375,4.088545,-4.135376,-0.8090973,4.337907,20.56644,38.60706,24.6418,36.79197,18.588675,11.244238,14.152217,20.583141,1.0954261,-5.939245,-45.62115,-40.419846,-26.763111,-30.4125,-26.315844,-22.23009,-31.597715,-35.23387,-14.864582,-22.286266,-19.089407,-15.006227,47.39269,50.410652,40.111767,39.845024,22.207916,17.930687,20.724762,5.476427,-14.13508,-18.624168,-2.4527907,15.906942,32.356823,2.6409626,-5.732173,-23.117811,-12.222177,-3.2042444,14.940369,30.440067,18.79319,9.029209,1.8313646,-11.1205635,-22.053265,-5.7141423,-2.9498398,33.734478,20.616997,13.8186455,-1.4378369,6.4338923,18.474293,37.311745,17.724741,28.518951],"DDR3512M-FDS^FG_PRICE_CHANGE(0,-1AM)":-0.407332092765544,"W-FDS^FG_PRICE_CHANGE(0,-1AM)":-6.04418507711546,"MCHI^FG_PRICE(0)":38.91,"UAE^FG_TOTAL_RETURNC(0,-6AM)":-2.5755346,"EWW^FG_TOTAL_RETURNC(0,-3AM)":5.9168696,"URTH^FMA_PCT_ABOVE_MAVG(200,0,,,,\"PORTAGG\")":67.2530446549391,"EWZ^FMA_PCT_ABOVE_MAVG(200,0,,,,\"PORTAGG\")":65.3061224489796,"VWO^FMA_COS_DOWN(\"EPS\",\"1M\",+1,NOW,,,\"PORTAGG\",\"MEANR\")":1198.0,"EWZ^FMA_COS_DOWN(\"EPS\",\"1M\",+1,NOW,,,\"PORTAGG\",\"MEANR\")":23.0,"ECH^FG_ROE(0)":11.8854340838272,"REFPL7D-FDS^PROPER_NAME(0,,,\"SECURITY\",\"NAME\")":"Poland Reference Rate - 7 Day","VWO^FMA_EVAL_EBIT(LTMA,NOW,NOW,M,\"PORTAGG\",\"MEANR\")":13.8732869646192,"UAE^FMA_EVAL_EBITDA(NTMA,0,,,\"PORTAGG\",\"MEANR\")":7.18023070336138,"EWZ^FMA_EVAL_EBITDA(NTMA,0,,,\"PORTAGG\",\"MEANR\")":5.04115023883218,"EIDO^FMA_EVAL_EBITDA(NTMA,0,,,\"PORTAGG\",\"MEANR\")":6.65563537032169,"USDVND^FG_PRICE_CHANGE(0,-6AM)":2.4953246,"USDZAR^FG_PRICE_CHANGE(0,-3AM)":0.9757757,"KSA^FMA_PE(NTMA,-10AY,0,AM,\"PORTAGG\",\"MEANR\")":[null,null,null,null,null,null,null,null,null,null,null,null,null,null,null,null,null,null,null,12.0098768757343,12.1684158565124,12.7709842543211,12.238857205824,11.5670442099937,12.2801641664177,12.5373738706794,13.2650188784293,13.718636094986,13.3150054564946,13.0465306867332,12.2735277606759,11.4677656432729,12.2673236995503,14.328431399868,14.4175451693182,14.5177240122157,14.0393322260316,13.9333843693076,13.364576210279,13.6932080584466,15.1010323431748,14.0725730769046,13.9741545019445,13.6593792116787,13.0463439001977,13.2779978491194,13.493407141324,14.040289119381,13.6919267260882,14.7158834665014,14.770175552577,15.488413537224,14.8086674212784,14.6373270682363,14.2204756496445,14.1482733996545,13.9166566969745,14.2536714057537,14.3934695046294,15.8532790446713,16.0651188405477,17.0317292442437,17.3817040493362,15.9730867501409,16.8893884873316,16.6613637742151,17.0918113976122,16.7363154928448,16.2303906549963,16.2638654546521,17.0630306625157,16.3256677359088,15.6229596657332,15.1001735864194,16.6358230173688,19.4627102590006,19.196723330486,19.5008833426238,20.6224596282509,21.2436079625104,20.2834763384285,20.0229637449738,19.097045870531,18.317694550791,18.527480384441,19.2712575242202,19.3363196471993,19.3668834944421,19.5786373014473,19.0402439098155,19.0462445392123,18.7550293382369,18.6952531888065,17.2669583098456,17.8643688670528,18.8155511221219,19.4233025426866,19.0319659737959,19.2539513206418,16.9520552831696,15.3656168222653,16.2527195363341,15.833097940208,15.3028788273171,15.0639824735453,14.6111662325355,14.4953183200082,14.784806222201,14.529048670683,15.8512082422144,16.234246826077,16.4130403532135,17.2104217428103,17.0295775760176,17.1479449029328,15.8910953802403,15.9442614478646,16.4533119232268,18.456226648971,18.1684801580235,21.8695965204228],"INDA^FG_PRICE(0)":51.91,"EIDO^FG_PRICE_MAVG(0,,,,200)":22.46195,"EWT^FG_TOTAL_RETURNC(0,-3AM)":10.437059,"EWY^PERCENT_CHANGE(FMA_EPS(+1,0,,,,\"PORTAGG\",\"MEAN\"),FMA_EPS(+1,-3AM,,,,\"PORTAGG\",\"MEAN\"))":-41.6303083688544,"EWY^FMA_COS_DOWN(\"EPS\",\"1M\",+1,NOW,,,\"PORTAGG\",\"MEANR\")":59.0,"INDA^FMA_RBICS_REV_CURRENT(30, LOC, \"PORTAGG\")":29.9745208164894,"REFTHREPO-FDS^FG_YIELD(NOW,,,0)":2.5,"TRYZA10Y-FDS^PCTCHG(FG_YIELD(0,,,,\"YTM\"),FG_YIELD(-3AM,,,,\"YTM\"))":1.1832017,"TRYAE10Y-FDS^FG_YIELD(0,,,,\"YTM\")":null,"MCHI^FMA_EVAL_EBITDA(NTMA,0,,,\"PORTAGG\",\"MEANR\")":8.91570777059077,"EWM^FMA_DIV_YLD(NTMA,NOW,NOW,M,\"PORTAGG\",\"MEANR\")":4.13796373745037,"EIDO^FG_FCF_YIELD_NTM(0)":null,"EZA^FG_COMPANY_NAME":"iShares MSCI South Africa ETF","TRYZA10Y-FDS^JULIAN(FG_YIELD(-10AY,0,CY,,\"YTM\").DATES)":[42004,42369,42734,43098,43465,43830,44196,44561,44925,45289],"USDZAR^FG_PRICE_CHANGE(0,-1AM)":0.60846806,"DDR3512M-FDS^FG_PRICE_MAVG(0,,,,30)":0.9721118,"W-FDS^FG_PRICE_MAVG(0,,,,30)":5.8834167,"UAE^FG_TOTAL_RETURNC(0,-3AM)":0.48143864,"VWO^FMA_PCT_ABOVE_MAVG(200,0,,,,\"PORTAGG\")":32.7024647887324,"VWO^FMA_COS_UP(\"EPS\",\"1M\",+1,NOW,,,\"PORTAGG\",\"MEANR\")":773.0,"REFTHREPO-FDS^PROPER_NAME(0,,,\"SECURITY\",\"NAME\")":"Thailand Repo Rate - 1 Day","REFPHRREPO-FDS^(SUBARRAY(NOT_NA(NO_REPEAT_F(FG_YIELD(NOW,-10AY,D))),0,1)-SUBARRAY(NOT_NA(NO_REPEAT_F(FG_YIELD(NOW,-10AY,D))),1,1))*100":25.0,"TRYPH10Y-FDS^FG_YIELD(0,,,,\"YTM\")":6.268301,"VWO^FMA_EVAL_EBITDA(NTMA,0,,,\"PORTAGG\",\"MEANR\")":9.27102479443158,"UAE^FG_FCF_YIELD_NTM(0)":9.06868075321249,"EWZ^FMA_DIV_YLD(NTMA,NOW,NOW,M,\"PORTAGG\",\"MEANR\")":5.93811156751748,"USDVND^FG_PRICE_CHANGE(0,-3AM)":1.816833,"USDZAR^FG_PRICE_CHANGE(0,-1AY)":4.5139074,"USDIDR^FG_PRICE_CHANGE(0,-6AM)":3.2808423,"EIDO^P_PRICE_RETURNS_PR('52W',2,-10AY,0,AM)":[-22.202837,-15.657604,-20.163233,-17.589075,-9.101433,-2.077371,30.474209,7.663083,9.392965,24.197197,22.31829,19.244576,6.797576,-1.5916765,-6.58111,-8.729696,-10.293203,-21.036852,-33.183353,-31.581932,-20.850569,-22.837198,-22.105116,-19.802517,-11.429972,-13.143807,-11.059654,-6.3362303,6.453669,19.327784,33.51433,49.222828,21.117699,16.87168,20.593464,17.781807,5.961716,13.215399,19.47552,21.412682,13.562477,2.296579,8.551228,2.8718472,7.3786497,12.78385,18.506468,19.617498,18.851805,4.743099,-5.6897044,-2.8098643,-18.262703,-7.4391365,-15.790391,-19.408983,-13.996726,-5.0307693,-7.481819,-4.2618694,-8.030886,-1.6999245,5.459285,-0.94997287,21.210182,7.201314,14.121628,16.20593,11.621261,1.4142752,4.4701457,-8.8986635,-10.747671,-45.564907,-36.075256,-23.305304,-28.421337,-25.35569,-21.723831,-26.049597,-21.714699,-6.700158,-5.2158117,-1.9126415,2.3285627,63.702454,36.125828,20.414114,13.658487,10.989343999999999,13.196075,30.14983,22.088278,2.9893637,-1.1632681,-0.5006254,7.038021,15.718293,20.98111,11.228967,11.132347,17.208885,15.699077,9.89511,3.6578774,4.79275,-1.576674,3.6732554,-3.256476,-3.374654,-3.2141984,-2.094525,7.911372,1.3466954,-0.12212992,-5.6845784,-5.0018907,-6.0112057,3.1750202,-3.5708725,0.94161034],"VNM^FMA_PE(NTMA,-10AY,0,AM,\"PORTAGG\",\"MEANR\")":[11.0745346704403,12.3039217799058,11.9365108933825,11.4923929133808,12.3432403459031,12.8034926600907,13.7010081383179,12.5173737680752,12.1180943348269,12.2362897692152,12.1327494658872,12.3190074572652,12.5512578069579,11.6118886618539,13.5706396091552,13.5685950549081,14.2031421376546,14.1005131313653,13.3545552955358,13.2529205148907,15.2878788141425,12.6627815639187,11.2851069282418,13.5221591349956,15.7168997098499,12.6284657345588,12.3659788319917,12.2805277018223,12.011355636629,11.7060415591134,11.6777633710124,13.6545775533942,12.415216647823,12.6111782601419,12.7567446103512,12.9687234289169,13.3151672379297,14.2672037708164,14.76120818843,14.4735237684794,16.1747637115422,15.2892048046816,15.9676403026347,15.8356094840193,16.0952120108067,18.5310912205064,19.705913512806,21.1567157587239,20.7560158292165,22.1044770797894,19.946633270766,20.7044619844495,16.6089381361305,17.796653830763,17.4623450816554,16.4393382901705,14.8786034780661,15.9703562113317,14.4996756085907,15.3734545332744,17.2783841661405,17.3196942311333,17.789631222142,16.8869343721714,16.5744647070977,15.6647422942497,14.0604347904319,14.2032815291523,14.4342222428385,14.5932294407685,14.3417711195782,13.0865217115723,12.8629546828064,11.2640541224976,14.0427001503771,15.9508939656539,14.7351123096245,14.6567323243402,15.7058188765969,15.5212664433624,15.1181781478296,15.4736761037756,16.7700512726855,16.835145762406,16.624710457091,16.7691028022526,16.4087254323589,18.04094076889,17.9948007890556,16.9359241533933,16.3347120239715,15.9119635775991,16.1001612846642,16.3603238122772,16.7078711412212,15.0417981494535,15.0125697713968,14.7054434551492,13.1527701105758,12.4818004052596,10.8035876353271,11.3586382278825,11.1821912633584,10.5784264194849,9.9256077690039,12.2361384459451,10.9749896458091,11.3387830210859,11.920685010875,13.9692302409064,13.518975801758,14.1768923816157,13.3671358978344,14.5487179061076,15.00021991551,12.7835981089712,13.2542983780115,14.6146026174883,14.6051818574187,14.314732317761,18.7078003029592],"GREK^FG_PRICE_MAVG(0,,,,200)":36.68876,"EWM^P_PRICE(0)/P_PRICE_LOW_PR(0,,,USD,,,\"PRICE\",\"INTRA\",\"52W\")-1":0.08870971,"EWW^PERCENT_CHANGE(FMA_EPS(+1,0,,,,\"PORTAGG\",\"MEAN\"),FMA_EPS(+1,-1AM,,,,\"PORTAGG\",\"MEAN\"))":-24.3178749970628,"VGK^SIZE(FG_CONSTITUENTS)":1291,"EWY^FMA_COS_UP(\"EPS\",\"1M\",+1,NOW,,,\"PORTAGG\",\"MEANR\")":30.0,"GREK^FMA_RBICS_REV_CURRENT(30, LOC, \"PORTAGG\")":44.6988114809499,"TRYTR7Y-FDS^FG_YIELD_NAME":"Treasury - Turkey Benchmark Bond 7Y","TRYBR10Y-FDS^PCTCHG(FG_YIELD(0,,,,\"YTM\"),FG_YIELD(-3AM,,,,\"YTM\"))":-2.0568423,"MCHI^FG_FCF_YIELD_NTM(0)":5.8406769742396,"EWM^FMA_PE(NTMA,0,,,\"PORTAGG\",\"MEANR\")":15.8657406208458,"EWZ^FG_COMPANY_NAME":"iShares MSCI Brazil ETF","CAGDPY@QA^EE_ACTUAL_ANNUAL(MED,+1)":12.05,"USDZAR^FG_PRICE(0)":19.015,"ECH^P_PRICE_RETURNS_PR('52W',2,-10AY,0,AM)":[-33.470726,-27.61975,-24.877596,-16.663551,-9.814257,-10.042214,-6.124878,-16.090942,-15.842485,-9.468717,-13.141995,-1.0459125,-4.8749924,-8.626109,-7.7438474,-13.988161,-15.886182,-19.771797,-21.250147,-18.339516,-15.28393,-20.45343,-18.423765,-14.884096,-11.967123,-9.343547,-10.337311,-8.799517,1.005578,11.189758,10.358286,12.157833,12.313247,20.778692,20.371342,27.289188,18.751001,21.142937,17.330372,25.895714,14.667845,21.40503,34.669376,38.013313,29.617632,21.002626,47.311234,41.657196,34.40167,24.200571,23.790682,18.819786,12.86931,6.349349,-11.717296,-9.602213,-12.3098135,-1.3833463,-18.982082,-12.290615,-14.786148,-15.57281,-17.537498,-19.471247,-10.910481,-19.321924,-14.045202,-12.70917,-18.53894,-26.181602,-16.559565,-31.41864,-34.054478,-48.291077,-40.481316,-32.46318,-31.033295,-26.529158,-25.539238,-33.78388,-29.136091,-5.8085084,-6.566298,-1.3544083,14.73403,66.90801,37.719894,13.159216,8.1836815,1.5409946,13.900495,9.453667,13.066077,-10.102087,-21.898258,-15.684396,-12.078458,-8.738363,-15.471917,10.922551,-10.536236,4.4849873,12.166214,7.139027,3.3437967,18.36871,21.000147,26.12946,18.135012,-0.8300185,13.880741,2.6727557,31.772732,22.68877,10.627449,3.4228444,10.256517,4.597914,8.755016,-12.438136,-8.591473],"TUR^FMA_PE(NTMA,-10AY,0,AM,\"PORTAGG\",\"MEANR\")":[8.82457853295863,10.3519120431615,10.623155034645,10.7085567773843,10.3626590553598,10.7147937435025,10.5007535228384,9.37816086997927,10.017148733089,10.6794615427991,10.5104872981954,10.4565751799633,10.0618826498339,9.96797226488557,10.2666026373989,10.060068613609,9.93599414643927,9.37510518648299,8.66401350412957,8.80653742116365,9.848834541629,8.52220990023384,7.93166401032288,8.40672448029257,8.64162978334377,9.22806026220522,8.67898634467469,8.47475516343813,8.42250630233103,8.12855124966348,8.39746516701878,8.22387452346282,7.66383821518147,7.36964373671994,7.5151168070008,8.61934078210222,8.56771398096706,8.26476549097159,8.49247518551189,8.7987817293779,8.60085350586382,8.80868058186904,8.6979712777741,8.08526466159869,8.45876709842775,7.83791051572411,8.18214116717574,8.21756263275285,8.00332274232808,7.61825174263629,6.77738225578825,6.4672224880463,6.28713846458775,6.15294815529356,5.93033880409554,5.82358582048085,5.80986051107673,6.0974172756741,5.89759766508609,7.11483150541193,7.33664591177223,6.76231130591833,6.30209074172603,6.14752457682432,6.66917717483058,6.59938776344851,6.59942931356075,6.63570572735231,6.32748935223593,6.47478888931795,6.61769791045171,6.99879446370363,6.33660210567519,5.41220529687877,6.45847118008008,8.40334083362526,8.86064496942073,7.95522725601235,7.88294192680779,7.84981032423644,7.91120690869185,7.98534706638273,8.181396746712,7.78012656636135,7.43133009146742,6.78321280902025,6.41863302436457,6.28633243280995,5.8775249143183,5.78835369898247,5.65178170729673,5.28064805417548,5.60402364130682,6.37006556814218,5.98522082481386,4.62294373840548,4.49886405562055,5.06147189455985,4.70849642916757,5.16608130520939,4.5187640367086,4.52031592171034,4.74251050975495,4.82612179570775,5.41419995350328,5.75059468551892,6.45330808176799,5.25282342004574,5.2677006577209,5.04334307035617,4.28370942542807,4.71097300168817,5.51484093281795,6.16968149291781,6.42537662039869,6.22520821112092,5.09339636386654,5.02820464587528,4.62916529447199,5.29111851147843,6.52339758464223],"DDR3512M-FDS^FG_PRICE(0)":0.96913904,"W-FDS^FG_PRICE(0)":5.635,"GREK^FG_PRICE_MAVG(0,,,,30)":39.746,"ECH^FG_PRICE_MAVG(0,,,,60)":26.301,"TUR^P_PRICE(0)/P_PRICE_LOW_PR(0,,,USD,,,\"PRICE\",\"INTRA\",\"52W\")-1":0.3111192,"EWM^P_PRICE(0)/P_PRICE_HIGH_PR(0,,,USD,,,\"PRICE\",\"INTRA\",\"52W\")":0.95787144,"VGK^FMA_PCT_ABOVE_MAVG(200,0,,,,\"PORTAGG\")":61.2421383647799,"EWT^PERCENT_CHANGE(FMA_EPS(+1,0,,,,\"PORTAGG\",\"MEAN\"),FMA_EPS(+1,-1AM,,,,\"PORTAGG\",\"MEAN\"))":-17.7512423732576,"VGK^FMA_COS_DOWN(\"EPS\",\"1M\",+1,NOW,,,\"PORTAGG\",\"MEANR\")":545.0,"EWW^FMA_COS_DOWN(\"EPS\",\"1M\",+1,NOW,,,\"PORTAGG\",\"MEANR\")":28.0,"REFQALEND-FDS^PROPER_NAME(0,,,\"SECURITY\",\"NAME\")":"Qatar Lending Rate - Overnight","EWM^FMA_PE(LTM,0,,,\"PORTAGG\",\"MEANR\")":18.1532067227497,"USDAED^FG_PRICE_CHANGE(0,-1AY)":0.0027298927,"SET-BKK^FMA_PE(NTMA,-10AY,0,AM,\"PORTAGG\",\"MEANR\")":[13.5124847667894,13.8895530276347,14.2508476897551,14.3936879020965,14.2688189302568,14.3638825133665,15.9653806664351,15.6282329026935,15.7368193010122,15.7713176007469,14.7082121117559,16.286752457832,15.5214973027458,15.1717587079694,15.0495773339806,15.1785810566473,15.2022189206436,14.6299552844934,14.0528550770101,13.7203967600732,14.5218484726826,13.0829028549446,12.3442360838464,13.2983266633764,14.3063344671232,14.4845852272723,14.2688685260324,14.697794427046,14.8272297988212,15.1748621338548,15.0043683622727,14.7657950111201,14.5047138869341,14.6501293611528,15.0605709674573,15.1616619011563,15.0454425891933,15.0570688112615,14.7811867222674,14.6918166051467,14.6972305147115,14.7565377734157,15.0828990935629,15.5459437846981,15.6244217568667,15.4602505126247,16.2989394695633,16.3590082674836,16.0596573281298,14.8314905027512,15.3527350200222,15.0013319517108,14.1693320950564,14.80464815463,14.8540216808615,14.7827948582057,14.411770172684,14.4284184111462,13.642722211532,14.6181994637192,14.8168970388242,14.8295097000417,15.1534103676635,14.8938133700488,15.7539670981665,15.341146836643,15.481245753544,14.9944953529109,15.6033564571536,15.2390358849447,15.5075902490567,15.1015428448463,14.3699587838647,13.2755569761817,16.2486958033312,19.8043483753391,19.8417020831635,19.3709201140379,19.155392769495,17.9987539132752,16.7096483512105,19.456759195072,19.6301282809754,19.0524724332695,19.3499421745857,19.5529455417229,18.7017321649292,17.9608048959844,17.2480921142797,16.816838154209,18.0375870172517,17.2100311069849,17.2617300493231,16.700228439374,17.3975908328667,17.1696753017193,17.0437131704921,17.3592906497203,16.3908186693146,16.193868959958,15.0737039188932,15.2683856187487,15.3150604055113,14.9488996842819,15.4241103464842,15.764297952964,16.0155067159612,16.0995921155656,15.7735293691786,15.6786137864818,15.2658484462923,15.5434784362267,15.4899107565257,15.747645132025,15.9636708640761,14.8493673945159,14.5647372029106,14.2963320753714,14.7387353006851,14.3140183985172,14.1758308117199],"EWM^FG_TOTAL_RETURNC(0,-6AM)":3.5411239,"VNM^PERCENT_CHANGE(FMA_EPS(+1,0,,,,\"PORTAGG\",\"MEAN\"),FMA_EPS(+1,-3AM,,,,\"PORTAGG\",\"MEAN\"))":-24.2050595502618,"EWW^FMA_COS_UP(\"EPS\",\"1M\",+1,NOW,,,\"PORTAGG\",\"MEANR\")":12.0,"EWW^FG_COMPANY_NAME":"iShares MSCI Mexico ETF","CNYA^FG_PRICE_MAVG(0,,,,200)":27.653019,"VNM^PERCENT_CHANGE(FMA_EPS(+1,0,,,,\"PORTAGG\",\"MEAN\"),FMA_EPS(+1,-1AM,,,,\"PORTAGG\",\"MEAN\"))":-19.6011352339812,"INDA^FMA_EVAL_EBITDA(NTMA,0,,,\"PORTAGG\",\"MEANR\")":16.8084737810259,"VWO^FG_TOTAL_RETURNC(0,-3AM)":4.5764565,"TUR^FMA_EVAL_EBIT(LTMA,NOW,NOW,M,\"PORTAGG\",\"MEANR\")":6.88277191611181,"USDCLP^STD(FG_PRICE_CHANGE(0,-1AY,AM))":3.52531860079917,"VWO^FG_FCF_YIELD_NTM(0)":5.06454561198217,"UAE^FMA_DIV_YLD(NTMA,NOW,NOW,M,\"PORTAGG\",\"MEANR\")":4.93847077893073,"EWZ^FMA_PE(NTMA,0,,,\"PORTAGG\",\"MEANR\")":8.59103163215807,"EIDO^FMA_PE(LTM,0,,,\"PORTAGG\",\"MEANR\")":14.3787196169458,"CAGDPY@IN^EE_ACTUAL_ANNUAL(MED,+1)":-1.5,"WL-FDS^FG_PRICE_CHANGE(0,-1AM)":-10.2467080369305,"ECH^FG_PRICE_MAVG(0,,,,30)":25.452,"SET-BKK^FG_TOTAL_RETURNC(0,-6AM)":-12.016047,"EWM^PERCENT_CHANGE(FMA_EPS(+1,0,,,,\"PORTAGG\",\"MEAN\"),FMA_EPS(+1,-1AM,,,,\"PORTAGG\",\"MEAN\"))":-11.3057014499678,"KSA^SIZE(FG_CONSTITUENTS)":123,"TRYBR10Y-FDS^PCTCHG(FG_YIELD(0,,,,\"YTM\"),FG_YIELD(-1AM,,,,\"YTM\"))":0.7140713,"EWY^FG_COMPANY_NAME":"iShares MSCI South Korea ETF","USDKRW^STD(FG_PRICE_CHANGE(0,-1AY,AM))":2.18027826002648,"CNYA^P_PRICE_RETURNS_PR('52W',2,-10AY,0,AM)":[null,null,null,null,null,null,null,null,null,null,null,null,null,null,null,null,null,null,null,null,null,null,null,null,null,null,null,null,null,null,null,null,null,null,null,null,null,null,null,null,14.10327,14.869869,18.900085,22.406982,20.309973,16.846478,32.962894,32.71549,25.833023,20.980978,19.373035,15.092278,-4.672164,-10.540706,-15.475148,-18.111372,-19.388432,-19.624794,-26.902782,-24.183304,-6.9343386,0.970304,0.7364869,-10.509932,13.376904,8.428764,13.222384,12.71578,20.603323,17.811382,38.72352,15.838885,8.897233,-8.395338,-6.1394033,12.219763,15.21014,37.2854,36.347473,36.096775,37.07112,47.401585,43.853462,60.793888,37.62653,57.189583,53.037323,53.3571,31.9363,17.011143,13.240933,14.512992,9.277225,7.33546,-0.14343262,-10.497051,-6.1106324,-8.643877,-18.971539,-20.827902,-12.8353,-17.950111,-21.350903,-22.834127,-27.412325,-24.680412,-23.742073,-13.743782,-14.691281,-9.60834,-1.5399754,-11.9429,-20.211231,-8.567447,-11.682093,-10.858875,-3.0044436,-14.033538,-18.367111,-30.199516,-18.313004],"EWZ^FMA_PE(LTM,0,,,\"PORTAGG\",\"MEANR\")":7.86226452085974,"ECH^JULIAN(P_PRICE_RETURNS_PR('52W',2,-10AY,0,AM).DATES)":[41702,41733,41761,41794,41823,41855,41886,41915,41947,41977,42006,42039,42067,42096,42128,42159,42187,42220,42251,42279,42312,42342,42373,42404,42433,42464,42494,42524,42552,42586,42615,42647,42678,42706,42739,42769,42797,42829,42859,42888,42919,42951,42979,43012,43042,43073,43104,43133,43161,43194,43224,43255,43284,43315,43347,43377,43406,43438,43469,43500,43528,43559,43588,43620,43649,43679,43712,43742,43773,43803,43833,43865,43894,43924,43955,43986,44014,44047,44078,44106,44139,44169,44200,44231,44259,44287,44320,44351,44379,44412,44442,44473,44504,44533,44565,44596,44624,44655,44685,44715,44743,44777,44806,44838,44869,44897,44930,44960,44988,45020,45050,45079,45110,45142,45170,45203,45233,45264,45295,45324,45355],"COPP-FDS^MAX(FG_PRICE(0,-5AY))":4.929,"ECH^FG_PRICE(0)":25.6,"REFINREPO-FDS^PROPER_NAME(0,,,\"SECURITY\",\"NAME\")":"India Repo Rate","VWO^JULIAN(FMA_DIV_YLD(NTMA,NOW,NOW,M,\"PORTAGG\",\"MEANR\").DATES)":45322,"MCHI^FMA_PE(NTMA,0,,,\"PORTAGG\",\"MEANR\")":10.4707216811937,"EWY^FMA_EVAL_EBITDA(NTMA,0,,,\"PORTAGG\",\"MEANR\")":8.89044789399639,"USDAED^FG_COMPANY_NAME":"UAE Dirham per U.S. Dollar","EPU^FG_TOTAL_RETURNC(0,-3AM)":17.965757,"CC_SA^IMF_IFS_RCPI_Q(0)":1.5943921,"EPU^FMA_EVAL_EBIT(LTMA,NOW,NOW,M,\"PORTAGG\",\"MEANR\")":13.1861537630125,"ECH^FMA_EVAL_EBIT(LTMA,NOW,NOW,M,\"PORTAGG\",\"MEANR\")":9.665514047746,"EWT^FG_COMPANY_NAME":"iShares MSCI Taiwan ETF","COPP-FDS^FG_PRICE_CHANGE(0,-1AM)":0.798115923066867,"UAE^PERCENT_CHANGE(FMA_EPS(+1,0,,,,\"PORTAGG\",\"MEAN\"),FMA_EPS(+1,-1AM,,,,\"PORTAGG\",\"MEAN\"))":10.0083693931916,"EPU^PERCENT_CHANGE(FMA_EPS(+1,0,,,,\"PORTAGG\",\"MEAN\"),FMA_EPS(+1,-3AM,,,,\"PORTAGG\",\"MEAN\"))":-26.6004699077926,"REFPHRREPO-FDS^FG_YIELD(NOW,,,0)":6.5,"TRYTR7Y-FDS^FG_YIELD(0,,,,\"YTM\")":23.918245,"MCHI^FMA_DIV_YLD(NTMA,NOW,NOW,M,\"PORTAGG\",\"MEANR\")":2.89501557212149,"CAGDPY@IN^EE_ACTUAL_ANNUAL(MED,0)":null,"GREK^FMA_PE(NTMA,0,,,\"PORTAGG\",\"MEANR\")":6.74632779174429,"TRYSA10Y-FDS^FG_YIELD(0,,,,\"YTM\")":5.2282166,"EPU^FMA_RBICS_REV_CURRENT(30, LOC, \"PORTAGG\")":29.804032462976,"EWM^JULIAN(FMA_DIV_YLD(NTMA,NOW,NOW,M,\"PORTAGG\",\"MEANR\").DATES)":45351,"GREK^FMA_PE(NTMA,-10AY,0,AM,\"PORTAGG\",\"MEANR\")":[15.661063443389,15.841306304551,17.5751925211726,10.7347761074822,9.8182885413445,8.31335365478746,8.21693137360942,7.05599697268794,6.36391798098049,6.70633023859485,4.64343504738436,4.55214034017976,4.90092615439037,5.18309389389646,4.99088240209045,5.47584637564089,4.74942256821343,4.48845552671597,3.80069405083214,4.46858541645381,3.92098284085448,3.98255921292992,7.9394481626209,9.19201454990148,9.03684058393641,8.78581225668214,9.77585341808482,10.6925284336569,8.24174786063725,8.71963624964767,8.79438624776316,8.99277845925504,8.36973835516356,9.24607324971046,9.13186441065296,8.76326956932598,9.24773842941561,9.45039892527774,12.3745653524703,13.6886285876452,13.0673287245972,12.6480615774794,11.6157249986909,11.2186631972467,12.1805810469125,12.159496273306,13.8501690337594,14.9090678930461,14.1382485060325,13.3638041117002,14.7719245659908,14.8203021479288,14.6787721807466,14.5509157184601,13.7753709727057,13.9058341138835,11.8920343015053,12.2750524274508,10.9058370773039,11.2448003421316,12.7608760589954,13.8905172567232,13.9981641446923,14.0887309734451,14.9919736698298,13.8463433349827,13.7188873386191,12.0447810882857,11.9253338248751,11.4135888169524,11.3707790679188,10.8259620942521,9.25899474118983,6.76076669901636,9.81264299101587,11.711599502188,13.8777951085259,12.9609067407122,12.7197932880698,11.5258870653373,9.38868999466038,12.5729529218281,12.4784079370976,11.1797149268388,12.217765814443,12.1514454535887,13.0438026897202,12.7002384983671,11.9649355089025,11.1384403072879,11.1110996823916,10.1747293776915,11.0228352507281,9.73460391958803,9.6625245869553,10.0501368266708,8.97391106837102,10.0952297398055,9.6747772699381,9.55386758146727,7.84610341534436,8.2049878674986,7.12112228779996,6.73771910922507,6.86761662832667,6.80934592185484,6.73583793113561,7.48129476062507,7.86329465096803,7.1335358373733,6.95301844231934,7.49914308961432,7.98727198059101,7.9411383594501,7.27897485967923,6.55569342438667,6.7029257933195,6.66707567827662,6.71599902238277,6.96438659394922,6.74632779174429],"QAT^P_PRICE(0)/P_PRICE_LOW_PR(0,,,USD,,,\"PRICE\",\"INTRA\",\"52W\")-1":0.15517247,"VNM^SIZE(FG_CONSTITUENTS)":45,"TRYMX10Y-FDS^PCTCHG(FG_YIELD(0,,,,\"YTM\"),FG_YIELD(-1AM,,,,\"YTM\"))":-0.69846684,"EWZ^FG_PRICE_MAVG(0,,,,200)":32.2108,"SET-BKK^FMA_PE(NTMA,0,,,\"PORTAGG\",\"MEANR\")":14.1758308117199,"EWW^FG_FCF_YIELD_NTM(0)":9.00173671692573,"REFPHRREPO-FDS^PROPER_NAME(0,,,\"SECURITY\",\"NAME\")":"Philippines Reverse Repo Rate - Overnight","VWO^FG_PE(0)":12.8621994203067,"EIDO^JULIAN(FMA_DIV_YLD(NTMA,NOW,NOW,M,\"PORTAGG\",\"MEANR\").DATES)":45350,"USDAED^FG_PRICE(0)":3.67295,"EZA^FG_PRICE_MAVG(0,,,,60)":39.218666,"TUR^FMA_EVAL_EBITDA(NTMA,0,,,\"PORTAGG\",\"MEANR\")":5.84401798034789,"INDA^FG_FCF_YIELD_NTM(0)":2.46926761214609,"EWJ^FMA_COS_DOWN(\"EPS\",\"1M\",+1,NOW,,,\"PORTAGG\",\"MEANR\")":101.0,"EPHE^FMA_PE(NTMA,0,,,\"PORTAGG\",\"MEANR\")":10.6826859921152,"EPU^P_PRICE(0)/P_PRICE_HIGH_PR(0,,,USD,,,\"PRICE\",\"INTRA\",\"52W\")":0.9937358,"EZA^P_PRICE(0)/P_PRICE_LOW_PR(0,,,USD,,,\"PRICE\",\"INTRA\",\"52W\")-1":0.06208062,"ECH^FMA_PCT_ABOVE_MAVG(200,0,,,,\"PORTAGG\")":75.8620689655172,"VNM^FMA_EVAL_EBITDA(NTMA,0,,,\"PORTAGG\",\"MEANR\")":11.9144531142722,"REFIDRREPO-FDS^(SUBARRAY(NOT_NA(NO_REPEAT_F(FG_YIELD(NOW,-10AY,D))),0,1)-SUBARRAY(NOT_NA(NO_REPEAT_F(FG_YIELD(NOW,-10AY,D))),1,1))*100":25.0,"EWW^JULIAN(FMA_DIV_YLD(NTMA,NOW,NOW,M,\"PORTAGG\",\"MEANR\").DATES)":45350,"EWM^FMA_PCT_ABOVE_MAVG(200,0,,,,\"PORTAGG\")":84.375,"KSA^FMA_COS_DOWN(\"EPS\",\"1M\",+1,NOW,,,\"PORTAGG\",\"MEANR\")":25.0,"EPOL^FMA_RBICS_REV_CURRENT(30, LOC, \"PORTAGG\")":48.9007931524452,"PASP-FDS^FG_PRICE_CHANGE(0,-3AM)":-1.53846153846153,"CC_ID^IMF_IFS_RCPI_Q(0)":2.681245,"EZA^FMA_COS_UP(\"EPS\",\"1M\",+1,NOW,,,\"PORTAGG\",\"MEANR\")":13.0,"TRYQA10Y-FDS^PCTCHG(FG_YIELD(0,,,,\"YTM\"),FG_YIELD(-1AM,,,,\"YTM\"))":null,"COPP-FDS^FG_PRICE_CHANGE(0,-6AM)":1.03606557377049,"USDCLP^FG_PRICE_CHANGE(0,-1AM)":2.7692676,"TUR^FG_FCF_YIELD_NTM(0)":10.3910893618126,"TIPSCL10Y-FDS^PCTCHG(FG_YIELD(0,,,,\"YTM\"),FG_YIELD(-3AM,,,,\"YTM\"))":-54.133827,"EZA^FMA_DIV_YLD(NTMA,NOW,NOW,M,\"PORTAGG\",\"MEANR\")":4.36757644295436,"EWT^FMA_DIV_YLD(NTMA,NOW,NOW,M,\"PORTAGG\",\"MEANR\")":3.28276999305913,"CAGDPY@ZA^EE_ACTUAL_ANNUAL(MED,+1)":-2.2,"EWY^FG_FCF_YIELD_NTM(0)":0.516923919887174,"EPOL^FMA_PE(LTM,0,,,\"PORTAGG\",\"MEANR\")":7.66872896380018,"USDKRW^FG_COMPANY_NAME":"South Korean Won per U.S. Dollar","REFEUREFI-FDS^(SUBARRAY(NOT_NA(NO_REPEAT_F(FG_YIELD(NOW,-10AY,D))),0,1)-SUBARRAY(NOT_NA(NO_REPEAT_F(FG_YIELD(NOW,-10AY,D))),1,1))*100":25.0,"TRYKR10Y-FDS^FG_YIELD(0,,,,\"YTM\")":3.4352,"UAE^FG_PRICE(0)":14.635,"GREK^FMA_PE(LTM,0,,,\"PORTAGG\",\"MEANR\")":7.56058934149672,"CNYA^FMA_PE(NTMA,0,,,\"PORTAGG\",\"MEANR\")":13.3195767224934,"DUMMY^ECON_DATE(45356,45199,'Q', 'MM/YYYY')":["12/2023","09/2023"],"DUMMY^ECON_EXPR_DATA('FDS_ECON[PMIDMMANHE]',45356,45199,Q)":[47.378044,47.086407],"DUMMY^ECON_EXPR_DATA('FDS_ECON[NTCPMIMFGSA@EME]',45356,45199,Q)":[50.64065,50.814144],"DUMMY^ECON_EXPR_DATA('FDS_ECON[NTCPMIMFGSA@CN]',45356,45199,Q)":[50.34384,50.266373],"DUMMY^ECON_EXPR_DATA('FDS_ECON[NTCPMIMFGSA@CL]',45356,45199,Q)":null,"DUMMY^ECON_EXPR_DATA('FDS_ECON[NTCPMIMFGSA@ID]',45356,45199,Q)":[51.828487,53.156506],"DUMMY^ECON_EXPR_DATA('FDS_ECON[NTCPMIPHMANHE]',45356,45199,Q)":[52.222515,50.747215],"DUMMY^ECON_EXPR_DATA('FDS_ECON[NTCPMIMFGSA@PL]',45356,45199,Q)":[46.884846,43.504345],"DUMMY^ECON_EXPR_DATA('FDS_ECON[NTCPMIMFGSA@PE]',45356,45199,Q)":null,"DUMMY^ECON_EXPR_DATA('FDS_ECON[PMIMYMANHE]',45356,45199,Q)":[47.499214,47.470974],"DUMMY^ECON_EXPR_DATA('FDS_ECON[NTCPMIMFGSA@TW]',45356,45199,Q)":[47.63588,44.970745],"DUMMY^ECON_EXPR_DATA('FDS_ECON[NTCPMIMFGSA@MX]',45356,45199,Q)":[52.180695,51.404537],"DUMMY^ECON_EXPR_DATA('FDS_ECON[NTCPMIMFGSA@KR]',45356,45199,Q)":[49.900604,49.420246],"DUMMY^ECON_EXPR_DATA('FDS_ECON[NTCPMIMFGSA@BR]',45356,45199,Q)":[48.798813,48.99601],"DUMMY^ECON_EXPR_DATA('FDS_ECON[PMIMFGSA@ZA]',45356,45199,Q)":[49.293606,49.704178],"DUMMY^ECON_EXPR_DATA('FDS_ECON[NTCPMIMFGSA@GR]',45356,45199,Q)":[50.99575,52.236584],"DUMMY^ECON_EXPR_DATA('FDS_ECON[NTCPMIMFGSA@IN]',45356,45199,Q)":[55.461708,57.930668],"DUMMY^ECON_EXPR_DATA('FDS_ECON[PMIQAWHEHE]',45356,45199,Q)":[50.688427,53.860752],"DUMMY^ECON_EXPR_DATA('FDS_ECON[NTCPMITHMANHE]',45356,45199,Q)":[46.69516,49.120174],"DUMMY^ECON_EXPR_DATA('FDS_ECON[NTCPMIMFGSA@TR]',45356,45199,Q)":[47.664864,49.509235],"DUMMY^ECON_EXPR_DATA('FDS_ECON[NTCPMIMFGSA@AE]',45356,45199,Q)":null,"DUMMY^ECON_EXPR_DATA('FDS_ECON[NTCPMIMFGSA@VN]',45356,45199,Q)":[48.59743,49.616585],"DUMMY^ECON_EXPR_DATA('FDS_ECON[NTCPMIINDEXSA@SA]',45356,45199,Q)":[57.793106,57.151814],"DUMMY^ECON_DATE(45357,45199,'Q', 'MM/YYYY')":["12/2023","09/2023"],"DUMMY^ECON_EXPR_DATA('FDS_ECON[PMIDMMANHE]',45357,45199,Q)":[47.378044,47.086407],"DUMMY^ECON_EXPR_DATA('FDS_ECON[NTCPMIMFGSA@EME]',45357,45199,Q)":[50.64065,50.814144],"DUMMY^ECON_EXPR_DATA('FDS_ECON[NTCPMIMFGSA@CN]',45357,45199,Q)":[50.34384,50.266373],"DUMMY^ECON_EXPR_DATA('FDS_ECON[NTCPMIMFGSA@CL]',45357,45199,Q)":null,"DUMMY^ECON_EXPR_DATA('FDS_ECON[NTCPMIMFGSA@ID]',45357,45199,Q)":[51.828487,53.156506],"DUMMY^ECON_EXPR_DATA('FDS_ECON[NTCPMIPHMANHE]',45357,45199,Q)":[52.222515,50.747215],"DUMMY^ECON_EXPR_DATA('FDS_ECON[NTCPMIMFGSA@PL]',45357,45199,Q)":[46.884846,43.504345],"DUMMY^ECON_EXPR_DATA('FDS_ECON[NTCPMIMFGSA@PE]',45357,45199,Q)":null,"DUMMY^ECON_EXPR_DATA('FDS_ECON[PMIMYMANHE]',45357,45199,Q)":[47.499214,47.470974],"DUMMY^ECON_EXPR_DATA('FDS_ECON[NTCPMIMFGSA@TW]',45357,45199,Q)":[47.63588,44.970745],"DUMMY^ECON_EXPR_DATA('FDS_ECON[NTCPMIMFGSA@MX]',45357,45199,Q)":[52.180695,51.404537],"DUMMY^ECON_EXPR_DATA('FDS_ECON[NTCPMIMFGSA@KR]',45357,45199,Q)":[49.900604,49.420246],"DUMMY^ECON_EXPR_DATA('FDS_ECON[NTCPMIMFGSA@BR]',45357,45199,Q)":[48.798813,48.99601],"DUMMY^ECON_EXPR_DATA('FDS_ECON[PMIMFGSA@ZA]',45357,45199,Q)":[49.293606,49.704178],"DUMMY^ECON_EXPR_DATA('FDS_ECON[NTCPMIMFGSA@GR]',45357,45199,Q)":[50.99575,52.236584],"DUMMY^ECON_EXPR_DATA('FDS_ECON[NTCPMIMFGSA@IN]',45357,45199,Q)":[55.461708,57.930668],"DUMMY^ECON_EXPR_DATA('FDS_ECON[PMIQAWHEHE]',45357,45199,Q)":[50.688427,53.860752],"DUMMY^ECON_EXPR_DATA('FDS_ECON[NTCPMITHMANHE]',45357,45199,Q)":[46.69516,49.120174],"DUMMY^ECON_EXPR_DATA('FDS_ECON[NTCPMIMFGSA@TR]',45357,45199,Q)":[47.664864,49.509235],"DUMMY^ECON_EXPR_DATA('FDS_ECON[NTCPMIMFGSA@AE]',45357,45199,Q)":null,"DUMMY^ECON_EXPR_DATA('FDS_ECON[NTCPMIMFGSA@VN]',45357,45199,Q)":[48.59743,49.616585],"DUMMY^ECON_EXPR_DATA('FDS_ECON[NTCPMIINDEXSA@SA]',45357,45199,Q)":[57.793106,57.151814],"DUMMY^ECON_EXPR_DATA('FDS_ECON[PMIDMMANHE]',EM,,Q)":"#NUM","DUMMY^ECON_EXPR_DATA('FDS_ECON[PMIDMMANHE]',MCHI,,Q)":"#NUM","DUMMY^ECON_EXPR_DATA('FDS_ECON[NTCPMIMFGSA@VN]',11/2023,,Q)":49.616585,"DUMMY^ECON_EXPR_DATA('FDS_ECON[NTCPMIINDEXSA@SA]',11/2023,,Q)":57.151814,"DUMMY^ECON_EXPR_DATA('FDS_ECON[NTCPMIMFGSA@AE]',11/2023,,Q)":null,"DUMMY^ECON_EXPR_DATA('FDS_ECON[NTCPMIMFGSA@TR]',11/2023,,Q)":49.509235,"DUMMY^ECON_EXPR_DATA('FDS_ECON[NTCPMITHMANHE]',02/2024,,Q)":46.69516,"DUMMY^ECON_EXPR_DATA('FDS_ECON[PMIQAWHEHE]',02/2024,,Q)":50.688427,"DUMMY^ECON_EXPR_DATA('FDS_ECON[NTCPMIMFGSA@IN]',02/2024,,Q)":55.461708,"DUMMY^ECON_EXPR_DATA('FDS_ECON[NTCPMIMFGSA@GR]',02/2024,,Q)":50.99575,"DUMMY^ECON_EXPR_DATA('FDS_ECON[PMIMFGSA@ZA]',02/2024,,Q)":49.293606,"DUMMY^ECON_EXPR_DATA('FDS_ECON[NTCPMIMFGSA@BR]',02/2024,,Q)":48.798813,"DUMMY^ECON_EXPR_DATA('FDS_ECON[NTCPMIMFGSA@KR]',02/2024,,Q)":49.900604,"DUMMY^ECON_EXPR_DATA('FDS_ECON[NTCPMIMFGSA@MX]',02/2024,,Q)":52.180695,"DUMMY^ECON_EXPR_DATA('FDS_ECON[NTCPMIMFGSA@TW]',02/2024,,Q)":47.63588,"DUMMY^ECON_EXPR_DATA('FDS_ECON[PMIMYMANHE]',02/2024,,Q)":47.499214,"DUMMY^ECON_EXPR_DATA('FDS_ECON[NTCPMIMFGSA@PE]',02/2024,,Q)":null,"DUMMY^ECON_EXPR_DATA('FDS_ECON[NTCPMIMFGSA@PL]',02/2024,,Q)":46.884846,"DUMMY^ECON_EXPR_DATA('FDS_ECON[NTCPMIPHMANHE]',02/2024,,Q)":52.222515,"DUMMY^ECON_EXPR_DATA('FDS_ECON[NTCPMIMFGSA@ID]',02/2024,,Q)":51.828487,"DUMMY^ECON_EXPR_DATA('FDS_ECON[NTCPMIMFGSA@CL]',02/2024,,Q)":null,"DUMMY^ECON_EXPR_DATA('FDS_ECON[NTCPMIMFGSA@CN]',02/2024,,Q)":50.34384,"DUMMY^ECON_DATE(45328,,, 'MM/YYYY')":"02/2024","DUMMY^ECON_DATE(45236,,, 'MM/YYYY')":"11/2023","DUMMY^ECON_EXPR_DATA('FDS_ECON[PMIDMMANHE]',,,M)":49.253857,"DUMMY^ECON_EXPR_DATA('FDS_ECON[NTCPMIMFGSA@EME]',,,M)":51.4475,"DUMMY^ECON_EXPR_DATA('FDS_ECON[NTCPMIMFGSA@CL]',,,M)":null,"DUMMY^ECON_EXPR_DATA('FDS_ECON[NTCPMIMFGSA@ID]',,,M)":52.654537,"DUMMY^ECON_EXPR_DATA('FDS_ECON[NTCPMIPHMANHE]',,,M)":null,"DUMMY^ECON_EXPR_DATA('FDS_ECON[NTCPMIMFGSA@PL]',,,M)":47.87733,"DUMMY^ECON_EXPR_DATA('FDS_ECON[NTCPMIMFGSA@PE]',,,M)":null,"DUMMY^ECON_EXPR_DATA('FDS_ECON[PMIMYMANHE]',,,M)":49.473457,"DUMMY^ECON_EXPR_DATA('FDS_ECON[NTCPMIMFGSA@TW]',,,M)":48.6,"DUMMY^ECON_EXPR_DATA('FDS_ECON[NTCPMIMFGSA@MX]',,,M)":52.29834,"DUMMY^ECON_EXPR_DATA('FDS_ECON[NTCPMIMFGSA@KR]',,,M)":50.65793,"DUMMY^ECON_EXPR_DATA('FDS_ECON[NTCPMIMFGSA@BR]',,,M)":54.05694,"DUMMY^ECON_EXPR_DATA('FDS_ECON[PMIMFGSA@ZA]',,,M)":50.78166,"DUMMY^ECON_EXPR_DATA('FDS_ECON[NTCPMIMFGSA@GR]',,,M)":55.729668,"DUMMY^ECON_EXPR_DATA('FDS_ECON[NTCPMIMFGSA@IN]',,,M)":56.899437,"DUMMY^ECON_EXPR_DATA('FDS_ECON[NTCPMIMFGSA@CN]',,,M)":50.918056,"DUMMY^ECON_EXPR_DATA('FDS_ECON[PMIQAWHEHE]',,,M)":null,"DUMMY^ECON_EXPR_DATA('FDS_ECON[NTCPMITHMANHE]',,,M)":null,"DUMMY^ECON_EXPR_DATA('FDS_ECON[NTCPMIMFGSA@TR]',,,M)":50.248722,"DUMMY^ECON_EXPR_DATA('FDS_ECON[NTCPMIMFGSA@AE]',,,M)":null,"DUMMY^ECON_EXPR_DATA('FDS_ECON[NTCPMIMFGSA@VN]',,,M)":50.37239,"DUMMY^ECON_EXPR_DATA('FDS_ECON[NTCPMIINDEXSA@SA]',,,M)":57.158,"DUMMY^ECON_EXPR_DATA('FDS_ECON[PMIDMMANHE]',11/2023,,Q)":47.086407,"DUMMY^ECON_EXPR_DATA('FDS_ECON[NTCPMIMFGSA@EME]',11/2023,,Q)":50.814144,"DUMMY^ECON_EXPR_DATA('FDS_ECON[PMIDMMANHE]',02/2024,,Q)":47.378044,"DUMMY^ECON_EXPR_DATA('FDS_ECON[NTCPMIMFGSA@EME]',02/2024,,Q)":50.64065}]]></FdsFormulaCache>
</file>

<file path=customXml/itemProps1.xml><?xml version="1.0" encoding="utf-8"?>
<ds:datastoreItem xmlns:ds="http://schemas.openxmlformats.org/officeDocument/2006/customXml" ds:itemID="{33E676B9-D9EA-425C-8664-9C2668FE586C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1</vt:i4>
      </vt:variant>
    </vt:vector>
  </HeadingPairs>
  <TitlesOfParts>
    <vt:vector size="27" baseType="lpstr">
      <vt:lpstr>Assumption</vt:lpstr>
      <vt:lpstr>Technical Strength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Risk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2024-03-06T06:59:23Z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