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TF_Model_Excel\"/>
    </mc:Choice>
  </mc:AlternateContent>
  <xr:revisionPtr revIDLastSave="0" documentId="13_ncr:1_{A165DD9B-CED0-4F4C-8291-ED8A4E3B307E}" xr6:coauthVersionLast="47" xr6:coauthVersionMax="47" xr10:uidLastSave="{00000000-0000-0000-0000-000000000000}"/>
  <bookViews>
    <workbookView xWindow="25490" yWindow="-110" windowWidth="29020" windowHeight="157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5" i="1" l="1" a="1"/>
  <c r="O15" i="1" l="1"/>
  <c r="O14" i="1" a="1"/>
  <c r="O14" i="1" l="1"/>
  <c r="O13" i="1" a="1"/>
  <c r="O13" i="1" l="1"/>
  <c r="O12" i="1" a="1"/>
  <c r="O12" i="1" l="1"/>
  <c r="O11" i="1" a="1"/>
  <c r="O11" i="1" l="1"/>
  <c r="O10" i="1" a="1"/>
  <c r="O10" i="1" l="1"/>
  <c r="O9" i="1" a="1"/>
  <c r="O9" i="1" l="1"/>
  <c r="O8" i="1" a="1"/>
  <c r="O8" i="1" l="1"/>
  <c r="O7" i="1" a="1"/>
  <c r="O7" i="1" l="1"/>
  <c r="O6" i="1" a="1"/>
  <c r="O6" i="1" l="1"/>
  <c r="O5" i="1" a="1"/>
  <c r="O5" i="1" l="1"/>
  <c r="O4" i="1" a="1"/>
  <c r="O4" i="1" l="1"/>
  <c r="O3" i="1" a="1"/>
  <c r="D23" i="1" a="1"/>
  <c r="G17" i="57" a="1"/>
  <c r="D14" i="57" a="1"/>
  <c r="G14" i="57" a="1"/>
  <c r="D13" i="57" a="1"/>
  <c r="D12" i="57" a="1"/>
  <c r="G12" i="57" a="1"/>
  <c r="D11" i="57" a="1"/>
  <c r="G11" i="57" a="1"/>
  <c r="G10" i="57" a="1"/>
  <c r="D9" i="57" a="1"/>
  <c r="G9" i="57" a="1"/>
  <c r="D8" i="57" a="1"/>
  <c r="G8" i="57" a="1"/>
  <c r="D7" i="57" a="1"/>
  <c r="G7" i="57" a="1"/>
  <c r="D6" i="57" a="1"/>
  <c r="G6" i="57" a="1"/>
  <c r="D5" i="57" a="1"/>
  <c r="G5" i="57" a="1"/>
  <c r="D4" i="57" a="1"/>
  <c r="G4" i="57" a="1"/>
  <c r="D3" i="57" a="1"/>
  <c r="G3" i="57" a="1"/>
  <c r="D2" i="57" a="1"/>
  <c r="B17" i="57" a="1"/>
  <c r="E17" i="57" a="1"/>
  <c r="D17" i="57" a="1"/>
  <c r="D10" i="57" a="1"/>
  <c r="G2" i="57" a="1"/>
  <c r="G13" i="57" a="1"/>
  <c r="O3" i="1" l="1"/>
  <c r="D23" i="1"/>
  <c r="G13" i="57"/>
  <c r="G2" i="57"/>
  <c r="D10" i="57"/>
  <c r="D17" i="57"/>
  <c r="E17" i="57"/>
  <c r="B17" i="57"/>
  <c r="D2" i="57"/>
  <c r="G3" i="57"/>
  <c r="D3" i="57"/>
  <c r="G4" i="57"/>
  <c r="D4" i="57"/>
  <c r="G5" i="57"/>
  <c r="D5" i="57"/>
  <c r="G6" i="57"/>
  <c r="D6" i="57"/>
  <c r="G7" i="57"/>
  <c r="D7" i="57"/>
  <c r="G8" i="57"/>
  <c r="D8" i="57"/>
  <c r="G9" i="57"/>
  <c r="D9" i="57"/>
  <c r="G10" i="57"/>
  <c r="G11" i="57"/>
  <c r="D11" i="57"/>
  <c r="G12" i="57"/>
  <c r="D12" i="57"/>
  <c r="D13" i="57"/>
  <c r="G14" i="57"/>
  <c r="D14" i="57"/>
  <c r="G17" i="57"/>
  <c r="M16" i="48" a="1"/>
  <c r="M12" i="48" a="1"/>
  <c r="M11" i="48" a="1"/>
  <c r="M13" i="48" a="1"/>
  <c r="M8" i="48" a="1"/>
  <c r="M4" i="48" a="1"/>
  <c r="M14" i="48" a="1"/>
  <c r="M10" i="48" a="1"/>
  <c r="M7" i="48" a="1"/>
  <c r="M9" i="48" a="1"/>
  <c r="M6" i="48" a="1"/>
  <c r="M5" i="48" a="1"/>
  <c r="M5" i="48" l="1"/>
  <c r="M6" i="48"/>
  <c r="M9" i="48"/>
  <c r="M7" i="48"/>
  <c r="M10" i="48"/>
  <c r="M14" i="48"/>
  <c r="M4" i="48"/>
  <c r="M8" i="48"/>
  <c r="M13" i="48"/>
  <c r="M11" i="48"/>
  <c r="M12" i="48"/>
  <c r="M16" i="4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G12" i="42" a="1"/>
  <c r="K2" i="18" a="1"/>
  <c r="C7" i="52" a="1"/>
  <c r="E2" i="38" a="1"/>
  <c r="F12" i="42" a="1"/>
  <c r="J2" i="18" a="1"/>
  <c r="J4" i="52" a="1"/>
  <c r="C14" i="42" a="1"/>
  <c r="G4" i="52" a="1"/>
  <c r="G10" i="56" a="1"/>
  <c r="Y4" i="9" a="1"/>
  <c r="J15" i="42" a="1"/>
  <c r="U12" i="56" a="1"/>
  <c r="J4" i="48" a="1"/>
  <c r="J20" i="48" a="1"/>
  <c r="M2" i="38" a="1"/>
  <c r="AK4" i="9" a="1"/>
  <c r="U4" i="9" a="1"/>
  <c r="E4" i="9" a="1"/>
  <c r="N2" i="5" a="1"/>
  <c r="L2" i="7" a="1"/>
  <c r="J2" i="47" a="1"/>
  <c r="H2" i="46" a="1"/>
  <c r="J11" i="52" a="1"/>
  <c r="J9" i="52" a="1"/>
  <c r="J7" i="52" a="1"/>
  <c r="J5" i="52" a="1"/>
  <c r="J3" i="52" a="1"/>
  <c r="V15" i="56" a="1"/>
  <c r="V11" i="56" a="1"/>
  <c r="V7" i="56" a="1"/>
  <c r="J16" i="56" a="1"/>
  <c r="J12" i="56" a="1"/>
  <c r="J8" i="56" a="1"/>
  <c r="C26" i="56" a="1"/>
  <c r="B5" i="56" a="1"/>
  <c r="I9" i="52" a="1"/>
  <c r="H10" i="42" a="1"/>
  <c r="T10" i="56" a="1"/>
  <c r="H15" i="56" a="1"/>
  <c r="H7" i="56" a="1"/>
  <c r="C3" i="52" a="1"/>
  <c r="B2" i="47" a="1"/>
  <c r="V5" i="56" a="1"/>
  <c r="D10" i="42" a="1"/>
  <c r="D2" i="5" a="1"/>
  <c r="T13" i="56" a="1"/>
  <c r="H10" i="56" a="1"/>
  <c r="H6" i="56" a="1"/>
  <c r="C10" i="42" a="1"/>
  <c r="C8" i="42" a="1"/>
  <c r="C4" i="42" a="1"/>
  <c r="E2" i="15" a="1"/>
  <c r="G12" i="52" a="1"/>
  <c r="B10" i="56" a="1"/>
  <c r="J6" i="48" a="1"/>
  <c r="AM4" i="9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U11" i="56" a="1"/>
  <c r="U7" i="56" a="1"/>
  <c r="I12" i="56" a="1"/>
  <c r="C25" i="56" a="1"/>
  <c r="C16" i="13" a="1"/>
  <c r="F2" i="7" a="1"/>
  <c r="H11" i="56" a="1"/>
  <c r="B15" i="56" a="1"/>
  <c r="N4" i="9" a="1"/>
  <c r="G8" i="42" a="1"/>
  <c r="G2" i="5" a="1"/>
  <c r="G15" i="56" a="1"/>
  <c r="F10" i="42" a="1"/>
  <c r="J14" i="56" a="1"/>
  <c r="AB4" i="9" a="1"/>
  <c r="J8" i="48" a="1"/>
  <c r="C12" i="42" a="1"/>
  <c r="G6" i="52" a="1"/>
  <c r="I4" i="9" a="1"/>
  <c r="J19" i="48" a="1"/>
  <c r="L2" i="38" a="1"/>
  <c r="AJ4" i="9" a="1"/>
  <c r="T4" i="9" a="1"/>
  <c r="D4" i="9" a="1"/>
  <c r="K2" i="7" a="1"/>
  <c r="I2" i="47" a="1"/>
  <c r="G2" i="46" a="1"/>
  <c r="I11" i="52" a="1"/>
  <c r="I7" i="52" a="1"/>
  <c r="I5" i="52" a="1"/>
  <c r="U15" i="56" a="1"/>
  <c r="I16" i="56" a="1"/>
  <c r="I8" i="56" a="1"/>
  <c r="J2" i="15" a="1"/>
  <c r="C7" i="43" a="1"/>
  <c r="G11" i="56" a="1"/>
  <c r="F4" i="42" a="1"/>
  <c r="B13" i="56" a="1"/>
  <c r="L4" i="9" a="1"/>
  <c r="C4" i="43" a="1"/>
  <c r="H12" i="52" a="1"/>
  <c r="S9" i="56" a="1"/>
  <c r="F10" i="52" a="1"/>
  <c r="I17" i="56" a="1"/>
  <c r="C4" i="13" a="1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I3" i="52" a="1"/>
  <c r="H8" i="42" a="1"/>
  <c r="D7" i="52" a="1"/>
  <c r="H8" i="43" a="1"/>
  <c r="C2" i="47" a="1"/>
  <c r="G8" i="43" a="1"/>
  <c r="F6" i="42" a="1"/>
  <c r="J16" i="48" a="1"/>
  <c r="K2" i="38" a="1"/>
  <c r="AI4" i="9" a="1"/>
  <c r="S4" i="9" a="1"/>
  <c r="C4" i="9" a="1"/>
  <c r="H9" i="52" a="1"/>
  <c r="H7" i="52" a="1"/>
  <c r="H5" i="52" a="1"/>
  <c r="H3" i="52" a="1"/>
  <c r="T15" i="56" a="1"/>
  <c r="T11" i="56" a="1"/>
  <c r="T7" i="56" a="1"/>
  <c r="H16" i="56" a="1"/>
  <c r="H12" i="56" a="1"/>
  <c r="H8" i="56" a="1"/>
  <c r="C24" i="56" a="1"/>
  <c r="C15" i="13" a="1"/>
  <c r="G2" i="47" a="1"/>
  <c r="G11" i="52" a="1"/>
  <c r="G7" i="52" a="1"/>
  <c r="G5" i="52" a="1"/>
  <c r="S15" i="56" a="1"/>
  <c r="G16" i="56" a="1"/>
  <c r="G8" i="56" a="1"/>
  <c r="L2" i="18" a="1"/>
  <c r="D2" i="47" a="1"/>
  <c r="G14" i="42" a="1"/>
  <c r="E2" i="7" a="1"/>
  <c r="C5" i="52" a="1"/>
  <c r="C9" i="13" a="1"/>
  <c r="G11" i="43" a="1"/>
  <c r="G3" i="43" a="1"/>
  <c r="D15" i="42" a="1"/>
  <c r="D13" i="42" a="1"/>
  <c r="D11" i="42" a="1"/>
  <c r="D9" i="42" a="1"/>
  <c r="D7" i="42" a="1"/>
  <c r="D5" i="42" a="1"/>
  <c r="D3" i="42" a="1"/>
  <c r="N2" i="15" a="1"/>
  <c r="L2" i="5" a="1"/>
  <c r="J2" i="7" a="1"/>
  <c r="H2" i="47" a="1"/>
  <c r="F2" i="46" a="1"/>
  <c r="H11" i="52" a="1"/>
  <c r="G15" i="43" a="1"/>
  <c r="A2" i="7" a="1"/>
  <c r="J11" i="42" a="1"/>
  <c r="C5" i="13" a="1"/>
  <c r="E4" i="52" a="1"/>
  <c r="J15" i="48" a="1"/>
  <c r="J2" i="38" a="1"/>
  <c r="AH4" i="9" a="1"/>
  <c r="R4" i="9" a="1"/>
  <c r="B4" i="9" a="1"/>
  <c r="C7" i="42" a="1"/>
  <c r="M2" i="15" a="1"/>
  <c r="I2" i="7" a="1"/>
  <c r="G9" i="52" a="1"/>
  <c r="S7" i="56" a="1"/>
  <c r="G12" i="56" a="1"/>
  <c r="C23" i="56" a="1"/>
  <c r="C14" i="13" a="1"/>
  <c r="B2" i="46" a="1"/>
  <c r="F8" i="42" a="1"/>
  <c r="J12" i="52" a="1"/>
  <c r="K4" i="9" a="1"/>
  <c r="T17" i="56" a="1"/>
  <c r="G2" i="18" a="1"/>
  <c r="J9" i="42" a="1"/>
  <c r="B2" i="5" a="1"/>
  <c r="V16" i="56" a="1"/>
  <c r="J9" i="56" a="1"/>
  <c r="H10" i="43" a="1"/>
  <c r="C11" i="43" a="1"/>
  <c r="C15" i="42" a="1"/>
  <c r="C13" i="42" a="1"/>
  <c r="C11" i="42" a="1"/>
  <c r="C9" i="42" a="1"/>
  <c r="C5" i="42" a="1"/>
  <c r="C3" i="42" a="1"/>
  <c r="K2" i="5" a="1"/>
  <c r="E2" i="46" a="1"/>
  <c r="G3" i="52" a="1"/>
  <c r="S11" i="56" a="1"/>
  <c r="H4" i="42" a="1"/>
  <c r="D5" i="52" a="1"/>
  <c r="G10" i="42" a="1"/>
  <c r="G4" i="42" a="1"/>
  <c r="C11" i="52" a="1"/>
  <c r="S14" i="56" a="1"/>
  <c r="G7" i="56" a="1"/>
  <c r="J10" i="48" a="1"/>
  <c r="F14" i="42" a="1"/>
  <c r="D12" i="42" a="1"/>
  <c r="H6" i="52" a="1"/>
  <c r="T5" i="56" a="1"/>
  <c r="J4" i="9" a="1"/>
  <c r="M2" i="46" a="1"/>
  <c r="G8" i="52" a="1"/>
  <c r="G14" i="56" a="1"/>
  <c r="N2" i="47" a="1"/>
  <c r="F8" i="52" a="1"/>
  <c r="J17" i="56" a="1"/>
  <c r="U8" i="56" a="1"/>
  <c r="I5" i="56" a="1"/>
  <c r="B8" i="56" a="1"/>
  <c r="W4" i="9" a="1"/>
  <c r="J14" i="48" a="1"/>
  <c r="I2" i="38" a="1"/>
  <c r="AG4" i="9" a="1"/>
  <c r="Q4" i="9" a="1"/>
  <c r="O4" i="9" a="1"/>
  <c r="D11" i="52" a="1"/>
  <c r="T14" i="56" a="1"/>
  <c r="I2" i="15" a="1"/>
  <c r="A2" i="46" a="1"/>
  <c r="B14" i="56" a="1"/>
  <c r="J10" i="52" a="1"/>
  <c r="V17" i="56" a="1"/>
  <c r="D8" i="42" a="1"/>
  <c r="D4" i="42" a="1"/>
  <c r="F2" i="15" a="1"/>
  <c r="H8" i="52" a="1"/>
  <c r="C7" i="13" a="1"/>
  <c r="Z4" i="9" a="1"/>
  <c r="H6" i="43" a="1"/>
  <c r="G6" i="43" a="1"/>
  <c r="J5" i="42" a="1"/>
  <c r="F6" i="52" a="1"/>
  <c r="B9" i="56" a="1"/>
  <c r="G4" i="9" a="1"/>
  <c r="G10" i="43" a="1"/>
  <c r="C10" i="43" a="1"/>
  <c r="J14" i="42" a="1"/>
  <c r="J12" i="42" a="1"/>
  <c r="J10" i="42" a="1"/>
  <c r="J8" i="42" a="1"/>
  <c r="J6" i="42" a="1"/>
  <c r="J4" i="42" a="1"/>
  <c r="N2" i="18" a="1"/>
  <c r="L2" i="15" a="1"/>
  <c r="J2" i="5" a="1"/>
  <c r="H2" i="7" a="1"/>
  <c r="F2" i="47" a="1"/>
  <c r="D2" i="46" a="1"/>
  <c r="F11" i="52" a="1"/>
  <c r="F9" i="52" a="1"/>
  <c r="F7" i="52" a="1"/>
  <c r="F5" i="52" a="1"/>
  <c r="F3" i="52" a="1"/>
  <c r="V14" i="56" a="1"/>
  <c r="V10" i="56" a="1"/>
  <c r="V6" i="56" a="1"/>
  <c r="J15" i="56" a="1"/>
  <c r="J11" i="56" a="1"/>
  <c r="J7" i="56" a="1"/>
  <c r="B17" i="56" a="1"/>
  <c r="C13" i="13" a="1"/>
  <c r="I11" i="56" a="1"/>
  <c r="C6" i="43" a="1"/>
  <c r="F2" i="5" a="1"/>
  <c r="J10" i="56" a="1"/>
  <c r="D2" i="38" a="1"/>
  <c r="H2" i="18" a="1"/>
  <c r="B2" i="7" a="1"/>
  <c r="C2" i="5" a="1"/>
  <c r="C6" i="13" a="1"/>
  <c r="G14" i="43" a="1"/>
  <c r="J13" i="56" a="1"/>
  <c r="U16" i="56" a="1"/>
  <c r="I9" i="56" a="1"/>
  <c r="J13" i="48" a="1"/>
  <c r="H2" i="38" a="1"/>
  <c r="AF4" i="9" a="1"/>
  <c r="P4" i="9" a="1"/>
  <c r="I4" i="42" a="1"/>
  <c r="I2" i="5" a="1"/>
  <c r="G2" i="7" a="1"/>
  <c r="E2" i="47" a="1"/>
  <c r="E11" i="52" a="1"/>
  <c r="E9" i="52" a="1"/>
  <c r="E5" i="52" a="1"/>
  <c r="I7" i="56" a="1"/>
  <c r="J8" i="52" a="1"/>
  <c r="C2" i="38" a="1"/>
  <c r="I13" i="56" a="1"/>
  <c r="H9" i="43" a="1"/>
  <c r="C9" i="43" a="1"/>
  <c r="I14" i="42" a="1"/>
  <c r="I12" i="42" a="1"/>
  <c r="I10" i="42" a="1"/>
  <c r="I8" i="42" a="1"/>
  <c r="I6" i="42" a="1"/>
  <c r="M2" i="18" a="1"/>
  <c r="K2" i="15" a="1"/>
  <c r="C2" i="46" a="1"/>
  <c r="E7" i="52" a="1"/>
  <c r="E3" i="52" a="1"/>
  <c r="U14" i="56" a="1"/>
  <c r="U10" i="56" a="1"/>
  <c r="U6" i="56" a="1"/>
  <c r="I15" i="56" a="1"/>
  <c r="B16" i="56" a="1"/>
  <c r="C12" i="13" a="1"/>
  <c r="D3" i="52" a="1"/>
  <c r="T6" i="56" a="1"/>
  <c r="C11" i="13" a="1"/>
  <c r="C9" i="52" a="1"/>
  <c r="D2" i="7" a="1"/>
  <c r="V13" i="56" a="1"/>
  <c r="J6" i="56" a="1"/>
  <c r="B12" i="56" a="1"/>
  <c r="D14" i="42" a="1"/>
  <c r="H10" i="52" a="1"/>
  <c r="H4" i="52" a="1"/>
  <c r="H14" i="56" a="1"/>
  <c r="B2" i="38" a="1"/>
  <c r="C3" i="43" a="1"/>
  <c r="G10" i="52" a="1"/>
  <c r="S13" i="56" a="1"/>
  <c r="F2" i="18" a="1"/>
  <c r="L2" i="46" a="1"/>
  <c r="F4" i="52" a="1"/>
  <c r="V8" i="56" a="1"/>
  <c r="J12" i="48" a="1"/>
  <c r="G2" i="38" a="1"/>
  <c r="AE4" i="9" a="1"/>
  <c r="C8" i="13" a="1"/>
  <c r="AA4" i="9" a="1"/>
  <c r="G7" i="43" a="1"/>
  <c r="G9" i="43" a="1"/>
  <c r="C8" i="43" a="1"/>
  <c r="H14" i="42" a="1"/>
  <c r="H12" i="42" a="1"/>
  <c r="H6" i="42" a="1"/>
  <c r="H2" i="5" a="1"/>
  <c r="D9" i="52" a="1"/>
  <c r="G6" i="42" a="1"/>
  <c r="S6" i="56" a="1"/>
  <c r="C10" i="13" a="1"/>
  <c r="M4" i="9" a="1"/>
  <c r="H2" i="15" a="1"/>
  <c r="J6" i="52" a="1"/>
  <c r="V9" i="56" a="1"/>
  <c r="J9" i="48" a="1"/>
  <c r="N2" i="46" a="1"/>
  <c r="B11" i="56" a="1"/>
  <c r="C6" i="42" a="1"/>
  <c r="S17" i="56" a="1"/>
  <c r="G6" i="56" a="1"/>
  <c r="A2" i="38" a="1"/>
  <c r="J13" i="42" a="1"/>
  <c r="D2" i="15" a="1"/>
  <c r="V12" i="56" a="1"/>
  <c r="J11" i="48" a="1"/>
  <c r="F2" i="38" a="1"/>
  <c r="AD4" i="9" a="1"/>
  <c r="S10" i="56" a="1"/>
  <c r="AC4" i="9" a="1"/>
  <c r="A4" i="9" a="1"/>
  <c r="D6" i="42" a="1"/>
  <c r="T9" i="56" a="1"/>
  <c r="J7" i="48" a="1"/>
  <c r="H14" i="43" a="1"/>
  <c r="S5" i="56" a="1"/>
  <c r="J7" i="42" a="1"/>
  <c r="J3" i="42" a="1"/>
  <c r="F12" i="52" a="1"/>
  <c r="J5" i="56" a="1"/>
  <c r="E6" i="52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U13" i="56" a="1"/>
  <c r="U9" i="56" a="1"/>
  <c r="U5" i="56" a="1"/>
  <c r="I14" i="56" a="1"/>
  <c r="I10" i="56" a="1"/>
  <c r="I6" i="56" a="1"/>
  <c r="J5" i="48" a="1"/>
  <c r="AN4" i="9" a="1"/>
  <c r="X4" i="9" a="1"/>
  <c r="H4" i="9" a="1"/>
  <c r="H13" i="43" a="1"/>
  <c r="H5" i="43" a="1"/>
  <c r="I15" i="42" a="1"/>
  <c r="I13" i="42" a="1"/>
  <c r="I11" i="42" a="1"/>
  <c r="I9" i="42" a="1"/>
  <c r="I7" i="42" a="1"/>
  <c r="I5" i="42" a="1"/>
  <c r="I3" i="42" a="1"/>
  <c r="E2" i="18" a="1"/>
  <c r="C2" i="15" a="1"/>
  <c r="A2" i="5" a="1"/>
  <c r="M2" i="47" a="1"/>
  <c r="K2" i="46" a="1"/>
  <c r="E12" i="52" a="1"/>
  <c r="E10" i="52" a="1"/>
  <c r="E8" i="52" a="1"/>
  <c r="AL4" i="9" a="1"/>
  <c r="N2" i="7" a="1"/>
  <c r="G13" i="43" a="1"/>
  <c r="N2" i="38" a="1"/>
  <c r="D2" i="18" a="1"/>
  <c r="T8" i="56" a="1"/>
  <c r="T12" i="56" a="1"/>
  <c r="B2" i="15" a="1"/>
  <c r="F4" i="9" a="1"/>
  <c r="H15" i="42" a="1"/>
  <c r="H17" i="56" a="1"/>
  <c r="H9" i="56" a="1"/>
  <c r="H13" i="42" a="1"/>
  <c r="D12" i="52" a="1"/>
  <c r="H5" i="56" a="1"/>
  <c r="H11" i="42" a="1"/>
  <c r="V4" i="9" a="1"/>
  <c r="G5" i="43" a="1"/>
  <c r="L2" i="47" a="1"/>
  <c r="H13" i="56" a="1"/>
  <c r="J2" i="46" a="1"/>
  <c r="D10" i="52" a="1"/>
  <c r="B7" i="56" a="1"/>
  <c r="H9" i="42" a="1"/>
  <c r="D8" i="52" a="1"/>
  <c r="S23" i="12" a="1"/>
  <c r="H7" i="42" a="1"/>
  <c r="D6" i="52" a="1"/>
  <c r="H5" i="42" a="1"/>
  <c r="D4" i="52" a="1"/>
  <c r="H3" i="42" a="1"/>
  <c r="T16" i="56" a="1"/>
  <c r="R23" i="12" a="1"/>
  <c r="R23" i="12" l="1"/>
  <c r="T16" i="56"/>
  <c r="H3" i="42"/>
  <c r="D4" i="52"/>
  <c r="H5" i="42"/>
  <c r="D6" i="52"/>
  <c r="H7" i="42"/>
  <c r="S23" i="12"/>
  <c r="D8" i="52"/>
  <c r="H9" i="42"/>
  <c r="B7" i="56"/>
  <c r="D10" i="52"/>
  <c r="J2" i="46"/>
  <c r="H13" i="56"/>
  <c r="L2" i="47"/>
  <c r="G5" i="43"/>
  <c r="V4" i="9"/>
  <c r="H11" i="42"/>
  <c r="H5" i="56"/>
  <c r="D12" i="52"/>
  <c r="H13" i="42"/>
  <c r="H9" i="56"/>
  <c r="H17" i="56"/>
  <c r="H15" i="42"/>
  <c r="F4" i="9"/>
  <c r="B2" i="15"/>
  <c r="T12" i="56"/>
  <c r="T8" i="56"/>
  <c r="D2" i="18"/>
  <c r="N2" i="38"/>
  <c r="G13" i="43"/>
  <c r="N2" i="7"/>
  <c r="AL4" i="9"/>
  <c r="E8" i="52"/>
  <c r="E10" i="52"/>
  <c r="E12" i="52"/>
  <c r="K2" i="46"/>
  <c r="M2" i="47"/>
  <c r="A2" i="5"/>
  <c r="C2" i="15"/>
  <c r="E2" i="18"/>
  <c r="I3" i="42"/>
  <c r="I5" i="42"/>
  <c r="I7" i="42"/>
  <c r="I9" i="42"/>
  <c r="I11" i="42"/>
  <c r="I13" i="42"/>
  <c r="I15" i="42"/>
  <c r="H5" i="43"/>
  <c r="H13" i="43"/>
  <c r="H4" i="9"/>
  <c r="X4" i="9"/>
  <c r="AN4" i="9"/>
  <c r="J5" i="48"/>
  <c r="I6" i="56"/>
  <c r="I10" i="56"/>
  <c r="I14" i="56"/>
  <c r="U5" i="56"/>
  <c r="U9" i="56"/>
  <c r="U13" i="56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E6" i="52"/>
  <c r="J5" i="56"/>
  <c r="F12" i="52"/>
  <c r="J3" i="42"/>
  <c r="J7" i="42"/>
  <c r="S5" i="56"/>
  <c r="H14" i="43"/>
  <c r="J7" i="48"/>
  <c r="T9" i="56"/>
  <c r="D6" i="42"/>
  <c r="A5" i="9"/>
  <c r="A4" i="9"/>
  <c r="A6" i="9"/>
  <c r="A13" i="9"/>
  <c r="A8" i="9"/>
  <c r="A12" i="9"/>
  <c r="A11" i="9"/>
  <c r="A10" i="9"/>
  <c r="A9" i="9"/>
  <c r="A7" i="9"/>
  <c r="AC4" i="9"/>
  <c r="S10" i="56"/>
  <c r="AD4" i="9"/>
  <c r="F2" i="38"/>
  <c r="J11" i="48"/>
  <c r="V12" i="56"/>
  <c r="D2" i="15"/>
  <c r="J13" i="42"/>
  <c r="A2" i="38"/>
  <c r="G6" i="56"/>
  <c r="S17" i="56"/>
  <c r="C6" i="42"/>
  <c r="B11" i="56"/>
  <c r="N2" i="46"/>
  <c r="J9" i="48"/>
  <c r="V9" i="56"/>
  <c r="J6" i="52"/>
  <c r="H2" i="15"/>
  <c r="M4" i="9"/>
  <c r="C10" i="13"/>
  <c r="S6" i="56"/>
  <c r="G6" i="42"/>
  <c r="D9" i="52"/>
  <c r="H2" i="5"/>
  <c r="H6" i="42"/>
  <c r="H12" i="42"/>
  <c r="H14" i="42"/>
  <c r="C8" i="43"/>
  <c r="G9" i="43"/>
  <c r="G7" i="43"/>
  <c r="AA4" i="9"/>
  <c r="C8" i="13"/>
  <c r="AE4" i="9"/>
  <c r="G2" i="38"/>
  <c r="J12" i="48"/>
  <c r="V8" i="56"/>
  <c r="F4" i="52"/>
  <c r="L2" i="46"/>
  <c r="F2" i="18"/>
  <c r="S13" i="56"/>
  <c r="G10" i="52"/>
  <c r="C3" i="43"/>
  <c r="B2" i="38"/>
  <c r="H14" i="56"/>
  <c r="H4" i="52"/>
  <c r="H10" i="52"/>
  <c r="D14" i="42"/>
  <c r="B12" i="56"/>
  <c r="J6" i="56"/>
  <c r="V13" i="56"/>
  <c r="D2" i="7"/>
  <c r="C9" i="52"/>
  <c r="C11" i="13"/>
  <c r="T6" i="56"/>
  <c r="D3" i="52"/>
  <c r="C12" i="13"/>
  <c r="B16" i="56"/>
  <c r="I15" i="56"/>
  <c r="U6" i="56"/>
  <c r="U10" i="56"/>
  <c r="U14" i="56"/>
  <c r="E3" i="52"/>
  <c r="E7" i="52"/>
  <c r="C2" i="46"/>
  <c r="K2" i="15"/>
  <c r="M2" i="18"/>
  <c r="I6" i="42"/>
  <c r="I8" i="42"/>
  <c r="I10" i="42"/>
  <c r="I12" i="42"/>
  <c r="I14" i="42"/>
  <c r="C9" i="43"/>
  <c r="H9" i="43"/>
  <c r="I13" i="56"/>
  <c r="C2" i="38"/>
  <c r="J8" i="52"/>
  <c r="I7" i="56"/>
  <c r="E5" i="52"/>
  <c r="E9" i="52"/>
  <c r="E11" i="52"/>
  <c r="E2" i="47"/>
  <c r="G2" i="7"/>
  <c r="I2" i="5"/>
  <c r="I4" i="42"/>
  <c r="P4" i="9"/>
  <c r="AF4" i="9"/>
  <c r="H2" i="38"/>
  <c r="J13" i="48"/>
  <c r="I9" i="56"/>
  <c r="U16" i="56"/>
  <c r="J13" i="56"/>
  <c r="G14" i="43"/>
  <c r="C6" i="13"/>
  <c r="C2" i="5"/>
  <c r="B2" i="7"/>
  <c r="H2" i="18"/>
  <c r="D2" i="38"/>
  <c r="J10" i="56"/>
  <c r="F2" i="5"/>
  <c r="C6" i="43"/>
  <c r="I11" i="56"/>
  <c r="C13" i="13"/>
  <c r="B17" i="56"/>
  <c r="J7" i="56"/>
  <c r="J11" i="56"/>
  <c r="J15" i="56"/>
  <c r="V6" i="56"/>
  <c r="V10" i="56"/>
  <c r="V14" i="56"/>
  <c r="F3" i="52"/>
  <c r="F5" i="52"/>
  <c r="F7" i="52"/>
  <c r="F9" i="52"/>
  <c r="F11" i="52"/>
  <c r="D2" i="46"/>
  <c r="F2" i="47"/>
  <c r="H2" i="7"/>
  <c r="J2" i="5"/>
  <c r="L2" i="15"/>
  <c r="N2" i="18"/>
  <c r="J4" i="42"/>
  <c r="J6" i="42"/>
  <c r="J8" i="42"/>
  <c r="J10" i="42"/>
  <c r="J12" i="42"/>
  <c r="J14" i="42"/>
  <c r="C10" i="43"/>
  <c r="G10" i="43"/>
  <c r="G4" i="9"/>
  <c r="B9" i="56"/>
  <c r="F6" i="52"/>
  <c r="J5" i="42"/>
  <c r="G6" i="43"/>
  <c r="H6" i="43"/>
  <c r="Z4" i="9"/>
  <c r="C7" i="13"/>
  <c r="H8" i="52"/>
  <c r="F2" i="15"/>
  <c r="D4" i="42"/>
  <c r="D8" i="42"/>
  <c r="V17" i="56"/>
  <c r="J10" i="52"/>
  <c r="B14" i="56"/>
  <c r="A2" i="46"/>
  <c r="I2" i="15"/>
  <c r="T14" i="56"/>
  <c r="D11" i="52"/>
  <c r="O4" i="9"/>
  <c r="Q4" i="9"/>
  <c r="AG4" i="9"/>
  <c r="I2" i="38"/>
  <c r="J14" i="48"/>
  <c r="W4" i="9"/>
  <c r="B8" i="56"/>
  <c r="I5" i="56"/>
  <c r="U8" i="56"/>
  <c r="J17" i="56"/>
  <c r="F8" i="52"/>
  <c r="N2" i="47"/>
  <c r="G14" i="56"/>
  <c r="G8" i="52"/>
  <c r="M2" i="46"/>
  <c r="J4" i="9"/>
  <c r="T5" i="56"/>
  <c r="H6" i="52"/>
  <c r="D12" i="42"/>
  <c r="F14" i="42"/>
  <c r="J10" i="48"/>
  <c r="G7" i="56"/>
  <c r="S14" i="56"/>
  <c r="C11" i="52"/>
  <c r="G4" i="42"/>
  <c r="G10" i="42"/>
  <c r="D5" i="52"/>
  <c r="H4" i="42"/>
  <c r="S11" i="56"/>
  <c r="G3" i="52"/>
  <c r="E2" i="46"/>
  <c r="K2" i="5"/>
  <c r="C3" i="42"/>
  <c r="C5" i="42"/>
  <c r="C9" i="42"/>
  <c r="C11" i="42"/>
  <c r="C13" i="42"/>
  <c r="C15" i="42"/>
  <c r="C11" i="43"/>
  <c r="H10" i="43"/>
  <c r="J9" i="56"/>
  <c r="V16" i="56"/>
  <c r="B2" i="5"/>
  <c r="J9" i="42"/>
  <c r="G2" i="18"/>
  <c r="T17" i="56"/>
  <c r="K4" i="9"/>
  <c r="J12" i="52"/>
  <c r="F8" i="42"/>
  <c r="B2" i="46"/>
  <c r="C14" i="13"/>
  <c r="C23" i="56"/>
  <c r="G12" i="56"/>
  <c r="S7" i="56"/>
  <c r="G9" i="52"/>
  <c r="I2" i="7"/>
  <c r="M2" i="15"/>
  <c r="C7" i="42"/>
  <c r="B4" i="9"/>
  <c r="R4" i="9"/>
  <c r="AH4" i="9"/>
  <c r="J2" i="38"/>
  <c r="J15" i="48"/>
  <c r="E4" i="52"/>
  <c r="C5" i="13"/>
  <c r="J11" i="42"/>
  <c r="A2" i="7"/>
  <c r="G15" i="43"/>
  <c r="H11" i="52"/>
  <c r="F2" i="46"/>
  <c r="H2" i="47"/>
  <c r="J2" i="7"/>
  <c r="L2" i="5"/>
  <c r="N2" i="15"/>
  <c r="D3" i="42"/>
  <c r="D5" i="42"/>
  <c r="D7" i="42"/>
  <c r="D9" i="42"/>
  <c r="D11" i="42"/>
  <c r="D13" i="42"/>
  <c r="D15" i="42"/>
  <c r="G3" i="43"/>
  <c r="G11" i="43"/>
  <c r="C9" i="13"/>
  <c r="C5" i="52"/>
  <c r="E2" i="7"/>
  <c r="G14" i="42"/>
  <c r="D2" i="47"/>
  <c r="L2" i="18"/>
  <c r="G8" i="56"/>
  <c r="G16" i="56"/>
  <c r="S15" i="56"/>
  <c r="G5" i="52"/>
  <c r="G7" i="52"/>
  <c r="G11" i="52"/>
  <c r="G2" i="47"/>
  <c r="C15" i="13"/>
  <c r="C24" i="56"/>
  <c r="H8" i="56"/>
  <c r="H12" i="56"/>
  <c r="H16" i="56"/>
  <c r="T7" i="56"/>
  <c r="T11" i="56"/>
  <c r="T15" i="56"/>
  <c r="H3" i="52"/>
  <c r="H5" i="52"/>
  <c r="H7" i="52"/>
  <c r="H9" i="52"/>
  <c r="C4" i="9"/>
  <c r="S4" i="9"/>
  <c r="AI4" i="9"/>
  <c r="K2" i="38"/>
  <c r="J16" i="48"/>
  <c r="F6" i="42"/>
  <c r="G8" i="43"/>
  <c r="C2" i="47"/>
  <c r="H8" i="43"/>
  <c r="D7" i="52"/>
  <c r="H8" i="42"/>
  <c r="I3" i="52"/>
  <c r="M2" i="5"/>
  <c r="A2" i="18"/>
  <c r="E3" i="42"/>
  <c r="E5" i="42"/>
  <c r="E7" i="42"/>
  <c r="E9" i="42"/>
  <c r="E11" i="42"/>
  <c r="E13" i="42"/>
  <c r="E15" i="42"/>
  <c r="H3" i="43"/>
  <c r="H11" i="43"/>
  <c r="C4" i="13"/>
  <c r="I17" i="56"/>
  <c r="F10" i="52"/>
  <c r="S9" i="56"/>
  <c r="H12" i="52"/>
  <c r="C4" i="43"/>
  <c r="L4" i="9"/>
  <c r="B13" i="56"/>
  <c r="F4" i="42"/>
  <c r="G11" i="56"/>
  <c r="C7" i="43"/>
  <c r="J2" i="15"/>
  <c r="I8" i="56"/>
  <c r="I16" i="56"/>
  <c r="U15" i="56"/>
  <c r="I5" i="52"/>
  <c r="I7" i="52"/>
  <c r="I11" i="52"/>
  <c r="G2" i="46"/>
  <c r="I2" i="47"/>
  <c r="K2" i="7"/>
  <c r="D4" i="9"/>
  <c r="T4" i="9"/>
  <c r="AJ4" i="9"/>
  <c r="L2" i="38"/>
  <c r="J19" i="48"/>
  <c r="I4" i="9"/>
  <c r="G6" i="52"/>
  <c r="C12" i="42"/>
  <c r="J8" i="48"/>
  <c r="AB4" i="9"/>
  <c r="J14" i="56"/>
  <c r="F10" i="42"/>
  <c r="G15" i="56"/>
  <c r="G2" i="5"/>
  <c r="G8" i="42"/>
  <c r="N4" i="9"/>
  <c r="B15" i="56"/>
  <c r="H11" i="56"/>
  <c r="F2" i="7"/>
  <c r="C16" i="13"/>
  <c r="C25" i="56"/>
  <c r="I12" i="56"/>
  <c r="U7" i="56"/>
  <c r="U11" i="56"/>
  <c r="B2" i="18"/>
  <c r="F3" i="42"/>
  <c r="F5" i="42"/>
  <c r="F7" i="42"/>
  <c r="F9" i="42"/>
  <c r="F11" i="42"/>
  <c r="F13" i="42"/>
  <c r="F15" i="42"/>
  <c r="G4" i="43"/>
  <c r="G12" i="43"/>
  <c r="AM4" i="9"/>
  <c r="J6" i="48"/>
  <c r="B10" i="56"/>
  <c r="G12" i="52"/>
  <c r="E2" i="15"/>
  <c r="C4" i="42"/>
  <c r="C8" i="42"/>
  <c r="C10" i="42"/>
  <c r="H6" i="56"/>
  <c r="H10" i="56"/>
  <c r="T13" i="56"/>
  <c r="D2" i="5"/>
  <c r="D10" i="42"/>
  <c r="V5" i="56"/>
  <c r="B2" i="47"/>
  <c r="C3" i="52"/>
  <c r="H7" i="56"/>
  <c r="H15" i="56"/>
  <c r="T10" i="56"/>
  <c r="H10" i="42"/>
  <c r="I9" i="52"/>
  <c r="B5" i="56"/>
  <c r="C26" i="56"/>
  <c r="J8" i="56"/>
  <c r="J12" i="56"/>
  <c r="J16" i="56"/>
  <c r="V7" i="56"/>
  <c r="V11" i="56"/>
  <c r="V15" i="56"/>
  <c r="J3" i="52"/>
  <c r="J5" i="52"/>
  <c r="J7" i="52"/>
  <c r="J9" i="52"/>
  <c r="J11" i="52"/>
  <c r="H2" i="46"/>
  <c r="J2" i="47"/>
  <c r="L2" i="7"/>
  <c r="N2" i="5"/>
  <c r="E4" i="9"/>
  <c r="U4" i="9"/>
  <c r="AK4" i="9"/>
  <c r="M2" i="38"/>
  <c r="J20" i="48"/>
  <c r="J4" i="48"/>
  <c r="U12" i="56"/>
  <c r="J15" i="42"/>
  <c r="Y4" i="9"/>
  <c r="G10" i="56"/>
  <c r="G4" i="52"/>
  <c r="C14" i="42"/>
  <c r="J4" i="52"/>
  <c r="J2" i="18"/>
  <c r="F12" i="42"/>
  <c r="E2" i="38"/>
  <c r="C7" i="52"/>
  <c r="K2" i="18"/>
  <c r="G12" i="4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M15" i="48" a="1"/>
  <c r="Q23" i="12" a="1"/>
  <c r="Q23" i="12" l="1"/>
  <c r="M15" i="48"/>
  <c r="O23" i="12" a="1"/>
  <c r="M23" i="12" a="1"/>
  <c r="K23" i="12" a="1"/>
  <c r="P23" i="12" a="1"/>
  <c r="L23" i="12" a="1"/>
  <c r="N23" i="12" a="1"/>
  <c r="S22" i="12" a="1"/>
  <c r="R22" i="12" a="1"/>
  <c r="R22" i="12" l="1"/>
  <c r="S22" i="12"/>
  <c r="N23" i="12"/>
  <c r="L23" i="12"/>
  <c r="P23" i="12"/>
  <c r="K23" i="12"/>
  <c r="M23" i="12"/>
  <c r="O23" i="12"/>
  <c r="Q22" i="12" a="1"/>
  <c r="Q22" i="12" l="1"/>
  <c r="P22" i="12" a="1"/>
  <c r="O22" i="12" a="1"/>
  <c r="L22" i="12" a="1"/>
  <c r="K22" i="12" a="1"/>
  <c r="N22" i="12" a="1"/>
  <c r="S21" i="12" a="1"/>
  <c r="M22" i="12" a="1"/>
  <c r="R21" i="12" a="1"/>
  <c r="R21" i="12" l="1"/>
  <c r="M22" i="12"/>
  <c r="S21" i="12"/>
  <c r="N22" i="12"/>
  <c r="K22" i="12"/>
  <c r="L22" i="12"/>
  <c r="O22" i="12"/>
  <c r="P22" i="12"/>
  <c r="Q21" i="12" a="1"/>
  <c r="Q21" i="12" l="1"/>
  <c r="P21" i="12" a="1"/>
  <c r="N21" i="12" a="1"/>
  <c r="M21" i="12" a="1"/>
  <c r="L21" i="12" a="1"/>
  <c r="O21" i="12" a="1"/>
  <c r="K21" i="12" a="1"/>
  <c r="S20" i="12" a="1"/>
  <c r="R20" i="12" a="1"/>
  <c r="R20" i="12" l="1"/>
  <c r="S20" i="12"/>
  <c r="K21" i="12"/>
  <c r="O21" i="12"/>
  <c r="L21" i="12"/>
  <c r="M21" i="12"/>
  <c r="N21" i="12"/>
  <c r="P21" i="12"/>
  <c r="Q20" i="12" a="1"/>
  <c r="Q20" i="12" l="1"/>
  <c r="P20" i="12" a="1"/>
  <c r="M20" i="12" a="1"/>
  <c r="L20" i="12" a="1"/>
  <c r="S19" i="12" a="1"/>
  <c r="O20" i="12" a="1"/>
  <c r="N20" i="12" a="1"/>
  <c r="K20" i="12" a="1"/>
  <c r="R19" i="12" a="1"/>
  <c r="R19" i="12" l="1"/>
  <c r="K20" i="12"/>
  <c r="N20" i="12"/>
  <c r="O20" i="12"/>
  <c r="S19" i="12"/>
  <c r="L20" i="12"/>
  <c r="M20" i="12"/>
  <c r="P20" i="12"/>
  <c r="Q19" i="12" a="1"/>
  <c r="Q19" i="12" l="1"/>
  <c r="N19" i="12" a="1"/>
  <c r="P19" i="12" a="1"/>
  <c r="K19" i="12" a="1"/>
  <c r="O19" i="12" a="1"/>
  <c r="L19" i="12" a="1"/>
  <c r="S18" i="12" a="1"/>
  <c r="M19" i="12" a="1"/>
  <c r="R18" i="12" a="1"/>
  <c r="R18" i="12" l="1"/>
  <c r="M19" i="12"/>
  <c r="S18" i="12"/>
  <c r="L19" i="12"/>
  <c r="O19" i="12"/>
  <c r="K19" i="12"/>
  <c r="P19" i="12"/>
  <c r="N19" i="12"/>
  <c r="Q18" i="12" a="1"/>
  <c r="Q18" i="12" l="1"/>
  <c r="P18" i="12" a="1"/>
  <c r="O18" i="12" a="1"/>
  <c r="L18" i="12" a="1"/>
  <c r="S15" i="12" a="1"/>
  <c r="M18" i="12" a="1"/>
  <c r="N18" i="12" a="1"/>
  <c r="K18" i="12" a="1"/>
  <c r="R15" i="12" a="1"/>
  <c r="R15" i="12" l="1"/>
  <c r="K18" i="12"/>
  <c r="N18" i="12"/>
  <c r="M18" i="12"/>
  <c r="S15" i="12"/>
  <c r="L18" i="12"/>
  <c r="O18" i="12"/>
  <c r="P18" i="12"/>
  <c r="Q15" i="12" a="1"/>
  <c r="Q15" i="12" l="1"/>
  <c r="M15" i="12" a="1"/>
  <c r="P15" i="12" a="1"/>
  <c r="K15" i="12" a="1"/>
  <c r="N15" i="12" a="1"/>
  <c r="S14" i="12" a="1"/>
  <c r="O15" i="12" a="1"/>
  <c r="L15" i="12" a="1"/>
  <c r="R14" i="12" a="1"/>
  <c r="R14" i="12" l="1"/>
  <c r="L15" i="12"/>
  <c r="O15" i="12"/>
  <c r="S14" i="12"/>
  <c r="N15" i="12"/>
  <c r="K15" i="12"/>
  <c r="P15" i="12"/>
  <c r="M15" i="12"/>
  <c r="Q14" i="12" a="1"/>
  <c r="Q14" i="12" l="1"/>
  <c r="O14" i="12" a="1"/>
  <c r="N14" i="12" a="1"/>
  <c r="M14" i="12" a="1"/>
  <c r="L14" i="12" a="1"/>
  <c r="K14" i="12" a="1"/>
  <c r="S13" i="12" a="1"/>
  <c r="P14" i="12" a="1"/>
  <c r="R13" i="12" a="1"/>
  <c r="R13" i="12" l="1"/>
  <c r="P14" i="12"/>
  <c r="S13" i="12"/>
  <c r="K14" i="12"/>
  <c r="L14" i="12"/>
  <c r="M14" i="12"/>
  <c r="N14" i="12"/>
  <c r="O14" i="12"/>
  <c r="Q13" i="12" a="1"/>
  <c r="Q13" i="12" l="1"/>
  <c r="P13" i="12" a="1"/>
  <c r="M13" i="12" a="1"/>
  <c r="O13" i="12" a="1"/>
  <c r="N13" i="12" a="1"/>
  <c r="K13" i="12" a="1"/>
  <c r="L13" i="12" a="1"/>
  <c r="S12" i="12" a="1"/>
  <c r="R12" i="12" a="1"/>
  <c r="R12" i="12" l="1"/>
  <c r="S12" i="12"/>
  <c r="L13" i="12"/>
  <c r="K13" i="12"/>
  <c r="N13" i="12"/>
  <c r="O13" i="12"/>
  <c r="M13" i="12"/>
  <c r="P13" i="12"/>
  <c r="Q12" i="12" a="1"/>
  <c r="Q12" i="12" l="1"/>
  <c r="P12" i="12" a="1"/>
  <c r="O12" i="12" a="1"/>
  <c r="L12" i="12" a="1"/>
  <c r="M12" i="12" a="1"/>
  <c r="S11" i="12" a="1"/>
  <c r="N12" i="12" a="1"/>
  <c r="K12" i="12" a="1"/>
  <c r="R11" i="12" a="1"/>
  <c r="R11" i="12" l="1"/>
  <c r="K12" i="12"/>
  <c r="N12" i="12"/>
  <c r="S11" i="12"/>
  <c r="M12" i="12"/>
  <c r="L12" i="12"/>
  <c r="O12" i="12"/>
  <c r="P12" i="12"/>
  <c r="Q11" i="12" a="1"/>
  <c r="Q11" i="12" l="1"/>
  <c r="P11" i="12" a="1"/>
  <c r="O11" i="12" a="1"/>
  <c r="N11" i="12" a="1"/>
  <c r="K11" i="12" a="1"/>
  <c r="M11" i="12" a="1"/>
  <c r="L11" i="12" a="1"/>
  <c r="S10" i="12" a="1"/>
  <c r="R10" i="12" a="1"/>
  <c r="R10" i="12" l="1"/>
  <c r="S10" i="12"/>
  <c r="L11" i="12"/>
  <c r="M11" i="12"/>
  <c r="K11" i="12"/>
  <c r="N11" i="12"/>
  <c r="O11" i="12"/>
  <c r="P11" i="12"/>
  <c r="Q10" i="12" a="1"/>
  <c r="Q10" i="12" l="1"/>
  <c r="P10" i="12" a="1"/>
  <c r="M10" i="12" a="1"/>
  <c r="O10" i="12" a="1"/>
  <c r="N10" i="12" a="1"/>
  <c r="S9" i="12" a="1"/>
  <c r="L10" i="12" a="1"/>
  <c r="K10" i="12" a="1"/>
  <c r="R9" i="12" a="1"/>
  <c r="R9" i="12" l="1"/>
  <c r="K10" i="12"/>
  <c r="L10" i="12"/>
  <c r="S9" i="12"/>
  <c r="N10" i="12"/>
  <c r="O10" i="12"/>
  <c r="M10" i="12"/>
  <c r="P10" i="12"/>
  <c r="Q9" i="12" a="1"/>
  <c r="Q9" i="12" l="1"/>
  <c r="P9" i="12" a="1"/>
  <c r="N9" i="12" a="1"/>
  <c r="M9" i="12" a="1"/>
  <c r="L9" i="12" a="1"/>
  <c r="S8" i="12" a="1"/>
  <c r="O9" i="12" a="1"/>
  <c r="K9" i="12" a="1"/>
  <c r="R8" i="12" a="1"/>
  <c r="R8" i="12" l="1"/>
  <c r="K9" i="12"/>
  <c r="O9" i="12"/>
  <c r="S8" i="12"/>
  <c r="L9" i="12"/>
  <c r="M9" i="12"/>
  <c r="N9" i="12"/>
  <c r="P9" i="12"/>
  <c r="Q8" i="12" a="1"/>
  <c r="Q8" i="12" l="1"/>
  <c r="P8" i="12" a="1"/>
  <c r="L8" i="12" a="1"/>
  <c r="K8" i="12" a="1"/>
  <c r="O8" i="12" a="1"/>
  <c r="N8" i="12" a="1"/>
  <c r="M8" i="12" a="1"/>
  <c r="S7" i="12" a="1"/>
  <c r="R7" i="12" a="1"/>
  <c r="R7" i="12" l="1"/>
  <c r="S7" i="12"/>
  <c r="M8" i="12"/>
  <c r="N8" i="12"/>
  <c r="O8" i="12"/>
  <c r="K8" i="12"/>
  <c r="L8" i="12"/>
  <c r="P8" i="12"/>
  <c r="Q7" i="12" a="1"/>
  <c r="Q7" i="12" l="1"/>
  <c r="P7" i="12" a="1"/>
  <c r="N7" i="12" a="1"/>
  <c r="L7" i="12" a="1"/>
  <c r="O7" i="12" a="1"/>
  <c r="M7" i="12" a="1"/>
  <c r="S6" i="12" a="1"/>
  <c r="K7" i="12" a="1"/>
  <c r="R6" i="12" a="1"/>
  <c r="R6" i="12" l="1"/>
  <c r="K7" i="12"/>
  <c r="S6" i="12"/>
  <c r="M7" i="12"/>
  <c r="O7" i="12"/>
  <c r="L7" i="12"/>
  <c r="N7" i="12"/>
  <c r="P7" i="12"/>
  <c r="Q6" i="12" a="1"/>
  <c r="Q6" i="12" l="1"/>
  <c r="P6" i="12" a="1"/>
  <c r="S5" i="12" a="1"/>
  <c r="O6" i="12" a="1"/>
  <c r="N6" i="12" a="1"/>
  <c r="L6" i="12" a="1"/>
  <c r="K6" i="12" a="1"/>
  <c r="M6" i="12" a="1"/>
  <c r="R5" i="12" a="1"/>
  <c r="R5" i="12" l="1"/>
  <c r="M6" i="12"/>
  <c r="K6" i="12"/>
  <c r="L6" i="12"/>
  <c r="N6" i="12"/>
  <c r="O6" i="12"/>
  <c r="S5" i="12"/>
  <c r="P6" i="12"/>
  <c r="Q5" i="12" a="1"/>
  <c r="Q5" i="12" l="1"/>
  <c r="P5" i="12" a="1"/>
  <c r="O5" i="12" a="1"/>
  <c r="N5" i="12" a="1"/>
  <c r="L5" i="12" a="1"/>
  <c r="K5" i="12" a="1"/>
  <c r="M5" i="12" a="1"/>
  <c r="S4" i="12" a="1"/>
  <c r="R4" i="12" a="1"/>
  <c r="R4" i="12" l="1"/>
  <c r="S4" i="12"/>
  <c r="M5" i="12"/>
  <c r="K5" i="12"/>
  <c r="L5" i="12"/>
  <c r="N5" i="12"/>
  <c r="O5" i="12"/>
  <c r="P5" i="12"/>
  <c r="Q4" i="12" a="1"/>
  <c r="Q4" i="12" l="1"/>
  <c r="P4" i="12" a="1"/>
  <c r="O4" i="12" a="1"/>
  <c r="M4" i="12" a="1"/>
  <c r="N4" i="12" a="1"/>
  <c r="L4" i="12" a="1"/>
  <c r="S3" i="12" a="1"/>
  <c r="K4" i="12" a="1"/>
  <c r="R3" i="12" a="1"/>
  <c r="R3" i="12" l="1"/>
  <c r="K4" i="12"/>
  <c r="S3" i="12"/>
  <c r="L4" i="12"/>
  <c r="N4" i="12"/>
  <c r="M4" i="12"/>
  <c r="O4" i="12"/>
  <c r="P4" i="12"/>
  <c r="Q3" i="12" a="1"/>
  <c r="Q3" i="12" l="1"/>
  <c r="G20" i="12" a="1"/>
  <c r="F13" i="12" a="1"/>
  <c r="E8" i="12" a="1"/>
  <c r="B15" i="12" a="1"/>
  <c r="J11" i="39" a="1"/>
  <c r="H8" i="39" a="1"/>
  <c r="F5" i="39" a="1"/>
  <c r="C2" i="39" a="1"/>
  <c r="M10" i="28" a="1"/>
  <c r="L5" i="28" a="1"/>
  <c r="H11" i="28" a="1"/>
  <c r="H3" i="28" a="1"/>
  <c r="E9" i="28" a="1"/>
  <c r="G20" i="1" a="1"/>
  <c r="L14" i="1" a="1"/>
  <c r="J12" i="1" a="1"/>
  <c r="H10" i="1" a="1"/>
  <c r="F8" i="1" a="1"/>
  <c r="K5" i="1" a="1"/>
  <c r="I3" i="1" a="1"/>
  <c r="C4" i="1" a="1"/>
  <c r="C20" i="55" a="1"/>
  <c r="C14" i="40" a="1"/>
  <c r="E11" i="60" a="1"/>
  <c r="E7" i="60" a="1"/>
  <c r="E3" i="60" a="1"/>
  <c r="D11" i="28" a="1"/>
  <c r="C6" i="1" a="1"/>
  <c r="H7" i="39" a="1"/>
  <c r="M15" i="28" a="1"/>
  <c r="L10" i="28" a="1"/>
  <c r="G11" i="28" a="1"/>
  <c r="K14" i="1" a="1"/>
  <c r="G10" i="1" a="1"/>
  <c r="L7" i="1" a="1"/>
  <c r="J5" i="1" a="1"/>
  <c r="H3" i="1" a="1"/>
  <c r="C3" i="1" a="1"/>
  <c r="H10" i="60" a="1"/>
  <c r="H6" i="60" a="1"/>
  <c r="G5" i="28" a="1"/>
  <c r="C16" i="40" a="1"/>
  <c r="P3" i="12" a="1"/>
  <c r="F20" i="12" a="1"/>
  <c r="E13" i="12" a="1"/>
  <c r="G7" i="12" a="1"/>
  <c r="B14" i="12" a="1"/>
  <c r="J10" i="39" a="1"/>
  <c r="F4" i="39" a="1"/>
  <c r="K5" i="28" a="1"/>
  <c r="G3" i="28" a="1"/>
  <c r="D9" i="28" a="1"/>
  <c r="F20" i="1" a="1"/>
  <c r="I12" i="1" a="1"/>
  <c r="C19" i="55" a="1"/>
  <c r="C13" i="40" a="1"/>
  <c r="F3" i="39" a="1"/>
  <c r="L15" i="28" a="1"/>
  <c r="C12" i="40" a="1"/>
  <c r="H5" i="1" a="1"/>
  <c r="C11" i="40" a="1"/>
  <c r="F6" i="60" a="1"/>
  <c r="G15" i="12" a="1"/>
  <c r="K13" i="28" a="1"/>
  <c r="L6" i="28" a="1"/>
  <c r="D5" i="49" a="1"/>
  <c r="O3" i="12" a="1"/>
  <c r="E20" i="12" a="1"/>
  <c r="G12" i="12" a="1"/>
  <c r="F7" i="12" a="1"/>
  <c r="B13" i="12" a="1"/>
  <c r="J9" i="39" a="1"/>
  <c r="H6" i="39" a="1"/>
  <c r="K10" i="28" a="1"/>
  <c r="M4" i="28" a="1"/>
  <c r="H10" i="28" a="1"/>
  <c r="E18" i="28" a="1"/>
  <c r="E8" i="28" a="1"/>
  <c r="L19" i="1" a="1"/>
  <c r="J14" i="1" a="1"/>
  <c r="H12" i="1" a="1"/>
  <c r="F10" i="1" a="1"/>
  <c r="K7" i="1" a="1"/>
  <c r="I5" i="1" a="1"/>
  <c r="G3" i="1" a="1"/>
  <c r="D16" i="49" a="1"/>
  <c r="C18" i="55" a="1"/>
  <c r="G10" i="60" a="1"/>
  <c r="G6" i="60" a="1"/>
  <c r="D15" i="49" a="1"/>
  <c r="C17" i="55" a="1"/>
  <c r="K7" i="28" a="1"/>
  <c r="G6" i="28" a="1"/>
  <c r="H13" i="1" a="1"/>
  <c r="F12" i="60" a="1"/>
  <c r="G10" i="28" a="1"/>
  <c r="K19" i="1" a="1"/>
  <c r="I14" i="1" a="1"/>
  <c r="G12" i="1" a="1"/>
  <c r="L9" i="1" a="1"/>
  <c r="J7" i="1" a="1"/>
  <c r="F3" i="1" a="1"/>
  <c r="C7" i="39" a="1"/>
  <c r="N3" i="12" a="1"/>
  <c r="G19" i="12" a="1"/>
  <c r="F12" i="12" a="1"/>
  <c r="E7" i="12" a="1"/>
  <c r="B12" i="12" a="1"/>
  <c r="J8" i="39" a="1"/>
  <c r="H5" i="39" a="1"/>
  <c r="F2" i="39" a="1"/>
  <c r="K15" i="28" a="1"/>
  <c r="M9" i="28" a="1"/>
  <c r="L4" i="28" a="1"/>
  <c r="D18" i="28" a="1"/>
  <c r="D8" i="28" a="1"/>
  <c r="F10" i="60" a="1"/>
  <c r="D10" i="49" a="1"/>
  <c r="E9" i="60" a="1"/>
  <c r="E23" i="12" a="1"/>
  <c r="G7" i="28" a="1"/>
  <c r="D5" i="28" a="1"/>
  <c r="L15" i="1" a="1"/>
  <c r="H11" i="1" a="1"/>
  <c r="F6" i="39" a="1"/>
  <c r="G8" i="1" a="1"/>
  <c r="F11" i="60" a="1"/>
  <c r="M3" i="12" a="1"/>
  <c r="F19" i="12" a="1"/>
  <c r="E12" i="12" a="1"/>
  <c r="G6" i="12" a="1"/>
  <c r="B11" i="12" a="1"/>
  <c r="J7" i="39" a="1"/>
  <c r="C14" i="39" a="1"/>
  <c r="M14" i="28" a="1"/>
  <c r="L9" i="28" a="1"/>
  <c r="K4" i="28" a="1"/>
  <c r="H9" i="28" a="1"/>
  <c r="E15" i="28" a="1"/>
  <c r="E7" i="28" a="1"/>
  <c r="J19" i="1" a="1"/>
  <c r="H14" i="1" a="1"/>
  <c r="F12" i="1" a="1"/>
  <c r="K9" i="1" a="1"/>
  <c r="I7" i="1" a="1"/>
  <c r="G5" i="1" a="1"/>
  <c r="D14" i="49" a="1"/>
  <c r="C16" i="55" a="1"/>
  <c r="C10" i="40" a="1"/>
  <c r="E10" i="60" a="1"/>
  <c r="G9" i="60" a="1"/>
  <c r="G5" i="60" a="1"/>
  <c r="L8" i="28" a="1"/>
  <c r="G8" i="28" a="1"/>
  <c r="H9" i="1" a="1"/>
  <c r="F7" i="1" a="1"/>
  <c r="K4" i="1" a="1"/>
  <c r="D11" i="49" a="1"/>
  <c r="I8" i="1" a="1"/>
  <c r="H11" i="60" a="1"/>
  <c r="G7" i="60" a="1"/>
  <c r="H9" i="39" a="1"/>
  <c r="M5" i="28" a="1"/>
  <c r="H4" i="39" a="1"/>
  <c r="E6" i="60" a="1"/>
  <c r="D14" i="28" a="1"/>
  <c r="D6" i="28" a="1"/>
  <c r="L13" i="1" a="1"/>
  <c r="L3" i="12" a="1"/>
  <c r="G11" i="12" a="1"/>
  <c r="F6" i="12" a="1"/>
  <c r="B10" i="12" a="1"/>
  <c r="H3" i="39" a="1"/>
  <c r="K9" i="28" a="1"/>
  <c r="M3" i="28" a="1"/>
  <c r="G9" i="28" a="1"/>
  <c r="I19" i="1" a="1"/>
  <c r="G14" i="1" a="1"/>
  <c r="C15" i="55" a="1"/>
  <c r="H9" i="60" a="1"/>
  <c r="K11" i="1" a="1"/>
  <c r="C14" i="55" a="1"/>
  <c r="C8" i="40" a="1"/>
  <c r="K3" i="28" a="1"/>
  <c r="C12" i="55" a="1"/>
  <c r="F12" i="39" a="1"/>
  <c r="G15" i="28" a="1"/>
  <c r="D13" i="28" a="1"/>
  <c r="G14" i="28" a="1"/>
  <c r="J15" i="1" a="1"/>
  <c r="K8" i="1" a="1"/>
  <c r="G4" i="1" a="1"/>
  <c r="F8" i="60" a="1"/>
  <c r="G13" i="28" a="1"/>
  <c r="F13" i="1" a="1"/>
  <c r="E19" i="12" a="1"/>
  <c r="J6" i="39" a="1"/>
  <c r="C13" i="39" a="1"/>
  <c r="L14" i="28" a="1"/>
  <c r="D15" i="28" a="1"/>
  <c r="D7" i="28" a="1"/>
  <c r="L11" i="1" a="1"/>
  <c r="J9" i="1" a="1"/>
  <c r="H7" i="1" a="1"/>
  <c r="F5" i="1" a="1"/>
  <c r="C15" i="1" a="1"/>
  <c r="D13" i="49" a="1"/>
  <c r="C9" i="40" a="1"/>
  <c r="H5" i="60" a="1"/>
  <c r="C14" i="1" a="1"/>
  <c r="J11" i="1" a="1"/>
  <c r="C13" i="1" a="1"/>
  <c r="C13" i="55" a="1"/>
  <c r="F5" i="60" a="1"/>
  <c r="E5" i="60" a="1"/>
  <c r="J2" i="39" a="1"/>
  <c r="J13" i="1" a="1"/>
  <c r="C11" i="1" a="1"/>
  <c r="C11" i="55" a="1"/>
  <c r="B9" i="12" a="1"/>
  <c r="H2" i="39" a="1"/>
  <c r="B6" i="12" a="1"/>
  <c r="K6" i="1" a="1"/>
  <c r="D7" i="49" a="1"/>
  <c r="K3" i="12" a="1"/>
  <c r="G18" i="12" a="1"/>
  <c r="F11" i="12" a="1"/>
  <c r="E6" i="12" a="1"/>
  <c r="J5" i="39" a="1"/>
  <c r="C12" i="39" a="1"/>
  <c r="K14" i="28" a="1"/>
  <c r="M8" i="28" a="1"/>
  <c r="L3" i="28" a="1"/>
  <c r="H8" i="28" a="1"/>
  <c r="E14" i="28" a="1"/>
  <c r="E6" i="28" a="1"/>
  <c r="H19" i="1" a="1"/>
  <c r="F14" i="1" a="1"/>
  <c r="I9" i="1" a="1"/>
  <c r="G7" i="1" a="1"/>
  <c r="L4" i="1" a="1"/>
  <c r="D12" i="49" a="1"/>
  <c r="G19" i="1" a="1"/>
  <c r="C7" i="40" a="1"/>
  <c r="F9" i="60" a="1"/>
  <c r="H8" i="60" a="1"/>
  <c r="F10" i="39" a="1"/>
  <c r="D12" i="28" a="1"/>
  <c r="G23" i="12" a="1"/>
  <c r="F18" i="12" a="1"/>
  <c r="E11" i="12" a="1"/>
  <c r="G5" i="12" a="1"/>
  <c r="B8" i="12" a="1"/>
  <c r="J4" i="39" a="1"/>
  <c r="F14" i="39" a="1"/>
  <c r="C11" i="39" a="1"/>
  <c r="M13" i="28" a="1"/>
  <c r="C3" i="39" a="1"/>
  <c r="G4" i="28" a="1"/>
  <c r="H20" i="1" a="1"/>
  <c r="C10" i="39" a="1"/>
  <c r="I11" i="1" a="1"/>
  <c r="C6" i="40" a="1"/>
  <c r="F10" i="12" a="1"/>
  <c r="C9" i="39" a="1"/>
  <c r="M7" i="28" a="1"/>
  <c r="I4" i="1" a="1"/>
  <c r="H12" i="60" a="1"/>
  <c r="F11" i="1" a="1"/>
  <c r="C9" i="55" a="1"/>
  <c r="D3" i="28" a="1"/>
  <c r="L3" i="1" a="1"/>
  <c r="K11" i="28" a="1"/>
  <c r="D10" i="28" a="1"/>
  <c r="K12" i="1" a="1"/>
  <c r="F23" i="12" a="1"/>
  <c r="E18" i="12" a="1"/>
  <c r="G10" i="12" a="1"/>
  <c r="F5" i="12" a="1"/>
  <c r="B7" i="12" a="1"/>
  <c r="J3" i="39" a="1"/>
  <c r="F13" i="39" a="1"/>
  <c r="L13" i="28" a="1"/>
  <c r="K8" i="28" a="1"/>
  <c r="H15" i="28" a="1"/>
  <c r="H7" i="28" a="1"/>
  <c r="E13" i="28" a="1"/>
  <c r="E5" i="28" a="1"/>
  <c r="F19" i="1" a="1"/>
  <c r="K13" i="1" a="1"/>
  <c r="G9" i="1" a="1"/>
  <c r="L6" i="1" a="1"/>
  <c r="J4" i="1" a="1"/>
  <c r="C12" i="1" a="1"/>
  <c r="E5" i="12" a="1"/>
  <c r="F9" i="1" a="1"/>
  <c r="D9" i="49" a="1"/>
  <c r="H4" i="60" a="1"/>
  <c r="D4" i="28" a="1"/>
  <c r="I6" i="1" a="1"/>
  <c r="G6" i="1" a="1"/>
  <c r="H7" i="60" a="1"/>
  <c r="D4" i="49" a="1"/>
  <c r="G13" i="12" a="1"/>
  <c r="J3" i="1" a="1"/>
  <c r="F4" i="60" a="1"/>
  <c r="H15" i="1" a="1"/>
  <c r="M11" i="28" a="1"/>
  <c r="C7" i="1" a="1"/>
  <c r="E21" i="12" a="1"/>
  <c r="F15" i="1" a="1"/>
  <c r="C15" i="40" a="1"/>
  <c r="F22" i="12" a="1"/>
  <c r="E15" i="12" a="1"/>
  <c r="G9" i="12" a="1"/>
  <c r="F4" i="12" a="1"/>
  <c r="B4" i="12" a="1"/>
  <c r="H13" i="39" a="1"/>
  <c r="L12" i="28" a="1"/>
  <c r="L20" i="1" a="1"/>
  <c r="C9" i="1" a="1"/>
  <c r="G22" i="12" a="1"/>
  <c r="F15" i="12" a="1"/>
  <c r="E10" i="12" a="1"/>
  <c r="G4" i="12" a="1"/>
  <c r="B5" i="12" a="1"/>
  <c r="H14" i="39" a="1"/>
  <c r="F11" i="39" a="1"/>
  <c r="C8" i="39" a="1"/>
  <c r="M12" i="28" a="1"/>
  <c r="L7" i="28" a="1"/>
  <c r="H14" i="28" a="1"/>
  <c r="H6" i="28" a="1"/>
  <c r="E12" i="28" a="1"/>
  <c r="E4" i="28" a="1"/>
  <c r="K15" i="1" a="1"/>
  <c r="I13" i="1" a="1"/>
  <c r="G11" i="1" a="1"/>
  <c r="L8" i="1" a="1"/>
  <c r="J6" i="1" a="1"/>
  <c r="H4" i="1" a="1"/>
  <c r="C10" i="1" a="1"/>
  <c r="D8" i="49" a="1"/>
  <c r="C10" i="55" a="1"/>
  <c r="G12" i="60" a="1"/>
  <c r="G8" i="60" a="1"/>
  <c r="G4" i="60" a="1"/>
  <c r="G14" i="12" a="1"/>
  <c r="F9" i="12" a="1"/>
  <c r="E4" i="12" a="1"/>
  <c r="B3" i="12" a="1"/>
  <c r="H12" i="39" a="1"/>
  <c r="F9" i="39" a="1"/>
  <c r="C6" i="39" a="1"/>
  <c r="K12" i="28" a="1"/>
  <c r="M6" i="28" a="1"/>
  <c r="H13" i="28" a="1"/>
  <c r="H5" i="28" a="1"/>
  <c r="E11" i="28" a="1"/>
  <c r="E3" i="28" a="1"/>
  <c r="K20" i="1" a="1"/>
  <c r="I15" i="1" a="1"/>
  <c r="F14" i="12" a="1"/>
  <c r="E9" i="12" a="1"/>
  <c r="G3" i="12" a="1"/>
  <c r="J14" i="39" a="1"/>
  <c r="C5" i="39" a="1"/>
  <c r="H3" i="60" a="1"/>
  <c r="E22" i="12" a="1"/>
  <c r="G13" i="1" a="1"/>
  <c r="L10" i="1" a="1"/>
  <c r="J8" i="1" a="1"/>
  <c r="H6" i="1" a="1"/>
  <c r="F4" i="1" a="1"/>
  <c r="C8" i="1" a="1"/>
  <c r="D6" i="49" a="1"/>
  <c r="C18" i="40" a="1"/>
  <c r="E12" i="60" a="1"/>
  <c r="E8" i="60" a="1"/>
  <c r="E4" i="60" a="1"/>
  <c r="G21" i="12" a="1"/>
  <c r="E3" i="12" a="1"/>
  <c r="F3" i="60" a="1"/>
  <c r="H11" i="39" a="1"/>
  <c r="K10" i="1" a="1"/>
  <c r="G11" i="60" a="1"/>
  <c r="G3" i="60" a="1"/>
  <c r="L5" i="1" a="1"/>
  <c r="C5" i="1" a="1"/>
  <c r="F7" i="60" a="1"/>
  <c r="F8" i="39" a="1"/>
  <c r="J20" i="1" a="1"/>
  <c r="C17" i="40" a="1"/>
  <c r="J12" i="39" a="1"/>
  <c r="G12" i="28" a="1"/>
  <c r="I10" i="1" a="1"/>
  <c r="C21" i="55" a="1"/>
  <c r="F21" i="12" a="1"/>
  <c r="E14" i="12" a="1"/>
  <c r="G8" i="12" a="1"/>
  <c r="F3" i="12" a="1"/>
  <c r="J13" i="39" a="1"/>
  <c r="H10" i="39" a="1"/>
  <c r="F7" i="39" a="1"/>
  <c r="C4" i="39" a="1"/>
  <c r="L11" i="28" a="1"/>
  <c r="K6" i="28" a="1"/>
  <c r="H12" i="28" a="1"/>
  <c r="H4" i="28" a="1"/>
  <c r="E10" i="28" a="1"/>
  <c r="I20" i="1" a="1"/>
  <c r="G15" i="1" a="1"/>
  <c r="L12" i="1" a="1"/>
  <c r="J10" i="1" a="1"/>
  <c r="H8" i="1" a="1"/>
  <c r="F6" i="1" a="1"/>
  <c r="K3" i="1" a="1"/>
  <c r="F8" i="12" a="1"/>
  <c r="F8" i="12" l="1"/>
  <c r="K3" i="1"/>
  <c r="F6" i="1"/>
  <c r="H8" i="1"/>
  <c r="J10" i="1"/>
  <c r="L12" i="1"/>
  <c r="G15" i="1"/>
  <c r="I20" i="1"/>
  <c r="E10" i="28"/>
  <c r="H4" i="28"/>
  <c r="H12" i="28"/>
  <c r="K6" i="28"/>
  <c r="L11" i="28"/>
  <c r="C4" i="39"/>
  <c r="F7" i="39"/>
  <c r="H10" i="39"/>
  <c r="J13" i="39"/>
  <c r="F3" i="12"/>
  <c r="G8" i="12"/>
  <c r="E14" i="12"/>
  <c r="F21" i="12"/>
  <c r="C21" i="55"/>
  <c r="I10" i="1"/>
  <c r="G12" i="28"/>
  <c r="J12" i="39"/>
  <c r="C17" i="40"/>
  <c r="J20" i="1"/>
  <c r="F8" i="39"/>
  <c r="F7" i="60"/>
  <c r="C5" i="1"/>
  <c r="L5" i="1"/>
  <c r="G3" i="60"/>
  <c r="G11" i="60"/>
  <c r="K10" i="1"/>
  <c r="H11" i="39"/>
  <c r="F3" i="60"/>
  <c r="E3" i="12"/>
  <c r="G21" i="12"/>
  <c r="E4" i="60"/>
  <c r="E8" i="60"/>
  <c r="E12" i="60"/>
  <c r="C18" i="40"/>
  <c r="D6" i="49"/>
  <c r="C8" i="1"/>
  <c r="F4" i="1"/>
  <c r="H6" i="1"/>
  <c r="J8" i="1"/>
  <c r="L10" i="1"/>
  <c r="G13" i="1"/>
  <c r="E22" i="12"/>
  <c r="H3" i="60"/>
  <c r="C5" i="39"/>
  <c r="J14" i="39"/>
  <c r="G3" i="12"/>
  <c r="E9" i="12"/>
  <c r="F14" i="12"/>
  <c r="I15" i="1"/>
  <c r="K20" i="1"/>
  <c r="E3" i="28"/>
  <c r="E11" i="28"/>
  <c r="H5" i="28"/>
  <c r="H13" i="28"/>
  <c r="M6" i="28"/>
  <c r="K12" i="28"/>
  <c r="C6" i="39"/>
  <c r="F9" i="39"/>
  <c r="H12" i="39"/>
  <c r="B3" i="12"/>
  <c r="E4" i="12"/>
  <c r="F9" i="12"/>
  <c r="G14" i="12"/>
  <c r="G4" i="60"/>
  <c r="G8" i="60"/>
  <c r="G12" i="60"/>
  <c r="C10" i="55"/>
  <c r="D8" i="49"/>
  <c r="C10" i="1"/>
  <c r="H4" i="1"/>
  <c r="J6" i="1"/>
  <c r="L8" i="1"/>
  <c r="G11" i="1"/>
  <c r="I13" i="1"/>
  <c r="K15" i="1"/>
  <c r="E4" i="28"/>
  <c r="E12" i="28"/>
  <c r="H6" i="28"/>
  <c r="H14" i="28"/>
  <c r="L7" i="28"/>
  <c r="M12" i="28"/>
  <c r="C8" i="39"/>
  <c r="F11" i="39"/>
  <c r="H14" i="39"/>
  <c r="B5" i="12"/>
  <c r="G4" i="12"/>
  <c r="E10" i="12"/>
  <c r="F15" i="12"/>
  <c r="G22" i="12"/>
  <c r="C9" i="1"/>
  <c r="L20" i="1"/>
  <c r="L12" i="28"/>
  <c r="H13" i="39"/>
  <c r="B4" i="12"/>
  <c r="F4" i="12"/>
  <c r="G9" i="12"/>
  <c r="E15" i="12"/>
  <c r="F22" i="12"/>
  <c r="C15" i="40"/>
  <c r="F15" i="1"/>
  <c r="E21" i="12"/>
  <c r="C7" i="1"/>
  <c r="M11" i="28"/>
  <c r="H15" i="1"/>
  <c r="F4" i="60"/>
  <c r="J3" i="1"/>
  <c r="G13" i="12"/>
  <c r="D4" i="49"/>
  <c r="H7" i="60"/>
  <c r="G6" i="1"/>
  <c r="I6" i="1"/>
  <c r="D4" i="28"/>
  <c r="H4" i="60"/>
  <c r="D9" i="49"/>
  <c r="F9" i="1"/>
  <c r="E5" i="12"/>
  <c r="C12" i="1"/>
  <c r="J4" i="1"/>
  <c r="L6" i="1"/>
  <c r="G9" i="1"/>
  <c r="K13" i="1"/>
  <c r="F19" i="1"/>
  <c r="E5" i="28"/>
  <c r="E13" i="28"/>
  <c r="H7" i="28"/>
  <c r="H15" i="28"/>
  <c r="K8" i="28"/>
  <c r="L13" i="28"/>
  <c r="F13" i="39"/>
  <c r="J3" i="39"/>
  <c r="B7" i="12"/>
  <c r="F5" i="12"/>
  <c r="G10" i="12"/>
  <c r="E18" i="12"/>
  <c r="F23" i="12"/>
  <c r="K12" i="1"/>
  <c r="D10" i="28"/>
  <c r="K11" i="28"/>
  <c r="L3" i="1"/>
  <c r="D3" i="28"/>
  <c r="C9" i="55"/>
  <c r="F11" i="1"/>
  <c r="H12" i="60"/>
  <c r="I4" i="1"/>
  <c r="M7" i="28"/>
  <c r="C9" i="39"/>
  <c r="F10" i="12"/>
  <c r="C6" i="40"/>
  <c r="I11" i="1"/>
  <c r="C10" i="39"/>
  <c r="H20" i="1"/>
  <c r="G4" i="28"/>
  <c r="C3" i="39"/>
  <c r="M13" i="28"/>
  <c r="C11" i="39"/>
  <c r="F14" i="39"/>
  <c r="J4" i="39"/>
  <c r="B8" i="12"/>
  <c r="G5" i="12"/>
  <c r="E11" i="12"/>
  <c r="F18" i="12"/>
  <c r="G23" i="12"/>
  <c r="D12" i="28"/>
  <c r="F10" i="39"/>
  <c r="H8" i="60"/>
  <c r="F9" i="60"/>
  <c r="C7" i="40"/>
  <c r="G19" i="1"/>
  <c r="D12" i="49"/>
  <c r="L4" i="1"/>
  <c r="G7" i="1"/>
  <c r="I9" i="1"/>
  <c r="F14" i="1"/>
  <c r="H19" i="1"/>
  <c r="E6" i="28"/>
  <c r="E14" i="28"/>
  <c r="H8" i="28"/>
  <c r="L3" i="28"/>
  <c r="M8" i="28"/>
  <c r="K14" i="28"/>
  <c r="C12" i="39"/>
  <c r="J5" i="39"/>
  <c r="E6" i="12"/>
  <c r="F11" i="12"/>
  <c r="G18" i="12"/>
  <c r="K3" i="12"/>
  <c r="D7" i="49"/>
  <c r="K6" i="1"/>
  <c r="B6" i="12"/>
  <c r="H2" i="39"/>
  <c r="B9" i="12"/>
  <c r="C11" i="55"/>
  <c r="C11" i="1"/>
  <c r="J13" i="1"/>
  <c r="J2" i="39"/>
  <c r="E5" i="60"/>
  <c r="F5" i="60"/>
  <c r="C13" i="55"/>
  <c r="C13" i="1"/>
  <c r="J11" i="1"/>
  <c r="C14" i="1"/>
  <c r="H5" i="60"/>
  <c r="C9" i="40"/>
  <c r="D13" i="49"/>
  <c r="C15" i="1"/>
  <c r="F5" i="1"/>
  <c r="H7" i="1"/>
  <c r="J9" i="1"/>
  <c r="L11" i="1"/>
  <c r="D7" i="28"/>
  <c r="D15" i="28"/>
  <c r="L14" i="28"/>
  <c r="C13" i="39"/>
  <c r="J6" i="39"/>
  <c r="E19" i="12"/>
  <c r="F13" i="1"/>
  <c r="G13" i="28"/>
  <c r="F8" i="60"/>
  <c r="G4" i="1"/>
  <c r="K8" i="1"/>
  <c r="J15" i="1"/>
  <c r="G14" i="28"/>
  <c r="D13" i="28"/>
  <c r="G15" i="28"/>
  <c r="F12" i="39"/>
  <c r="C12" i="55"/>
  <c r="K3" i="28"/>
  <c r="C8" i="40"/>
  <c r="C14" i="55"/>
  <c r="K11" i="1"/>
  <c r="H9" i="60"/>
  <c r="C15" i="55"/>
  <c r="G14" i="1"/>
  <c r="I19" i="1"/>
  <c r="G9" i="28"/>
  <c r="M3" i="28"/>
  <c r="K9" i="28"/>
  <c r="H3" i="39"/>
  <c r="B10" i="12"/>
  <c r="F6" i="12"/>
  <c r="G11" i="12"/>
  <c r="L3" i="12"/>
  <c r="L13" i="1"/>
  <c r="D6" i="28"/>
  <c r="D14" i="28"/>
  <c r="E6" i="60"/>
  <c r="H4" i="39"/>
  <c r="M5" i="28"/>
  <c r="H9" i="39"/>
  <c r="G7" i="60"/>
  <c r="H11" i="60"/>
  <c r="I8" i="1"/>
  <c r="D11" i="49"/>
  <c r="K4" i="1"/>
  <c r="F7" i="1"/>
  <c r="H9" i="1"/>
  <c r="G8" i="28"/>
  <c r="L8" i="28"/>
  <c r="G5" i="60"/>
  <c r="G9" i="60"/>
  <c r="E10" i="60"/>
  <c r="C10" i="40"/>
  <c r="C16" i="55"/>
  <c r="D14" i="49"/>
  <c r="G5" i="1"/>
  <c r="I7" i="1"/>
  <c r="K9" i="1"/>
  <c r="F12" i="1"/>
  <c r="H14" i="1"/>
  <c r="J19" i="1"/>
  <c r="E7" i="28"/>
  <c r="E15" i="28"/>
  <c r="H9" i="28"/>
  <c r="K4" i="28"/>
  <c r="L9" i="28"/>
  <c r="M14" i="28"/>
  <c r="C14" i="39"/>
  <c r="J7" i="39"/>
  <c r="B11" i="12"/>
  <c r="G6" i="12"/>
  <c r="E12" i="12"/>
  <c r="F19" i="12"/>
  <c r="M3" i="12"/>
  <c r="F11" i="60"/>
  <c r="G8" i="1"/>
  <c r="F6" i="39"/>
  <c r="H11" i="1"/>
  <c r="L15" i="1"/>
  <c r="D5" i="28"/>
  <c r="G7" i="28"/>
  <c r="E23" i="12"/>
  <c r="E9" i="60"/>
  <c r="D10" i="49"/>
  <c r="F10" i="60"/>
  <c r="D8" i="28"/>
  <c r="D18" i="28"/>
  <c r="L4" i="28"/>
  <c r="M9" i="28"/>
  <c r="K15" i="28"/>
  <c r="F2" i="39"/>
  <c r="H5" i="39"/>
  <c r="J8" i="39"/>
  <c r="B12" i="12"/>
  <c r="E7" i="12"/>
  <c r="F12" i="12"/>
  <c r="G19" i="12"/>
  <c r="N3" i="12"/>
  <c r="C7" i="39"/>
  <c r="F3" i="1"/>
  <c r="J7" i="1"/>
  <c r="L9" i="1"/>
  <c r="G12" i="1"/>
  <c r="I14" i="1"/>
  <c r="K19" i="1"/>
  <c r="G10" i="28"/>
  <c r="F12" i="60"/>
  <c r="H13" i="1"/>
  <c r="G6" i="28"/>
  <c r="K7" i="28"/>
  <c r="C17" i="55"/>
  <c r="D15" i="49"/>
  <c r="G6" i="60"/>
  <c r="G10" i="60"/>
  <c r="C18" i="55"/>
  <c r="D16" i="49"/>
  <c r="G3" i="1"/>
  <c r="I5" i="1"/>
  <c r="K7" i="1"/>
  <c r="F10" i="1"/>
  <c r="H12" i="1"/>
  <c r="J14" i="1"/>
  <c r="L19" i="1"/>
  <c r="E8" i="28"/>
  <c r="E18" i="28"/>
  <c r="H10" i="28"/>
  <c r="M4" i="28"/>
  <c r="K10" i="28"/>
  <c r="H6" i="39"/>
  <c r="J9" i="39"/>
  <c r="B13" i="12"/>
  <c r="F7" i="12"/>
  <c r="G12" i="12"/>
  <c r="E20" i="12"/>
  <c r="O3" i="12"/>
  <c r="D5" i="49"/>
  <c r="L6" i="28"/>
  <c r="K13" i="28"/>
  <c r="G15" i="12"/>
  <c r="F6" i="60"/>
  <c r="C11" i="40"/>
  <c r="H5" i="1"/>
  <c r="C12" i="40"/>
  <c r="L15" i="28"/>
  <c r="F3" i="39"/>
  <c r="C13" i="40"/>
  <c r="C19" i="55"/>
  <c r="I12" i="1"/>
  <c r="F20" i="1"/>
  <c r="D9" i="28"/>
  <c r="G3" i="28"/>
  <c r="K5" i="28"/>
  <c r="F4" i="39"/>
  <c r="J10" i="39"/>
  <c r="B14" i="12"/>
  <c r="G7" i="12"/>
  <c r="E13" i="12"/>
  <c r="F20" i="12"/>
  <c r="P3" i="12"/>
  <c r="C16" i="40"/>
  <c r="G5" i="28"/>
  <c r="H6" i="60"/>
  <c r="H10" i="60"/>
  <c r="C3" i="1"/>
  <c r="H3" i="1"/>
  <c r="J5" i="1"/>
  <c r="L7" i="1"/>
  <c r="G10" i="1"/>
  <c r="K14" i="1"/>
  <c r="G11" i="28"/>
  <c r="L10" i="28"/>
  <c r="M15" i="28"/>
  <c r="H7" i="39"/>
  <c r="C6" i="1"/>
  <c r="D11" i="28"/>
  <c r="E3" i="60"/>
  <c r="E7" i="60"/>
  <c r="E11" i="60"/>
  <c r="C14" i="40"/>
  <c r="C20" i="55"/>
  <c r="C4" i="1"/>
  <c r="I3" i="1"/>
  <c r="K5" i="1"/>
  <c r="F8" i="1"/>
  <c r="H10" i="1"/>
  <c r="J12" i="1"/>
  <c r="L14" i="1"/>
  <c r="G20" i="1"/>
  <c r="E9" i="28"/>
  <c r="H3" i="28"/>
  <c r="H11" i="28"/>
  <c r="L5" i="28"/>
  <c r="M10" i="28"/>
  <c r="C2" i="39"/>
  <c r="F5" i="39"/>
  <c r="H8" i="39"/>
  <c r="J11" i="39"/>
  <c r="B15" i="12"/>
  <c r="E8" i="12"/>
  <c r="F13" i="12"/>
  <c r="G20" i="12"/>
  <c r="Y2" i="12"/>
  <c r="F24" i="8"/>
  <c r="E24" i="8"/>
  <c r="Y4" i="12" l="1" a="1"/>
  <c r="Y4" i="12" s="1"/>
  <c r="Y5" i="12" a="1"/>
  <c r="Y5" i="12" s="1"/>
  <c r="Y6" i="12" a="1"/>
  <c r="Y6" i="12" s="1"/>
  <c r="Y7" i="12" a="1"/>
  <c r="Y7" i="12" s="1"/>
  <c r="Y8" i="12" a="1"/>
  <c r="Y8" i="12" s="1"/>
  <c r="Y9" i="12" a="1"/>
  <c r="Y9" i="12" s="1"/>
  <c r="Y10" i="12" a="1"/>
  <c r="Y10" i="12" s="1"/>
  <c r="Y11" i="12" a="1"/>
  <c r="Y11" i="12" s="1"/>
  <c r="Y12" i="12" a="1"/>
  <c r="Y12" i="12" s="1"/>
  <c r="Y13" i="12" a="1"/>
  <c r="Y13" i="12" s="1"/>
  <c r="Y14" i="12" a="1"/>
  <c r="Y14" i="12" s="1"/>
  <c r="Y15" i="12" a="1"/>
  <c r="Y15" i="12" s="1"/>
  <c r="Y3" i="12" a="1"/>
  <c r="Y3" i="12" s="1"/>
  <c r="AG2" i="12"/>
  <c r="AF2" i="12"/>
  <c r="AE2" i="12"/>
  <c r="E31" i="8" l="1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L20" i="48" l="1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P14" i="56" s="1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M20" i="48" l="1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6" i="13"/>
  <c r="K7" i="13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AH2" i="12" l="1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J10" i="49"/>
  <c r="M16" i="40"/>
  <c r="J14" i="49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F11" i="55" l="1"/>
  <c r="J11" i="55" s="1"/>
  <c r="F17" i="55"/>
  <c r="J17" i="55" s="1"/>
  <c r="J7" i="49"/>
  <c r="M15" i="40"/>
  <c r="F21" i="55"/>
  <c r="J21" i="55" s="1"/>
  <c r="J16" i="49"/>
  <c r="J13" i="49"/>
  <c r="M11" i="40"/>
  <c r="N6" i="40" s="1" a="1"/>
  <c r="N6" i="40" s="1"/>
  <c r="L4" i="49" s="1"/>
  <c r="J9" i="49"/>
  <c r="F14" i="55"/>
  <c r="J14" i="55" s="1"/>
  <c r="J4" i="49"/>
  <c r="N12" i="40" a="1"/>
  <c r="N12" i="40" s="1"/>
  <c r="L10" i="49" s="1"/>
  <c r="N10" i="40" l="1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9" i="55"/>
  <c r="R19" i="55" s="1"/>
  <c r="K13" i="55"/>
  <c r="R13" i="55" s="1"/>
  <c r="K17" i="55"/>
  <c r="R17" i="55" s="1"/>
  <c r="K21" i="55"/>
  <c r="R21" i="55" s="1"/>
  <c r="K12" i="55"/>
  <c r="R12" i="55" s="1"/>
  <c r="K15" i="55"/>
  <c r="R15" i="55" s="1"/>
  <c r="K11" i="55"/>
  <c r="R11" i="55" s="1"/>
  <c r="K18" i="55"/>
  <c r="R18" i="55" s="1"/>
  <c r="K9" i="55"/>
  <c r="R9" i="55" s="1"/>
  <c r="S18" i="55" l="1"/>
  <c r="S15" i="55"/>
  <c r="S12" i="55"/>
  <c r="S11" i="55"/>
  <c r="S17" i="55"/>
  <c r="S13" i="55"/>
  <c r="S16" i="55"/>
  <c r="S20" i="55"/>
  <c r="S10" i="55"/>
  <c r="S21" i="55"/>
  <c r="S19" i="55"/>
  <c r="S14" i="55"/>
  <c r="R3" i="55"/>
  <c r="S9" i="55"/>
  <c r="S3" i="55" l="1"/>
  <c r="E13" i="59"/>
  <c r="E12" i="59"/>
  <c r="E15" i="59"/>
  <c r="E16" i="59"/>
  <c r="E8" i="59"/>
  <c r="E9" i="59"/>
  <c r="E11" i="59"/>
  <c r="E10" i="59"/>
  <c r="E17" i="59"/>
  <c r="E14" i="59"/>
  <c r="K35" i="59" l="1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2E749F9A-0814-4241-A3C0-89E21542E7F4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Timestamp="1712901470"&gt;&lt;FQL&gt;&lt;Q&gt;FC0000ZA^FG_MCAP_IDX(0,,,USD)&lt;/Q&gt;&lt;R&gt;1&lt;/R&gt;&lt;C&gt;1&lt;/C&gt;&lt;D xsi:type="xsd:double"&gt;301827.4&lt;/D&gt;&lt;/FQL&gt;&lt;FQL&gt;&lt;Q&gt;EWI^FREF_MARKET_VALUE_COMPANY(0,,,USD,,0,,"LEGACY")&lt;/Q&gt;&lt;R&gt;1&lt;/R&gt;&lt;C&gt;1&lt;/C&gt;&lt;D xsi:type="xsd:double"&gt;413.136&lt;/D&gt;&lt;/FQL&gt;&lt;FQL&gt;&lt;Q&gt;FC0000IT^FMA_MCAP(0,,,USD,"PORTAGG")&lt;/Q&gt;&lt;R&gt;1&lt;/R&gt;&lt;C&gt;1&lt;/C&gt;&lt;D xsi:type="xsd:double"&gt;863494.6&lt;/D&gt;&lt;/FQL&gt;&lt;FQL&gt;&lt;Q&gt;EWD^FREF_MARKET_VALUE_COMPANY(0,,,USD,,0,,"LEGACY")&lt;/Q&gt;&lt;R&gt;1&lt;/R&gt;&lt;C&gt;1&lt;/C&gt;&lt;D xsi:type="xsd:double"&gt;278.898&lt;/D&gt;&lt;/FQL&gt;&lt;FQL&gt;&lt;Q&gt;EWN^FREF_MARKET_VALUE_COMPANY(0,,,USD,,0,,"LEGACY")&lt;/Q&gt;&lt;R&gt;1&lt;/R&gt;&lt;C&gt;1&lt;/C&gt;&lt;D xsi:type="xsd:double"&gt;279.7315&lt;/D&gt;&lt;/FQL&gt;&lt;FQL&gt;&lt;Q&gt;FC0000NL^FMA_MCAP(0,,,USD,"PORTAGG")&lt;/Q&gt;&lt;R&gt;1&lt;/R&gt;&lt;C&gt;1&lt;/C&gt;&lt;D xsi:type="xsd:double"&gt;1128791.6&lt;/D&gt;&lt;/FQL&gt;&lt;FQL&gt;&lt;Q&gt;EWQ^FREF_MARKET_VALUE_COMPANY(0,,,USD,,0,,"LEGACY")&lt;/Q&gt;&lt;R&gt;1&lt;/R&gt;&lt;C&gt;1&lt;/C&gt;&lt;D xsi:type="xsd:double"&gt;661.74&lt;/D&gt;&lt;/FQL&gt;&lt;FQL&gt;&lt;Q&gt;FC0000FR^FMA_MCAP(0,,,USD,"PORTAGG")&lt;/Q&gt;&lt;R&gt;1&lt;/R&gt;&lt;C&gt;1&lt;/C&gt;&lt;D xsi:type="xsd:double"&gt;3320739.3&lt;/D&gt;&lt;/FQL&gt;&lt;FQL&gt;&lt;Q&gt;FC0000US^FMA_MCAP(0,,,USD,"PORTAGG")&lt;/Q&gt;&lt;R&gt;1&lt;/R&gt;&lt;C&gt;1&lt;/C&gt;&lt;D xsi:type="xsd:double"&gt;54277430&lt;/D&gt;&lt;/FQL&gt;&lt;FQL&gt;&lt;Q&gt;QQQ^FREF_MARKET_VALUE_COMPANY(0,,,USD,,0,,"LEGACY")&lt;/Q&gt;&lt;R&gt;1&lt;/R&gt;&lt;C&gt;1&lt;/C&gt;&lt;D xsi:type="xsd:double"&gt;259472.562&lt;/D&gt;&lt;/FQL&gt;&lt;FQL&gt;&lt;Q&gt;EWU^FREF_MARKET_VALUE_COMPANY(0,,,USD,,0,,"LEGACY")&lt;/Q&gt;&lt;R&gt;1&lt;/R&gt;&lt;C&gt;1&lt;/C&gt;&lt;D xsi:type="xsd:double"&gt;2655.611&lt;/D&gt;&lt;/FQL&gt;&lt;FQL&gt;&lt;Q&gt;FC0000GB^FMA_MCAP(0,,,USD,"PORTAGG")&lt;/Q&gt;&lt;R&gt;1&lt;/R&gt;&lt;C&gt;1&lt;/C&gt;&lt;D xsi:type="xsd:double"&gt;3100224&lt;/D&gt;&lt;/FQL&gt;&lt;FQL&gt;&lt;Q&gt;EWL^FREF_MARKET_VALUE_COMPANY(0,,,USD,,0,,"LEGACY")&lt;/Q&gt;&lt;R&gt;1&lt;/R&gt;&lt;C&gt;1&lt;/C&gt;&lt;D xsi:type="xsd:double"&gt;1071.15&lt;/D&gt;&lt;/FQL&gt;&lt;FQL&gt;&lt;Q&gt;FC0000CH^FMA_MCAP(0,,,USD,"PORTAGG")&lt;/Q&gt;&lt;R&gt;1&lt;/R&gt;&lt;C&gt;1&lt;/C&gt;&lt;D xsi:type="xsd:double"&gt;2065204.8&lt;/D&gt;&lt;/FQL&gt;&lt;FQL&gt;&lt;Q&gt;EWJ^FREF_MARKET_VALUE_COMPANY(0,,,USD,,0,,"LEGACY")&lt;/Q&gt;&lt;R&gt;1&lt;/R&gt;&lt;C&gt;1&lt;/C&gt;&lt;D xsi:type="xsd:double"&gt;17123.0535&lt;/D&gt;&lt;/FQL&gt;&lt;FQL&gt;&lt;Q&gt;FC0000JP^FMA_MCAP(0,,,USD,"PORTAGG")&lt;/Q&gt;&lt;R&gt;1&lt;/R&gt;&lt;C&gt;1&lt;/C&gt;&lt;D xsi:type="xsd:double"&gt;6600453&lt;/D&gt;&lt;/FQL&gt;&lt;FQL&gt;&lt;Q&gt;EWG^FREF_MARKET_VALUE_COMPANY(0,,,USD,,0,,"LEGACY")&lt;/Q&gt;&lt;R&gt;1&lt;/R&gt;&lt;C&gt;1&lt;/C&gt;&lt;D xsi:type="xsd:double"&gt;981.03&lt;/D&gt;&lt;/FQL&gt;&lt;FQL&gt;&lt;Q&gt;FC0000DE^FMA_MCAP(0,,,USD,"PORTAGG")&lt;/Q&gt;&lt;R&gt;1&lt;/R&gt;&lt;C&gt;1&lt;/C&gt;&lt;D xsi:type="xsd:double"&gt;2265023&lt;/D&gt;&lt;/FQL&gt;&lt;FQL&gt;&lt;Q&gt;EWC^FREF_MARKET_VALUE_COMPANY(0,,,USD,,0,,"LEGACY")&lt;/Q&gt;&lt;R&gt;1&lt;/R&gt;&lt;C&gt;1&lt;/C&gt;&lt;D xsi:type="xsd:double"&gt;2809.344&lt;/D&gt;&lt;/FQL&gt;&lt;FQL&gt;&lt;Q&gt;FC0000CA^FMA_MCAP(0,,,USD,"PORTAGG")&lt;/Q&gt;&lt;R&gt;1&lt;/R&gt;&lt;C&gt;1&lt;/C&gt;&lt;D xsi:type="xsd:double"&gt;2711118.8&lt;/D&gt;&lt;/FQL&gt;&lt;FQL&gt;&lt;Q&gt;EWA^FREF_MARKET_VALUE_COMPANY(0,,,USD,,0,,"LEGACY")&lt;/Q&gt;&lt;R&gt;1&lt;/R&gt;&lt;C&gt;1&lt;/C&gt;&lt;D xsi:type="xsd:double"&gt;1816.51&lt;/D&gt;&lt;/FQL&gt;&lt;FQL&gt;&lt;Q&gt;FC0000AU^FMA_MCAP(0,,,USD,"PORTAGG")&lt;/Q&gt;&lt;R&gt;1&lt;/R&gt;&lt;C&gt;1&lt;/C&gt;&lt;D xsi:type="xsd:double"&gt;1671020.8&lt;/D&gt;&lt;/FQL&gt;&lt;FQL&gt;&lt;Q&gt;ENZL^FREF_MARKET_VALUE_COMPANY(0,,,USD,,0,,"LEGACY")&lt;/Q&gt;&lt;R&gt;1&lt;/R&gt;&lt;C&gt;1&lt;/C&gt;&lt;D xsi:type="xsd:double"&gt;88.4325&lt;/D&gt;&lt;/FQL&gt;&lt;FQL&gt;&lt;Q&gt;NQG00809^FG_COMPANY_NAME&lt;/Q&gt;&lt;R&gt;1&lt;/R&gt;&lt;C&gt;1&lt;/C&gt;&lt;D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Africa&lt;/D&gt;&lt;/FQL&gt;&lt;FQL&gt;&lt;Q&gt;NQG00809^FMA_MCAP(0,,,USD,"PORTAGG")&lt;/Q&gt;&lt;R&gt;0&lt;/R&gt;&lt;C&gt;0&lt;/C&gt;&lt;/FQL&gt;&lt;FQL&gt;&lt;Q&gt;SPY^FREF_MARKET_VALUE_COMPANY(0,,,USD,,0,,"LEGACY")&lt;/Q&gt;&lt;R&gt;1&lt;/R&gt;&lt;C&gt;1&lt;/C&gt;&lt;D xsi:type="xsd:double"&gt;526770.8278&lt;/D&gt;&lt;/FQL&gt;&lt;FQL&gt;&lt;Q&gt;FC0000NZ^FMA_MCAP(0,,,USD,"PORTAGG")&lt;/Q&gt;&lt;R&gt;1&lt;/R&gt;&lt;C&gt;1&lt;/C&gt;&lt;D xsi:type="xsd:double"&gt;90758&lt;/D&gt;&lt;/FQL&gt;&lt;FQL&gt;&lt;Q&gt;FC0000SE^FMA_MCAP(0,,,USD,"PORTAGG")&lt;/Q&gt;&lt;R&gt;1&lt;/R&gt;&lt;C&gt;1&lt;/C&gt;&lt;D xsi:type="xsd:double"&gt;1011225.75&lt;/D&gt;&lt;/FQL&gt;&lt;FQL&gt;&lt;Q&gt;DUMMY^ECON_EXPR_DATA('FDS_ECON[NTCPMIMFGSA@IT]',,,M)&lt;/Q&gt;&lt;R&gt;1&lt;/R&gt;&lt;C&gt;1&lt;/C&gt;&lt;D xsi:type="xsd:double"&gt;50.388508&lt;/D&gt;&lt;/FQL&gt;&lt;FQL&gt;&lt;Q&gt;DUMMY^ECON_EXPR_DATA('FDS_ECON[NTCPMIMFGMESA@US]',,,M)&lt;/Q&gt;&lt;R&gt;1&lt;/R&gt;&lt;C&gt;1&lt;/C&gt;&lt;D xsi:type="xsd:double"&gt;51.857662&lt;/D&gt;&lt;/FQL&gt;&lt;FQL&gt;&lt;Q&gt;DUMMY^ECON_EXPR_DATA('FDS_ECON[]',,,M)&lt;/Q&gt;&lt;R&gt;0&lt;/R&gt;&lt;C&gt;0&lt;/C&gt;&lt;/FQL&gt;&lt;FQL&gt;&lt;Q&gt;DUMMY^ECON_EXPR_DATA('FDS_ECON[NTCPMIMFGSA@FR]',,,M)&lt;/Q&gt;&lt;R&gt;1&lt;/R&gt;&lt;C&gt;1&lt;/C&gt;&lt;D xsi:type="xsd:double"&gt;46.246628&lt;/D&gt;&lt;/FQL&gt;&lt;FQL&gt;&lt;Q&gt;DUMMY^ECON_EXPR_DATA('FDS_ECON[NTCPMIMFGSA@JP]',,,M)&lt;/Q&gt;&lt;R&gt;1&lt;/R&gt;&lt;C&gt;1&lt;/C&gt;&lt;D xsi:type="xsd:double"&gt;48.224022&lt;/D&gt;&lt;/FQL&gt;&lt;FQL&gt;&lt;Q&gt;DUMMY^ECON_EXPR_DATA('FDS_ECON[NTCPMIMFGSA@NZ]',,,M)&lt;/Q&gt;&lt;R&gt;1&lt;/R&gt;&lt;C&gt;1&lt;/C&gt;&lt;D xsi:type="xsd:double"&gt;47.066513&lt;/D&gt;&lt;/FQL&gt;&lt;FQL&gt;&lt;Q&gt;DUMMY^ECON_EXPR_DATA('FDS_ECON[NTCPMIMFGSA@NL]',,,M)&lt;/Q&gt;&lt;R&gt;1&lt;/R&gt;&lt;C&gt;1&lt;/C&gt;&lt;D xsi:type="xsd:double"&gt;49.698322&lt;/D&gt;&lt;/FQL&gt;&lt;FQL&gt;&lt;Q&gt;DUMMY^ECON_EXPR_DATA('FDS_ECON[NTCPMIMFGSA@GB]',,,M)&lt;/Q&gt;&lt;R&gt;1&lt;/R&gt;&lt;C&gt;1&lt;/C&gt;&lt;D xsi:type="xsd:double"&gt;50.269836&lt;/D&gt;&lt;/FQL&gt;&lt;FQL&gt;&lt;Q&gt;DUMMY^ECON_EXPR_DATA('FDS_ECON[NTCPMIMFGSA@DE]',,,M)&lt;/Q&gt;&lt;R&gt;1&lt;/R&gt;&lt;C&gt;1&lt;/C&gt;&lt;D xsi:type="xsd:double"&gt;41.885403&lt;/D&gt;&lt;/FQL&gt;&lt;FQL&gt;&lt;Q&gt;DUMMY^ECON_EXPR_DATA('FDS_ECON[NTCPMIMFGSA@CH]',,,M)&lt;/Q&gt;&lt;R&gt;1&lt;/R&gt;&lt;C&gt;1&lt;/C&gt;&lt;D xsi:type="xsd:double"&gt;45.16902&lt;/D&gt;&lt;/FQL&gt;&lt;FQL&gt;&lt;Q&gt;DUMMY^ECON_EXPR_DATA('FDS_ECON[NTCPMIMFGSA@CA]',,,M)&lt;/Q&gt;&lt;R&gt;1&lt;/R&gt;&lt;C&gt;1&lt;/C&gt;&lt;D xsi:type="xsd:double"&gt;49.82964&lt;/D&gt;&lt;/FQL&gt;&lt;FQL&gt;&lt;Q&gt;DUMMY^ECON_EXPR_DATA('FDS_ECON[NTCPMIMFGSA@AU]',,,M)&lt;/Q&gt;&lt;R&gt;1&lt;/R&gt;&lt;C&gt;1&lt;/C&gt;&lt;D xsi:type="xsd:double"&gt;47.25435&lt;/D&gt;&lt;/FQL&gt;&lt;FQL&gt;&lt;Q&gt;CAGDPY@FR^EE_ACTUAL_ANNUAL(MED,+1)&lt;/Q&gt;&lt;R&gt;1&lt;/R&gt;&lt;C&gt;1&lt;/C&gt;&lt;D xsi:type="xsd:double"&gt;-1.3&lt;/D&gt;&lt;/FQL&gt;&lt;FQL&gt;&lt;Q&gt;CAGDPY@AU^EE_ACTUAL_ANNUAL(MED,+1)&lt;/Q&gt;&lt;R&gt;1&lt;/R&gt;&lt;C&gt;1&lt;/C&gt;&lt;D xsi:type="xsd:double"&gt;0.5&lt;/D&gt;&lt;/FQL&gt;&lt;FQL&gt;&lt;Q&gt;USDITL^FG_PRICE_CHANGE(0,-3AM)&lt;/Q&gt;&lt;R&gt;1&lt;/R&gt;&lt;C&gt;1&lt;/C&gt;&lt;D xsi:type="xsd:double"&gt;2.251184&lt;/D&gt;&lt;/FQL&gt;&lt;FQL&gt;&lt;Q&gt;USDANG^FG_PRICE_CHANGE(0,-3AM)&lt;/Q&gt;&lt;R&gt;1&lt;/R&gt;&lt;C&gt;1&lt;/C&gt;&lt;D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xsi:type="xsd:double"&gt;1.5375972&lt;/D&gt;&lt;/FQL&gt;&lt;FQL&gt;&lt;Q&gt;USDJPY^FG_PRICE_CHANGE(0,-3AM)&lt;/Q&gt;&lt;R&gt;1&lt;/R&gt;&lt;C&gt;1&lt;/C&gt;&lt;D xsi:type="xsd:double"&gt;5.0184965&lt;/D&gt;&lt;/FQL&gt;&lt;FQL&gt;&lt;Q&gt;USDCAD^FG_PRICE_CHANGE(0,-3AM)&lt;/Q&gt;&lt;R&gt;1&lt;/R&gt;&lt;C&gt;1&lt;/C&gt;&lt;D xsi:type="xsd:double"&gt;2.1445274&lt;/D&gt;&lt;/FQL&gt;&lt;FQL&gt;&lt;Q&gt;USDNZD^FG_PRICE_CHANGE(0,-3AM)&lt;/Q&gt;&lt;R&gt;1&lt;/R&gt;&lt;C&gt;1&lt;/C&gt;&lt;D xsi:type="xsd:double"&gt;4.000342&lt;/D&gt;&lt;/FQL&gt;&lt;FQL&gt;&lt;Q&gt;EWA^FMA_EPS(NTMA,-20AY,0,CY,,"PORTAGG","MEANR")&lt;/Q&gt;&lt;R&gt;20&lt;/R&gt;&lt;C&gt;1&lt;/C&gt;&lt;D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xsi:type="xsd:long"&gt;41740&lt;/D&gt;&lt;D xsi:type="xsd:long"&gt;41768&lt;/D&gt;&lt;D xsi:type="xsd:long"&gt;41801&lt;/D&gt;&lt;D xsi:type="xsd:long"&gt;41831&lt;/D&gt;&lt;D xsi:type="xsd:long"&gt;41862&lt;/D&gt;&lt;D xsi:type="xsd:long"&gt;41893&lt;/D&gt;&lt;D xsi:type="xsd:long"&gt;41922&lt;/D&gt;&lt;D xsi:type="xsd:long"&gt;41954&lt;/D&gt;&lt;D xsi:type="xsd:long"&gt;41984&lt;/D&gt;&lt;D xsi:type="xsd:long"&gt;42013&lt;/D&gt;&lt;D xsi:type="xsd:long"&gt;42046&lt;/D&gt;&lt;D xsi:type="xsd:long"&gt;42074&lt;/D&gt;&lt;D xsi:type="xsd:long"&gt;42104&lt;/D&gt;&lt;D xsi:type="xsd:long"&gt;42135&lt;/D&gt;&lt;D xsi:type="xsd:long"&gt;42166&lt;/D&gt;&lt;D xsi:type="xsd:long"&gt;42195&lt;/D&gt;&lt;D xsi:type="xsd:long"&gt;42227&lt;/D&gt;&lt;D xsi:type="xsd:long"&gt;42258&lt;/D&gt;&lt;D xsi:type="xsd:long"&gt;42286&lt;/D&gt;&lt;D xsi:type="xsd:long"&gt;42319&lt;/D&gt;&lt;D xsi:type="xsd:long"&gt;42349&lt;/D&gt;&lt;D xsi:type="xsd:long"&gt;42380&lt;/D&gt;&lt;D xsi:type="xsd:long"&gt;42411&lt;/D&gt;&lt;D xsi:type="xsd:long"&gt;42440&lt;/D&gt;&lt;D xsi:type="xsd:long"&gt;42471&lt;/D&gt;&lt;D xsi:type="xsd:long"&gt;42501&lt;/D&gt;&lt;D xsi:type="xsd:long"&gt;42531&lt;/D&gt;&lt;D xsi:type="xsd:long"&gt;42562&lt;/D&gt;&lt;D xsi:type="xsd:long"&gt;42593&lt;/D&gt;&lt;D xsi:type="xsd:long"&gt;42622&lt;/D&gt;&lt;D xsi:type="xsd:long"&gt;42654&lt;/D&gt;&lt;D xsi:type="xsd:long"&gt;42685&lt;/D&gt;&lt;D xsi:type="xsd:long"&gt;42713&lt;/D&gt;&lt;D xsi:type="xsd:long"&gt;42746&lt;/D&gt;&lt;D xsi:type="xsd:long"&gt;42776&lt;/D&gt;&lt;D xsi:type="xsd:long"&gt;42804&lt;/D&gt;&lt;D xsi:type="xsd:long"&gt;42836&lt;/D&gt;&lt;D xsi:type="xsd:long"&gt;42866&lt;/D&gt;&lt;D xsi:type="xsd:long"&gt;42895&lt;/D&gt;&lt;D xsi:type="xsd:long"&gt;42927&lt;/D&gt;&lt;D xsi:type="xsd:long"&gt;42958&lt;/D&gt;&lt;D xsi:type="xsd:long"&gt;42989&lt;/D&gt;&lt;D xsi:type="xsd:long"&gt;43019&lt;/D&gt;&lt;D xsi:type="xsd:long"&gt;43049&lt;/D&gt;&lt;D xsi:type="xsd:long"&gt;43080&lt;/D&gt;&lt;D xsi:type="xsd:long"&gt;43111&lt;/D&gt;&lt;D xsi:type="xsd:long"&gt;43140&lt;/D&gt;&lt;D xsi:type="xsd:long"&gt;43168&lt;/D&gt;&lt;D xsi:type="xsd:long"&gt;43201&lt;/D&gt;&lt;D xsi:type="xsd:long"&gt;43231&lt;/D&gt;&lt;D xsi:type="xsd:long"&gt;43262&lt;/D&gt;&lt;D xsi:type="xsd:long"&gt;43292&lt;/D&gt;&lt;D xsi:type="xsd:long"&gt;43322&lt;/D&gt;&lt;D xsi:type="xsd:long"&gt;43354&lt;/D&gt;&lt;D xsi:type="xsd:long"&gt;43384&lt;/D&gt;&lt;D xsi:type="xsd:long"&gt;43413&lt;/D&gt;&lt;D xsi:type="xsd:long"&gt;43445&lt;/D&gt;&lt;D xsi:type="xsd:long"&gt;43476&lt;/D&gt;&lt;D xsi:type="xsd:long"&gt;43507&lt;/D&gt;&lt;D xsi:type="xsd:long"&gt;43535&lt;/D&gt;&lt;D xsi:type="xsd:long"&gt;43566&lt;/D&gt;&lt;D xsi:type="xsd:long"&gt;43595&lt;/D&gt;&lt;D xsi:type="xsd:long"&gt;43627&lt;/D&gt;&lt;D xsi:type="xsd:long"&gt;43657&lt;/D&gt;&lt;D xsi:type="xsd:long"&gt;43686&lt;/D&gt;&lt;D xsi:type="xsd:long"&gt;43719&lt;/D&gt;&lt;D xsi:type="xsd:long"&gt;43749&lt;/D&gt;&lt;D xsi:type="xsd:long"&gt;43780&lt;/D&gt;&lt;D xsi:type="xsd:long"&gt;43810&lt;/D&gt;&lt;D xsi:type="xsd:long"&gt;43840&lt;/D&gt;&lt;D xsi:type="xsd:long"&gt;43872&lt;/D&gt;&lt;D xsi:type="xsd:long"&gt;43901&lt;/D&gt;&lt;D xsi:type="xsd:long"&gt;43930&lt;/D&gt;&lt;D xsi:type="xsd:long"&gt;43962&lt;/D&gt;&lt;D xsi:type="xsd:long"&gt;43993&lt;/D&gt;&lt;D xsi:type="xsd:long"&gt;44022&lt;/D&gt;&lt;D xsi:type="xsd:long"&gt;44054&lt;/D&gt;&lt;D xsi:type="xsd:long"&gt;44085&lt;/D&gt;&lt;D xsi:type="xsd:long"&gt;44113&lt;/D&gt;&lt;D xsi:type="xsd:long"&gt;44146&lt;/D&gt;&lt;D xsi:type="xsd:long"&gt;44176&lt;/D&gt;&lt;D xsi:type="xsd:long"&gt;44207&lt;/D&gt;&lt;D xsi:type="xsd:long"&gt;44238&lt;/D&gt;&lt;D xsi:type="xsd:long"&gt;44266&lt;/D&gt;&lt;D xsi:type="xsd:long"&gt;44295&lt;/D&gt;&lt;D xsi:type="xsd:long"&gt;44327&lt;/D&gt;&lt;D xsi:type="xsd:long"&gt;44358&lt;/D&gt;&lt;D xsi:type="xsd:long"&gt;44386&lt;/D&gt;&lt;D xsi:type="xsd:long"&gt;44419&lt;/D&gt;&lt;D xsi:type="xsd:long"&gt;44449&lt;/D&gt;&lt;D xsi:type="xsd:long"&gt;44480&lt;/D&gt;&lt;D xsi:type="xsd:long"&gt;44511&lt;/D&gt;&lt;D xsi:type="xsd:long"&gt;44540&lt;/D&gt;&lt;D xsi:type="xsd:long"&gt;44572&lt;/D&gt;&lt;D xsi:type="xsd:long"&gt;44603&lt;/D&gt;&lt;D xsi:type="xsd:long"&gt;44631&lt;/D&gt;&lt;D xsi:type="xsd:long"&gt;44662&lt;/D&gt;&lt;D xsi:type="xsd:long"&gt;44692&lt;/D&gt;&lt;D xsi:type="xsd:long"&gt;44722&lt;/D&gt;&lt;D xsi:type="xsd:long"&gt;44753&lt;/D&gt;&lt;D xsi:type="xsd:long"&gt;44784&lt;/D&gt;&lt;D xsi:type="xsd:long"&gt;44813&lt;/D&gt;&lt;D xsi:type="xsd:long"&gt;44845&lt;/D&gt;&lt;D xsi:type="xsd:long"&gt;44876&lt;/D&gt;&lt;D xsi:type="xsd:long"&gt;44904&lt;/D&gt;&lt;D xsi:type="xsd:long"&gt;44937&lt;/D&gt;&lt;D xsi:type="xsd:long"&gt;44967&lt;/D&gt;&lt;D xsi:type="xsd:long"&gt;44995&lt;/D&gt;&lt;D xsi:type="xsd:long"&gt;45027&lt;/D&gt;&lt;D xsi:type="xsd:long"&gt;45057&lt;/D&gt;&lt;D xsi:type="xsd:long"&gt;45086&lt;/D&gt;&lt;D xsi:type="xsd:long"&gt;45118&lt;/D&gt;&lt;D xsi:type="xsd:long"&gt;45149&lt;/D&gt;&lt;D xsi:type="xsd:long"&gt;45180&lt;/D&gt;&lt;D xsi:type="xsd:long"&gt;45210&lt;/D&gt;&lt;D xsi:type="xsd:long"&gt;45240&lt;/D&gt;&lt;D xsi:type="xsd:long"&gt;45271&lt;/D&gt;&lt;D xsi:type="xsd:long"&gt;45302&lt;/D&gt;&lt;D xsi:type="xsd:long"&gt;45331&lt;/D&gt;&lt;D xsi:type="xsd:long"&gt;45362&lt;/D&gt;&lt;D xsi:type="xsd:long"&gt;45393&lt;/D&gt;&lt;/FQL&gt;&lt;FQL&gt;&lt;Q&gt;EWD^FMA_DIV_YLD(NTMA,-10AY,0,AM,"PORTAGG","MEANR")&lt;/Q&gt;&lt;R&gt;121&lt;/R&gt;&lt;C&gt;1&lt;/C&gt;&lt;D xsi:type="xsd:double"&gt;4.07886939333494&lt;/D&gt;&lt;D xsi:type="xsd:double"&gt;4.1243482592008&lt;/D&gt;&lt;D xsi:type="xsd:double"&gt;4.07378398788694&lt;/D&gt;&lt;D xsi:type="xsd:double"&gt;4.22063823734161&lt;/D&gt;&lt;D xsi:type="xsd:double"&gt;4.29636471501369&lt;/D&gt;&lt;D xsi:type="xsd:double"&gt;4.23585171681156&lt;/D&gt;&lt;D xsi:type="xsd:double"&gt;4.53040002480111&lt;/D&gt;&lt;D xsi:type="xsd:double"&gt;4.14145904389456&lt;/D&gt;&lt;D xsi:type="xsd:double"&gt;4.10434101915421&lt;/D&gt;&lt;D xsi:type="xsd:double"&gt;4.1537943816742&lt;/D&gt;&lt;D xsi:type="xsd:double"&gt;3.79542817607592&lt;/D&gt;&lt;D xsi:type="xsd:double"&gt;3.67254454233968&lt;/D&gt;&lt;D xsi:type="xsd:double"&gt;3.6075712904039&lt;/D&gt;&lt;D xsi:type="xsd:double"&gt;3.84169213914366&lt;/D&gt;&lt;D xsi:type="xsd:double"&gt;3.9041324576169&lt;/D&gt;&lt;D xsi:type="xsd:double"&gt;3.96182290230141&lt;/D&gt;&lt;D xsi:type="xsd:double"&gt;3.97529482099362&lt;/D&gt;&lt;D xsi:type="xsd:double"&gt;4.33107058101237&lt;/D&gt;&lt;D xsi:type="xsd:double"&gt;4.31015168727001&lt;/D&gt;&lt;D xsi:type="xsd:double"&gt;4.17303512871211&lt;/D&gt;&lt;D xsi:type="xsd:double"&gt;4.4659113915458&lt;/D&gt;&lt;D xsi:type="xsd:double"&gt;4.59350197399449&lt;/D&gt;&lt;D xsi:type="xsd:double"&gt;4.80644281212678&lt;/D&gt;&lt;D xsi:type="xsd:double"&gt;4.24082423501161&lt;/D&gt;&lt;D xsi:type="xsd:double"&gt;4.38461017202569&lt;/D&gt;&lt;D xsi:type="xsd:double"&gt;4.4343962082716&lt;/D&gt;&lt;D xsi:type="xsd:double"&gt;4.55788981641595&lt;/D&gt;&lt;D xsi:type="xsd:double"&gt;4.42365633023973&lt;/D&gt;&lt;D xsi:type="xsd:double"&gt;4.21088117688118&lt;/D&gt;&lt;D xsi:type="xsd:double"&gt;4.22129046246409&lt;/D&gt;&lt;D xsi:type="xsd:double"&gt;4.14728061980778&lt;/D&gt;&lt;D xsi:type="xsd:double"&gt;4.10678132346761&lt;/D&gt;&lt;D xsi:type="xsd:double"&gt;3.8795934791461&lt;/D&gt;&lt;D xsi:type="xsd:double"&gt;3.91475710691793&lt;/D&gt;&lt;D xsi:type="xsd:double"&gt;3.66795642893299&lt;/D&gt;&lt;D xsi:type="xsd:double"&gt;3.63027584186662&lt;/D&gt;&lt;D xsi:type="xsd:double"&gt;3.66357608593722&lt;/D&gt;&lt;D xsi:type="xsd:double"&gt;3.51774103840985&lt;/D&gt;&lt;D xsi:type="xsd:double"&gt;3.53038431692621&lt;/D&gt;&lt;D xsi:type="xsd:double"&gt;3.57477562858838&lt;/D&gt;&lt;D xsi:type="xsd:double"&gt;3.77350324160059&lt;/D&gt;&lt;D xsi:type="xsd:double"&gt;3.71929424545831&lt;/D&gt;&lt;D xsi:type="xsd:double"&gt;3.54991286882342&lt;/D&gt;&lt;D xsi:type="xsd:double"&gt;3.60234192890126&lt;/D&gt;&lt;D xsi:type="xsd:double"&gt;3.67158009275519&lt;/D&gt;&lt;D xsi:type="xsd:double"&gt;3.6342814038828&lt;/D&gt;&lt;D xsi:type="xsd:double"&gt;4.02556926118666&lt;/D&gt;&lt;D xsi:type="xsd:double"&gt;3.83733383035062&lt;/D&gt;&lt;D xsi:type="xsd:double"&gt;4.16213433620744&lt;/D&gt;&lt;D xsi:type="xsd:double"&gt;3.97680499455087&lt;/D&gt;&lt;D xsi:type="xsd:double"&gt;4.08316433790632&lt;/D&gt;&lt;D xsi:type="xsd:double"&gt;4.22063686313829&lt;/D&gt;&lt;D xsi:type="xsd:double"&gt;4.10030847819855&lt;/D&gt;&lt;D xsi:type="xsd:double"&gt;4.11379904192968&lt;/D&gt;&lt;D xsi:type="xsd:double"&gt;4.28836907685663&lt;/D&gt;&lt;D xsi:type="xsd:double"&gt;4.38320485486567&lt;/D&gt;&lt;D xsi:type="xsd:double"&gt;4.58734764140413&lt;/D&gt;&lt;D xsi:type="xsd:double"&gt;4.51309182651059&lt;/D&gt;&lt;D xsi:type="xsd:double"&gt;4.25963151800475&lt;/D&gt;&lt;D xsi:type="xsd:double"&gt;4.17905092054548&lt;/D&gt;&lt;D xsi:type="xsd:double"&gt;4.0588476620183&lt;/D&gt;&lt;D xsi:type="xsd:double"&gt;4.20659666126445&lt;/D&gt;&lt;D xsi:type="xsd:double"&gt;4.23101148329883&lt;/D&gt;&lt;D xsi:type="xsd:double"&gt;4.17517987636365&lt;/D&gt;&lt;D xsi:type="xsd:double"&gt;4.2744558551353&lt;/D&gt;&lt;D xsi:type="xsd:double"&gt;3.99868638926006&lt;/D&gt;&lt;D xsi:type="xsd:double"&gt;3.88490209219397&lt;/D&gt;&lt;D xsi:type="xsd:double"&gt;3.67627061081215&lt;/D&gt;&lt;D xsi:type="xsd:double"&gt;3.69476128094446&lt;/D&gt;&lt;D xsi:type="xsd:double"&gt;3.58402368058857&lt;/D&gt;&lt;D xsi:type="xsd:double"&gt;3.4133128316678&lt;/D&gt;&lt;D xsi:type="xsd:double"&gt;4.24990677486876&lt;/D&gt;&lt;D xsi:type="xsd:double"&gt;3.62115870518343&lt;/D&gt;&lt;D xsi:type="xsd:double"&gt;3.32454359974624&lt;/D&gt;&lt;D xsi:type="xsd:double"&gt;3.12524027103222&lt;/D&gt;&lt;D xsi:type="xsd:double"&gt;2.9891473966698&lt;/D&gt;&lt;D xsi:type="xsd:double"&gt;2.96375017816528&lt;/D&gt;&lt;D xsi:type="xsd:double"&gt;2.97562035514477&lt;/D&gt;&lt;D xsi:type="xsd:double"&gt;2.98396139017017&lt;/D&gt;&lt;D xsi:type="xsd:double"&gt;3.03144224600537&lt;/D&gt;&lt;D xsi:type="xsd:double"&gt;3.06612249884244&lt;/D&gt;&lt;D xsi:type="xsd:double"&gt;3.01791205061274&lt;/D&gt;&lt;D xsi:type="xsd:double"&gt;3.00334372641301&lt;/D&gt;&lt;D xsi:type="xsd:double"&gt;2.77860192144052&lt;/D&gt;&lt;D xsi:type="xsd:double"&gt;2.70183986695356&lt;/D&gt;&lt;D xsi:type="xsd:double"&gt;2.88088700681311&lt;/D&gt;&lt;D xsi:type="xsd:double"&gt;2.67990450227772&lt;/D&gt;&lt;D xsi:type="xsd:double"&gt;2.67209223700779&lt;/D&gt;&lt;D xsi:type="xsd:double"&gt;2.69772602191046&lt;/D&gt;&lt;D xsi:type="xsd:double"&gt;2.75894931424627&lt;/D&gt;&lt;D xsi:type="xsd:double"&gt;2.93144454151664&lt;/D&gt;&lt;D xsi:type="xsd:double"&gt;2.96711493017776&lt;/D&gt;&lt;D xsi:type="xsd:double"&gt;2.9259747455102&lt;/D&gt;&lt;D xsi:type="xsd:double"&gt;2.92211593709393&lt;/D&gt;&lt;D xsi:type="xsd:double"&gt;2.91111912954299&lt;/D&gt;&lt;D xsi:type="xsd:double"&gt;3.21602782526327&lt;/D&gt;&lt;D xsi:type="xsd:double"&gt;3.16483864964943&lt;/D&gt;&lt;D xsi:type="xsd:double"&gt;3.47614812847129&lt;/D&gt;&lt;D xsi:type="xsd:double"&gt;3.39344949627656&lt;/D&gt;&lt;D xsi:type="xsd:double"&gt;3.69995723428918&lt;/D&gt;&lt;D xsi:type="xsd:double"&gt;3.47245269231923&lt;/D&gt;&lt;D xsi:type="xsd:double"&gt;3.66067426980071&lt;/D&gt;&lt;D xsi:type="xsd:double"&gt;3.83116267620484&lt;/D&gt;&lt;D xsi:type="xsd:double"&gt;3.52731062556847&lt;/D&gt;&lt;D xsi:type="xsd:double"&gt;3.59821764389788&lt;/D&gt;&lt;D xsi:type="xsd:double"&gt;3.50057284066525&lt;/D&gt;&lt;D xsi:type="xsd:double"&gt;3.56749109698463&lt;/D&gt;&lt;D xsi:type="xsd:double"&gt;3.64985949196408&lt;/D&gt;&lt;D xsi:type="xsd:double"&gt;3.68473528047135&lt;/D&gt;&lt;D xsi:type="xsd:double"&gt;3.73573844056046&lt;/D&gt;&lt;D xsi:type="xsd:double"&gt;3.70548307316871&lt;/D&gt;&lt;D xsi:type="xsd:double"&gt;3.80374616066545&lt;/D&gt;&lt;D xsi:type="xsd:double"&gt;3.88856456471377&lt;/D&gt;&lt;D xsi:type="xsd:double"&gt;3.95459387897333&lt;/D&gt;&lt;D xsi:type="xsd:double"&gt;3.74480839679845&lt;/D&gt;&lt;D xsi:type="xsd:double"&gt;3.8732410923986&lt;/D&gt;&lt;D xsi:type="xsd:double"&gt;3.01584407128311&lt;/D&gt;&lt;D xsi:type="xsd:double"&gt;3.01690028906795&lt;/D&gt;&lt;D xsi:type="xsd:double"&gt;3.35821462217352&lt;/D&gt;&lt;D xsi:type="xsd:double"&gt;3.23270795387436&lt;/D&gt;&lt;D xsi:type="xsd:double"&gt;3.2320940716799&lt;/D&gt;&lt;/FQL&gt;&lt;FQL&gt;&lt;Q&gt;EWQ^FMA_PE(NTMA,-10AY,0,AM,"PORTAGG","MEANR")&lt;/Q&gt;&lt;R&gt;121&lt;/R&gt;&lt;C&gt;1&lt;/C&gt;&lt;D xsi:type="xsd:double"&gt;13.696116679634&lt;/D&gt;&lt;D xsi:type="xsd:double"&gt;14.0611974107165&lt;/D&gt;&lt;D xsi:type="xsd:double"&gt;14.3453089686976&lt;/D&gt;&lt;D xsi:type="xsd:double"&gt;13.5881141677996&lt;/D&gt;&lt;D xsi:type="xsd:double"&gt;13.2034701599297&lt;/D&gt;&lt;D xsi:type="xsd:double"&gt;13.7605765986515&lt;/D&gt;&lt;D xsi:type="xsd:double"&gt;12.6193460181865&lt;/D&gt;&lt;D xsi:type="xsd:double"&gt;13.2773254318945&lt;/D&gt;&lt;D xsi:type="xsd:double"&gt;13.5775812964051&lt;/D&gt;&lt;D xsi:type="xsd:double"&gt;13.5183553642329&lt;/D&gt;&lt;D xsi:type="xsd:double"&gt;15.5465980907725&lt;/D&gt;&lt;D xsi:type="xsd:double"&gt;16.4012653524154&lt;/D&gt;&lt;D xsi:type="xsd:double"&gt;17.1212684363433&lt;/D&gt;&lt;D xsi:type="xsd:double"&gt;16.2523628956523&lt;/D&gt;&lt;D xsi:type="xsd:double"&gt;15.939695531496&lt;/D&gt;&lt;D xsi:type="xsd:double"&gt;15.5027022901504&lt;/D&gt;&lt;D xsi:type="xsd:double"&gt;15.7060546366522&lt;/D&gt;&lt;D xsi:type="xsd:double"&gt;14.1123860445249&lt;/D&gt;&lt;D xsi:type="xsd:double"&gt;14.6264557862971&lt;/D&gt;&lt;D xsi:type="xsd:double"&gt;15.3558216511101&lt;/D&gt;&lt;D xsi:type="xsd:double"&gt;14.2868704415095&lt;/D&gt;&lt;D xsi:type="xsd:double"&gt;13.6063345345065&lt;/D&gt;&lt;D xsi:type="xsd:double"&gt;12.7578157920034&lt;/D&gt;&lt;D xsi:type="xsd:double"&gt;14.6751205161635&lt;/D&gt;&lt;D xsi:type="xsd:double"&gt;14.1454799319496&lt;/D&gt;&lt;D xsi:type="xsd:double"&gt;14.1592695070849&lt;/D&gt;&lt;D xsi:type="xsd:double"&gt;13.8916468252149&lt;/D&gt;&lt;D xsi:type="xsd:double"&gt;13.6675695651591&lt;/D&gt;&lt;D xsi:type="xsd:double"&gt;14.2262639764753&lt;/D&gt;&lt;D xsi:type="xsd:double"&gt;14.0818527749777&lt;/D&gt;&lt;D xsi:type="xsd:double"&gt;13.8509123610012&lt;/D&gt;&lt;D xsi:type="xsd:double"&gt;13.6999609196774&lt;/D&gt;&lt;D xsi:type="xsd:double"&gt;14.3963557909099&lt;/D&gt;&lt;D xsi:type="xsd:double"&gt;14.5879543865023&lt;/D&gt;&lt;D xsi:type="xsd:double"&gt;14.2086830911331&lt;/D&gt;&lt;D xsi:type="xsd:double"&gt;14.5204791092236&lt;/D&gt;&lt;D xsi:type="xsd:double"&gt;14.8031882976187&lt;/D&gt;&lt;D xsi:type="xsd:double"&gt;15.3663404721992&lt;/D&gt;&lt;D xsi:type="xsd:double"&gt;15.0857833266054&lt;/D&gt;&lt;D xsi:type="xsd:double"&gt;14.6040341489278&lt;/D&gt;&lt;D xsi:type="xsd:double"&gt;14.3750450674355&lt;/D&gt;&lt;D xsi:type="xsd:double"&gt;14.7563592044011&lt;/D&gt;&lt;D xsi:type="xsd:double"&gt;15.1907856279079&lt;/D&gt;&lt;D xsi:type="xsd:double"&gt;15.0117688428659&lt;/D&gt;&lt;D xsi:type="xsd:double"&gt;15.0449558953683&lt;/D&gt;&lt;D xsi:type="xsd:double"&gt;15.1754615893931&lt;/D&gt;&lt;D xsi:type="xsd:double"&gt;14.0302646214365&lt;/D&gt;&lt;D xsi:type="xsd:double"&gt;14.5561082665678&lt;/D&gt;&lt;D xsi:type="xsd:double"&gt;14.439874412685&lt;/D&gt;&lt;D xsi:type="xsd:double"&gt;14.8437202251711&lt;/D&gt;&lt;D xsi:type="xsd:double"&gt;14.4140285714724&lt;/D&gt;&lt;D xsi:type="xsd:double"&gt;13.9761408451209&lt;/D&gt;&lt;D xsi:type="xsd:double"&gt;13.8598306658398&lt;/D&gt;&lt;D xsi:type="xsd:double"&gt;13.4380188300971&lt;/D&gt;&lt;D xsi:type="xsd:double"&gt;12.7899614109453&lt;/D&gt;&lt;D xsi:type="xsd:double"&gt;12.8255122560701&lt;/D&gt;&lt;D xsi:type="xsd:double"&gt;12.0963683408196&lt;/D&gt;&lt;D xsi:type="xsd:double"&gt;12.2246420766778&lt;/D&gt;&lt;D xsi:type="xsd:double"&gt;12.8642103795756&lt;/D&gt;&lt;D xsi:type="xsd:double"&gt;13.4573991283777&lt;/D&gt;&lt;D xsi:type="xsd:double"&gt;13.9291600121577&lt;/D&gt;&lt;D xsi:type="xsd:double"&gt;13.4933522370889&lt;/D&gt;&lt;D xsi:type="xsd:double"&gt;13.6376120132946&lt;/D&gt;&lt;D xsi:type="xsd:double"&gt;13.9382808269109&lt;/D&gt;&lt;D xsi:type="xsd:double"&gt;13.5032006423679&lt;/D&gt;&lt;D xsi:type="xsd:double"&gt;14.09377095018&lt;/D&gt;&lt;D xsi:type="xsd:double"&gt;14.229437614492&lt;/D&gt;&lt;D xsi:type="xsd:double"&gt;14.7417130126539&lt;/D&gt;&lt;D xsi:type="xsd:double"&gt;14.6314610231062&lt;/D&gt;&lt;D xsi:type="xsd:double"&gt;14.9987341894689&lt;/D&gt;&lt;D xsi:type="xsd:double"&gt;15.0753556585556&lt;/D&gt;&lt;D xsi:type="xsd:double"&gt;12.1559399765045&lt;/D&gt;&lt;D xsi:type="xsd:double"&gt;14.4908623134977&lt;/D&gt;&lt;D xsi:type="xsd:double"&gt;16.5512753544335&lt;/D&gt;&lt;D xsi:type="xsd:double"&gt;18.2323289445087&lt;/D&gt;&lt;D xsi:type="xsd:double"&gt;19.1810581578033&lt;/D&gt;&lt;D xsi:type="xsd:double"&gt;20.0446106796402&lt;/D&gt;&lt;D xsi:type="xsd:double"&gt;19.271567153788&lt;/D&gt;&lt;D xsi:type="xsd:double"&gt;18.4474691531005&lt;/D&gt;&lt;D xsi:type="xsd:double"&gt;19.1714286778471&lt;/D&gt;&lt;D xsi:type="xsd:double"&gt;18.4818651248157&lt;/D&gt;&lt;D xsi:type="xsd:double"&gt;18.1052229641259&lt;/D&gt;&lt;D xsi:type="xsd:double"&gt;17.8465357435994&lt;/D&gt;&lt;D xsi:type="xsd:double"&gt;18.4374405581284&lt;/D&gt;&lt;D xsi:type="xsd:double"&gt;18.3351291293471&lt;/D&gt;&lt;D xsi:type="xsd:double"&gt;17.5852435638918&lt;/D&gt;&lt;D xsi:type="xsd:double"&gt;17.9958551420346&lt;/D&gt;&lt;D xsi:type="xsd:double"&gt;17.2495470106025&lt;/D&gt;&lt;D xsi:type="xsd:double"&gt;16.8733901886837&lt;/D&gt;&lt;D xsi:type="xsd:double"&gt;16.211765706019&lt;/D&gt;&lt;D xsi:type="xsd:double"&gt;15.5196468788436&lt;/D&gt;&lt;D xsi:type="xsd:double"&gt;15.9163575023917&lt;/D&gt;&lt;D xsi:type="xsd:double"&gt;15.5560162095132&lt;/D&gt;&lt;D xsi:type="xsd:double"&gt;15.6782467912998&lt;/D&gt;&lt;D xsi:type="xsd:double"&gt;14.6430222366706&lt;/D&gt;&lt;D xsi:type="xsd:double"&gt;13.0021870454752&lt;/D&gt;&lt;D xsi:type="xsd:double"&gt;13.206569887355&lt;/D&gt;&lt;D xsi:type="xsd:double"&gt;12.1127900918689&lt;/D&gt;&lt;D xsi:type="xsd:double"&gt;11.750463700128&lt;/D&gt;&lt;D xsi:type="xsd:double"&gt;11.1083870408876&lt;/D&gt;&lt;D xsi:type="xsd:double"&gt;11.8713763847384&lt;/D&gt;&lt;D xsi:type="xsd:double"&gt;11.21721617862&lt;/D&gt;&lt;D xsi:type="xsd:double"&gt;10.3522412519224&lt;/D&gt;&lt;D xsi:type="xsd:double"&gt;11.8859432908222&lt;/D&gt;&lt;D xsi:type="xsd:double"&gt;12.1441884038369&lt;/D&gt;&lt;D xsi:type="xsd:double"&gt;12.7090379540543&lt;/D&gt;&lt;D xsi:type="xsd:double"&gt;13.1137430238929&lt;/D&gt;&lt;D xsi:type="xsd:double"&gt;13.1455431683001&lt;/D&gt;&lt;D xsi:type="xsd:double"&gt;13.4359107080782&lt;/D&gt;&lt;D xsi:type="xsd:double"&gt;13.3365340304014&lt;/D&gt;&lt;D xsi:type="xsd:double"&gt;13.0084302380192&lt;/D&gt;&lt;D xsi:type="xsd:double"&gt;12.9514657199739&lt;/D&gt;&lt;D xsi:type="xsd:double"&gt;13.082538316832&lt;/D&gt;&lt;D xsi:type="xsd:double"&gt;12.8635108917257&lt;/D&gt;&lt;D xsi:type="xsd:double"&gt;12.4834706658141&lt;/D&gt;&lt;D xsi:type="xsd:double"&gt;12.435168352519&lt;/D&gt;&lt;D xsi:type="xsd:double"&gt;13.330406163261&lt;/D&gt;&lt;D xsi:type="xsd:double"&gt;13.1845312090569&lt;/D&gt;&lt;D xsi:type="xsd:double"&gt;13.7978627015545&lt;/D&gt;&lt;D xsi:type="xsd:double"&gt;14.4471292026333&lt;/D&gt;&lt;D xsi:type="xsd:double"&gt;14.5812154551984&lt;/D&gt;&lt;/FQL&gt;&lt;FQL&gt;&lt;Q&gt;QQQ^FMA_PE(LTMA,-10AY,0,AM,"PORTAGG","MEANR")&lt;/Q&gt;&lt;R&gt;121&lt;/R&gt;&lt;C&gt;1&lt;/C&gt;&lt;D xsi:type="xsd:double"&gt;18.7953793861653&lt;/D&gt;&lt;D xsi:type="xsd:double"&gt;18.6831798059621&lt;/D&gt;&lt;D xsi:type="xsd:double"&gt;18.9871302658962&lt;/D&gt;&lt;D xsi:type="xsd:double"&gt;19.1398682903092&lt;/D&gt;&lt;D xsi:type="xsd:double"&gt;18.9711688432669&lt;/D&gt;&lt;D xsi:type="xsd:double"&gt;19.4777752358246&lt;/D&gt;&lt;D xsi:type="xsd:double"&gt;18.6598352652074&lt;/D&gt;&lt;D xsi:type="xsd:double"&gt;19.8650901283137&lt;/D&gt;&lt;D xsi:type="xsd:double"&gt;20.1519724203827&lt;/D&gt;&lt;D xsi:type="xsd:double"&gt;19.9467153214544&lt;/D&gt;&lt;D xsi:type="xsd:double"&gt;20.0320867441236&lt;/D&gt;&lt;D xsi:type="xsd:double"&gt;20.593357100168&lt;/D&gt;&lt;D xsi:type="xsd:double"&gt;20.5165934784295&lt;/D&gt;&lt;D xsi:type="xsd:double"&gt;20.277630928227&lt;/D&gt;&lt;D xsi:type="xsd:double"&gt;20.1702038867671&lt;/D&gt;&lt;D xsi:type="xsd:double"&gt;19.8486398494081&lt;/D&gt;&lt;D xsi:type="xsd:double"&gt;20.2089572546867&lt;/D&gt;&lt;D xsi:type="xsd:double"&gt;19.5311811452464&lt;/D&gt;&lt;D xsi:type="xsd:double"&gt;19.5756943326247&lt;/D&gt;&lt;D xsi:type="xsd:double"&gt;20.296116740276&lt;/D&gt;&lt;D xsi:type="xsd:double"&gt;19.8636286828396&lt;/D&gt;&lt;D xsi:type="xsd:double"&gt;18.9341119507379&lt;/D&gt;&lt;D xsi:type="xsd:double"&gt;17.3600619954414&lt;/D&gt;&lt;D xsi:type="xsd:double"&gt;18.2664480602178&lt;/D&gt;&lt;D xsi:type="xsd:double"&gt;18.368179952457&lt;/D&gt;&lt;D xsi:type="xsd:double"&gt;18.3631886205753&lt;/D&gt;&lt;D xsi:type="xsd:double"&gt;18.5419207711197&lt;/D&gt;&lt;D xsi:type="xsd:double"&gt;18.9290788945446&lt;/D&gt;&lt;D xsi:type="xsd:double"&gt;19.5526428981443&lt;/D&gt;&lt;D xsi:type="xsd:double"&gt;19.3011734708972&lt;/D&gt;&lt;D xsi:type="xsd:double"&gt;19.8529266849893&lt;/D&gt;&lt;D xsi:type="xsd:double"&gt;19.5979289954878&lt;/D&gt;&lt;D xsi:type="xsd:double"&gt;20.2460574627044&lt;/D&gt;&lt;D xsi:type="xsd:double"&gt;21.0125178260205&lt;/D&gt;&lt;D xsi:type="xsd:double"&gt;21.5272966967445&lt;/D&gt;&lt;D xsi:type="xsd:double"&gt;21.7012824691961&lt;/D&gt;&lt;D xsi:type="xsd:double"&gt;21.5870886001693&lt;/D&gt;&lt;D xsi:type="xsd:double"&gt;21.8257019264769&lt;/D&gt;&lt;D xsi:type="xsd:double"&gt;21.8748013587034&lt;/D&gt;&lt;D xsi:type="xsd:double"&gt;21.7524161586236&lt;/D&gt;&lt;D xsi:type="xsd:double"&gt;21.9412261552739&lt;/D&gt;&lt;D xsi:type="xsd:double"&gt;22.2965353703203&lt;/D&gt;&lt;D xsi:type="xsd:double"&gt;22.6075718142814&lt;/D&gt;&lt;D xsi:type="xsd:double"&gt;22.9601709104262&lt;/D&gt;&lt;D xsi:type="xsd:double"&gt;23.2972725377325&lt;/D&gt;&lt;D xsi:type="xsd:double"&gt;24.6255464635472&lt;/D&gt;&lt;D xsi:type="xsd:double"&gt;22.7594555680994&lt;/D&gt;&lt;D xsi:type="xsd:double"&gt;24.1766392763791&lt;/D&gt;&lt;D xsi:type="xsd:double"&gt;23.4913536433679&lt;/D&gt;&lt;D xsi:type="xsd:double"&gt;23.3662295775586&lt;/D&gt;&lt;D xsi:type="xsd:double"&gt;23.3121395017545&lt;/D&gt;&lt;D xsi:type="xsd:double"&gt;23.2061739855578&lt;/D&gt;&lt;D xsi:type="xsd:double"&gt;23.1162351815135&lt;/D&gt;&lt;D xsi:type="xsd:double"&gt;23.0838337317168&lt;/D&gt;&lt;D xsi:type="xsd:double"&gt;21.6692590697214&lt;/D&gt;&lt;D xsi:type="xsd:double"&gt;21.1929705968218&lt;/D&gt;&lt;D xsi:type="xsd:double"&gt;19.9462373993139&lt;/D&gt;&lt;D xsi:type="xsd:double"&gt;19.5479829189366&lt;/D&gt;&lt;D xsi:type="xsd:double"&gt;20.3380034634141&lt;/D&gt;&lt;D xsi:type="xsd:double"&gt;20.9100570061276&lt;/D&gt;&lt;D xsi:type="xsd:double"&gt;21.2089360882425&lt;/D&gt;&lt;D xsi:type="xsd:double"&gt;21.2836194710615&lt;/D&gt;&lt;D xsi:type="xsd:double"&gt;21.2727683323106&lt;/D&gt;&lt;D xsi:type="xsd:double"&gt;21.9925756536615&lt;/D&gt;&lt;D xsi:type="xsd:double"&gt;21.684763677813&lt;/D&gt;&lt;D xsi:type="xsd:double"&gt;22.2731389079769&lt;/D&gt;&lt;D xsi:type="xsd:double"&gt;22.3590161294615&lt;/D&gt;&lt;D xsi:type="xsd:double"&gt;23.4254847067873&lt;/D&gt;&lt;D xsi:type="xsd:double"&gt;24.2628735356054&lt;/D&gt;&lt;D xsi:type="xsd:double"&gt;26.0678813503417&lt;/D&gt;&lt;D xsi:type="xsd:double"&gt;26.8991956589675&lt;/D&gt;&lt;D xsi:type="xsd:double"&gt;23.5223291289198&lt;/D&gt;&lt;D xsi:type="xsd:double"&gt;23.9586368620355&lt;/D&gt;&lt;D xsi:type="xsd:double"&gt;25.8036112204602&lt;/D&gt;&lt;D xsi:type="xsd:double"&gt;26.7239485385838&lt;/D&gt;&lt;D xsi:type="xsd:double"&gt;28.9351543944863&lt;/D&gt;&lt;D xsi:type="xsd:double"&gt;28.7263178110943&lt;/D&gt;&lt;D xsi:type="xsd:double"&gt;29.7589488952463&lt;/D&gt;&lt;D xsi:type="xsd:double"&gt;31.7159203918832&lt;/D&gt;&lt;D xsi:type="xsd:double"&gt;31.8691565982246&lt;/D&gt;&lt;D xsi:type="xsd:double"&gt;33.7056634565056&lt;/D&gt;&lt;D xsi:type="xsd:double"&gt;35.065970305526&lt;/D&gt;&lt;D xsi:type="xsd:double"&gt;35.4035011900781&lt;/D&gt;&lt;D xsi:type="xsd:double"&gt;32.8058153197538&lt;/D&gt;&lt;D xsi:type="xsd:double"&gt;32.8854909056106&lt;/D&gt;&lt;D xsi:type="xsd:double"&gt;31.5792958792983&lt;/D&gt;&lt;D xsi:type="xsd:double"&gt;31.558010404828&lt;/D&gt;&lt;D xsi:type="xsd:double"&gt;32.0521816636694&lt;/D&gt;&lt;D xsi:type="xsd:double"&gt;31.2320399950509&lt;/D&gt;&lt;D xsi:type="xsd:double"&gt;31.4491933418764&lt;/D&gt;&lt;D xsi:type="xsd:double"&gt;30.1373271574458&lt;/D&gt;&lt;D xsi:type="xsd:double"&gt;31.6414345811474&lt;/D&gt;&lt;D xsi:type="xsd:double"&gt;31.8912181056097&lt;/D&gt;&lt;D xsi:type="xsd:double"&gt;30.8708483247425&lt;/D&gt;&lt;D xsi:type="xsd:double"&gt;26.9185130660352&lt;/D&gt;&lt;D xsi:type="xsd:double"&gt;26.3272997594652&lt;/D&gt;&lt;D xsi:type="xsd:double"&gt;26.4000195298096&lt;/D&gt;&lt;D xsi:type="xsd:double"&gt;25.1063717808683&lt;/D&gt;&lt;D xsi:type="xsd:double"&gt;24.5884922738505&lt;/D&gt;&lt;D xsi:type="xsd:double"&gt;24.3110188934464&lt;/D&gt;&lt;D xsi:type="xsd:double"&gt;26.1119222555014&lt;/D&gt;&lt;D xsi:type="xsd:double"&gt;25.0694818397014&lt;/D&gt;&lt;D xsi:type="xsd:double"&gt;22.3183325237266&lt;/D&gt;&lt;D xsi:type="xsd:double"&gt;23.9368884060968&lt;/D&gt;&lt;D xsi:type="xsd:double"&gt;23.1611527570114&lt;/D&gt;&lt;D xsi:type="xsd:double"&gt;23.6283591178691&lt;/D&gt;&lt;D xsi:type="xsd:double"&gt;25.638827014183&lt;/D&gt;&lt;D xsi:type="xsd:double"&gt;25.1199688549742&lt;/D&gt;&lt;D xsi:type="xsd:double"&gt;25.589396854972&lt;/D&gt;&lt;D xsi:type="xsd:double"&gt;25.7731426533258&lt;/D&gt;&lt;D xsi:type="xsd:double"&gt;26.6473694971618&lt;/D&gt;&lt;D xsi:type="xsd:double"&gt;27.327221118386&lt;/D&gt;&lt;D xsi:type="xsd:double"&gt;26.3346528788372&lt;/D&gt;&lt;D xsi:type="xsd:double"&gt;26.8044689095796&lt;/D&gt;&lt;D xsi:type="xsd:double"&gt;26.7076709381839&lt;/D&gt;&lt;D xsi:type="xsd:double"&gt;26.9998366909986&lt;/D&gt;&lt;D xsi:type="xsd:double"&gt;28.1615664292555&lt;/D&gt;&lt;D xsi:type="xsd:double"&gt;29.0576165205849&lt;/D&gt;&lt;D xsi:type="xsd:double"&gt;30.4397476818719&lt;/D&gt;&lt;D xsi:type="xsd:double"&gt;30.1652103654763&lt;/D&gt;&lt;D xsi:type="xsd:double"&gt;29.8434642216226&lt;/D&gt;&lt;/FQL&gt;&lt;FQL&gt;&lt;Q&gt;DDR3512M-FDS^FG_PRICE(0)&lt;/Q&gt;&lt;R&gt;1&lt;/R&gt;&lt;C&gt;1&lt;/C&gt;&lt;D xsi:type="xsd:double"&gt;0.9717034&lt;/D&gt;&lt;/FQL&gt;&lt;FQL&gt;&lt;Q&gt;PASP-FDS^FG_PRICE(0)&lt;/Q&gt;&lt;R&gt;1&lt;/R&gt;&lt;C&gt;1&lt;/C&gt;&lt;D xsi:type="xsd:double"&gt;1068&lt;/D&gt;&lt;/FQL&gt;&lt;FQL&gt;&lt;Q&gt;PLATI-FDS^FG_PRICE(0)&lt;/Q&gt;&lt;R&gt;1&lt;/R&gt;&lt;C&gt;1&lt;/C&gt;&lt;D xsi:type="xsd:double"&gt;981&lt;/D&gt;&lt;/FQL&gt;&lt;FQL&gt;&lt;Q&gt;W-FDS^FG_PRICE(0)&lt;/Q&gt;&lt;R&gt;1&lt;/R&gt;&lt;C&gt;1&lt;/C&gt;&lt;D xsi:type="xsd:double"&gt;5.5175&lt;/D&gt;&lt;/FQL&gt;&lt;FQL&gt;&lt;Q&gt;COPP-FDS^FG_PRICE(0)&lt;/Q&gt;&lt;R&gt;1&lt;/R&gt;&lt;C&gt;1&lt;/C&gt;&lt;D xsi:type="xsd:double"&gt;4.252&lt;/D&gt;&lt;/FQL&gt;&lt;FQL&gt;&lt;Q&gt;FC0000US^FG_PRICE(0)&lt;/Q&gt;&lt;R&gt;1&lt;/R&gt;&lt;C&gt;1&lt;/C&gt;&lt;D xsi:type="xsd:double"&gt;390.67166&lt;/D&gt;&lt;/FQL&gt;&lt;FQL&gt;&lt;Q&gt;FC0000GR^FG_PRICE(0)&lt;/Q&gt;&lt;R&gt;1&lt;/R&gt;&lt;C&gt;1&lt;/C&gt;&lt;D xsi:type="xsd:double"&gt;9.555734&lt;/D&gt;&lt;/FQL&gt;&lt;FQL&gt;&lt;Q&gt;EWI^FG_PRICE(0)&lt;/Q&gt;&lt;R&gt;1&lt;/R&gt;&lt;C&gt;1&lt;/C&gt;&lt;D xsi:type="xsd:double"&gt;36.48&lt;/D&gt;&lt;/FQL&gt;&lt;FQL&gt;&lt;Q&gt;SPY^FG_PRICE(0)&lt;/Q&gt;&lt;R&gt;1&lt;/R&gt;&lt;C&gt;1&lt;/C&gt;&lt;D xsi:type="xsd:double"&gt;518&lt;/D&gt;&lt;/FQL&gt;&lt;FQL&gt;&lt;Q&gt;EWJ^FG_PRICE(0)&lt;/Q&gt;&lt;R&gt;1&lt;/R&gt;&lt;C&gt;1&lt;/C&gt;&lt;D xsi:type="xsd:double"&gt;69.99&lt;/D&gt;&lt;/FQL&gt;&lt;FQL&gt;&lt;Q&gt;ENZL^FG_PRICE(0)&lt;/Q&gt;&lt;R&gt;1&lt;/R&gt;&lt;C&gt;1&lt;/C&gt;&lt;D xsi:type="xsd:double"&gt;45.35&lt;/D&gt;&lt;/FQL&gt;&lt;FQL&gt;&lt;Q&gt;EWA^FG_COMPANY_NAME&lt;/Q&gt;&lt;R&gt;1&lt;/R&gt;&lt;C&gt;1&lt;/C&gt;&lt;D xsi:type="xsd:string"&gt;iShares MSCI Australia ETF&lt;/D&gt;&lt;/FQL&gt;&lt;FQL&gt;&lt;Q&gt;USDCHF^FG_PRICE_CHANGE(0,-3AM)&lt;/Q&gt;&lt;R&gt;1&lt;/R&gt;&lt;C&gt;1&lt;/C&gt;&lt;D xsi:type="xsd:double"&gt;6.5785646&lt;/D&gt;&lt;/FQL&gt;&lt;FQL&gt;&lt;Q&gt;EWQ^FMA_EPS(NTMA,-20AY,0,CY,,"PORTAGG","MEANR")&lt;/Q&gt;&lt;R&gt;20&lt;/R&gt;&lt;C&gt;1&lt;/C&gt;&lt;D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xsi:type="xsd:double"&gt;2.19705971714274&lt;/D&gt;&lt;D xsi:type="xsd:double"&gt;1.85113612015885&lt;/D&gt;&lt;D xsi:type="xsd:double"&gt;2.46081798634908&lt;/D&gt;&lt;D xsi:type="xsd:double"&gt;2.80265475944353&lt;/D&gt;&lt;D xsi:type="xsd:double"&gt;2.92072613428035&lt;/D&gt;&lt;/FQL&gt;&lt;FQL&gt;&lt;Q&gt;CPALM-FDS^FG_PRICE(0)&lt;/Q&gt;&lt;R&gt;1&lt;/R&gt;&lt;C&gt;1&lt;/C&gt;&lt;D xsi:type="xsd:double"&gt;4517&lt;/D&gt;&lt;/FQL&gt;&lt;FQL&gt;&lt;Q&gt;EWG^FMA_ROE(NTMA,-20AY,NOW,FY,"PORTAGG","MEANR")&lt;/Q&gt;&lt;R&gt;20&lt;/R&gt;&lt;C&gt;1&lt;/C&gt;&lt;D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xsi:type="xsd:double"&gt;9.7140774239929&lt;/D&gt;&lt;D xsi:type="xsd:double"&gt;12.1999545354885&lt;/D&gt;&lt;D xsi:type="xsd:double"&gt;11.8188093455252&lt;/D&gt;&lt;D xsi:type="xsd:double"&gt;11.9408562756701&lt;/D&gt;&lt;/FQL&gt;&lt;FQL&gt;&lt;Q&gt;USDCHF^FG_PRICE_CHANGE(0,-1AM)&lt;/Q&gt;&lt;R&gt;1&lt;/R&gt;&lt;C&gt;1&lt;/C&gt;&lt;D xsi:type="xsd:double"&gt;3.763163&lt;/D&gt;&lt;/FQL&gt;&lt;FQL&gt;&lt;Q&gt;SPY^FMA_EPS(NTMA,-20AY,0,CY,,"PORTAGG","MEANR")&lt;/Q&gt;&lt;R&gt;20&lt;/R&gt;&lt;C&gt;1&lt;/C&gt;&lt;D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xsi:type="xsd:double"&gt;17.7008563117798&lt;/D&gt;&lt;D xsi:type="xsd:double"&gt;16.6397892851078&lt;/D&gt;&lt;D xsi:type="xsd:double"&gt;22.2491594462169&lt;/D&gt;&lt;D xsi:type="xsd:double"&gt;22.9378272462545&lt;/D&gt;&lt;D xsi:type="xsd:double"&gt;24.3153750284337&lt;/D&gt;&lt;/FQL&gt;&lt;FQL&gt;&lt;Q&gt;COPP-FDS^MAX(FG_PRICE(0,-5AY))&lt;/Q&gt;&lt;R&gt;1&lt;/R&gt;&lt;C&gt;1&lt;/C&gt;&lt;D xsi:type="xsd:double"&gt;4.929&lt;/D&gt;&lt;/FQL&gt;&lt;FQL&gt;&lt;Q&gt;USDSEK^FG_COMPANY_NAME&lt;/Q&gt;&lt;R&gt;1&lt;/R&gt;&lt;C&gt;1&lt;/C&gt;&lt;D xsi:type="xsd:string"&gt;Swedish Krona per U.S. Dollar&lt;/D&gt;&lt;/FQL&gt;&lt;FQL&gt;&lt;Q&gt;COPP-FDS^FG_PRICE_CHANGE(0,-6AM)&lt;/Q&gt;&lt;R&gt;1&lt;/R&gt;&lt;C&gt;1&lt;/C&gt;&lt;D xsi:type="xsd:double"&gt;17.6535694521306&lt;/D&gt;&lt;/FQL&gt;&lt;FQL&gt;&lt;Q&gt;EWL^FG_PRICE(0)&lt;/Q&gt;&lt;R&gt;1&lt;/R&gt;&lt;C&gt;1&lt;/C&gt;&lt;D xsi:type="xsd:double"&gt;46.32&lt;/D&gt;&lt;/FQL&gt;&lt;FQL&gt;&lt;Q&gt;TRYPH10Y-FDS^FG_YIELD(-10AY,0,Y,,"YTM")&lt;/Q&gt;&lt;R&gt;10&lt;/R&gt;&lt;C&gt;1&lt;/C&gt;&lt;D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xsi:type="xsd:double"&gt;6.0028777&lt;/D&gt;&lt;/FQL&gt;&lt;FQL&gt;&lt;Q&gt;USDITL^STD(FG_PRICE_CHANGE(0,-3AY,M))&lt;/Q&gt;&lt;R&gt;1&lt;/R&gt;&lt;C&gt;1&lt;/C&gt;&lt;D xsi:type="xsd:double"&gt;2.22271940521832&lt;/D&gt;&lt;/FQL&gt;&lt;FQL&gt;&lt;Q&gt;ENZL^FG_COMPANY_NAME&lt;/Q&gt;&lt;R&gt;1&lt;/R&gt;&lt;C&gt;1&lt;/C&gt;&lt;D xsi:type="xsd:string"&gt;iShares MSCI New Zealand ETF&lt;/D&gt;&lt;/FQL&gt;&lt;FQL&gt;&lt;Q&gt;DUMMY^ECON_EXPR_DATA('FDS_ECON[NTCPMIMFGSA@EME]',,,M)&lt;/Q&gt;&lt;R&gt;1&lt;/R&gt;&lt;C&gt;1&lt;/C&gt;&lt;D xsi:type="xsd:double"&gt;51.96338&lt;/D&gt;&lt;/FQL&gt;&lt;FQL&gt;&lt;Q&gt;EWD^FMA_ROE(NTMA,-20AY</t>
        </r>
      </text>
    </comment>
    <comment ref="A2" authorId="0" shapeId="0" xr:uid="{CC1FAA09-FA11-418C-92BF-1CC530A970FD}">
      <text>
        <r>
          <rPr>
            <b/>
            <sz val="9"/>
            <color indexed="81"/>
            <rFont val="Tahoma"/>
            <charset val="1"/>
          </rPr>
          <t>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xsi:type="xsd:double"&gt;13.411796827237&lt;/D&gt;&lt;D xsi:type="xsd:double"&gt;11.9070326866152&lt;/D&gt;&lt;D xsi:type="xsd:double"&gt;15.3602779627681&lt;/D&gt;&lt;D xsi:type="xsd:double"&gt;14.6912945486843&lt;/D&gt;&lt;D xsi:type="xsd:double"&gt;15.3680505982123&lt;/D&gt;&lt;/FQL&gt;&lt;FQL&gt;&lt;Q&gt;^FG_YIELD(-10AY,0,Y,,"YTM")&lt;/Q&gt;&lt;R&gt;10&lt;/R&gt;&lt;C&gt;1&lt;/C&gt;&lt;D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xsi:type="xsd:double"&gt;2.004&lt;/D&gt;&lt;/FQL&gt;&lt;FQL&gt;&lt;Q&gt;EWI^FG_TOTAL_RETURNC(-10AY,0,AM)&lt;/Q&gt;&lt;R&gt;121&lt;/R&gt;&lt;C&gt;1&lt;/C&gt;&lt;D xsi:type="xsd:double"&gt;2.053976&lt;/D&gt;&lt;D xsi:type="xsd:double"&gt;0.23002625&lt;/D&gt;&lt;D xsi:type="xsd:double"&gt;3.2702208&lt;/D&gt;&lt;D xsi:type="xsd:double"&gt;-5.1339746&lt;/D&gt;&lt;D xsi:type="xsd:double"&gt;-8.610451&lt;/D&gt;&lt;D xsi:type="xsd:double"&gt;5.458081&lt;/D&gt;&lt;D xsi:type="xsd:double"&gt;-11.275416&lt;/D&gt;&lt;D xsi:type="xsd:double"&gt;0.20834208&lt;/D&gt;&lt;D xsi:type="xsd:double"&gt;-2.4255037&lt;/D&gt;&lt;D xsi:type="xsd:double"&gt;-8.030004&lt;/D&gt;&lt;D xsi:type="xsd:double"&gt;7.776046&lt;/D&gt;&lt;D xsi:type="xsd:double"&gt;3.3910513&lt;/D&gt;&lt;D xsi:type="xsd:double"&gt;5.3035617&lt;/D&gt;&lt;D xsi:type="xsd:double"&gt;2.5182247&lt;/D&gt;&lt;D xsi:type="xsd:double"&gt;2.197802&lt;/D&gt;&lt;D xsi:type="xsd:double"&gt;-1.5208662&lt;/D&gt;&lt;D xsi:type="xsd:double"&gt;2.8758168&lt;/D&gt;&lt;D xsi:type="xsd:double"&gt;-5.463785&lt;/D&gt;&lt;D xsi:type="xsd:double"&gt;2.3521423&lt;/D&gt;&lt;D xsi:type="xsd:double"&gt;-5.581087&lt;/D&gt;&lt;D xsi:type="xsd:double"&gt;-4.520172&lt;/D&gt;&lt;D xsi:type="xsd:double"&gt;-5.980408&lt;/D&gt;&lt;D xsi:type="xsd:double"&gt;-16.394716&lt;/D&gt;&lt;D xsi:type="xsd:double"&gt;17.565048&lt;/D&gt;&lt;D xsi:type="xsd:double"&gt;-5.8498025&lt;/D&gt;&lt;D xsi:type="xsd:double"&gt;1.0075569&lt;/D&gt;&lt;D xsi:type="xsd:double"&gt;-3.158772&lt;/D&gt;&lt;D xsi:type="xsd:double"&gt;-6.0673532&lt;/D&gt;&lt;D xsi:type="xsd:double"&gt;5.639088&lt;/D&gt;&lt;D xsi:type="xsd:double"&gt;1.5124559&lt;/D&gt;&lt;D xsi:type="xsd:double"&gt;-4.5574007&lt;/D&gt;&lt;D xsi:type="xsd:double"&gt;1.4233232&lt;/D&gt;&lt;D xsi:type="xsd:double"&gt;6.3377023&lt;/D&gt;&lt;D xsi:type="xsd:double"&gt;5.648768&lt;/D&gt;&lt;D xsi:type="xsd:double"&gt;-3.7413597&lt;/D&gt;&lt;D xsi:type="xsd:double"&gt;4.267001&lt;/D&gt;&lt;D xsi:type="xsd:double"&gt;2.2285223&lt;/D&gt;&lt;D xsi:type="xsd:double"&gt;9.671032&lt;/D&gt;&lt;D xsi:type="xsd:double"&gt;2.0238519&lt;/D&gt;&lt;D xsi:type="xsd:double"&gt;2.8660536&lt;/D&gt;&lt;D xsi:type="xsd:double"&gt;3.5764337&lt;/D&gt;&lt;D xsi:type="xsd:double"&gt;4.9762964&lt;/D&gt;&lt;D xsi:type="xsd:double"&gt;0.93517303&lt;/D&gt;&lt;D xsi:type="xsd:double"&gt;-1.6613364&lt;/D&gt;&lt;D xsi:type="xsd:double"&gt;1.8193603&lt;/D&gt;&lt;D xsi:type="xsd:double"&gt;4.4659853&lt;/D&gt;&lt;D xsi:type="xsd:double"&gt;-2.6412785&lt;/D&gt;&lt;D xsi:type="xsd:double"&gt;2.7129412&lt;/D&gt;&lt;D xsi:type="xsd:double"&gt;1.4434814&lt;/D&gt;&lt;D xsi:type="xsd:double"&gt;1.5440583&lt;/D&gt;&lt;D xsi:type="xsd:double"&gt;-8.467502&lt;/D&gt;&lt;D xsi:type="xsd:double"&gt;-2.823478&lt;/D&gt;&lt;D xsi:type="xsd:double"&gt;-4.341835&lt;/D&gt;&lt;D xsi:type="xsd:double"&gt;0.576365&lt;/D&gt;&lt;D xsi:type="xsd:double"&gt;-7.4498596&lt;/D&gt;&lt;D xsi:type="xsd:double"&gt;-1.509285&lt;/D&gt;&lt;D xsi:type="xsd:double"&gt;-3.064835&lt;/D&gt;&lt;D xsi:type="xsd:double"&gt;4.438925&lt;/D&gt;&lt;D xsi:type="xsd:double"&gt;0.7075429&lt;/D&gt;&lt;D xsi:type="xsd:double"&gt;5.308342&lt;/D&gt;&lt;D xsi:type="xsd:double"&gt;4.37361&lt;/D&gt;&lt;D xsi:type="xsd:double"&gt;-2.8764188&lt;/D&gt;&lt;D xsi:type="xsd:double"&gt;0.4387498&lt;/D&gt;&lt;D xsi:type="xsd:double"&gt;7.5859547&lt;/D&gt;&lt;D xsi:type="xsd:double"&gt;-9.208679&lt;/D&gt;&lt;D xsi:type="xsd:double"&gt;6.016195&lt;/D&gt;&lt;D xsi:type="xsd:double"&gt;1.2004375&lt;/D&gt;&lt;D xsi:type="xsd:double"&gt;5.859101&lt;/D&gt;&lt;D xsi:type="xsd:double"&gt;-1.5959322&lt;/D&gt;&lt;D xsi:type="xsd:double"&gt;3.0590177&lt;/D&gt;&lt;D xsi:type="xsd:double"&gt;1.2811899&lt;/D&gt;&lt;D xsi:type="xsd:double"&gt;-26.165115&lt;/D&gt;&lt;D xsi:type="xsd:double"&gt;-3.0658245&lt;/D&gt;&lt;D xsi:type="xsd:double"&gt;-3.9069772&lt;/D&gt;&lt;D xsi:type="xsd:double"&gt;12.342691&lt;/D&gt;&lt;D xsi:type="xsd:double"&gt;8.273125&lt;/D&gt;&lt;D xsi:type="xsd:double"&gt;3.940487&lt;/D&gt;&lt;D xsi:type="xsd:double"&gt;-0.7350147&lt;/D&gt;&lt;D xsi:type="xsd:double"&gt;-1.6367912&lt;/D&gt;&lt;D xsi:type="xsd:double"&gt;7.0523024&lt;/D&gt;&lt;D xsi:type="xsd:double"&gt;7.4019194&lt;/D&gt;&lt;D xsi:type="xsd:double"&gt;4.3350577&lt;/D&gt;&lt;D xsi:type="xsd:double"&gt;2.3309946&lt;/D&gt;&lt;D xsi:type="xsd:double"&gt;2.6358604&lt;/D&gt;&lt;D xsi:type="xsd:double"&gt;0.47558546&lt;/D&gt;&lt;D xsi:type="xsd:double"&gt;2.0195723&lt;/D&gt;&lt;D xsi:type="xsd:double"&gt;5.539775&lt;/D&gt;&lt;D xsi:type="xsd:double"&gt;-4.4497194&lt;/D&gt;&lt;D xsi:type="xsd:double"&gt;4.408574&lt;/D&gt;&lt;D xsi:type="xsd:double"&gt;-3.95481&lt;/D&gt;&lt;D xsi:type="xsd:double"&gt;-1.2074292&lt;/D&gt;&lt;D xsi:type="xsd:double"&gt;6.1422706&lt;/D&gt;&lt;D xsi:type="xsd:double"&gt;-3.8086712&lt;/D&gt;&lt;D xsi:type="xsd:double"&gt;3.8832307&lt;/D&gt;&lt;D xsi:type="xsd:double"&gt;-3.7159085&lt;/D&gt;&lt;D xsi:type="xsd:double"&gt;-16.433239&lt;/D&gt;&lt;D xsi:type="xsd:double"&gt;8.156431&lt;/D&gt;&lt;D xsi:type="xsd:double"&gt;-8.4022045&lt;/D&gt;&lt;D xsi:type="xsd:double"&gt;-2.1227717&lt;/D&gt;&lt;D xsi:type="xsd:double"&gt;-7.957244&lt;/D&gt;&lt;D xsi:type="xsd:double"&gt;8.3871&lt;/D&gt;&lt;D xsi:type="xsd:double"&gt;-5.4761944&lt;/D&gt;&lt;D xsi:type="xsd:double"&gt;-9.739715&lt;/D&gt;&lt;D xsi:type="xsd:double"&gt;27.255821&lt;/D&gt;&lt;D xsi:type="xsd:double"&gt;0&lt;/D&gt;&lt;D xsi:type="xsd:double"&gt;8.181572&lt;/D&gt;&lt;D xsi:type="xsd:double"&gt;3.8408756&lt;/D&gt;&lt;D xsi:type="xsd:double"&gt;-2.1136105&lt;/D&gt;&lt;D xsi:type="xsd:double"&gt;5.026984&lt;/D&gt;&lt;D xsi:type="xsd:double"&gt;0.54609776&lt;/D&gt;&lt;D xsi:type="xsd:double"&gt;-1.0159552&lt;/D&gt;&lt;D xsi:type="xsd:double"&gt;5.291009&lt;/D&gt;&lt;D xsi:type="xsd:double"&gt;0.3140688&lt;/D&gt;&lt;D xsi:type="xsd:double"&gt;-1.0644972&lt;/D&gt;&lt;D xsi:type="xsd:double"&gt;-2.8797448&lt;/D&gt;&lt;D xsi:type="xsd:double"&gt;1.4988542&lt;/D&gt;&lt;D xsi:type="xsd:double"&gt;7.1910143&lt;/D&gt;&lt;D xsi:type="xsd:double"&gt;2.3230553&lt;/D&gt;&lt;D xsi:type="xsd:double"&gt;0.5927563&lt;/D&gt;&lt;D xsi:type="xsd:double"&gt;7.896292&lt;/D&gt;&lt;D xsi:type="xsd:double"&gt;-0.3823042&lt;/D&gt;&lt;/FQL&gt;&lt;FQL&gt;&lt;Q&gt;EWN^FMA_DIV_YLD(NTMA,-10AY,0,AM,"PORTAGG","MEANR")&lt;/Q&gt;&lt;R&gt;121&lt;/R&gt;&lt;C&gt;1&lt;/C&gt;&lt;D xsi:type="xsd:double"&gt;2.76931326807123&lt;/D&gt;&lt;D xsi:type="xsd:double"&gt;2.81516617120969&lt;/D&gt;&lt;D xsi:type="xsd:double"&gt;2.78327538924118&lt;/D&gt;&lt;D xsi:type="xsd:double"&gt;2.89347782002791&lt;/D&gt;&lt;D xsi:type="xsd:double"&gt;3.06149075772117&lt;/D&gt;&lt;D xsi:type="xsd:double"&gt;3.00104001790359&lt;/D&gt;&lt;D xsi:type="xsd:double"&gt;3.17750860434438&lt;/D&gt;&lt;D xsi:type="xsd:double"&gt;3.08913156082057&lt;/D&gt;&lt;D xsi:type="xsd:double"&gt;3.06095932154212&lt;/D&gt;&lt;D xsi:type="xsd:double"&gt;3.13375663660281&lt;/D&gt;&lt;D xsi:type="xsd:double"&gt;2.8814342100664&lt;/D&gt;&lt;D xsi:type="xsd:double"&gt;2.63863870754586&lt;/D&gt;&lt;D xsi:type="xsd:double"&gt;2.58310347872124&lt;/D&gt;&lt;D xsi:type="xsd:double"&gt;2.73791140690727&lt;/D&gt;&lt;D xsi:type="xsd:double"&gt;2.88431717602198&lt;/D&gt;&lt;D xsi:type="xsd:double"&gt;2.92066189862663&lt;/D&gt;&lt;D xsi:type="xsd:double"&gt;3.05314144297488&lt;/D&gt;&lt;D xsi:type="xsd:double"&gt;3.50502890783083&lt;/D&gt;&lt;D xsi:type="xsd:double"&gt;3.46208639246176&lt;/D&gt;&lt;D xsi:type="xsd:double"&gt;3.14261294474862&lt;/D&gt;&lt;D xsi:type="xsd:double"&gt;3.3703178124924&lt;/D&gt;&lt;D xsi:type="xsd:double"&gt;3.32616144060891&lt;/D&gt;&lt;D xsi:type="xsd:double"&gt;3.73085497356854&lt;/D&gt;&lt;D xsi:type="xsd:double"&gt;3.3070368016115&lt;/D&gt;&lt;D xsi:type="xsd:double"&gt;3.35983063304366&lt;/D&gt;&lt;D xsi:type="xsd:double"&gt;3.40019443182294&lt;/D&gt;&lt;D xsi:type="xsd:double"&gt;3.2714917012433&lt;/D&gt;&lt;D xsi:type="xsd:double"&gt;3.29383909175332&lt;/D&gt;&lt;D xsi:type="xsd:double"&gt;3.13177851941349&lt;/D&gt;&lt;D xsi:type="xsd:double"&gt;3.15535955984215&lt;/D&gt;&lt;D xsi:type="xsd:double"&gt;3.11936472266154&lt;/D&gt;&lt;D xsi:type="xsd:double"&gt;3.18868506839284&lt;/D&gt;&lt;D xsi:type="xsd:double"&gt;3.04139651137152&lt;/D&gt;&lt;D xsi:type="xsd:double"&gt;2.95090430830372&lt;/D&gt;&lt;D xsi:type="xsd:double"&gt;2.915858114188&lt;/D&gt;&lt;D xsi:type="xsd:double"&gt;2.77039631952978&lt;/D&gt;&lt;D xsi:type="xsd:double"&gt;2.76564994465788&lt;/D&gt;&lt;D xsi:type="xsd:double"&gt;2.70276686252854&lt;/D&gt;&lt;D xsi:type="xsd:double"&gt;2.70111645765119&lt;/D&gt;&lt;D xsi:type="xsd:double"&gt;2.81700957183875&lt;/D&gt;&lt;D xsi:type="xsd:double"&gt;2.81879214633753&lt;/D&gt;&lt;D xsi:type="xsd:double"&gt;2.84485154781321&lt;/D&gt;&lt;D xsi:type="xsd:double"&gt;2.77117276080204&lt;/D&gt;&lt;D xsi:type="xsd:double"&gt;2.80115736908361&lt;/D&gt;&lt;D xsi:type="xsd:double"&gt;2.8214146298831&lt;/D&gt;&lt;D xsi:type="xsd:double"&gt;2.79917723071026&lt;/D&gt;&lt;D xsi:type="xsd:double"&gt;2.99428155186221&lt;/D&gt;&lt;D xsi:type="xsd:double"&gt;2.90740052526616&lt;/D&gt;&lt;D xsi:type="xsd:double"&gt;2.94670838213444&lt;/D&gt;&lt;D xsi:type="xsd:double"&gt;2.90794126440471&lt;/D&gt;&lt;D xsi:type="xsd:double"&gt;2.85143148349815&lt;/D&gt;&lt;D xsi:type="xsd:double"&gt;2.9618853000586&lt;/D&gt;&lt;D xsi:type="xsd:double"&gt;2.90400840329892&lt;/D&gt;&lt;D xsi:type="xsd:double"&gt;3.04072632879953&lt;/D&gt;&lt;D xsi:type="xsd:double"&gt;3.21760442026084&lt;/D&gt;&lt;D xsi:type="xsd:double"&gt;3.1656999123636&lt;/D&gt;&lt;D xsi:type="xsd:double"&gt;3.37134496957496&lt;/D&gt;&lt;D xsi:type="xsd:double"&gt;3.38437527772502&lt;/D&gt;&lt;D xsi:type="xsd:double"&gt;3.19634355466189&lt;/D&gt;&lt;D xsi:type="xsd:double"&gt;3.1289980037481&lt;/D&gt;&lt;D xsi:type="xsd:double"&gt;3.01308524281793&lt;/D&gt;&lt;D xsi:type="xsd:double"&gt;3.05710668139762&lt;/D&gt;&lt;D xsi:type="xsd:double"&gt;3.06695328269311&lt;/D&gt;&lt;D xsi:type="xsd:double"&gt;2.98493021266243&lt;/D&gt;&lt;D xsi:type="xsd:double"&gt;3.03754782133028&lt;/D&gt;&lt;D xsi:type="xsd:double"&gt;2.85681179471099&lt;/D&gt;&lt;D xsi:type="xsd:double"&gt;2.74741719184377&lt;/D&gt;&lt;D xsi:type="xsd:double"&gt;2.65745502073171&lt;/D&gt;&lt;D xsi:type="xsd:double"&gt;2.64026990837336&lt;/D&gt;&lt;D xsi:type="xsd:double"&gt;2.57652895077533&lt;/D&gt;&lt;D xsi:type="xsd:double"&gt;2.49450194638882&lt;/D&gt;&lt;D xsi:type="xsd:double"&gt;3.18582780103611&lt;/D&gt;&lt;D xsi:type="xsd:double"&gt;2.88339649845138&lt;/D&gt;&lt;D xsi:type="xsd:double"&gt;2.6268882721412&lt;/D&gt;&lt;D xsi:type="xsd:double"&gt;2.48417485438161&lt;/D&gt;&lt;D xsi:type="xsd:double"&gt;2.32345436398723&lt;/D&gt;&lt;D xsi:type="xsd:double"&gt;2.35251965047286&lt;/D&gt;&lt;D xsi:type="xsd:double"&gt;2.3212251815979&lt;/D&gt;&lt;D xsi:type="xsd:double"&gt;2.27544631524992&lt;/D&gt;&lt;D xsi:type="xsd:double"&gt;2.18464859035019&lt;/D&gt;&lt;D xsi:type="xsd:double"&gt;2.07826910839627&lt;/D&gt;&lt;D xsi:type="xsd:double"&gt;1.94257884327048&lt;/D&gt;&lt;D xsi:type="xsd:double"&gt;1.89038165004407&lt;/D&gt;&lt;D xsi:type="xsd:double"&gt;2.00187876890923&lt;/D&gt;&lt;D xsi:type="xsd:double"&gt;1.90472063960407&lt;/D&gt;&lt;D xsi:type="xsd:double"&gt;2.00607252436918&lt;/D&gt;&lt;D xsi:type="xsd:double"&gt;1.97589729627651&lt;/D&gt;&lt;D xsi:type="xsd:double"&gt;2.02574283117987&lt;/D&gt;&lt;D xsi:type="xsd:double"&gt;1.94040020575279&lt;/D&gt;&lt;D xsi:type="xsd:double"&gt;1.8519866092316&lt;/D&gt;&lt;D xsi:type="xsd:double"&gt;1.98511007337883&lt;/D&gt;&lt;D xsi:type="xsd:double"&gt;1.85156713482416&lt;/D&gt;&lt;D xsi:type="xsd:double"&gt;1.97701977772046&lt;/D&gt;&lt;D xsi:type="xsd:double"&gt;2.01233724479047&lt;/D&gt;&lt;D xsi:type="xsd:double"&gt;2.21584446190305&lt;/D&gt;&lt;D xsi:type="xsd:double"&gt;2.45050247070475&lt;/D&gt;&lt;D xsi:type="xsd:double"&gt;2.32180013649998&lt;/D&gt;&lt;D xsi:type="xsd:double"&gt;2.61275627799026&lt;/D&gt;&lt;D xsi:type="xsd:double"&gt;2.64469718706252&lt;/D&gt;&lt;D xsi:type="xsd:double"&gt;3.39307494117678&lt;/D&gt;&lt;D xsi:type="xsd:double"&gt;3.07293923683336&lt;/D&gt;&lt;D xsi:type="xsd:double"&gt;3.67773050516798&lt;/D&gt;&lt;D xsi:type="xsd:double"&gt;3.12449272353893&lt;/D&gt;&lt;D xsi:type="xsd:double"&gt;2.70869262228274&lt;/D&gt;&lt;D xsi:type="xsd:double"&gt;2.64607513538925&lt;/D&gt;&lt;D xsi:type="xsd:double"&gt;2.58752180312007&lt;/D&gt;&lt;D xsi:type="xsd:double"&gt;2.58519448966909&lt;/D&gt;&lt;D xsi:type="xsd:double"&gt;2.72543759453342&lt;/D&gt;&lt;D xsi:type="xsd:double"&gt;2.66878926538137&lt;/D&gt;&lt;D xsi:type="xsd:double"&gt;2.71862324517373&lt;/D&gt;&lt;D xsi:type="xsd:double"&gt;2.68167495367711&lt;/D&gt;&lt;D xsi:type="xsd:double"&gt;2.7417934072183&lt;/D&gt;&lt;D xsi:type="xsd:double"&gt;2.77621022613596&lt;/D&gt;&lt;D xsi:type="xsd:double"&gt;2.95727144761977&lt;/D&gt;&lt;D xsi:type="xsd:double"&gt;2.98909048123335&lt;/D&gt;&lt;D xsi:type="xsd:double"&gt;2.91257420668469&lt;/D&gt;&lt;D xsi:type="xsd:double"&gt;2.703838104376&lt;/D&gt;&lt;D xsi:type="xsd:double"&gt;2.72564140443821&lt;/D&gt;&lt;D xsi:type="xsd:double"&gt;2.4722903440382&lt;/D&gt;&lt;D xsi:type="xsd:double"&gt;2.60280868411602&lt;/D&gt;&lt;D xsi:type="xsd:double"&gt;2.5171481467908&lt;/D&gt;&lt;/FQL&gt;&lt;FQL&gt;&lt;Q&gt;SPY^FMA_PE(NTMA,-10AY,0,AM,"PORTAGG","MEANR")&lt;/Q&gt;&lt;R&gt;121&lt;/R&gt;&lt;C&gt;1&lt;/C&gt;&lt;D xsi:type="xsd:double"&gt;14.6064899117494&lt;/D&gt;&lt;D xsi:type="xsd:double"&gt;14.9201442847908&lt;/D&gt;&lt;D xsi:type="xsd:double"&gt;15.2992008214526&lt;/D&gt;&lt;D xsi:type="xsd:double"&gt;15.3433437721194&lt;/D&gt;&lt;D xsi:type="xsd:double"&gt;14.911178096053&lt;/D&gt;&lt;D xsi:type="xsd:double"&gt;15.2700871372688&lt;/D&gt;&lt;D xsi:type="xsd:double"&gt;14.5264828399597&lt;/D&gt;&lt;D xsi:type="xsd:double"&gt;15.629654253249&lt;/D&gt;&lt;D xsi:type="xsd:double"&gt;15.6943080585517&lt;/D&gt;&lt;D xsi:type="xsd:double"&gt;16.0157856576161&lt;/D&gt;&lt;D xsi:type="xsd:double"&gt;16.6270587988844&lt;/D&gt;&lt;D xsi:type="xsd:double"&gt;16.3545738307633&lt;/D&gt;&lt;D xsi:type="xsd:double"&gt;16.7506179803448&lt;/D&gt;&lt;D xsi:type="xsd:double"&gt;16.6242589328258&lt;/D&gt;&lt;D xsi:type="xsd:double"&gt;16.5063970226408&lt;/D&gt;&lt;D xsi:type="xsd:double"&gt;16.1845842710819&lt;/D&gt;&lt;D xsi:type="xsd:double"&gt;16.2621647863037&lt;/D&gt;&lt;D xsi:type="xsd:double"&gt;15.2817631966567&lt;/D&gt;&lt;D xsi:type="xsd:double"&gt;15.7512636421626&lt;/D&gt;&lt;D xsi:type="xsd:double"&gt;16.2660717939002&lt;/D&gt;&lt;D xsi:type="xsd:double"&gt;15.7300489831403&lt;/D&gt;&lt;D xsi:type="xsd:double"&gt;15.0965716788976&lt;/D&gt;&lt;D xsi:type="xsd:double"&gt;15.5099438140132&lt;/D&gt;&lt;D xsi:type="xsd:double"&gt;15.5167363536305&lt;/D&gt;&lt;D xsi:type="xsd:double"&gt;16.5004635460184&lt;/D&gt;&lt;D xsi:type="xsd:double"&gt;16.5226770167304&lt;/D&gt;&lt;D xsi:type="xsd:double"&gt;16.5332547025517&lt;/D&gt;&lt;D xsi:type="xsd:double"&gt;16.7895077164128&lt;/D&gt;&lt;D xsi:type="xsd:double"&gt;17.0120438063636&lt;/D&gt;&lt;D xsi:type="xsd:double"&gt;16.443516067559&lt;/D&gt;&lt;D xsi:type="xsd:double"&gt;16.3782850308453&lt;/D&gt;&lt;D xsi:type="xsd:double"&gt;16.5261030604819&lt;/D&gt;&lt;D xsi:type="xsd:double"&gt;17.0817729331739&lt;/D&gt;&lt;D xsi:type="xsd:double"&gt;17.0133824231897&lt;/D&gt;&lt;D xsi:type="xsd:double"&gt;17.3573135161618&lt;/D&gt;&lt;D xsi:type="xsd:double"&gt;17.6868555093764&lt;/D&gt;&lt;D xsi:type="xsd:double"&gt;17.3885861861154&lt;/D&gt;&lt;D xsi:type="xsd:double"&gt;17.4609592662087&lt;/D&gt;&lt;D xsi:type="xsd:double"&gt;17.5892922074256&lt;/D&gt;&lt;D xsi:type="xsd:double"&gt;17.3950625401321&lt;/D&gt;&lt;D xsi:type="xsd:double"&gt;17.3716829759511&lt;/D&gt;&lt;D xsi:type="xsd:double"&gt;17.5650529762541&lt;/D&gt;&lt;D xsi:type="xsd:double"&gt;17.9352276023395&lt;/D&gt;&lt;D xsi:type="xsd:double"&gt;17.9158166017304&lt;/D&gt;&lt;D xsi:type="xsd:double"&gt;18.2513691551672&lt;/D&gt;&lt;D xsi:type="xsd:double"&gt;18.3133305053187&lt;/D&gt;&lt;D xsi:type="xsd:double"&gt;16.4319397139113&lt;/D&gt;&lt;D xsi:type="xsd:double"&gt;17.2975432074564&lt;/D&gt;&lt;D xsi:type="xsd:double"&gt;16.2514102222609&lt;/D&gt;&lt;D xsi:type="xsd:double"&gt;16.4505081458464&lt;/D&gt;&lt;D xsi:type="xsd:double"&gt;16.6011132635123&lt;/D&gt;&lt;D xsi:type="xsd:double"&gt;16.3985340136262&lt;/D&gt;&lt;D xsi:type="xsd:double"&gt;16.5026574691152&lt;/D&gt;&lt;D xsi:type="xsd:double"&gt;16.6667764569797&lt;/D&gt;&lt;D xsi:type="xsd:double"&gt;15.6512502728195&lt;/D&gt;&lt;D xsi:type="xsd:double"&gt;15.8933845224029&lt;/D&gt;&lt;D xsi:type="xsd:double"&gt;15.0545656237265&lt;/D&gt;&lt;D xsi:type="xsd:double"&gt;15.0726387797725&lt;/D&gt;&lt;D xsi:type="xsd:double"&gt;15.7828712290394&lt;/D&gt;&lt;D xsi:type="xsd:double"&gt;16.1649153021234&lt;/D&gt;&lt;D xsi:type="xsd:double"&gt;16.735658159891&lt;/D&gt;&lt;D xsi:type="xsd:double"&gt;16.536485846027&lt;/D&gt;&lt;D xsi:type="xsd:double"&gt;16.4405602294516&lt;/D&gt;&lt;D xsi:type="xsd:double"&gt;17.0834075101636&lt;/D&gt;&lt;D xsi:type="xsd:double"&gt;16.6255549083226&lt;/D&gt;&lt;D xsi:type="xsd:double"&gt;16.9740416681893&lt;/D&gt;&lt;D xsi:type="xsd:double"&gt;16.8135109168652&lt;/D&gt;&lt;D xsi:type="xsd:double"&gt;17.4495807351376&lt;/D&gt;&lt;D xsi:type="xsd:double"&gt;17.709008757589&lt;/D&gt;&lt;D xsi:type="xsd:double"&gt;18.3383818396565&lt;/D&gt;&lt;D xsi:type="xsd:double"&gt;18.8568789038377&lt;/D&gt;&lt;D xsi:type="xsd:double"&gt;15.4919525165798&lt;/D&gt;&lt;D xsi:type="xsd:double"&gt;17.9920986393165&lt;/D&gt;&lt;D xsi:type="xsd:double"&gt;20.856103858406&lt;/D&gt;&lt;D xsi:type="xsd:double"&gt;21.2048873554336&lt;/D&gt;&lt;D xsi:type="xsd:double"&gt;22.2065892553628&lt;/D&gt;&lt;D xsi:type="xsd:double"&gt;22.1639139367046&lt;/D&gt;&lt;D xsi:type="xsd:double"&gt;21.6762248309298&lt;/D&gt;&lt;D xsi:type="xsd:double"&gt;22.1027940354855&lt;/D&gt;&lt;D xsi:type="xsd:double"&gt;21.860496441156&lt;/D&gt;&lt;D xsi:type="xsd:double"&gt;21.8603315500082&lt;/D&gt;&lt;D xsi:type="xsd:double"&gt;22.5057499527585&lt;/D&gt;&lt;D xsi:type="xsd:double"&gt;22.1979802458882&lt;/D&gt;&lt;D xsi:type="xsd:double"&gt;21.9292117326258&lt;/D&gt;&lt;D xsi:type="xsd:double"&gt;22.5335517030286&lt;/D&gt;&lt;D xsi:type="xsd:double"&gt;21.2749451753569&lt;/D&gt;&lt;D xsi:type="xsd:double"&gt;21.3468994733368&lt;/D&gt;&lt;D xsi:type="xsd:double"&gt;21.637481115717&lt;/D&gt;&lt;D xsi:type="xsd:double"&gt;21.0708236546839&lt;/D&gt;&lt;D xsi:type="xsd:double"&gt;20.8823974235978&lt;/D&gt;&lt;D xsi:type="xsd:double"&gt;20.3027266116136&lt;/D&gt;&lt;D xsi:type="xsd:double"&gt;21.2543321398611&lt;/D&gt;&lt;D xsi:type="xsd:double"&gt;21.2124955940004&lt;/D&gt;&lt;D xsi:type="xsd:double"&gt;21.0100319754724&lt;/D&gt;&lt;D xsi:type="xsd:double"&gt;19.4379540316197&lt;/D&gt;&lt;D xsi:type="xsd:double"&gt;18.20852016684&lt;/D&gt;&lt;D xsi:type="xsd:double"&gt;18.8756467470762&lt;/D&gt;&lt;D xsi:type="xsd:double"&gt;16.6451575240257&lt;/D&gt;&lt;D xsi:type="xsd:double"&gt;16.317310833789&lt;/D&gt;&lt;D xsi:type="xsd:double"&gt;16.1056699220279&lt;/D&gt;&lt;D xsi:type="xsd:double"&gt;17.7800837789445&lt;/D&gt;&lt;D xsi:type="xsd:double"&gt;17.117750641554&lt;/D&gt;&lt;D xsi:type="xsd:double"&gt;15.2079025945182&lt;/D&gt;&lt;D xsi:type="xsd:double"&gt;17.3252631432345&lt;/D&gt;&lt;D xsi:type="xsd:double"&gt;17.0517820115442&lt;/D&gt;&lt;D xsi:type="xsd:double"&gt;17.2709511538334&lt;/D&gt;&lt;D xsi:type="xsd:double"&gt;18.0629893029598&lt;/D&gt;&lt;D xsi:type="xsd:double"&gt;16.9733880441296&lt;/D&gt;&lt;D xsi:type="xsd:double"&gt;18.0876976718498&lt;/D&gt;&lt;D xsi:type="xsd:double"&gt;17.9929896078119&lt;/D&gt;&lt;D xsi:type="xsd:double"&gt;18.5204571535837&lt;/D&gt;&lt;D xsi:type="xsd:double"&gt;19.0922440890907&lt;/D&gt;&lt;D xsi:type="xsd:double"&gt;18.9224944720957&lt;/D&gt;&lt;D xsi:type="xsd:double"&gt;18.7325021266488&lt;/D&gt;&lt;D xsi:type="xsd:double"&gt;18.1984566540509&lt;/D&gt;&lt;D xsi:type="xsd:double"&gt;18.2782617785539&lt;/D&gt;&lt;D xsi:type="xsd:double"&gt;18.9194260853808&lt;/D&gt;&lt;D xsi:type="xsd:double"&gt;19.5571901342055&lt;/D&gt;&lt;D xsi:type="xsd:double"&gt;20.4175825274645&lt;/D&gt;&lt;D xsi:type="xsd:double"&gt;20.4976514365295&lt;/D&gt;&lt;D xsi:type="xsd:double"&gt;20.6841655478305&lt;/D&gt;&lt;/FQL&gt;&lt;FQL&gt;&lt;Q&gt;EWU^FMA_PE(LTMA,-10AY,0,AM,"PORTAGG","MEANR")&lt;/Q&gt;&lt;R&gt;121&lt;/R&gt;&lt;C&gt;1&lt;/C&gt;&lt;D xsi:type="xsd:double"&gt;14.2620331353702&lt;/D&gt;&lt;D xsi:type="xsd:double"&gt;14.3859734416984&lt;/D&gt;&lt;D xsi:type="xsd:double"&gt;14.3838794026503&lt;/D&gt;&lt;D xsi:type="xsd:double"&gt;14.2744493993483&lt;/D&gt;&lt;D xsi:type="xsd:double"&gt;14.1302479473592&lt;/D&gt;&lt;D xsi:type="xsd:double"&gt;14.1573206623118&lt;/D&gt;&lt;D xsi:type="xsd:double"&gt;13.4268495849335&lt;/D&gt;&lt;D xsi:type="xsd:double"&gt;13.9403205851875&lt;/D&gt;&lt;D xsi:type="xsd:double"&gt;13.5947856219578&lt;/D&gt;&lt;D xsi:type="xsd:double"&gt;13.4770673405133&lt;/D&gt;&lt;D xsi:type="xsd:double"&gt;14.5096383025039&lt;/D&gt;&lt;D xsi:type="xsd:double"&gt;15.1059044391867&lt;/D&gt;&lt;D xsi:type="xsd:double"&gt;15.4653415263547&lt;/D&gt;&lt;D xsi:type="xsd:double"&gt;15.7176650214959&lt;/D&gt;&lt;D xsi:type="xsd:double"&gt;15.698358007868&lt;/D&gt;&lt;D xsi:type="xsd:double"&gt;15.5822147632225&lt;/D&gt;&lt;D xsi:type="xsd:double"&gt;15.7710393146924&lt;/D&gt;&lt;D xsi:type="xsd:double"&gt;15.018967059324&lt;/D&gt;&lt;D xsi:type="xsd:double"&gt;15.7553625559977&lt;/D&gt;&lt;D xsi:type="xsd:double"&gt;15.7677008457074&lt;/D&gt;&lt;D xsi:type="xsd:double"&gt;15.0845130535522&lt;/D&gt;&lt;D xsi:type="xsd:double"&gt;14.7544904257769&lt;/D&gt;&lt;D xsi:type="xsd:double"&gt;13.9936954392155&lt;/D&gt;&lt;D xsi:type="xsd:double"&gt;15.6255820413721&lt;/D&gt;&lt;D xsi:type="xsd:double"&gt;15.8086409901152&lt;/D&gt;&lt;D xsi:type="xsd:double"&gt;15.8689019711773&lt;/D&gt;&lt;D xsi:type="xsd:double"&gt;15.8931277075778&lt;/D&gt;&lt;D xsi:type="xsd:double"&gt;16.4170151633055&lt;/D&gt;&lt;D xsi:type="xsd:double"&gt;16.9626444370876&lt;/D&gt;&lt;D xsi:type="xsd:double"&gt;16.851203979754&lt;/D&gt;&lt;D xsi:type="xsd:double"&gt;17.0469822940956&lt;/D&gt;&lt;D xsi:type="xsd:double"&gt;16.3174182826211&lt;/D&gt;&lt;D xsi:type="xsd:double"&gt;16.8868474178802&lt;/D&gt;&lt;D xsi:type="xsd:double"&gt;17.2688579985609&lt;/D&gt;&lt;D xsi:type="xsd:double"&gt;17.3356477048108&lt;/D&gt;&lt;D xsi:type="xsd:double"&gt;17.2791303258414&lt;/D&gt;&lt;D xsi:type="xsd:double"&gt;17.0539715640928&lt;/D&gt;&lt;D xsi:type="xsd:double"&gt;16.858552691487&lt;/D&gt;&lt;D xsi:type="xsd:double"&gt;16.6940067692947&lt;/D&gt;&lt;D xsi:type="xsd:double"&gt;16.3471164254866&lt;/D&gt;&lt;D xsi:type="xsd:double"&gt;16.1329607142966&lt;/D&gt;&lt;D xsi:type="xsd:double"&gt;16.0235510303927&lt;/D&gt;&lt;D xsi:type="xsd:double"&gt;15.8670953374715&lt;/D&gt;&lt;D xsi:type="xsd:double"&gt;15.4004427733942&lt;/D&gt;&lt;D xsi:type="xsd:double"&gt;15.2274109877955&lt;/D&gt;&lt;D xsi:type="xsd:double"&gt;15.6516379168601&lt;/D&gt;&lt;D xsi:type="xsd:double"&gt;14.2238916401885&lt;/D&gt;&lt;D xsi:type="xsd:double"&gt;13.9813350069092&lt;/D&gt;&lt;D xsi:type="xsd:double"&gt;13.9868660919576&lt;/D&gt;&lt;D xsi:type="xsd:double"&gt;14.1292551417902&lt;/D&gt;&lt;D xsi:type="xsd:double"&gt;13.9953243508908&lt;/D&gt;&lt;D xsi:type="xsd:double"&gt;13.7849751675198&lt;/D&gt;&lt;D xsi:type="xsd:double"&gt;13.7790666178708&lt;/D&gt;&lt;D xsi:type="xsd:double"&gt;13.3168935775809&lt;/D&gt;&lt;D xsi:type="xsd:double"&gt;12.9458173875826&lt;/D&gt;&lt;D xsi:type="xsd:double"&gt;12.8853225820427&lt;/D&gt;&lt;D xsi:type="xsd:double"&gt;12.1150686655359&lt;/D&gt;&lt;D xsi:type="xsd:double"&gt;12.3033933231619&lt;/D&gt;&lt;D xsi:type="xsd:double"&gt;12.6693115046268&lt;/D&gt;&lt;D xsi:type="xsd:double"&gt;12.9142227518401&lt;/D&gt;&lt;D xsi:type="xsd:double"&gt;13.0119420610559&lt;/D&gt;&lt;D xsi:type="xsd:double"&gt;12.8687263753885&lt;/D&gt;&lt;D xsi:type="xsd:double"&gt;13.0018402050607&lt;/D&gt;&lt;D xsi:type="xsd:double"&gt;13.1055730336784&lt;/D&gt;&lt;D xsi:type="xsd:double"&gt;12.7797921585397&lt;/D&gt;&lt;D xsi:type="xsd:double"&gt;13.0517784669457&lt;/D&gt;&lt;D xsi:type="xsd:double"&gt;13.1207443706702&lt;/D&gt;&lt;D xsi:type="xsd:double"&gt;13.3683372851557&lt;/D&gt;&lt;D xsi:type="xsd:double"&gt;13.4590011683763&lt;/D&gt;&lt;D xsi:type="xsd:double"&gt;14.2041050893199&lt;/D&gt;&lt;D xsi:type="xsd:double"&gt;14.023052214976&lt;/D&gt;&lt;D xsi:type="xsd:double"&gt;12.1462530448053&lt;/D&gt;&lt;D xsi:type="xsd:double"&gt;12.7909100078683&lt;/D&gt;&lt;D xsi:type="xsd:double"&gt;13.8921932542636&lt;/D&gt;&lt;D xsi:type="xsd:double"&gt;14.8259335623917&lt;/D&gt;&lt;D xsi:type="xsd:double"&gt;15.2113026950939&lt;/D&gt;&lt;D xsi:type="xsd:double"&gt;16.3015028243556&lt;/D&gt;&lt;D xsi:type="xsd:double"&gt;16.773763409107&lt;/D&gt;&lt;D xsi:type="xsd:double"&gt;17.2133820641384&lt;/D&gt;&lt;D xsi:type="xsd:double"&gt;17.9536322868959&lt;/D&gt;&lt;D xsi:type="xsd:double"&gt;19.283586082266&lt;/D&gt;&lt;D xsi:type="xsd:double"&gt;20.3007251973722&lt;/D&gt;&lt;D xsi:type="xsd:double"&gt;19.338524515351&lt;/D&gt;&lt;D xsi:type="xsd:double"&gt;18.6792587426009&lt;/D&gt;&lt;D xsi:type="xsd:double"&gt;18.1176319585105&lt;/D&gt;&lt;D xsi:type="xsd:double"&gt;17.4488221695781&lt;/D&gt;&lt;D xsi:type="xsd:double"&gt;16.9539767018419&lt;/D&gt;&lt;D xsi:type="xsd:double"&gt;16.1862392157821&lt;/D&gt;&lt;D xsi:type="xsd:double"&gt;15.2996319643025&lt;/D&gt;&lt;D xsi:type="xsd:double"&gt;14.4050657476379&lt;/D&gt;&lt;D xsi:type="xsd:double"&gt;13.8978854168909&lt;/D&gt;&lt;D xsi:type="xsd:double"&gt;13.3652069556637&lt;/D&gt;&lt;D xsi:type="xsd:double"&gt;12.5182504065323&lt;/D&gt;&lt;D xsi:type="xsd:double"&gt;12.5635729700916&lt;/D&gt;&lt;D xsi:type="xsd:double"&gt;12.8897101247148&lt;/D&gt;&lt;D xsi:type="xsd:double"&gt;12.4077864190642&lt;/D&gt;&lt;D xsi:type="xsd:double"&gt;12.2647697826443&lt;/D&gt;&lt;D xsi:type="xsd:double"&gt;11.7619494565594&lt;/D&gt;&lt;D xsi:type="xsd:double"&gt;11.4787511232505&lt;/D&gt;&lt;D xsi:type="xsd:double"&gt;10.9431264586999&lt;/D&gt;&lt;D xsi:type="xsd:double"&gt;10.8428242927771&lt;/D&gt;&lt;D xsi:type="xsd:double"&gt;10.2646011355064&lt;/D&gt;&lt;D xsi:type="xsd:double"&gt;9.38273326075501&lt;/D&gt;&lt;D xsi:type="xsd:double"&gt;9.68732007198889&lt;/D&gt;&lt;D xsi:type="xsd:double"&gt;9.8868490280747&lt;/D&gt;&lt;D xsi:type="xsd:double"&gt;9.98337146263788&lt;/D&gt;&lt;D xsi:type="xsd:double"&gt;10.1168719940604&lt;/D&gt;&lt;D xsi:type="xsd:double"&gt;10.2321546277501&lt;/D&gt;&lt;D xsi:type="xsd:double"&gt;10.3495094300519&lt;/D&gt;&lt;D xsi:type="xsd:double"&gt;10.3455462123123&lt;/D&gt;&lt;D xsi:type="xsd:double"&gt;10.3122070744627&lt;/D&gt;&lt;D xsi:type="xsd:double"&gt;10.2315846969165&lt;/D&gt;&lt;D xsi:type="xsd:double"&gt;10.5401951139032&lt;/D&gt;&lt;D xsi:type="xsd:double"&gt;10.5309607261852&lt;/D&gt;&lt;D xsi:type="xsd:double"&gt;10.6589832794051&lt;/D&gt;&lt;D xsi:type="xsd:double"&gt;10.3999045735038&lt;/D&gt;&lt;D xsi:type="xsd:double"&gt;10.9105895289929&lt;/D&gt;&lt;D xsi:type="xsd:double"&gt;11.160059270614&lt;/D&gt;&lt;D xsi:type="xsd:double"&gt;11.181431173401&lt;/D&gt;&lt;D xsi:type="xsd:double"&gt;11.456236394332&lt;/D&gt;&lt;D xsi:type="xsd:double"&gt;11.5469960185284&lt;/D&gt;&lt;/FQL&gt;&lt;FQL&gt;&lt;Q&gt;WL-FDS^MAX(FG_PRICE(0,-5AY))&lt;/Q&gt;&lt;R&gt;1&lt;/R&gt;&lt;C&gt;1&lt;/C&gt;&lt;D xsi:type="xsd:double"&gt;763.4&lt;/D&gt;&lt;/FQL&gt;&lt;FQL&gt;&lt;Q&gt;NI-FDS^MAX(FG_PRICE(0,-5AY))&lt;/Q&gt;&lt;R&gt;1&lt;/R&gt;&lt;C&gt;1&lt;/C&gt;&lt;D xsi:type="xsd:double"&gt;48241&lt;/D&gt;&lt;/FQL&gt;&lt;FQL&gt;&lt;Q&gt;CPALM-FDS^MAX(FG_PRICE(0,-5AY))&lt;/Q&gt;&lt;R&gt;1&lt;/R&gt;&lt;C&gt;1&lt;/C&gt;&lt;D xsi:type="xsd:double"&gt;8163&lt;/D&gt;&lt;/FQL&gt;&lt;FQL&gt;&lt;Q&gt;BRENT-FDS^MAX(FG_PRICE(0,-5AY))&lt;/Q&gt;&lt;R&gt;1&lt;/R&gt;&lt;C&gt;1&lt;/C&gt;&lt;D xsi:type="xsd:double"&gt;140.85&lt;/D&gt;&lt;/FQL&gt;&lt;FQL&gt;&lt;Q&gt;TIOS-FDS^MAX(FG_PRICE(0,-5AY))&lt;/Q&gt;&lt;R&gt;1&lt;/R&gt;&lt;C&gt;1&lt;/C&gt;&lt;D xsi:type="xsd:double"&gt;219.77&lt;/D&gt;&lt;/FQL&gt;&lt;FQL&gt;&lt;Q&gt;FC0000GB^FG_PRICE(0)&lt;/Q&gt;&lt;R&gt;1&lt;/R&gt;&lt;C&gt;1&lt;/C&gt;&lt;D xsi:type="xsd:double"&gt;121.39696&lt;/D&gt;&lt;/FQL&gt;&lt;FQL&gt;&lt;Q&gt;FC0000CA^FG_PRICE(0)&lt;/Q&gt;&lt;R&gt;1&lt;/R&gt;&lt;C&gt;1&lt;/C&gt;&lt;D xsi:type="xsd:double"&gt;289.44934&lt;/D&gt;&lt;/FQL&gt;&lt;FQL&gt;&lt;Q&gt;EWD^FG_PRICE_MAVG(0,,,,200)&lt;/Q&gt;&lt;R&gt;1&lt;/R&gt;&lt;C&gt;1&lt;/C&gt;&lt;D xsi:type="xsd:double"&gt;36.0389&lt;/D&gt;&lt;/FQL&gt;&lt;FQL&gt;&lt;Q&gt;QQQ^FG_PRICE_MAVG(0,,,,200)&lt;/Q&gt;&lt;R&gt;1&lt;/R&gt;&lt;C&gt;1&lt;/C&gt;&lt;D xsi:type="xsd:double"&gt;394.32126&lt;/D&gt;&lt;/FQL&gt;&lt;FQL&gt;&lt;Q&gt;EWG^FG_PRICE_MAVG(0,,,,200)&lt;/Q&gt;&lt;R&gt;1&lt;/R&gt;&lt;C&gt;1&lt;/C&gt;&lt;D xsi:type="xsd:double"&gt;28.4889&lt;/D&gt;&lt;/FQL&gt;&lt;FQL&gt;&lt;Q&gt;EWI^FG_COMPANY_NAME&lt;/Q&gt;&lt;R&gt;1&lt;/R&gt;&lt;C&gt;1&lt;/C&gt;&lt;D xsi:type="xsd:string"&gt;iShares MSCI Italy ETF&lt;/D&gt;&lt;/FQL&gt;&lt;FQL&gt;&lt;Q&gt;NI-FDS^FG_PRICE(0)/MAX(FG_PRICE(0,-1AY))&lt;/Q&gt;&lt;R&gt;1&lt;/R&gt;&lt;C&gt;1&lt;/C&gt;&lt;D xsi:type="xsd:double"&gt;0.693617854346124&lt;/D&gt;&lt;/FQL&gt;&lt;FQL&gt;&lt;Q&gt;USDUSD^FG_PRICE_CHANGE(0,-6AM)&lt;/Q&gt;&lt;R&gt;1&lt;/R&gt;&lt;C&gt;1&lt;/C&gt;&lt;D xsi:type="xsd:double"&gt;0&lt;/D&gt;&lt;/FQL&gt;&lt;FQL&gt;&lt;Q&gt;FC0000CH^FG_PRICE(0)&lt;/Q&gt;&lt;R&gt;1&lt;/R&gt;&lt;C&gt;1&lt;/C&gt;&lt;D xsi:type="xsd:double"&gt;314.40735&lt;/D&gt;&lt;/FQL&gt;&lt;FQL&gt;&lt;Q&gt;EWN^FG_PRICE_MAVG(0,,,,30)&lt;/Q&gt;&lt;R&gt;1&lt;/R&gt;&lt;C&gt;1&lt;/C&gt;&lt;D xsi:type="xsd:double"&gt;49.029&lt;/D&gt;&lt;/FQL&gt;&lt;FQL&gt;&lt;Q&gt;EWC^FG_PRICE_MAVG(0,,,,30)&lt;/Q&gt;&lt;R&gt;1&lt;/R&gt;&lt;C&gt;1&lt;/C&gt;&lt;D xsi:type="xsd:double"&gt;37.822666&lt;/D&gt;&lt;/FQL&gt;&lt;FQL&gt;&lt;Q&gt;TIOS-FDS^FG_PRICE(0)&lt;/Q&gt;&lt;R&gt;1&lt;/R&gt;&lt;C&gt;1&lt;/C&gt;&lt;D xsi:type="xsd:double"&gt;104.71&lt;/D&gt;&lt;/FQL&gt;&lt;FQL&gt;&lt;Q&gt;ENZL^FMA_PE(NTMA,-10AY,0,AM,"PORTAGG","MEANR")&lt;/Q&gt;&lt;R&gt;121&lt;/R&gt;&lt;C&gt;1&lt;/C&gt;&lt;D xsi:type="xsd:double"&gt;17.1397951291696&lt;/D&gt;&lt;D xsi:type="xsd:double"&gt;17.4163911524998&lt;/D&gt;&lt;D xsi:type="xsd:double"&gt;17.1950775478416&lt;/D&gt;&lt;D xsi:type="xsd:double"&gt;17.1045994736078&lt;/D&gt;&lt;D xsi:type="xsd:double"&gt;16.8342090359573&lt;/D&gt;&lt;D xsi:type="xsd:double"&gt;17.3328204410014&lt;/D&gt;&lt;D xsi:type="xsd:double"&gt;17.079922742083&lt;/D&gt;&lt;D xsi:type="xsd:double"&gt;18.1917479173829&lt;/D&gt;&lt;D xsi:type="xsd:double"&gt;17.962098875325&lt;/D&gt;&lt;D xsi:type="xsd:double"&gt;18.4251532652318&lt;/D&gt;&lt;D xsi:type="xsd:double"&gt;19.1026384884161&lt;/D&gt;&lt;D xsi:type="xsd:double"&gt;19.0889007357545&lt;/D&gt;&lt;D xsi:type="xsd:double"&gt;18.4018745260032&lt;/D&gt;&lt;D xsi:type="xsd:double"&gt;18.2915216883725&lt;/D&gt;&lt;D xsi:type="xsd:double"&gt;18.2664856412637&lt;/D&gt;&lt;D xsi:type="xsd:double"&gt;17.8056121259202&lt;/D&gt;&lt;D xsi:type="xsd:double"&gt;18.0702673860077&lt;/D&gt;&lt;D xsi:type="xsd:double"&gt;17.3210124041124&lt;/D&gt;&lt;D xsi:type="xsd:double"&gt;17.0316120615796&lt;/D&gt;&lt;D xsi:type="xsd:double"&gt;18.004283830299&lt;/D&gt;&lt;D xsi:type="xsd:double"&gt;18.0727813724927&lt;/D&gt;&lt;D xsi:type="xsd:double"&gt;17.5835165878356&lt;/D&gt;&lt;D xsi:type="xsd:double"&gt;16.86631790205&lt;/D&gt;&lt;D xsi:type="xsd:double"&gt;18.153055509205&lt;/D&gt;&lt;D xsi:type="xsd:double"&gt;18.4070110583007&lt;/D&gt;&lt;D xsi:type="xsd:double"&gt;19.2613725662353&lt;/D&gt;&lt;D xsi:type="xsd:double"&gt;19.3258585251587&lt;/D&gt;&lt;D xsi:type="xsd:double"&gt;19.537175612481&lt;/D&gt;&lt;D xsi:type="xsd:double"&gt;20.3203013316543&lt;/D&gt;&lt;D xsi:type="xsd:double"&gt;20.985895910256&lt;/D&gt;&lt;D xsi:type="xsd:double"&gt;19.5240826877748&lt;/D&gt;&lt;D xsi:type="xsd:double"&gt;18.2548768664489&lt;/D&gt;&lt;D xsi:type="xsd:double"&gt;18.5969651239115&lt;/D&gt;&lt;D xsi:type="xsd:double"&gt;19.0155999385726&lt;/D&gt;&lt;D xsi:type="xsd:double"&gt;19.171644371051&lt;/D&gt;&lt;D xsi:type="xsd:double"&gt;18.9561938524949&lt;/D&gt;&lt;D xsi:type="xsd:double"&gt;19.1983999009394&lt;/D&gt;&lt;D xsi:type="xsd:double"&gt;19.7961543811645&lt;/D&gt;&lt;D xsi:type="xsd:double"&gt;19.3419452657852&lt;/D&gt;&lt;D xsi:type="xsd:double"&gt;19.4592623057958&lt;/D&gt;&lt;D xsi:type="xsd:double"&gt;19.8077907127297&lt;/D&gt;&lt;D xsi:type="xsd:double"&gt;19.9539511474096&lt;/D&gt;&lt;D xsi:type="xsd:double"&gt;20.0068510473666&lt;/D&gt;&lt;D xsi:type="xsd:double"&gt;20.02579298852&lt;/D&gt;&lt;D xsi:type="xsd:double"&gt;20.6372888703939&lt;/D&gt;&lt;D xsi:type="xsd:double"&gt;20.4212532890336&lt;/D&gt;&lt;D xsi:type="xsd:double"&gt;19.1829856079539&lt;/D&gt;&lt;D xsi:type="xsd:double"&gt;20.3239563604608&lt;/D&gt;&lt;D xsi:type="xsd:double"&gt;20.2202499204706&lt;/D&gt;&lt;D xsi:type="xsd:double"&gt;20.5529675364946&lt;/D&gt;&lt;D xsi:type="xsd:double"&gt;21.2378351186799&lt;/D&gt;&lt;D xsi:type="xsd:double"&gt;21.1937394185908&lt;/D&gt;&lt;D xsi:type="xsd:double"&gt;21.2686264981258&lt;/D&gt;&lt;D xsi:type="xsd:double"&gt;21.6435844772013&lt;/D&gt;&lt;D xsi:type="xsd:double"&gt;20.0559702452413&lt;/D&gt;&lt;D xsi:type="xsd:double"&gt;20.5368053214283&lt;/D&gt;&lt;D xsi:type="xsd:double"&gt;19.7955198262016&lt;/D&gt;&lt;D xsi:type="xsd:double"&gt;20.3463813494912&lt;/D&gt;&lt;D xsi:type="xsd:double"&gt;21.018048082461&lt;/D&gt;&lt;D xsi:type="xsd:double"&gt;21.6903501080976&lt;/D&gt;&lt;D xsi:type="xsd:double"&gt;22.0615042087961&lt;/D&gt;&lt;D xsi:type="xsd:double"&gt;22.8659273154711&lt;/D&gt;&lt;D xsi:type="xsd:double"&gt;22.8316133845702&lt;/D&gt;&lt;D xsi:type="xsd:double"&gt;24.2845775339852&lt;/D&gt;&lt;D xsi:type="xsd:double"&gt;24.6598040535111&lt;/D&gt;&lt;D xsi:type="xsd:double"&gt;25.9199593238243&lt;/D&gt;&lt;D xsi:type="xsd:double"&gt;25.265198976926&lt;/D&gt;&lt;D xsi:type="xsd:double"&gt;24.9222217908366&lt;/D&gt;&lt;D xsi:type="xsd:double"&gt;25.5790629415333&lt;/D&gt;&lt;D xsi:type="xsd:double"&gt;25.78077041741&lt;/D&gt;&lt;D xsi:type="xsd:double"&gt;26.7152955960411&lt;/D&gt;&lt;D xsi:type="xsd:double"&gt;24.8968760286439&lt;/D&gt;&lt;D xsi:type="xsd:double"&gt;26.4067438196473&lt;/D&gt;&lt;D xsi:type="xsd:double"&gt;30.2453716660557&lt;/D&gt;&lt;D xsi:type="xsd:double"&gt;30.2954188242753&lt;/D&gt;&lt;D xsi:type="xsd:double"&gt;31.4972709052866&lt;/D&gt;&lt;D xsi:type="xsd:double"&gt;32.1518549867078&lt;/D&gt;&lt;D xsi:type="xsd:double"&gt;32.1004820471733&lt;/D&gt;&lt;D xsi:type="xsd:double"&gt;33.1656204674979&lt;/D&gt;&lt;D xsi:type="xsd:double"&gt;32.9937032055781&lt;/D&gt;&lt;D xsi:type="xsd:double"&gt;33.229776290467&lt;/D&gt;&lt;D xsi:type="xsd:double"&gt;34.3189478681902&lt;/D&gt;&lt;D xsi:type="xsd:double"&gt;31.9616736988616&lt;/D&gt;&lt;D xsi:type="xsd:double"&gt;31.8353417216934&lt;/D&gt;&lt;D xsi:type="xsd:double"&gt;32.2570585697458&lt;/D&gt;&lt;D xsi:type="xsd:double"&gt;32.9021931809334&lt;/D&gt;&lt;D xsi:type="xsd:double"&gt;33.1492931193202&lt;/D&gt;&lt;D xsi:type="xsd:double"&gt;34.3236059715828&lt;/D&gt;&lt;D xsi:type="xsd:double"&gt;33.7869669550778&lt;/D&gt;&lt;D xsi:type="xsd:double"&gt;34.6885777250705&lt;/D&gt;&lt;D xsi:type="xsd:double"&gt;33.5896932161488&lt;/D&gt;&lt;D xsi:type="xsd:double"&gt;33.3869191790286&lt;/D&gt;&lt;D xsi:type="xsd:double"&gt;32.437050414225&lt;/D&gt;&lt;D xsi:type="xsd:double"&gt;31.5721355438606&lt;/D&gt;&lt;D xsi:type="xsd:double"&gt;30.002821874121&lt;/D&gt;&lt;D xsi:type="xsd:double"&gt;28.6664040408046&lt;/D&gt;&lt;D xsi:type="xsd:double"&gt;28.3278762567478&lt;/D&gt;&lt;D xsi:type="xsd:double"&gt;27.8435311726713&lt;/D&gt;&lt;D xsi:type="xsd:double"&gt;26.025025820899&lt;/D&gt;&lt;D xsi:type="xsd:double"&gt;25.8644183300611&lt;/D&gt;&lt;D xsi:type="xsd:double"&gt;26.571319540856&lt;/D&gt;&lt;D xsi:type="xsd:double"&gt;27.0220488287042&lt;/D&gt;&lt;D xsi:type="xsd:double"&gt;23.7020794871142&lt;/D&gt;&lt;D xsi:type="xsd:double"&gt;23.5166884132962&lt;/D&gt;&lt;D xsi:type="xsd:double"&gt;23.2466483788271&lt;/D&gt;&lt;D xsi:type="xsd:double"&gt;23.431725048814&lt;/D&gt;&lt;D xsi:type="xsd:double"&gt;24.4308318321944&lt;/D&gt;&lt;D xsi:type="xsd:double"&gt;23.1128691838479&lt;/D&gt;&lt;D xsi:type="xsd:double"&gt;23.3526095084452&lt;/D&gt;&lt;D xsi:type="xsd:double"&gt;23.3936523337765&lt;/D&gt;&lt;D xsi:type="xsd:double"&gt;20.6862263039356&lt;/D&gt;&lt;D xsi:type="xsd:double"&gt;20.911280705462&lt;/D&gt;&lt;D xsi:type="xsd:double"&gt;20.5081165159715&lt;/D&gt;&lt;D xsi:type="xsd:double"&gt;20.2174698346747&lt;/D&gt;&lt;D xsi:type="xsd:double"&gt;19.9174420064607&lt;/D&gt;&lt;D xsi:type="xsd:double"&gt;20.0927422706748&lt;/D&gt;&lt;D xsi:type="xsd:double"&gt;21.7202830387421&lt;/D&gt;&lt;D xsi:type="xsd:double"&gt;22.8980480806234&lt;/D&gt;&lt;D xsi:type="xsd:double"&gt;22.2274988672056&lt;/D&gt;&lt;D xsi:type="xsd:double"&gt;24.7513899692505&lt;/D&gt;&lt;D xsi:type="xsd:double"&gt;24.8934857349399&lt;/D&gt;&lt;/FQL&gt;&lt;FQL&gt;&lt;Q&gt;FC0000NZ^FG_PRICE(0)&lt;/Q&gt;&lt;R&gt;1&lt;/R&gt;&lt;C&gt;1&lt;/C&gt;&lt;D xsi:type="xsd:double"&gt;382.59552&lt;/D&gt;&lt;/FQL&gt;&lt;FQL&gt;&lt;Q&gt;USDUSD^FG_PRICE(0)&lt;/Q&gt;&lt;R&gt;1&lt;/R&gt;&lt;C&gt;1&lt;/C&gt;&lt;D xsi:type="xsd:double"&gt;1&lt;/D&gt;&lt;/FQL&gt;&lt;FQL&gt;&lt;Q&gt;EWC^FG_TOTAL_RETURNC(-10AY,0,AM)&lt;/Q&gt;&lt;R&gt;121&lt;/R&gt;&lt;C&gt;1&lt;/C&gt;&lt;D xsi:type="xsd:double"&gt;1.0273933&lt;/D&gt;&lt;D xsi:type="xsd:double"&gt;3.0169487&lt;/D&gt;&lt;D xsi:type="xsd:double"&gt;2.76407&lt;/D&gt;&lt;D xsi:type="xsd:double"&gt;3.4514785&lt;/D&gt;&lt;D xsi:type="xsd:double"&gt;-0.49890876&lt;/D&gt;&lt;D xsi:type="xsd:double"&gt;1.2221813&lt;/D&gt;&lt;D xsi:type="xsd:double"&gt;-9.721363&lt;/D&gt;&lt;D xsi:type="xsd:double"&gt;2.9149532&lt;/D&gt;&lt;D xsi:type="xsd:double"&gt;-7.1642756&lt;/D&gt;&lt;D xsi:type="xsd:double"&gt;0.5803466&lt;/D&gt;&lt;D xsi:type="xsd:double"&gt;-0.4341483&lt;/D&gt;&lt;D xsi:type="xsd:double"&gt;-3.3430219&lt;/D&gt;&lt;D xsi:type="xsd:double"&gt;6.2030077&lt;/D&gt;&lt;D xsi:type="xsd:double"&gt;2.1592975&lt;/D&gt;&lt;D xsi:type="xsd:double"&gt;-3.4303546&lt;/D&gt;&lt;D xsi:type="xsd:double"&gt;-5.8469176&lt;/D&gt;&lt;D xsi:type="xsd:double"&gt;-2.611369&lt;/D&gt;&lt;D xsi:type="xsd:double"&gt;-7.5709763&lt;/D&gt;&lt;D xsi:type="xsd:double"&gt;6.3139915&lt;/D&gt;&lt;D xsi:type="xsd:double"&gt;-6.861961&lt;/D&gt;&lt;D xsi:type="xsd:double"&gt;-7.065916&lt;/D&gt;&lt;D xsi:type="xsd:double"&gt;-7.0531187&lt;/D&gt;&lt;D xsi:type="xsd:double"&gt;0.1011014&lt;/D&gt;&lt;D xsi:type="xsd:double"&gt;18.131315&lt;/D&gt;&lt;D xsi:type="xsd:double"&gt;1.4108539&lt;/D&gt;&lt;D xsi:type="xsd:double"&gt;2.6138306&lt;/D&gt;&lt;D xsi:type="xsd:double"&gt;2.9170036&lt;/D&gt;&lt;D xsi:type="xsd:double"&gt;-0.77513456&lt;/D&gt;&lt;D xsi:type="xsd:double"&gt;4.7039747&lt;/D&gt;&lt;D xsi:type="xsd:double"&gt;-1.8202901&lt;/D&gt;&lt;D xsi:type="xsd:double"&gt;-0.51282644&lt;/D&gt;&lt;D xsi:type="xsd:double"&gt;-1.4670849&lt;/D&gt;&lt;D xsi:type="xsd:double"&gt;8.410465&lt;/D&gt;&lt;D xsi:type="xsd:double"&gt;1.1866212&lt;/D&gt;&lt;D xsi:type="xsd:double"&gt;2.2230506&lt;/D&gt;&lt;D xsi:type="xsd:double"&gt;-3.8419724&lt;/D&gt;&lt;D xsi:type="xsd:double"&gt;2.035427&lt;/D&gt;&lt;D xsi:type="xsd:double"&gt;-3.3985972&lt;/D&gt;&lt;D xsi:type="xsd:double"&gt;1.3766766&lt;/D&gt;&lt;D xsi:type="xsd:double"&gt;2.2319555&lt;/D&gt;&lt;D xsi:type="xsd:double"&gt;1.2276769&lt;/D&gt;&lt;D xsi:type="xsd:double"&gt;4.6674013&lt;/D&gt;&lt;D xsi:type="xsd:double"&gt;2.808988&lt;/D&gt;&lt;D xsi:type="xsd:double"&gt;0.13661385&lt;/D&gt;&lt;D xsi:type="xsd:double"&gt;-0.54570436&lt;/D&gt;&lt;D xsi:type="xsd:double"&gt;4.2330265&lt;/D&gt;&lt;D xsi:type="xsd:double"&gt;-8.463848&lt;/D&gt;&lt;D xsi:type="xsd:double"&gt;2.0021915&lt;/D&gt;&lt;D xsi:type="xsd:double"&gt;-0.03569126&lt;/D&gt;&lt;D xsi:type="xsd:double"&gt;3.6058545&lt;/D&gt;&lt;D xsi:type="xsd:double"&gt;0.06891489&lt;/D&gt;&lt;D xsi:type="xsd:double"&gt;-0.3167212&lt;/D&gt;&lt;D xsi:type="x</t>
        </r>
      </text>
    </comment>
    <comment ref="A3" authorId="0" shapeId="0" xr:uid="{65248628-772C-42D5-991B-A8764E30A61C}">
      <text>
        <r>
          <rPr>
            <b/>
            <sz val="9"/>
            <color indexed="81"/>
            <rFont val="Tahoma"/>
            <charset val="1"/>
          </rPr>
          <t>sd:double"&gt;0.20891428&lt;/D&gt;&lt;D xsi:type="xsd:double"&gt;-1.6330838&lt;/D&gt;&lt;D xsi:type="xsd:double"&gt;-4.168141&lt;/D&gt;&lt;D xsi:type="xsd:double"&gt;-1.290077&lt;/D&gt;&lt;D xsi:type="xsd:double"&gt;-5.0037327&lt;/D&gt;&lt;D xsi:type="xsd:double"&gt;2.7934194&lt;/D&gt;&lt;D xsi:type="xsd:double"&gt;3.8102746&lt;/D&gt;&lt;D xsi:type="xsd:double"&gt;3.2209635&lt;/D&gt;&lt;D xsi:type="xsd:double"&gt;2.5399208&lt;/D&gt;&lt;D xsi:type="xsd:double"&gt;-0.99080205&lt;/D&gt;&lt;D xsi:type="xsd:double"&gt;0.78628063&lt;/D&gt;&lt;D xsi:type="xsd:double"&gt;3.7354827&lt;/D&gt;&lt;D xsi:type="xsd:double"&gt;-2.8285623&lt;/D&gt;&lt;D xsi:type="xsd:double"&gt;2.307415&lt;/D&gt;&lt;D xsi:type="xsd:double"&gt;-0.9368539&lt;/D&gt;&lt;D xsi:type="xsd:double"&gt;3.1173468&lt;/D&gt;&lt;D xsi:type="xsd:double"&gt;0.5095124&lt;/D&gt;&lt;D xsi:type="xsd:double"&gt;2.7732015&lt;/D&gt;&lt;D xsi:type="xsd:double"&gt;1.399529&lt;/D&gt;&lt;D xsi:type="xsd:double"&gt;-23.03648&lt;/D&gt;&lt;D xsi:type="xsd:double"&gt;-1.1955619&lt;/D&gt;&lt;D xsi:type="xsd:double"&gt;6.4822793&lt;/D&gt;&lt;D xsi:type="xsd:double"&gt;2.4350643&lt;/D&gt;&lt;D xsi:type="xsd:double"&gt;4.7683&lt;/D&gt;&lt;D xsi:type="xsd:double"&gt;7.448435&lt;/D&gt;&lt;D xsi:type="xsd:double"&gt;-0.8887291&lt;/D&gt;&lt;D xsi:type="xsd:double"&gt;2.5825024&lt;/D&gt;&lt;D xsi:type="xsd:double"&gt;1.8181801&lt;/D&gt;&lt;D xsi:type="xsd:double"&gt;7.932687&lt;/D&gt;&lt;D xsi:type="xsd:double"&gt;2.3790598&lt;/D&gt;&lt;D xsi:type="xsd:double"&gt;3.1780958&lt;/D&gt;&lt;D xsi:type="xsd:double"&gt;4.574561&lt;/D&gt;&lt;D xsi:type="xsd:double"&gt;2.274716&lt;/D&gt;&lt;D xsi:type="xsd:double"&gt;4.3341875&lt;/D&gt;&lt;D xsi:type="xsd:double"&gt;3.9977908&lt;/D&gt;&lt;D xsi:type="xsd:double"&gt;-1.4807045&lt;/D&gt;&lt;D xsi:type="xsd:double"&gt;1.476121&lt;/D&gt;&lt;D xsi:type="xsd:double"&gt;-1.5075386&lt;/D&gt;&lt;D xsi:type="xsd:double"&gt;0.9935498&lt;/D&gt;&lt;D xsi:type="xsd:double"&gt;4.918897&lt;/D&gt;&lt;D xsi:type="xsd:double"&gt;-3.6239266&lt;/D&gt;&lt;D xsi:type="xsd:double"&gt;3.5051465&lt;/D&gt;&lt;D xsi:type="xsd:double"&gt;-0.05146861&lt;/D&gt;&lt;D xsi:type="xsd:double"&gt;-0.82389116&lt;/D&gt;&lt;D xsi:type="xsd:double"&gt;2.7258515&lt;/D&gt;&lt;D xsi:type="xsd:double"&gt;-11.068994&lt;/D&gt;&lt;D xsi:type="xsd:double"&gt;3.7228465&lt;/D&gt;&lt;D xsi:type="xsd:double"&gt;-8.170021&lt;/D&gt;&lt;D xsi:type="xsd:double"&gt;7.8749537&lt;/D&gt;&lt;D xsi:type="xsd:double"&gt;-2.7862906&lt;/D&gt;&lt;D xsi:type="xsd:double"&gt;-12.754369&lt;/D&gt;&lt;D xsi:type="xsd:double"&gt;15.111696&lt;/D&gt;&lt;D xsi:type="xsd:double"&gt;-3.3961236&lt;/D&gt;&lt;D xsi:type="xsd:double"&gt;2.6560307&lt;/D&gt;&lt;D xsi:type="xsd:double"&gt;3.6204457&lt;/D&gt;&lt;D xsi:type="xsd:double"&gt;-7.382369&lt;/D&gt;&lt;D xsi:type="xsd:double"&gt;6.1454177&lt;/D&gt;&lt;D xsi:type="xsd:double"&gt;0.14330149&lt;/D&gt;&lt;D xsi:type="xsd:double"&gt;-1.4152884&lt;/D&gt;&lt;D xsi:type="xsd:double"&gt;1.0264039&lt;/D&gt;&lt;D xsi:type="xsd:double"&gt;1.4804006&lt;/D&gt;&lt;D xsi:type="xsd:double"&gt;-1.6876459&lt;/D&gt;&lt;D xsi:type="xsd:double"&gt;-2.065754&lt;/D&gt;&lt;D xsi:type="xsd:double"&gt;-1.0992229&lt;/D&gt;&lt;D xsi:type="xsd:double"&gt;5.5271864&lt;/D&gt;&lt;D xsi:type="xsd:double"&gt;4.62296&lt;/D&gt;&lt;D xsi:type="xsd:double"&gt;0.22063255&lt;/D&gt;&lt;D xsi:type="xsd:double"&gt;3.7974715&lt;/D&gt;&lt;D xsi:type="xsd:double"&gt;0.10603666&lt;/D&gt;&lt;/FQL&gt;&lt;FQL&gt;&lt;Q&gt;EWL^FG_PRICE_MAVG(0,,,,30)&lt;/Q&gt;&lt;R&gt;1&lt;/R&gt;&lt;C&gt;1&lt;/C&gt;&lt;D xsi:type="xsd:double"&gt;47.387665&lt;/D&gt;&lt;/FQL&gt;&lt;FQL&gt;&lt;Q&gt;EWA^FG_PRICE_MAVG(0,,,,30)&lt;/Q&gt;&lt;R&gt;1&lt;/R&gt;&lt;C&gt;1&lt;/C&gt;&lt;D xsi:type="xsd:double"&gt;24.388334&lt;/D&gt;&lt;/FQL&gt;&lt;FQL&gt;&lt;Q&gt;USDUSD^FG_COMPANY_NAME&lt;/Q&gt;&lt;R&gt;1&lt;/R&gt;&lt;C&gt;1&lt;/C&gt;&lt;D xsi:type="xsd:string"&gt;U.S. Dollar per U.S. Dollar&lt;/D&gt;&lt;/FQL&gt;&lt;FQL&gt;&lt;Q&gt;USDCHF^FG_COMPANY_NAME&lt;/Q&gt;&lt;R&gt;1&lt;/R&gt;&lt;C&gt;1&lt;/C&gt;&lt;D xsi:type="xsd:string"&gt;Swiss Franc per U.S. Dollar&lt;/D&gt;&lt;/FQL&gt;&lt;FQL&gt;&lt;Q&gt;USDAUD^FG_COMPANY_NAME&lt;/Q&gt;&lt;R&gt;1&lt;/R&gt;&lt;C&gt;1&lt;/C&gt;&lt;D xsi:type="xsd:string"&gt;Australian Dollar per U.S. Dollar&lt;/D&gt;&lt;/FQL&gt;&lt;FQL&gt;&lt;Q&gt;EWG^P_PRICE_RETURNS_PR('52W',2,-10AY,0,AM)&lt;/Q&gt;&lt;R&gt;121&lt;/R&gt;&lt;C&gt;1&lt;/C&gt;&lt;D xsi:type="xsd:double"&gt;24.152924&lt;/D&gt;&lt;D xsi:type="xsd:double"&gt;21.998035&lt;/D&gt;&lt;D xsi:type="xsd:double"&gt;23.078978&lt;/D&gt;&lt;D xsi:type="xsd:double"&gt;21.458626&lt;/D&gt;&lt;D xsi:type="xsd:double"&gt;9.004259&lt;/D&gt;&lt;D xsi:type="xsd:double"&gt;9.415865&lt;/D&gt;&lt;D xsi:type="xsd:double"&gt;-6.987423&lt;/D&gt;&lt;D xsi:type="xsd:double"&gt;-5.3343654&lt;/D&gt;&lt;D xsi:type="xsd:double"&gt;-3.4851432&lt;/D&gt;&lt;D xsi:type="xsd:double"&gt;-11.25325&lt;/D&gt;&lt;D xsi:type="xsd:double"&gt;-6.613165&lt;/D&gt;&lt;D xsi:type="xsd:double"&gt;-3.6300242&lt;/D&gt;&lt;D xsi:type="xsd:double"&gt;1.0252237&lt;/D&gt;&lt;D xsi:type="xsd:double"&gt;-2.2809088&lt;/D&gt;&lt;D xsi:type="xsd:double"&gt;-5.527705&lt;/D&gt;&lt;D xsi:type="xsd:double"&gt;-3.9497554&lt;/D&gt;&lt;D xsi:type="xsd:double"&gt;1.4860272&lt;/D&gt;&lt;D xsi:type="xsd:double"&gt;-7.2968063&lt;/D&gt;&lt;D xsi:type="xsd:double"&gt;1.7742157&lt;/D&gt;&lt;D xsi:type="xsd:double"&gt;-0.8107424&lt;/D&gt;&lt;D xsi:type="xsd:double"&gt;-7.126766&lt;/D&gt;&lt;D xsi:type="xsd:double"&gt;-6.897789&lt;/D&gt;&lt;D xsi:type="xsd:double"&gt;-17.92981&lt;/D&gt;&lt;D xsi:type="xsd:double"&gt;-11.941486&lt;/D&gt;&lt;D xsi:type="xsd:double"&gt;-16.380442&lt;/D&gt;&lt;D xsi:type="xsd:double"&gt;-12.333256&lt;/D&gt;&lt;D xsi:type="xsd:double"&gt;-13.44226&lt;/D&gt;&lt;D xsi:type="xsd:double"&gt;-14.801234&lt;/D&gt;&lt;D xsi:type="xsd:double"&gt;-4.586196&lt;/D&gt;&lt;D xsi:type="xsd:double"&gt;2.2338867&lt;/D&gt;&lt;D xsi:type="xsd:double"&gt;1.2987852&lt;/D&gt;&lt;D xsi:type="xsd:double"&gt;-1.43677&lt;/D&gt;&lt;D xsi:type="xsd:double"&gt;1.2271881&lt;/D&gt;&lt;D xsi:type="xsd:double"&gt;13.347912&lt;/D&gt;&lt;D xsi:type="xsd:double"&gt;21.455013&lt;/D&gt;&lt;D xsi:type="xsd:double"&gt;18.521559&lt;/D&gt;&lt;D xsi:type="xsd:double"&gt;15.645671&lt;/D&gt;&lt;D xsi:type="xsd:double"&gt;19.89931&lt;/D&gt;&lt;D xsi:type="xsd:double"&gt;23.226082&lt;/D&gt;&lt;D xsi:type="xsd:double"&gt;30.077589&lt;/D&gt;&lt;D xsi:type="xsd:double"&gt;16.8625&lt;/D&gt;&lt;D xsi:type="xsd:double"&gt;24.945223&lt;/D&gt;&lt;D xsi:type="xsd:double"&gt;29.117668&lt;/D&gt;&lt;D xsi:type="xsd:double"&gt;30.579138&lt;/D&gt;&lt;D xsi:type="xsd:double"&gt;29.461897&lt;/D&gt;&lt;D xsi:type="xsd:double"&gt;28.624094&lt;/D&gt;&lt;D xsi:type="xsd:double"&gt;20.144033&lt;/D&gt;&lt;D xsi:type="xsd:double"&gt;20.593607&lt;/D&gt;&lt;D xsi:type="xsd:double"&gt;17.423748&lt;/D&gt;&lt;D xsi:type="xsd:double"&gt;11.965954&lt;/D&gt;&lt;D xsi:type="xsd:double"&gt;6.060374&lt;/D&gt;&lt;D xsi:type="xsd:double"&gt;1.5004992&lt;/D&gt;&lt;D xsi:type="xsd:double"&gt;1.0410666&lt;/D&gt;&lt;D xsi:type="xsd:double"&gt;-5.6527557&lt;/D&gt;&lt;D xsi:type="xsd:double"&gt;-13.065237&lt;/D&gt;&lt;D xsi:type="xsd:double"&gt;-14.032518&lt;/D&gt;&lt;D xsi:type="xsd:double"&gt;-20.608252&lt;/D&gt;&lt;D xsi:type="xsd:double"&gt;-21.506298&lt;/D&gt;&lt;D xsi:type="xsd:double"&gt;-17.219246&lt;/D&gt;&lt;D xsi:type="xsd:double"&gt;-15.263677&lt;/D&gt;&lt;D xsi:type="xsd:double"&gt;-12.306059&lt;/D&gt;&lt;D xsi:type="xsd:double"&gt;-12.577545&lt;/D&gt;&lt;D xsi:type="xsd:double"&gt;-11.341763&lt;/D&gt;&lt;D xsi:type="xsd:double"&gt;-6.3126745&lt;/D&gt;&lt;D xsi:type="xsd:double"&gt;-11.941314&lt;/D&gt;&lt;D xsi:type="xsd:double"&gt;-4.645407&lt;/D&gt;&lt;D xsi:type="xsd:double"&gt;0.71099997&lt;/D&gt;&lt;D xsi:type="xsd:double"&gt;8.161915&lt;/D&gt;&lt;D xsi:type="xsd:double"&gt;16.661465&lt;/D&gt;&lt;D xsi:type="xsd:double"&gt;15.860701&lt;/D&gt;&lt;D xsi:type="xsd:double"&gt;16.806662&lt;/D&gt;&lt;D xsi:type="xsd:double"&gt;-12.255711&lt;/D&gt;&lt;D xsi:type="xsd:double"&gt;-14.388919&lt;/D&gt;&lt;D xsi:type="xsd:double"&gt;-15.095705&lt;/D&gt;&lt;D xsi:type="xsd:double"&gt;-3.3652246&lt;/D&gt;&lt;D xsi:type="xsd:double"&gt;2.245319&lt;/D&gt;&lt;D xsi:type="xsd:double"&gt;12.774145&lt;/D&gt;&lt;D xsi:type="xsd:double"&gt;12.430584&lt;/D&gt;&lt;D xsi:type="xsd:double"&gt;15.543151&lt;/D&gt;&lt;D xsi:type="xsd:double"&gt;4.5704603&lt;/D&gt;&lt;D xsi:type="xsd:double"&gt;7.366729&lt;/D&gt;&lt;D xsi:type="xsd:double"&gt;11.289144&lt;/D&gt;&lt;D xsi:type="xsd:double"&gt;14.150917&lt;/D&gt;&lt;D xsi:type="xsd:double"&gt;46.960403&lt;/D&gt;&lt;D xsi:type="xsd:double"&gt;53.65143&lt;/D&gt;&lt;D xsi:type="xsd:double"&gt;51.507877&lt;/D&gt;&lt;D xsi:type="xsd:double"&gt;40.235184&lt;/D&gt;&lt;D xsi:type="xsd:double"&gt;29.494976&lt;/D&gt;&lt;D xsi:type="xsd:double"&gt;22.508753&lt;/D&gt;&lt;D xsi:type="xsd:double"&gt;17.926407&lt;/D&gt;&lt;D xsi:type="xsd:double"&gt;10.823274&lt;/D&gt;&lt;D xsi:type="xsd:double"&gt;17.220188&lt;/D&gt;&lt;D xsi:type="xsd:double"&gt;7.7617526&lt;/D&gt;&lt;D xsi:type="xsd:double"&gt;5.3993583&lt;/D&gt;&lt;D xsi:type="xsd:double"&gt;-1.5378892&lt;/D&gt;&lt;D xsi:type="xsd:double"&gt;-17.671728&lt;/D&gt;&lt;D xsi:type="xsd:double"&gt;-18.944805&lt;/D&gt;&lt;D xsi:type="xsd:double"&gt;-25.343317&lt;/D&gt;&lt;D xsi:type="xsd:double"&gt;-27.29029&lt;/D&gt;&lt;D xsi:type="xsd:double"&gt;-34.459133&lt;/D&gt;&lt;D xsi:type="xsd:double"&gt;-28.481215&lt;/D&gt;&lt;D xsi:type="xsd:double"&gt;-32.4842&lt;/D&gt;&lt;D xsi:type="xsd:double"&gt;-36.77775&lt;/D&gt;&lt;D xsi:type="xsd:double"&gt;-24.239391&lt;/D&gt;&lt;D xsi:type="xsd:double"&gt;-19.230175&lt;/D&gt;&lt;D xsi:type="xsd:double"&gt;-15.322018&lt;/D&gt;&lt;D xsi:type="xsd:double"&gt;-11.199135&lt;/D&gt;&lt;D xsi:type="xsd:double"&gt;5.011487&lt;/D&gt;&lt;D xsi:type="xsd:double"&gt;8.068001&lt;/D&gt;&lt;D xsi:type="xsd:double"&gt;18.326008&lt;/D&gt;&lt;D xsi:type="xsd:double"&gt;11.408985&lt;/D&gt;&lt;D xsi:type="xsd:double"&gt;31.639242&lt;/D&gt;&lt;D xsi:type="xsd:double"&gt;20.431746&lt;/D&gt;&lt;D xsi:type="xsd:double"&gt;25.793684&lt;/D&gt;&lt;D xsi:type="xsd:double"&gt;37.474&lt;/D&gt;&lt;D xsi:type="xsd:double"&gt;12.240291&lt;/D&gt;&lt;D xsi:type="xsd:double"&gt;18.160856&lt;/D&gt;&lt;D xsi:type="xsd:double"&gt;9.824586&lt;/D&gt;&lt;D xsi:type="xsd:double"&gt;6.9153666&lt;/D&gt;&lt;D xsi:type="xsd:double"&gt;16.790176&lt;/D&gt;&lt;D xsi:type="xsd:double"&gt;10.641408&lt;/D&gt;&lt;/FQL&gt;&lt;FQL&gt;&lt;Q&gt;DDR3512M-FDS^FG_PRICE_CHANGE(0,-6AM)&lt;/Q&gt;&lt;R&gt;1&lt;/R&gt;&lt;C&gt;1&lt;/C&gt;&lt;D xsi:type="xsd:double"&gt;-3.27297928135767&lt;/D&gt;&lt;/FQL&gt;&lt;FQL&gt;&lt;Q&gt;EWL^FG_COMPANY_NAME&lt;/Q&gt;&lt;R&gt;1&lt;/R&gt;&lt;C&gt;1&lt;/C&gt;&lt;D xsi:type="xsd:string"&gt;iShares MSCI Switzerland ETF&lt;/D&gt;&lt;/FQL&gt;&lt;FQL&gt;&lt;Q&gt;EWC^FG_COMPANY_NAME&lt;/Q&gt;&lt;R&gt;1&lt;/R&gt;&lt;C&gt;1&lt;/C&gt;&lt;D xsi:type="xsd:string"&gt;iShares MSCI Canada ETF&lt;/D&gt;&lt;/FQL&gt;&lt;FQL&gt;&lt;Q&gt;TRYBR10Y-FDS^FG_YIELD(-10AY,0,Y,,"YTM")&lt;/Q&gt;&lt;R&gt;10&lt;/R&gt;&lt;C&gt;1&lt;/C&gt;&lt;D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xsi:type="xsd:double"&gt;10.455909&lt;/D&gt;&lt;/FQL&gt;&lt;FQL&gt;&lt;Q&gt;CAGDPY@FR^EE_ACTUAL_ANNUAL(MED,0)&lt;/Q&gt;&lt;R&gt;1&lt;/R&gt;&lt;C&gt;1&lt;/C&gt;&lt;D xsi:type="xsd:double"&gt;-0.767964482578006&lt;/D&gt;&lt;/FQL&gt;&lt;FQL&gt;&lt;Q&gt;CAGDPY@AU^EE_ACTUAL_ANNUAL(MED,0)&lt;/Q&gt;&lt;R&gt;1&lt;/R&gt;&lt;C&gt;1&lt;/C&gt;&lt;D xsi:type="xsd:double"&gt;1.21871580460395&lt;/D&gt;&lt;/FQL&gt;&lt;FQL&gt;&lt;Q&gt;USDITL^FG_PRICE_CHANGE(0,-1AM)&lt;/Q&gt;&lt;R&gt;1&lt;/R&gt;&lt;C&gt;1&lt;/C&gt;&lt;D xsi:type="xsd:double"&gt;2.0737052&lt;/D&gt;&lt;/FQL&gt;&lt;FQL&gt;&lt;Q&gt;USDANG^FG_PRICE_CHANGE(0,-1AM)&lt;/Q&gt;&lt;R&gt;1&lt;/R&gt;&lt;C&gt;1&lt;/C&gt;&lt;D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xsi:type="xsd:double"&gt;2.2924185&lt;/D&gt;&lt;/FQL&gt;&lt;FQL&gt;&lt;Q&gt;USDJPY^FG_PRICE_CHANGE(0,-1AM)&lt;/Q&gt;&lt;R&gt;1&lt;/R&gt;&lt;C&gt;1&lt;/C&gt;&lt;D xsi:type="xsd:double"&gt;4.3749213&lt;/D&gt;&lt;/FQL&gt;&lt;FQL&gt;&lt;Q&gt;USDCAD^FG_PRICE_CHANGE(0,-1AM)&lt;/Q&gt;&lt;R&gt;1&lt;/R&gt;&lt;C&gt;1&lt;/C&gt;&lt;D xsi:type="xsd:double"&gt;1.705277&lt;/D&gt;&lt;/FQL&gt;&lt;FQL&gt;&lt;Q&gt;USDNZD^FG_PRICE_CHANGE(0,-1AM)&lt;/Q&gt;&lt;R&gt;1&lt;/R&gt;&lt;C&gt;1&lt;/C&gt;&lt;D xsi:type="xsd:double"&gt;3.230393&lt;/D&gt;&lt;/FQL&gt;&lt;FQL&gt;&lt;Q&gt;ENZL^FMA_EPS(NTMA,-20AY,0,CY,,"PORTAGG","MEANR")&lt;/Q&gt;&lt;R&gt;20&lt;/R&gt;&lt;C&gt;1&lt;/C&gt;&lt;D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xsi:type="xsd:double"&gt;2.11106621771878&lt;/D&gt;&lt;/FQL&gt;&lt;FQL&gt;&lt;Q&gt;QQQ^FG_PRICE_MAVG(0,,,,60)&lt;/Q&gt;&lt;R&gt;1&lt;/R&gt;&lt;C&gt;1&lt;/C&gt;&lt;D xsi:type="xsd:double"&gt;434.71634&lt;/D&gt;&lt;/FQL&gt;&lt;FQL&gt;&lt;Q&gt;EWD^FG_COMPANY_NAME&lt;/Q&gt;&lt;R&gt;1&lt;/R&gt;&lt;C&gt;1&lt;/C&gt;&lt;D xsi:type="xsd:string"&gt;iShares MSCI Sweden ETF&lt;/D&gt;&lt;/FQL&gt;&lt;FQL&gt;&lt;Q&gt;EWJ^FMA_DIV_YLD(NTMA,-10AY,0,AM,"PORTAGG","MEANR")&lt;/Q&gt;&lt;R&gt;121&lt;/R&gt;&lt;C&gt;1&lt;/C&gt;&lt;D xsi:type="xsd:double"&gt;2.23404912043006&lt;/D&gt;&lt;D xsi:type="xsd:double"&gt;2.20636467399354&lt;/D&gt;&lt;D xsi:type="xsd:double"&gt;2.09891158989349&lt;/D&gt;&lt;D xsi:type="xsd:double"&gt;2.09376186010652&lt;/D&gt;&lt;D xsi:type="xsd:double"&gt;2.11225010624207&lt;/D&gt;&lt;D xsi:type="xsd:double"&gt;2.03669688381247&lt;/D&gt;&lt;D xsi:type="xsd:double"&gt;2.16223506059452&lt;/D&gt;&lt;D xsi:type="xsd:double"&gt;1.96294654736754&lt;/D&gt;&lt;D xsi:type="xsd:double"&gt;1.9852166314743&lt;/D&gt;&lt;D xsi:type="xsd:double"&gt;2.02456223817472&lt;/D&gt;&lt;D xsi:type="xsd:double"&gt;1.99431479589481&lt;/D&gt;&lt;D xsi:type="xsd:double"&gt;1.88823123922511&lt;/D&gt;&lt;D xsi:type="xsd:double"&gt;1.84121609437922&lt;/D&gt;&lt;D xsi:type="xsd:double"&gt;1.87581733308854&lt;/D&gt;&lt;D xsi:type="xsd:double"&gt;1.88277624727378&lt;/D&gt;&lt;D xsi:type="xsd:double"&gt;1.98190899374002&lt;/D&gt;&lt;D xsi:type="xsd:double"&gt;1.87726875301063&lt;/D&gt;&lt;D xsi:type="xsd:double"&gt;2.15276343281783&lt;/D&gt;&lt;D xsi:type="xsd:double"&gt;2.10330704758935&lt;/D&gt;&lt;D xsi:type="xsd:double"&gt;2.00897397631536&lt;/D&gt;&lt;D xsi:type="xsd:double"&gt;2.07737373551735&lt;/D&gt;&lt;D xsi:type="xsd:double"&gt;2.2535110357339&lt;/D&gt;&lt;D xsi:type="xsd:double"&gt;2.5789848815479&lt;/D&gt;&lt;D xsi:type="xsd:double"&gt;2.36690275269492&lt;/D&gt;&lt;D xsi:type="xsd:double"&gt;2.52664634675218&lt;/D&gt;&lt;D xsi:type="xsd:double"&gt;2.40070194602975&lt;/D&gt;&lt;D xsi:type="xsd:double"&gt;2.37928286589849&lt;/D&gt;&lt;D xsi:type="xsd:double"&gt;2.51113122590021&lt;/D&gt;&lt;D xsi:type="xsd:double"&gt;2.39500136738711&lt;/D&gt;&lt;D xsi:type="xsd:double"&gt;2.34644872613198&lt;/D&gt;&lt;D xsi:type="xsd:double"&gt;2.3499917181&lt;/D&gt;&lt;D xsi:type="xsd:double"&gt;2.32742917500156&lt;/D&gt;&lt;D xsi:type="xsd:double"&gt;2.10087054762229&lt;/D&gt;&lt;D xsi:type="xsd:double"&gt;2.08853325667516&lt;/D&gt;&lt;D xsi:type="xsd:double"&gt;2.12416716336401&lt;/D&gt;&lt;D xsi:type="xsd:double"&gt;2.11971840524454&lt;/D&gt;&lt;D xsi:type="xsd:double"&gt;2.24987170835159&lt;/D&gt;&lt;D xsi:type="xsd:double"&gt;2.14780052852705&lt;/D&gt;&lt;D xsi:type="xsd:double"&gt;2.17547450532924&lt;/D&gt;&lt;D xsi:type="xsd:double"&gt;2.15407779329145&lt;/D&gt;&lt;D xsi:type="xsd:double"&gt;2.18696468023619&lt;/D&gt;&lt;D xsi:type="xsd:double"&gt;2.22655419133541&lt;/D&gt;&lt;D xsi:type="xsd:double"&gt;2.13733509698183&lt;/D&gt;&lt;D xsi:type="xsd:double"&gt;2.03834834585761&lt;/D&gt;&lt;D xsi:type="xsd:double"&gt;2.05275898417894&lt;/D&gt;&lt;D xsi:type="xsd:double"&gt;1.98349058196702&lt;/D&gt;&lt;D xsi:type="xsd:double"&gt;2.19981080208256&lt;/D&gt;&lt;D xsi:type="xsd:double"&gt;2.2567325470921&lt;/D&gt;&lt;D xsi:type="xsd:double"&gt;2.26213862620461&lt;/D&gt;&lt;D xsi:type="xsd:double"&gt;2.19318180309022&lt;/D&gt;&lt;D xsi:type="xsd:double"&gt;2.22733058830833&lt;/D&gt;&lt;D xsi:type="xsd:double"&gt;2.33876751942641&lt;/D&gt;&lt;D xsi:type="xsd:double"&gt;2.32917541421516&lt;/D&gt;&lt;D xsi:type="xsd:double"&gt;2.36711755843302&lt;/D&gt;&lt;D xsi:type="xsd:double"&gt;2.3726625216991&lt;/D&gt;&lt;D xsi:type="xsd:double"&gt;2.43389557508879&lt;/D&gt;&lt;D xsi:type="xsd:double"&gt;2.59453140575316&lt;/D&gt;&lt;D xsi:type="xsd:double"&gt;2.69154535046905&lt;/D&gt;&lt;D xsi:type="xsd:double"&gt;2.68588209816238&lt;/D&gt;&lt;D xsi:type="xsd:double"&gt;2.60808579600587&lt;/D&gt;&lt;D xsi:type="xsd:double"&gt;2.5813761381383&lt;/D&gt;&lt;D xsi:type="xsd:double"&gt;2.67362095816542&lt;/D&gt;&lt;D xsi:type="xsd:double"&gt;2.67126127368744&lt;/D&gt;&lt;D xsi:type="xsd:double"&gt;2.64437910307619&lt;/D&gt;&lt;D xsi:type="xsd:double"&gt;2.77226270406132&lt;/D&gt;&lt;D xsi:type="xsd:double"&gt;2.62262977601384&lt;/D&gt;&lt;D xsi:type="xsd:double"&gt;2.61505757237891&lt;/D&gt;&lt;D xsi:type="xsd:double"&gt;2.46237546409756&lt;/D&gt;&lt;D xsi:type="xsd:double"&gt;2.45022510630201&lt;/D&gt;&lt;D xsi:type="xsd:double"&gt;2.42976300253603&lt;/D&gt;&lt;D xsi:type="xsd:double"&gt;2.4502951787906&lt;/D&gt;&lt;D xsi:type="xsd:double"&gt;2.99966821753269&lt;/D&gt;&lt;D xsi:type="xsd:double"&gt;2.91891278369387&lt;/D&gt;&lt;D xsi:type="xsd:double"&gt;2.76577508340046&lt;/D&gt;&lt;D xsi:type="xsd:double"&gt;2.48550599015555&lt;/D&gt;&lt;D xsi:type="xsd:double"&gt;2.54244667709916&lt;/D&gt;&lt;D xsi:type="xsd:double"&gt;2.44622231734358&lt;/D&gt;&lt;D xsi:type="xsd:double"&gt;2.36236672259948&lt;/D&gt;&lt;D xsi:type="xsd:double"&gt;2.36562250561293&lt;/D&gt;&lt;D xsi:type="xsd:double"&gt;2.25249698108426&lt;/D&gt;&lt;D xsi:type="xsd:double"&gt;2.1615740453274&lt;/D&gt;&lt;D xsi:type="xsd:double"&gt;2.08647035234425&lt;/D&gt;&lt;D xsi:type="xsd:double"&gt;2.03061548508509&lt;/D&gt;&lt;D xsi:type="xsd:double"&gt;2.08547565313539&lt;/D&gt;&lt;D xsi:type="xsd:double"&gt;2.06618037998104&lt;/D&gt;&lt;D xsi:type="xsd:double"&gt;2.16894803528531&lt;/D&gt;&lt;D xsi:type="xsd:double"&gt;2.16490573620688&lt;/D&gt;&lt;D xsi:type="xsd:double"&gt;2.23588962018431&lt;/D&gt;&lt;D xsi:type="xsd:double"&gt;2.21925472216604&lt;/D&gt;&lt;D xsi:type="xsd:double"&gt;2.12996394271217&lt;/D&gt;&lt;D xsi:type="xsd:double"&gt;2.24909641498563&lt;/D&gt;&lt;D xsi:type="xsd:double"&gt;2.24331216414864&lt;/D&gt;&lt;D xsi:type="xsd:double"&gt;2.31946218866455&lt;/D&gt;&lt;D xsi:type="xsd:double"&gt;2.32504076133142&lt;/D&gt;&lt;D xsi:type="xsd:double"&gt;2.41809457425993&lt;/D&gt;&lt;D xsi:type="xsd:double"&gt;2.70573520234391&lt;/D&gt;&lt;D xsi:type="xsd:double"&gt;2.59540328485331&lt;/D&gt;&lt;D xsi:type="xsd:double"&gt;2.67712151271273&lt;/D&gt;&lt;D xsi:type="xsd:double"&gt;2.58655464091217&lt;/D&gt;&lt;D xsi:type="xsd:double"&gt;2.64944662594839&lt;/D&gt;&lt;D xsi:type="xsd:double"&gt;2.62354214189202&lt;/D&gt;&lt;D xsi:type="xsd:double"&gt;2.59604908042765&lt;/D&gt;&lt;D xsi:type="xsd:double"&gt;2.76325524522194&lt;/D&gt;&lt;D xsi:type="xsd:double"&gt;2.59856581696737&lt;/D&gt;&lt;D xsi:type="xsd:double"&gt;2.64604134362408&lt;/D&gt;&lt;D xsi:type="xsd:double"&gt;2.72984650300142&lt;/D&gt;&lt;D xsi:type="xsd:double"&gt;2.60900325896391&lt;/D&gt;&lt;D xsi:type="xsd:double"&gt;2.57541878834053&lt;/D&gt;&lt;D xsi:type="xsd:double"&gt;2.63615824532388&lt;/D&gt;&lt;D xsi:type="xsd:double"&gt;2.53734491672615&lt;/D&gt;&lt;D xsi:type="xsd:double"&gt;2.3774055935627&lt;/D&gt;&lt;D xsi:type="xsd:double"&gt;2.39874253647451&lt;/D&gt;&lt;D xsi:type="xsd:double"&gt;2.36503990136443&lt;/D&gt;&lt;D xsi:type="xsd:double"&gt;2.33005656332254&lt;/D&gt;&lt;D xsi:type="xsd:double"&gt;2.39930422055745&lt;/D&gt;&lt;D xsi:type="xsd:double"&gt;2.40054628143042&lt;/D&gt;&lt;D xsi:type="xsd:double"&gt;2.422795896894&lt;/D&gt;&lt;D xsi:type="xsd:double"&gt;2.31126923998764&lt;/D&gt;&lt;D xsi:type="xsd:double"&gt;2.26996227392745&lt;/D&gt;&lt;D xsi:type="xsd:double"&gt;2.21236579769607&lt;/D&gt;&lt;D xsi:type="xsd:double"&gt;2.1899400286632&lt;/D&gt;&lt;/FQL&gt;&lt;FQL&gt;&lt;Q&gt;EWU^FG_PRICE_MAVG(0,,,,30)&lt;/Q&gt;&lt;R&gt;1&lt;/R&gt;&lt;C&gt;1&lt;/C&gt;&lt;D xsi:type="xsd:double"&gt;33.680332&lt;/D&gt;&lt;/FQL&gt;&lt;FQL&gt;&lt;Q&gt;EWN^FG_COMPANY_NAME&lt;/Q&gt;&lt;R&gt;1&lt;/R&gt;&lt;C&gt;1&lt;/C&gt;&lt;D xsi:type="xsd:string"&gt;iShares MSCI Netherlands ETF&lt;/D&gt;&lt;/FQL&gt;&lt;FQL&gt;&lt;Q&gt;TRYCH10Y-FDS^FG_YIELD(-10AY,0,Y,,"YTM")&lt;/Q&gt;&lt;R&gt;10&lt;/R&gt;&lt;C&gt;1&lt;/C&gt;&lt;D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xsi:type="xsd:double"&gt;0.703&lt;/D&gt;&lt;/FQL&gt;&lt;FQL&gt;&lt;Q&gt;EWL^FG_TOTAL_RETURNC(-10AY,0,AM)&lt;/Q&gt;&lt;R&gt;121&lt;/R&gt;&lt;C&gt;1&lt;/C&gt;&lt;D xsi:type="xsd:double"&gt;-0.43657422&lt;/D&gt;&lt;D xsi:type="xsd:double"&gt;2.6750207&lt;/D&gt;&lt;D xsi:type="xsd:double"&gt;0.80251694&lt;/D&gt;&lt;D xsi:type="xsd:double"&gt;-1.5849292&lt;/D&gt;&lt;D xsi:type="xsd:double"&gt;-3.3840716&lt;/D&gt;&lt;D xsi:type="xsd:double"&gt;2.1107435&lt;/D&gt;&lt;D xsi:type="xsd:double"&gt;-8.298386&lt;/D&gt;&lt;D xsi:type="xsd:double"&gt;6.1091065&lt;/D&gt;&lt;D xsi:type="xsd:double"&gt;0.15393496&lt;/D&gt;&lt;D xsi:type="xsd:double"&gt;-2.8896391&lt;/D&gt;&lt;D xsi:type="xsd:double"&gt;3.0705929&lt;/D&gt;&lt;D xsi:type="xsd:double"&gt;-1.627773&lt;/D&gt;&lt;D xsi:type="xsd:double"&gt;7.4305415&lt;/D&gt;&lt;D xsi:type="xsd:double"&gt;1.9471169&lt;/D&gt;&lt;D xsi:type="xsd:double"&gt;0.2565503&lt;/D&gt;&lt;D xsi:type="xsd:double"&gt;-1.0177553&lt;/D&gt;&lt;D xsi:type="xsd:double"&gt;-1.8529415&lt;/D&gt;&lt;D xsi:type="xsd:double"&gt;-4.7947226&lt;/D&gt;&lt;D xsi:type="xsd:double"&gt;0.37771463&lt;/D&gt;&lt;D xsi:type="xsd:double"&gt;-2.1009743&lt;/D&gt;&lt;D xsi:type="xsd:double"&gt;-2.2741795&lt;/D&gt;&lt;D xsi:type="xsd:double"&gt;-4.1953506&lt;/D&gt;&lt;D xsi:type="xsd:double"&gt;-5.0975027&lt;/D&gt;&lt;D xsi:type="xsd:double"&gt;7.354009&lt;/D&gt;&lt;D xsi:type="xsd:double"&gt;0.33578873&lt;/D&gt;&lt;D xsi:type="xsd:double"&gt;1.0709524&lt;/D&gt;&lt;D xsi:type="xsd:double"&gt;0.06622076&lt;/D&gt;&lt;D xsi:type="xsd:double"&gt;0.55589676&lt;/D&gt;&lt;D xsi:type="xsd:double"&gt;3.8175702&lt;/D&gt;&lt;D xsi:type="xsd:double"&gt;-0.97624063&lt;/D&gt;&lt;D xsi:type="xsd:double"&gt;-1.7417073&lt;/D&gt;&lt;D xsi:type="xsd:double"&gt;-2.4080217&lt;/D&gt;&lt;D xsi:type="xsd:double"&gt;-0.17135143&lt;/D&gt;&lt;D xsi:type="xsd:double"&gt;3.9439678&lt;/D&gt;&lt;D xsi:type="xsd:double"&gt;1.8836737&lt;/D&gt;&lt;D xsi:type="xsd:double"&gt;2.238083&lt;/D&gt;&lt;D xsi:type="xsd:double"&gt;1.6814709&lt;/D&gt;&lt;D xsi:type="xsd:double"&gt;5.834627&lt;/D&gt;&lt;D xsi:type="xsd:double"&gt;1.4740586&lt;/D&gt;&lt;D xsi:type="xsd:double"&gt;0.8917928&lt;/D&gt;&lt;D xsi:type="xsd:double"&gt;0&lt;/D&gt;&lt;D xsi:type="xsd:double"&gt;2.5294185&lt;/D&gt;&lt;D xsi:type="xsd:double"&gt;1.262188&lt;/D&gt;&lt;D xsi:type="xsd:double"&gt;-3.2577813&lt;/D&gt;&lt;D xsi:type="xsd:double"&gt;2.0204902&lt;/D&gt;&lt;D xsi:type="xsd:double"&gt;3.8748503&lt;/D&gt;&lt;D xsi:type="xsd:double"&gt;-4.2829514&lt;/D&gt;&lt;D xsi:type="xsd:double"&gt;1.2702107&lt;/D&gt;&lt;D xsi:type="xsd:double"&gt;-2.480054&lt;/D&gt;&lt;D xsi:type="xsd:double"&gt;0.8477092&lt;/D&gt;&lt;D xsi:type="xsd:double"&gt;-1.6811669&lt;/D&gt;&lt;D xsi:type="xsd:double"&gt;-0.48418045&lt;/D&gt;&lt;D xsi:type="xsd:double"&gt;3.3404112&lt;/D&gt;&lt;D xsi:type="xsd:double"&gt;1.1460423&lt;/D&gt;&lt;D xsi:type="xsd:double"&gt;-5.897731&lt;/D&gt;&lt;D xsi:type="xsd:double"&gt;3.0873775&lt;/D&gt;&lt;D xsi:type="xsd:double"&gt;-3.5639346&lt;/D&gt;&lt;D xsi:type="xsd:double"&gt;1.9565225&lt;/D&gt;&lt;D xsi:type="xsd:double"&gt;0.791955&lt;/D&gt;&lt;D xsi:type="xsd:double"&gt;4.079783&lt;/D&gt;&lt;D xsi:type="xsd:double"&gt;3.5423994&lt;/D&gt;&lt;D xsi:type="xsd:double"&gt;0.22435188&lt;/D&gt;&lt;D xsi:type="xsd:double"&gt;4.6726346&lt;/D&gt;&lt;D xsi:type="xsd:double"&gt;1.0456204&lt;/D&gt;&lt;D xsi:type="xsd:double"&gt;0.97192526&lt;/D&gt;&lt;D xsi:type="xsd:double"&gt;1.4973164&lt;/D&gt;&lt;D xsi:type="xsd:double"&gt;-1.4488935&lt;/D&gt;&lt;D xsi:type="xsd:double"&gt;3.2076955&lt;/D&gt;&lt;D xsi:type="xsd:double"&gt;1.4503956&lt;/D&gt;&lt;D xsi:type="xsd:double"&gt;3.1146288&lt;/D&gt;&lt;D xsi:type="xsd:double"&gt;3.9118648&lt;/D&gt;&lt;D xsi:type="xsd:double"&gt;-15.034551&lt;/D&gt;&lt;D xsi:type="xsd:double"&gt;1.7386436&lt;/D&gt;&lt;D xsi:type="xsd:double"&gt;3.031981&lt;/D&gt;&lt;D xsi:type="xsd:double"&gt;2.3274422&lt;/D&gt;&lt;D xsi:type="xsd:double"&gt;6.8335533&lt;/D&gt;&lt;D xsi:type="xsd:double"&gt;1.3678193&lt;/D&gt;&lt;D xsi:type="xsd:double"&gt;3.6555529&lt;/D&gt;&lt;D xsi:type="xsd:double"&gt;-0.023663044&lt;/D&gt;&lt;D xsi:type="xsd:double"&gt;0.75757504&lt;/D&gt;&lt;D xsi:type="xsd:double"&gt;2.2791266&lt;/D&gt;&lt;D xsi:type="xsd:double"&gt;3.9366722&lt;/D&gt;&lt;D xsi:type="xsd:double"&gt;0.3538251&lt;/D&gt;&lt;D xsi:type="xsd:double"&gt;-2.6002645&lt;/D&gt;&lt;D xsi:type="xsd:double"&gt;4.5701385&lt;/D&gt;&lt;D xsi:type="xsd:double"&gt;0.8005142&lt;/D&gt;&lt;D xsi:type="xsd:double"&gt;8.511686&lt;/D&gt;&lt;D xsi:type="xsd:double"&gt;-0.72522163&lt;/D&gt;&lt;D xsi:type="xsd:double"&gt;2.2524357&lt;/D&gt;&lt;D xsi:type="xsd:double"&gt;-1.9845188&lt;/D&gt;&lt;D xsi:type="xsd:double"&gt;-4.2113724&lt;/D&gt;&lt;D xsi:type="xsd:double"&gt;7.2711825&lt;/D&gt;&lt;D xsi:type="xsd:double"&gt;0.9655237&lt;/D&gt;&lt;D xsi:type="xsd:double"&gt;0.33177137&lt;/D&gt;&lt;D xsi:type="xsd:double"&gt;-5.3686023&lt;/D&gt;&lt;D xsi:type="xsd:double"&gt;-7.173693&lt;/D&gt;&lt;D xsi:type="xsd:double"&gt;10.540295&lt;/D&gt;&lt;D xsi:type="xsd:double"&gt;-13.541662&lt;/D&gt;&lt;D xsi:type="xsd:double"&gt;-2.759111&lt;/D&gt;&lt;D xsi:type="xsd:double"&gt;0.1701951&lt;/D&gt;&lt;D xsi:type="xsd:double"&gt;6.2864065&lt;/D&gt;&lt;D xsi:type="xsd:double"&gt;-4.841292&lt;/D&gt;&lt;D xsi:type="xsd:double"&gt;-11.231094&lt;/D&gt;&lt;D xsi:type="xsd:double"&gt;17.085695&lt;/D&gt;&lt;D xsi:type="xsd:double"&gt;-1.223743&lt;/D&gt;&lt;D xsi:type="xsd:double"&gt;3.5296917&lt;/D&gt;&lt;D xsi:type="xsd:double"&gt;0.09031296&lt;/D&gt;&lt;D xsi:type="xsd:double"&gt;-3.3386052&lt;/D&gt;&lt;D xsi:type="xsd:double"&gt;8.238041&lt;/D&gt;&lt;D xsi:type="xsd:double"&gt;4.3984413&lt;/D&gt;&lt;D xsi:type="xsd:double"&gt;-3.5620213&lt;/D&gt;&lt;D xsi:type="xsd:double"&gt;0.26276112&lt;/D&gt;&lt;D xsi:type="xsd:double"&gt;1.5505552&lt;/D&gt;&lt;D xsi:type="xsd:double"&gt;-2.5591373&lt;/D&gt;&lt;D xsi:type="xsd:double"&gt;-1.5007734&lt;/D&gt;&lt;D xsi:type="xsd:double"&gt;-3.495407&lt;/D&gt;&lt;D xsi:type="xsd:double"&gt;7.0582747&lt;/D&gt;&lt;D xsi:type="xsd:double"&gt;3.4265876&lt;/D&gt;&lt;D xsi:type="xsd:double"&gt;-2.746904&lt;/D&gt;&lt;D xsi:type="xsd:double"&gt;4.484689&lt;/D&gt;&lt;D xsi:type="xsd:double"&gt;-4.416013&lt;/D&gt;&lt;/FQL&gt;&lt;FQL&gt;&lt;Q&gt;EWN^FG_PRICE(0)&lt;/Q&gt;&lt;R&gt;1&lt;/R&gt;&lt;C&gt;1&lt;/C&gt;&lt;D xsi:type="xsd:double"&gt;49.51&lt;/D&gt;&lt;/FQL&gt;&lt;FQL&gt;&lt;Q&gt;EWQ^FG_PRICE_MAVG(0,,,,200)&lt;/Q&gt;&lt;R&gt;1&lt;/R&gt;&lt;C&gt;1&lt;/C&gt;&lt;D xsi:type="xsd:double"&gt;38.040924&lt;/D&gt;&lt;/FQL&gt;&lt;FQL&gt;&lt;Q&gt;TRYUS10Y-FDS^FG_YIELD(-10AY,0,Y,,"YTM")&lt;/Q&gt;&lt;R&gt;10&lt;/R&gt;&lt;C&gt;1&lt;/C&gt;&lt;D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xsi:type="xsd:double"&gt;3.8791&lt;/D&gt;&lt;/FQL&gt;&lt;FQL&gt;&lt;Q&gt;EWJ^FG_COMPANY_NAME&lt;/Q&gt;&lt;R&gt;1&lt;/R&gt;&lt;C&gt;1&lt;/C&gt;&lt;D xsi:type="xsd:string"&gt;iShares MSCI Japan ETF&lt;/D&gt;&lt;/FQL&gt;&lt;FQL&gt;&lt;Q&gt;W-FDS^FG_PRICE_CHANGE(0,-6AM)&lt;/Q&gt;&lt;R&gt;1&lt;/R&gt;&lt;C&gt;1&lt;/C&gt;&lt;D xsi:type="xsd:double"&gt;-0.764388489208623&lt;/D&gt;&lt;/FQL&gt;&lt;FQL&gt;&lt;Q&gt;TRYTR7Y-FDS^FG_YIELD(-10AY,0,Y,,"YTM")&lt;/Q&gt;&lt;R&gt;10&lt;/R&gt;&lt;C&gt;1&lt;/C&gt;&lt;D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xsi:type="xsd:double"&gt;21.984322&lt;/D&gt;&lt;/FQL&gt;&lt;FQL&gt;&lt;Q&gt;DUMMY^ECON_EXPR_DATA('FDS_ECON[PMIDMMANHE]',,,M)&lt;/Q&gt;&lt;R&gt;1&lt;/R&gt;&lt;C&gt;1&lt;/C&gt;&lt;D xsi:type="xsd:double"&gt;49.28643&lt;/D&gt;&lt;/FQL&gt;&lt;FQL&gt;&lt;Q&gt;EWN^FMA_ROE(NTMA,-20AY,NOW,FY,"PORTAGG","MEANR")&lt;/Q&gt;&lt;R&gt;20&lt;/R&gt;&lt;C&gt;1&lt;/C&gt;&lt;D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xsi:type="xsd:double"&gt;13.091763606586&lt;/D&gt;&lt;D xsi:type="xsd:double"&gt;9.77856565542044&lt;/D&gt;&lt;D xsi:type="xsd:double"&gt;10.8991459502058&lt;/D&gt;&lt;D xsi:type="xsd:double"&gt;12.0158891729577&lt;/D&gt;&lt;D xsi:type="xsd:double"&gt;12.7459856653599&lt;/D&gt;&lt;/FQL&gt;&lt;FQL&gt;&lt;Q&gt;TRYSA10Y-FDS^FG_YIELD(-10AY,0,Y,,"YTM")&lt;/Q&gt;&lt;R&gt;10&lt;/R&gt;&lt;C&gt;1&lt;/C&gt;&lt;D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xsi:type="xsd:double"&gt;3.1928&lt;/D&gt;&lt;/FQL&gt;&lt;FQL&gt;&lt;Q&gt;EWQ^FMA_DIV_YLD(NTMA,-10AY,0,AM,"PORTAGG","MEANR")&lt;/Q&gt;&lt;R&gt;121&lt;/R&gt;&lt;C&gt;1&lt;/C&gt;&lt;D xsi:type="xsd:double"&gt;3.53363419872878&lt;/D&gt;&lt;D xsi:type="xsd:double"&gt;3.44532772786709&lt;/D&gt;&lt;D xsi:type="xsd:double"&gt;3.37286870746001&lt;/D&gt;&lt;D xsi:type="xsd:double"&gt;3.53094993660286&lt;/D&gt;&lt;D xsi:type="xsd:double"&gt;3.6610390361292&lt;/D&gt;&lt;D xsi:type="xsd:double"&gt;3.50994848731331&lt;/D&gt;&lt;D xsi:type="xsd:double"&gt;3.84671942820626&lt;/D&gt;&lt;D xsi:type="xsd:double"&gt;3.68622192730001&lt;/D&gt;&lt;D xsi:type="xsd:double"&gt;3.67725727444498&lt;/D&gt;&lt;D xsi:type="xsd:double"&gt;3.71383695470491&lt;/D&gt;&lt;D xsi:type="xsd:double"&gt;3.30807106056322&lt;/D&gt;&lt;D xsi:type="xsd:double"&gt;3.20895470970954&lt;/D&gt;&lt;D xsi:type="xsd:double"&gt;3.08495761012866&lt;/D&gt;&lt;D xsi:type="xsd:double"&gt;3.2684495284643&lt;/D&gt;&lt;D xsi:type="xsd:double"&gt;3.31924384936927&lt;/D&gt;&lt;D xsi:type="xsd:double"&gt;3.37716442667806&lt;/D&gt;&lt;D xsi:type="xsd:double"&gt;3.30076312695952&lt;/D&gt;&lt;D xsi:type="xsd:double"&gt;3.69712942805825&lt;/D&gt;&lt;D xsi:type="xsd:double"&gt;3.56337293234251&lt;/D&gt;&lt;D xsi:type="xsd:double"&gt;3.40872749810117&lt;/D&gt;&lt;D xsi:type="xsd:double"&gt;3.66685130327929&lt;/D&gt;&lt;D xsi:type="xsd:double"&gt;3.86282784769069&lt;/D&gt;&lt;D xsi:type="xsd:double"&gt;4.22120026727507&lt;/D&gt;&lt;D xsi:type="xsd:double"&gt;3.69147797520485&lt;/D&gt;&lt;D xsi:type="xsd:double"&gt;3.82581506691345&lt;/D&gt;&lt;D xsi:type="xsd:double"&gt;3.80576317272572&lt;/D&gt;&lt;D xsi:type="xsd:double"&gt;3.8509698530239&lt;/D&gt;&lt;D xsi:type="xsd:double"&gt;3.88096654546108&lt;/D&gt;&lt;D xsi:type="xsd:double"&gt;3.68237171372159&lt;/D&gt;&lt;D xsi:type="xsd:double"&gt;3.68553962811231&lt;/D&gt;&lt;D xsi:type="xsd:double"&gt;3.74400311946995&lt;/D&gt;&lt;D xsi:type="xsd:double"&gt;3.73859146001&lt;/D&gt;&lt;D xsi:type="xsd:double"&gt;3.53873590391365&lt;/D&gt;&lt;D xsi:type="xsd:double"&gt;3.45108092739468&lt;/D&gt;&lt;D xsi:type="xsd:double"&gt;3.50448723331954&lt;/D&gt;&lt;D xsi:type="xsd:double"&gt;3.42744830382001&lt;/D&gt;&lt;D xsi:type="xsd:double"&gt;3.37090498418615&lt;/D&gt;&lt;D xsi:type="xsd:double"&gt;3.21350037846793&lt;/D&gt;&lt;D xsi:type="xsd:double"&gt;3.25906833707337&lt;/D&gt;&lt;D xsi:type="xsd:double"&gt;3.38689325811452&lt;/D&gt;&lt;D xsi:type="xsd:double"&gt;3.4446711197802&lt;/D&gt;&lt;D xsi:type="xsd:double"&gt;3.3646919146247&lt;/D&gt;&lt;D xsi:type="xsd:double"&gt;3.28487652313379&lt;/D&gt;&lt;D xsi:type="xsd:double"&gt;3.30597966187697&lt;/D&gt;&lt;D xsi:type="xsd:double"&gt;3.27441368012398&lt;/D&gt;&lt;D xsi:type="xsd:double"&gt;3.2296295718637&lt;/D&gt;&lt;D xsi:type="xsd:double"&gt;3.50067759329645&lt;/D&gt;&lt;D xsi:type="xsd:double"&gt;3.38318623993438&lt;/D&gt;&lt;D xsi:type="xsd:double"&gt;3.408042020533&lt;/D&gt;&lt;D xsi:type="xsd:double"&gt;3.28066449848566&lt;/D&gt;&lt;D xsi:type="xsd:double"&gt;3.36158267253387&lt;/D&gt;&lt;D xsi:type="xsd:double"&gt;3.43827938536606&lt;/D&gt;&lt;D xsi:type="xsd:double"&gt;3.44521810088229&lt;/D&gt;&lt;D xsi:type="xsd:double"&gt;3.53589713702942&lt;/D&gt;&lt;D xsi:type="xsd:double"&gt;3.70203906138154&lt;/D&gt;&lt;D xsi:type="xsd:double"&gt;3.70226286608094&lt;/D&gt;&lt;D xsi:type="xsd:double"&gt;3.94454343862236&lt;/D&gt;&lt;D xsi:type="xsd:double"&gt;3.95068378533836&lt;/D&gt;&lt;D xsi:type="xsd:double"&gt;3.79648520364643&lt;/D&gt;&lt;D xsi:type="xsd:double"&gt;3.64247350593343&lt;/D&gt;&lt;D xsi:type="xsd:double"&gt;3.51909061192802&lt;/D&gt;&lt;D xsi:type="xsd:double"&gt;3.63304435327109&lt;/D&gt;&lt;D xsi:type="xsd:double"&gt;3.5963201826878&lt;/D&gt;&lt;D xsi:type="xsd:double"&gt;3.53400543590194&lt;/D&gt;&lt;D xsi:type="xsd:double"&gt;3.68507378588641&lt;/D&gt;&lt;D xsi:type="xsd:double"&gt;3.51861552379551&lt;/D&gt;&lt;D xsi:type="xsd:double"&gt;3.50187540101182&lt;/D&gt;&lt;D xsi:type="xsd:double"&gt;3.37805142782359&lt;/D&gt;&lt;D xsi:type="xsd:double"&gt;3.40932828819351&lt;/D&gt;&lt;D xsi:type="xsd:double"&gt;3.32799839842302&lt;/D&gt;&lt;D xsi:type="xsd:double"&gt;3.30584179649492&lt;/D&gt;&lt;D xsi:type="xsd:double"&gt;4.24087954098704&lt;/D&gt;&lt;D xsi:type="xsd:double"&gt;3.95122387762285&lt;/D&gt;&lt;D xsi:type="xsd:double"&gt;3.54076394126469&lt;/D&gt;&lt;D xsi:type="xsd:double"&gt;3.23068483911922&lt;/D&gt;&lt;D xsi:type="xsd:double"&gt;3.12527476908265&lt;/D&gt;&lt;D xsi:type="xsd:double"&gt;3.08892175541521&lt;/D&gt;&lt;D xsi:type="xsd:double"&gt;3.11642157762664&lt;/D&gt;&lt;D xsi:type="xsd:double"&gt;3.18536736838412&lt;/D&gt;&lt;D xsi:type="xsd:double"&gt;2.93283950720755&lt;/D&gt;&lt;D xsi:type="xsd:double"&gt;2.94203406477673&lt;/D&gt;&lt;D xsi:type="xsd:double"&gt;2.9070542439895&lt;/D&gt;&lt;D xsi:type="xsd:double"&gt;2.91811939337047&lt;/D&gt;&lt;D xsi:type="xsd:double"&gt;2.73834450184256&lt;/D&gt;&lt;D xsi:type="xsd:double"&gt;2.71752990121362&lt;/D&gt;&lt;D xsi:type="xsd:double"&gt;2.73446503150488&lt;/D&gt;&lt;D xsi:type="xsd:double"&gt;2.64210820192169&lt;/D&gt;&lt;D xsi:type="xsd:double"&gt;2.70363036967573&lt;/D&gt;&lt;D xsi:type="xsd:double"&gt;2.680061840492&lt;/D&gt;&lt;D xsi:type="xsd:double"&gt;2.7769737138866&lt;/D&gt;&lt;D xsi:type="xsd:double"&gt;2.87358492108027&lt;/D&gt;&lt;D xsi:type="xsd:double"&gt;2.73631683708276&lt;/D&gt;&lt;D xsi:type="xsd:double"&gt;2.78959574111746&lt;/D&gt;&lt;D xsi:type="xsd:double"&gt;2.74771474639825&lt;/D&gt;&lt;D xsi:type="xsd:double"&gt;2.89453836652475&lt;/D&gt;&lt;D xsi:type="xsd:double"&gt;3.29283938252377&lt;/D&gt;&lt;D xsi:type="xsd:double"&gt;3.13299407387437&lt;/D&gt;&lt;D xsi:type="xsd:double"&gt;3.31477887195962&lt;/D&gt;&lt;D xsi:type="xsd:double"&gt;3.37054591619736&lt;/D&gt;&lt;D xsi:type="xsd:double"&gt;3.51258445399149&lt;/D&gt;&lt;D xsi:type="xsd:double"&gt;3.2525701627865&lt;/D&gt;&lt;D xsi:type="xsd:double"&gt;3.46829732376094&lt;/D&gt;&lt;D xsi:type="xsd:double"&gt;3.74047104520382&lt;/D&gt;&lt;D xsi:type="xsd:double"&gt;3.32138957513477&lt;/D&gt;&lt;D xsi:type="xsd:double"&gt;3.28494147301475&lt;/D&gt;&lt;D xsi:type="xsd:double"&gt;3.17231173426186&lt;/D&gt;&lt;D xsi:type="xsd:double"&gt;3.16607714132778&lt;/D&gt;&lt;D xsi:type="xsd:double"&gt;3.20146681156298&lt;/D&gt;&lt;D xsi:type="xsd:double"&gt;3.1528640415656&lt;/D&gt;&lt;D xsi:type="xsd:double"&gt;3.2005384823819&lt;/D&gt;&lt;D xsi:type="xsd:double"&gt;3.28914106247573&lt;/D&gt;&lt;D xsi:type="xsd:double"&gt;3.32161715284546&lt;/D&gt;&lt;D xsi:type="xsd:double"&gt;3.30005955093759&lt;/D&gt;&lt;D xsi:type="xsd:double"&gt;3.34171290860578&lt;/D&gt;&lt;D xsi:type="xsd:double"&gt;3.42715658239812&lt;/D&gt;&lt;D xsi:type="xsd:double"&gt;3.460605775967&lt;/D&gt;&lt;D xsi:type="xsd:double"&gt;3.23994834856159&lt;/D&gt;&lt;D xsi:type="xsd:double"&gt;3.29828111071763&lt;/D&gt;&lt;D xsi:type="xsd:double"&gt;3.20096492545862&lt;/D&gt;&lt;D xsi:type="xsd:double"&gt;3.10551178883483&lt;/D&gt;&lt;D xsi:type="xsd:double"&gt;3.08722839234175&lt;/D&gt;&lt;/FQL&gt;&lt;FQL&gt;&lt;Q&gt;QQQ^FMA_PE(NTMA,-10AY,0,AM,"PORTAGG","MEANR")&lt;/Q&gt;&lt;R&gt;121&lt;/R&gt;&lt;C&gt;1&lt;/C&gt;&lt;D xsi:type="xsd:double"&gt;16.3905449323644&lt;/D&gt;&lt;D xsi:type="xsd:double"&gt;16.487651728432&lt;/D&gt;&lt;D xsi:type="xsd:double"&gt;17.3765258593101&lt;/D&gt;&lt;D xsi:type="xsd:double"&gt;17.6110670683091&lt;/D&gt;&lt;D xsi:type="xsd:double"&gt;17.2326988383151&lt;/D&gt;&lt;D xsi:type="xsd:double"&gt;17.7904038639591&lt;/D&gt;&lt;D xsi:type="xsd:double"&gt;16.5901439608725&lt;/D&gt;&lt;D xsi:type="xsd:double"&gt;17.7946329147507&lt;/D&gt;&lt;D xsi:type="xsd:double"&gt;17.7956949581197&lt;/D&gt;&lt;D xsi:type="xsd:double"&gt;17.3055562398709&lt;/D&gt;&lt;D xsi:type="xsd:double"&gt;17.5276670269575&lt;/D&gt;&lt;D xsi:type="xsd:double"&gt;17.4826444052859&lt;/D&gt;&lt;D xsi:type="xsd:double"&gt;17.9983431695291&lt;/D&gt;&lt;D xsi:type="xsd:double"&gt;17.8295958999817&lt;/D&gt;&lt;D xsi:type="xsd:double"&gt;17.9004550922778&lt;/D&gt;&lt;D xsi:type="xsd:double"&gt;17.511051871763&lt;/D&gt;&lt;D xsi:type="xsd:double"&gt;18.295257726722&lt;/D&gt;&lt;D xsi:type="xsd:double"&gt;17.422084545231&lt;/D&gt;&lt;D xsi:type="xsd:double"&gt;17.5754550150943&lt;/D&gt;&lt;D xsi:type="xsd:double"&gt;18.5888177764273&lt;/D&gt;&lt;D xsi:type="xsd:double"&gt;18.1011851659073&lt;/D&gt;&lt;D xsi:type="xsd:double"&gt;17.2073713935488&lt;/D&gt;&lt;D xsi:type="xsd:double"&gt;16.0163125744445&lt;/D&gt;&lt;D xsi:type="xsd:double"&gt;17.4343936503334&lt;/D&gt;&lt;D xsi:type="xsd:double"&gt;17.727155705711&lt;/D&gt;&lt;D xsi:type="xsd:double"&gt;17.5267639781036&lt;/D&gt;&lt;D xsi:type="xsd:double"&gt;17.7249180260534&lt;/D&gt;&lt;D xsi:type="xsd:double"&gt;18.1516213644554&lt;/D&gt;&lt;D xsi:type="xsd:double"&gt;18.8327012653276&lt;/D&gt;&lt;D xsi:type="xsd:double"&gt;18.0902057284532&lt;/D&gt;&lt;D xsi:type="xsd:double"&gt;18.3884292940106&lt;/D&gt;&lt;D xsi:type="xsd:double"&gt;17.9364907802065&lt;/D&gt;&lt;D xsi:type="xsd:double"&gt;18.283669809778&lt;/D&gt;&lt;D xsi:type="xsd:double"&gt;18.684358083426&lt;/D&gt;&lt;D xsi:type="xsd:double"&gt;19.7525406103705&lt;/D&gt;&lt;D xsi:type="xsd:double"&gt;20.1288580166441&lt;/D&gt;&lt;D xsi:type="xsd:double"&gt;19.9390544478359&lt;/D&gt;&lt;D xsi:type="xsd:double"&gt;20.6711178527086&lt;/D&gt;&lt;D xsi:type="xsd:double"&gt;20.6409360776652&lt;/D&gt;&lt;D xsi:type="xsd:double"&gt;20.2103927074971&lt;/D&gt;&lt;D xsi:type="xsd:double"&gt;20.349037668167&lt;/D&gt;&lt;D xsi:type="xsd:double"&gt;20.5786310711785&lt;/D&gt;&lt;D xsi:type="xsd:double"&gt;20.627316087287&lt;/D&gt;&lt;D xsi:type="xsd:double"&gt;20.8736426741464&lt;/D&gt;&lt;D xsi:type="xsd:double"&gt;20.8804691358462&lt;/D</t>
        </r>
      </text>
    </comment>
    <comment ref="A4" authorId="0" shapeId="0" xr:uid="{3D85294F-34F7-4EFF-8F64-7211D2594906}">
      <text>
        <r>
          <rPr>
            <b/>
            <sz val="9"/>
            <color indexed="81"/>
            <rFont val="Tahoma"/>
            <charset val="1"/>
          </rPr>
          <t>&gt;&lt;D xsi:type="xsd:double"&gt;21.6251892773836&lt;/D&gt;&lt;D xsi:type="xsd:double"&gt;19.6565314103086&lt;/D&gt;&lt;D xsi:type="xsd:double"&gt;21.4751158155038&lt;/D&gt;&lt;D xsi:type="xsd:double"&gt;19.7075796937303&lt;/D&gt;&lt;D xsi:type="xsd:double"&gt;20.196240228418&lt;/D&gt;&lt;D xsi:type="xsd:double"&gt;20.5612714899533&lt;/D&gt;&lt;D xsi:type="xsd:double"&gt;20.6188716619341&lt;/D&gt;&lt;D xsi:type="xsd:double"&gt;20.58621890021&lt;/D&gt;&lt;D xsi:type="xsd:double"&gt;20.6175204794942&lt;/D&gt;&lt;D xsi:type="xsd:double"&gt;19.009146828458&lt;/D&gt;&lt;D xsi:type="xsd:double"&gt;19.046710566254&lt;/D&gt;&lt;D xsi:type="xsd:double"&gt;18.119461015514&lt;/D&gt;&lt;D xsi:type="xsd:double"&gt;18.1372047182048&lt;/D&gt;&lt;D xsi:type="xsd:double"&gt;19.0896822909987&lt;/D&gt;&lt;D xsi:type="xsd:double"&gt;19.8067663480177&lt;/D&gt;&lt;D xsi:type="xsd:double"&gt;20.8651806603826&lt;/D&gt;&lt;D xsi:type="xsd:double"&gt;20.7155399203375&lt;/D&gt;&lt;D xsi:type="xsd:double"&gt;20.3353852779834&lt;/D&gt;&lt;D xsi:type="xsd:double"&gt;21.3296604583942&lt;/D&gt;&lt;D xsi:type="xsd:double"&gt;20.4747554892039&lt;/D&gt;&lt;D xsi:type="xsd:double"&gt;20.8917234551968&lt;/D&gt;&lt;D xsi:type="xsd:double"&gt;20.6079454175599&lt;/D&gt;&lt;D xsi:type="xsd:double"&gt;21.5038623496081&lt;/D&gt;&lt;D xsi:type="xsd:double"&gt;21.9142140533918&lt;/D&gt;&lt;D xsi:type="xsd:double"&gt;23.2526547451347&lt;/D&gt;&lt;D xsi:type="xsd:double"&gt;24.1067674048024&lt;/D&gt;&lt;D xsi:type="xsd:double"&gt;20.24245997559&lt;/D&gt;&lt;D xsi:type="xsd:double"&gt;22.2789833675044&lt;/D&gt;&lt;D xsi:type="xsd:double"&gt;26.6691373875042&lt;/D&gt;&lt;D xsi:type="xsd:double"&gt;27.2320486940274&lt;/D&gt;&lt;D xsi:type="xsd:double"&gt;30.0704992928377&lt;/D&gt;&lt;D xsi:type="xsd:double"&gt;28.5579213303812&lt;/D&gt;&lt;D xsi:type="xsd:double"&gt;28.6459694217191&lt;/D&gt;&lt;D xsi:type="xsd:double"&gt;29.8249901906179&lt;/D&gt;&lt;D xsi:type="xsd:double"&gt;29.1315704201755&lt;/D&gt;&lt;D xsi:type="xsd:double"&gt;29.6192077554355&lt;/D&gt;&lt;D xsi:type="xsd:double"&gt;29.9074238277943&lt;/D&gt;&lt;D xsi:type="xsd:double"&gt;30.1503575780625&lt;/D&gt;&lt;D xsi:type="xsd:double"&gt;27.9949596640309&lt;/D&gt;&lt;D xsi:type="xsd:double"&gt;29.4433193845065&lt;/D&gt;&lt;D xsi:type="xsd:double"&gt;26.5539750863845&lt;/D&gt;&lt;D xsi:type="xsd:double"&gt;27.400508478962&lt;/D&gt;&lt;D xsi:type="xsd:double"&gt;28.7357354864316&lt;/D&gt;&lt;D xsi:type="xsd:double"&gt;27.8127556138416&lt;/D&gt;&lt;D xsi:type="xsd:double"&gt;28.2556537846574&lt;/D&gt;&lt;D xsi:type="xsd:double"&gt;26.8525758160796&lt;/D&gt;&lt;D xsi:type="xsd:double"&gt;29.1012371169009&lt;/D&gt;&lt;D xsi:type="xsd:double"&gt;29.1991789256011&lt;/D&gt;&lt;D xsi:type="xsd:double"&gt;28.2028649927346&lt;/D&gt;&lt;D xsi:type="xsd:double"&gt;25.076205103321&lt;/D&gt;&lt;D xsi:type="xsd:double"&gt;23.0478843996981&lt;/D&gt;&lt;D xsi:type="xsd:double"&gt;24.0734583847057&lt;/D&gt;&lt;D xsi:type="xsd:double"&gt;20.7735392000714&lt;/D&gt;&lt;D xsi:type="xsd:double"&gt;20.3747039104487&lt;/D&gt;&lt;D xsi:type="xsd:double"&gt;20.5467454967065&lt;/D&gt;&lt;D xsi:type="xsd:double"&gt;23.6993197307761&lt;/D&gt;&lt;D xsi:type="xsd:double"&gt;22.3198636751853&lt;/D&gt;&lt;D xsi:type="xsd:double"&gt;19.2327791914545&lt;/D&gt;&lt;D xsi:type="xsd:double"&gt;22.0148633063543&lt;/D&gt;&lt;D xsi:type="xsd:double"&gt;21.4621614400432&lt;/D&gt;&lt;D xsi:type="xsd:double"&gt;21.7200942890936&lt;/D&gt;&lt;D xsi:type="xsd:double"&gt;23.7898835252836&lt;/D&gt;&lt;D xsi:type="xsd:double"&gt;22.6207215584533&lt;/D&gt;&lt;D xsi:type="xsd:double"&gt;24.5587234532998&lt;/D&gt;&lt;D xsi:type="xsd:double"&gt;24.7121681800789&lt;/D&gt;&lt;D xsi:type="xsd:double"&gt;26.084287594661&lt;/D&gt;&lt;D xsi:type="xsd:double"&gt;26.5329616585773&lt;/D&gt;&lt;D xsi:type="xsd:double"&gt;24.4459266495466&lt;/D&gt;&lt;D xsi:type="xsd:double"&gt;24.4877322762796&lt;/D&gt;&lt;D xsi:type="xsd:double"&gt;23.8901591878773&lt;/D&gt;&lt;D xsi:type="xsd:double"&gt;23.9915629316727&lt;/D&gt;&lt;D xsi:type="xsd:double"&gt;24.5044712302245&lt;/D&gt;&lt;D xsi:type="xsd:double"&gt;24.9680016891074&lt;/D&gt;&lt;D xsi:type="xsd:double"&gt;26.3798377669531&lt;/D&gt;&lt;D xsi:type="xsd:double"&gt;25.9319436667366&lt;/D&gt;&lt;D xsi:type="xsd:double"&gt;25.7118384170649&lt;/D&gt;&lt;/FQL&gt;&lt;FQL&gt;&lt;Q&gt;EWL^FMA_PE(LTMA,-10AY,0,AM,"PORTAGG","MEANR")&lt;/Q&gt;&lt;R&gt;121&lt;/R&gt;&lt;C&gt;1&lt;/C&gt;&lt;D xsi:type="xsd:double"&gt;17.0199302378966&lt;/D&gt;&lt;D xsi:type="xsd:double"&gt;17.1475104236444&lt;/D&gt;&lt;D xsi:type="xsd:double"&gt;17.2328841911319&lt;/D&gt;&lt;D xsi:type="xsd:double"&gt;17.0572744019681&lt;/D&gt;&lt;D xsi:type="xsd:double"&gt;17.0201943865286&lt;/D&gt;&lt;D xsi:type="xsd:double"&gt;17.4383490665364&lt;/D&gt;&lt;D xsi:type="xsd:double"&gt;16.6282282876558&lt;/D&gt;&lt;D xsi:type="xsd:double"&gt;17.4659508185089&lt;/D&gt;&lt;D xsi:type="xsd:double"&gt;17.367672942273&lt;/D&gt;&lt;D xsi:type="xsd:double"&gt;17.2204408039944&lt;/D&gt;&lt;D xsi:type="xsd:double"&gt;17.0895644953238&lt;/D&gt;&lt;D xsi:type="xsd:double"&gt;17.9577365532647&lt;/D&gt;&lt;D xsi:type="xsd:double"&gt;18.2018605615944&lt;/D&gt;&lt;D xsi:type="xsd:double"&gt;18.0148205741411&lt;/D&gt;&lt;D xsi:type="xsd:double"&gt;18.0059261268862&lt;/D&gt;&lt;D xsi:type="xsd:double"&gt;17.9707290652863&lt;/D&gt;&lt;D xsi:type="xsd:double"&gt;18.073800099185&lt;/D&gt;&lt;D xsi:type="xsd:double"&gt;17.304875112429&lt;/D&gt;&lt;D xsi:type="xsd:double"&gt;17.4293642447104&lt;/D&gt;&lt;D xsi:type="xsd:double"&gt;17.586716598037&lt;/D&gt;&lt;D xsi:type="xsd:double"&gt;17.009780886121&lt;/D&gt;&lt;D xsi:type="xsd:double"&gt;16.21699574218&lt;/D&gt;&lt;D xsi:type="xsd:double"&gt;15.7553271668349&lt;/D&gt;&lt;D xsi:type="xsd:double"&gt;16.6658410291933&lt;/D&gt;&lt;D xsi:type="xsd:double"&gt;16.654973376306&lt;/D&gt;&lt;D xsi:type="xsd:double"&gt;16.867741129858&lt;/D&gt;&lt;D xsi:type="xsd:double"&gt;16.9699568280293&lt;/D&gt;&lt;D xsi:type="xsd:double"&gt;17.2562268892292&lt;/D&gt;&lt;D xsi:type="xsd:double"&gt;17.9366084140957&lt;/D&gt;&lt;D xsi:type="xsd:double"&gt;18.0029716744111&lt;/D&gt;&lt;D xsi:type="xsd:double"&gt;17.9517492132187&lt;/D&gt;&lt;D xsi:type="xsd:double"&gt;17.6093166174343&lt;/D&gt;&lt;D xsi:type="xsd:double"&gt;17.8654886768&lt;/D&gt;&lt;D xsi:type="xsd:double"&gt;18.581290538774&lt;/D&gt;&lt;D xsi:type="xsd:double"&gt;18.6964860850329&lt;/D&gt;&lt;D xsi:type="xsd:double"&gt;19.6418627422661&lt;/D&gt;&lt;D xsi:type="xsd:double"&gt;19.4235754471795&lt;/D&gt;&lt;D xsi:type="xsd:double"&gt;19.5193426661781&lt;/D&gt;&lt;D xsi:type="xsd:double"&gt;19.4440607452971&lt;/D&gt;&lt;D xsi:type="xsd:double"&gt;19.2546954714736&lt;/D&gt;&lt;D xsi:type="xsd:double"&gt;19.1066122872748&lt;/D&gt;&lt;D xsi:type="xsd:double"&gt;19.2584885629572&lt;/D&gt;&lt;D xsi:type="xsd:double"&gt;19.6818603774438&lt;/D&gt;&lt;D xsi:type="xsd:double"&gt;20.0782577995439&lt;/D&gt;&lt;D xsi:type="xsd:double"&gt;20.4135400265499&lt;/D&gt;&lt;D xsi:type="xsd:double"&gt;20.9909598295731&lt;/D&gt;&lt;D xsi:type="xsd:double"&gt;19.9728933721012&lt;/D&gt;&lt;D xsi:type="xsd:double"&gt;21.0915390608396&lt;/D&gt;&lt;D xsi:type="xsd:double"&gt;20.5115136336468&lt;/D&gt;&lt;D xsi:type="xsd:double"&gt;20.2243768769774&lt;/D&gt;&lt;D xsi:type="xsd:double"&gt;19.573803109059&lt;/D&gt;&lt;D xsi:type="xsd:double"&gt;19.2323214747624&lt;/D&gt;&lt;D xsi:type="xsd:double"&gt;19.0094286970982&lt;/D&gt;&lt;D xsi:type="xsd:double"&gt;18.5832341078204&lt;/D&gt;&lt;D xsi:type="xsd:double"&gt;17.6376097795367&lt;/D&gt;&lt;D xsi:type="xsd:double"&gt;17.9999144029141&lt;/D&gt;&lt;D xsi:type="xsd:double"&gt;17.0229272260667&lt;/D&gt;&lt;D xsi:type="xsd:double"&gt;16.970166277382&lt;/D&gt;&lt;D xsi:type="xsd:double"&gt;17.5633297962591&lt;/D&gt;&lt;D xsi:type="xsd:double"&gt;18.2801141625831&lt;/D&gt;&lt;D xsi:type="xsd:double"&gt;18.2988873417235&lt;/D&gt;&lt;D xsi:type="xsd:double"&gt;18.096693669386&lt;/D&gt;&lt;D xsi:type="xsd:double"&gt;18.2954897191905&lt;/D&gt;&lt;D xsi:type="xsd:double"&gt;18.3043027541262&lt;/D&gt;&lt;D xsi:type="xsd:double"&gt;18.1917427011976&lt;/D&gt;&lt;D xsi:type="xsd:double"&gt;18.5000476945669&lt;/D&gt;&lt;D xsi:type="xsd:double"&gt;18.4238054997665&lt;/D&gt;&lt;D xsi:type="xsd:double"&gt;18.855282770609&lt;/D&gt;&lt;D xsi:type="xsd:double"&gt;19.0747208015079&lt;/D&gt;&lt;D xsi:type="xsd:double"&gt;19.6126700682027&lt;/D&gt;&lt;D xsi:type="xsd:double"&gt;20.1813322520407&lt;/D&gt;&lt;D xsi:type="xsd:double"&gt;17.7865305864309&lt;/D&gt;&lt;D xsi:type="xsd:double"&gt;18.1273033007994&lt;/D&gt;&lt;D xsi:type="xsd:double"&gt;18.6941145583302&lt;/D&gt;&lt;D xsi:type="xsd:double"&gt;19.1599178522134&lt;/D&gt;&lt;D xsi:type="xsd:double"&gt;19.8789830894742&lt;/D&gt;&lt;D xsi:type="xsd:double"&gt;20.2565752827923&lt;/D&gt;&lt;D xsi:type="xsd:double"&gt;20.8774630508209&lt;/D&gt;&lt;D xsi:type="xsd:double"&gt;20.9920117831466&lt;/D&gt;&lt;D xsi:type="xsd:double"&gt;21.2111521857934&lt;/D&gt;&lt;D xsi:type="xsd:double"&gt;21.0825476154386&lt;/D&gt;&lt;D xsi:type="xsd:double"&gt;22.0515718233048&lt;/D&gt;&lt;D xsi:type="xsd:double"&gt;21.2022557455181&lt;/D&gt;&lt;D xsi:type="xsd:double"&gt;20.488170065452&lt;/D&gt;&lt;D xsi:type="xsd:double"&gt;20.6298686066957&lt;/D&gt;&lt;D xsi:type="xsd:double"&gt;20.375835607984&lt;/D&gt;&lt;D xsi:type="xsd:double"&gt;20.8677443160311&lt;/D&gt;&lt;D xsi:type="xsd:double"&gt;20.8944209100799&lt;/D&gt;&lt;D xsi:type="xsd:double"&gt;21.1068133805527&lt;/D&gt;&lt;D xsi:type="xsd:double"&gt;20.8101064935954&lt;/D&gt;&lt;D xsi:type="xsd:double"&gt;20.2151664231137&lt;/D&gt;&lt;D xsi:type="xsd:double"&gt;20.9452498628094&lt;/D&gt;&lt;D xsi:type="xsd:double"&gt;21.0987971423366&lt;/D&gt;&lt;D xsi:type="xsd:double"&gt;21.0652878498439&lt;/D&gt;&lt;D xsi:type="xsd:double"&gt;18.6843066457989&lt;/D&gt;&lt;D xsi:type="xsd:double"&gt;18.3477996915388&lt;/D&gt;&lt;D xsi:type="xsd:double"&gt;18.711264243116&lt;/D&gt;&lt;D xsi:type="xsd:double"&gt;18.1488779555304&lt;/D&gt;&lt;D xsi:type="xsd:double"&gt;17.7423271552821&lt;/D&gt;&lt;D xsi:type="xsd:double"&gt;17.7259797990964&lt;/D&gt;&lt;D xsi:type="xsd:double"&gt;18.4347254573438&lt;/D&gt;&lt;D xsi:type="xsd:double"&gt;17.9840443084286&lt;/D&gt;&lt;D xsi:type="xsd:double"&gt;16.7412266473744&lt;/D&gt;&lt;D xsi:type="xsd:double"&gt;19.7506849150101&lt;/D&gt;&lt;D xsi:type="xsd:double"&gt;20.3501562987224&lt;/D&gt;&lt;D xsi:type="xsd:double"&gt;21.1454829308094&lt;/D&gt;&lt;D xsi:type="xsd:double"&gt;21.1586703077434&lt;/D&gt;&lt;D xsi:type="xsd:double"&gt;20.5237710261808&lt;/D&gt;&lt;D xsi:type="xsd:double"&gt;20.3925097652976&lt;/D&gt;&lt;D xsi:type="xsd:double"&gt;20.2033334670339&lt;/D&gt;&lt;D xsi:type="xsd:double"&gt;19.4821536821873&lt;/D&gt;&lt;D xsi:type="xsd:double"&gt;19.049803697643&lt;/D&gt;&lt;D xsi:type="xsd:double"&gt;18.9493671637251&lt;/D&gt;&lt;D xsi:type="xsd:double"&gt;18.6192594219309&lt;/D&gt;&lt;D xsi:type="xsd:double"&gt;18.4981903464161&lt;/D&gt;&lt;D xsi:type="xsd:double"&gt;17.6202379268256&lt;/D&gt;&lt;D xsi:type="xsd:double"&gt;18.2628991269319&lt;/D&gt;&lt;D xsi:type="xsd:double"&gt;18.2854500950142&lt;/D&gt;&lt;D xsi:type="xsd:double"&gt;18.6906068635874&lt;/D&gt;&lt;D xsi:type="xsd:double"&gt;19.2134984263005&lt;/D&gt;&lt;D xsi:type="xsd:double"&gt;19.0377844569805&lt;/D&gt;&lt;/FQL&gt;&lt;FQL&gt;&lt;Q&gt;WL-FDS^FG_PRICE(0)/MAX(FG_PRICE(0,-1AY))&lt;/Q&gt;&lt;R&gt;1&lt;/R&gt;&lt;C&gt;1&lt;/C&gt;&lt;D xsi:type="xsd:double"&gt;0.822766570605187&lt;/D&gt;&lt;/FQL&gt;&lt;FQL&gt;&lt;Q&gt;CPALM-FDS^FG_PRICE(0)/MAX(FG_PRICE(0,-1AY))&lt;/Q&gt;&lt;R&gt;1&lt;/R&gt;&lt;C&gt;1&lt;/C&gt;&lt;D xsi:type="xsd:double"&gt;0.98645992574798&lt;/D&gt;&lt;/FQL&gt;&lt;FQL&gt;&lt;Q&gt;BRENT-FDS^FG_PRICE(0)/MAX(FG_PRICE(0,-1AY))&lt;/Q&gt;&lt;R&gt;1&lt;/R&gt;&lt;C&gt;1&lt;/C&gt;&lt;D xsi:type="xsd:double"&gt;0.870614479821537&lt;/D&gt;&lt;/FQL&gt;&lt;FQL&gt;&lt;Q&gt;EWD^FG_PRICE_MAVG(0,,,,60)&lt;/Q&gt;&lt;R&gt;1&lt;/R&gt;&lt;C&gt;1&lt;/C&gt;&lt;D xsi:type="xsd:double"&gt;39.024666&lt;/D&gt;&lt;/FQL&gt;&lt;FQL&gt;&lt;Q&gt;EWG^FG_PRICE_MAVG(0,,,,60)&lt;/Q&gt;&lt;R&gt;1&lt;/R&gt;&lt;C&gt;1&lt;/C&gt;&lt;D xsi:type="xsd:double"&gt;30.317333&lt;/D&gt;&lt;/FQL&gt;&lt;FQL&gt;&lt;Q&gt;SPY^P_PRICE_RETURNS_PR('52W',2,-10AY,0,AM)&lt;/Q&gt;&lt;R&gt;121&lt;/R&gt;&lt;C&gt;1&lt;/C&gt;&lt;D xsi:type="xsd:double"&gt;16.319824&lt;/D&gt;&lt;D xsi:type="xsd:double"&gt;17.723715&lt;/D&gt;&lt;D xsi:type="xsd:double"&gt;21.92049&lt;/D&gt;&lt;D xsi:type="xsd:double"&gt;19.729614&lt;/D&gt;&lt;D xsi:type="xsd:double"&gt;16.711914&lt;/D&gt;&lt;D xsi:type="xsd:double"&gt;20.565426&lt;/D&gt;&lt;D xsi:type="xsd:double"&gt;14.820421&lt;/D&gt;&lt;D xsi:type="xsd:double"&gt;17.381895&lt;/D&gt;&lt;D xsi:type="xsd:double"&gt;16.470945&lt;/D&gt;&lt;D xsi:type="xsd:double"&gt;13.39469&lt;/D&gt;&lt;D xsi:type="xsd:double"&gt;15.93051&lt;/D&gt;&lt;D xsi:type="xsd:double"&gt;11.356556&lt;/D&gt;&lt;D xsi:type="xsd:double"&gt;16.917372&lt;/D&gt;&lt;D xsi:type="xsd:double"&gt;14.234961&lt;/D&gt;&lt;D xsi:type="xsd:double"&gt;10.692108&lt;/D&gt;&lt;D xsi:type="xsd:double"&gt;7.747948&lt;/D&gt;&lt;D xsi:type="xsd:double"&gt;9.789038&lt;/D&gt;&lt;D xsi:type="xsd:double"&gt;0.15053749&lt;/D&gt;&lt;D xsi:type="xsd:double"&gt;6.57146&lt;/D&gt;&lt;D xsi:type="xsd:double"&gt;3.80584&lt;/D&gt;&lt;D xsi:type="xsd:double"&gt;0.87023973&lt;/D&gt;&lt;D xsi:type="xsd:double"&gt;-3.9859772&lt;/D&gt;&lt;D xsi:type="xsd:double"&gt;-9.792625&lt;/D&gt;&lt;D xsi:type="xsd:double"&gt;1.2128592&lt;/D&gt;&lt;D xsi:type="xsd:double"&gt;-0.7740259&lt;/D&gt;&lt;D xsi:type="xsd:double"&gt;0.16263723&lt;/D&gt;&lt;D xsi:type="xsd:double"&gt;1.7276287&lt;/D&gt;&lt;D xsi:type="xsd:double"&gt;5.103612&lt;/D&gt;&lt;D xsi:type="xsd:double"&gt;7.0752144&lt;/D&gt;&lt;D xsi:type="xsd:double"&gt;11.88786&lt;/D&gt;&lt;D xsi:type="xsd:double"&gt;8.306146&lt;/D&gt;&lt;D xsi:type="xsd:double"&gt;6.4347386&lt;/D&gt;&lt;D xsi:type="xsd:double"&gt;12.698973&lt;/D&gt;&lt;D xsi:type="xsd:double"&gt;20.755745&lt;/D&gt;&lt;D xsi:type="xsd:double"&gt;27.64542&lt;/D&gt;&lt;D xsi:type="xsd:double"&gt;21.680677&lt;/D&gt;&lt;D xsi:type="xsd:double"&gt;17.60087&lt;/D&gt;&lt;D xsi:type="xsd:double"&gt;18.323921&lt;/D&gt;&lt;D xsi:type="xsd:double"&gt;17.150318&lt;/D&gt;&lt;D xsi:type="xsd:double"&gt;15.802264&lt;/D&gt;&lt;D xsi:type="xsd:double"&gt;13.922405&lt;/D&gt;&lt;D xsi:type="xsd:double"&gt;19.225895&lt;/D&gt;&lt;D xsi:type="xsd:double"&gt;21.90554&lt;/D&gt;&lt;D xsi:type="xsd:double"&gt;21.38815&lt;/D&gt;&lt;D xsi:type="xsd:double"&gt;19.951248&lt;/D&gt;&lt;D xsi:type="xsd:double"&gt;23.943817&lt;/D&gt;&lt;D xsi:type="xsd:double"&gt;15.599644&lt;/D&gt;&lt;D xsi:type="xsd:double"&gt;20.020163&lt;/D&gt;&lt;D xsi:type="xsd:double"&gt;14.345527&lt;/D&gt;&lt;D xsi:type="xsd:double"&gt;16.15156&lt;/D&gt;&lt;D xsi:type="xsd:double"&gt;16.619003&lt;/D&gt;&lt;D xsi:type="xsd:double"&gt;16.446936&lt;/D&gt;&lt;D xsi:type="xsd:double"&gt;18.329657&lt;/D&gt;&lt;D xsi:type="xsd:double"&gt;18.149412&lt;/D&gt;&lt;D xsi:type="xsd:double"&gt;8.6692095&lt;/D&gt;&lt;D xsi:type="xsd:double"&gt;9.5479965&lt;/D&gt;&lt;D xsi:type="xsd:double"&gt;0.9882331&lt;/D&gt;&lt;D xsi:type="xsd:double"&gt;-4.4139266&lt;/D&gt;&lt;D xsi:type="xsd:double"&gt;5.466461&lt;/D&gt;&lt;D xsi:type="xsd:double"&gt;1.7550707&lt;/D&gt;&lt;D xsi:type="xsd:double"&gt;11.401796&lt;/D&gt;&lt;D xsi:type="xsd:double"&gt;7.9778314&lt;/D&gt;&lt;D xsi:type="xsd:double"&gt;5.7355165&lt;/D&gt;&lt;D xsi:type="xsd:double"&gt;10.259306&lt;/D&gt;&lt;D xsi:type="xsd:double"&gt;4.33259&lt;/D&gt;&lt;D xsi:type="xsd:double"&gt;5.9410453&lt;/D&gt;&lt;D xsi:type="xsd:double"&gt;11.035895&lt;/D&gt;&lt;D xsi:type="xsd:double"&gt;13.233673&lt;/D&gt;&lt;D xsi:type="xsd:double"&gt;21.420992&lt;/D&gt;&lt;D xsi:type="xsd:double"&gt;28.195381&lt;/D&gt;&lt;D xsi:type="xsd:double"&gt;26.229752&lt;/D&gt;&lt;D xsi:type="xsd:double"&gt;0.39891005&lt;/D&gt;&lt;D xsi:type="xsd:double"&gt;-1.1659801&lt;/D&gt;&lt;D xsi:type="xsd:double"&gt;3.6293268&lt;/D&gt;&lt;D xsi:type="xsd:double"&gt;6.2076926&lt;/D&gt;&lt;D xsi:type="xsd:double"&gt;8.51034&lt;/D&gt;&lt;D xsi:type="xsd:double"&gt;16.432608&lt;/D&gt;&lt;D xsi:type="xsd:double"&gt;13.514161&lt;/D&gt;&lt;D xsi:type="xsd:double"&gt;21.422768&lt;/D&gt;&lt;D xsi:type="xsd:double"&gt;17.944252&lt;/D&gt;&lt;D xsi:type="xsd:double"&gt;18.790268&lt;/D&gt;&lt;D xsi:type="xsd:double"&gt;18.478882&lt;/D&gt;&lt;D xsi:type="xsd:double"&gt;18.757462&lt;/D&gt;&lt;D xsi:type="xsd:double"&gt;46.165623&lt;/D&gt;&lt;D xsi:type="xsd:double"&gt;50.297928&lt;/D&gt;&lt;D xsi:type="xsd:double"&gt;43.89498&lt;/D&gt;&lt;D xsi:type="xsd:double"&gt;43.42694&lt;/D&gt;&lt;D xsi:type="xsd:double"&gt;40.612377&lt;/D&gt;&lt;D xsi:type="xsd:double"&gt;35.348927&lt;/D&gt;&lt;D xsi:type="xsd:double"&gt;35.41169&lt;/D&gt;&lt;D xsi:type="xsd:double"&gt;27.102983&lt;/D&gt;&lt;D xsi:type="xsd:double"&gt;31.87239&lt;/D&gt;&lt;D xsi:type="xsd:double"&gt;30.182457&lt;/D&gt;&lt;D xsi:type="xsd:double"&gt;25.71547&lt;/D&gt;&lt;D xsi:type="xsd:double"&gt;14.250398&lt;/D&gt;&lt;D xsi:type="xsd:double"&gt;8.180655&lt;/D&gt;&lt;D xsi:type="xsd:double"&gt;8.325386&lt;/D&gt;&lt;D xsi:type="xsd:double"&gt;-3.9247692&lt;/D&gt;&lt;D xsi:type="xsd:double"&gt;-6.7623196&lt;/D&gt;&lt;D xsi:type="xsd:double"&gt;-10.5193615&lt;/D&gt;&lt;D xsi:type="xsd:double"&gt;-4.011965&lt;/D&gt;&lt;D xsi:type="xsd:double"&gt;-8.148503&lt;/D&gt;&lt;D xsi:type="xsd:double"&gt;-16.454065&lt;/D&gt;&lt;D xsi:type="xsd:double"&gt;-12.768346&lt;/D&gt;&lt;D xsi:type="xsd:double"&gt;-14.389431&lt;/D&gt;&lt;D xsi:type="xsd:double"&gt;-14.432203&lt;/D&gt;&lt;D xsi:type="xsd:double"&gt;-7.7097774&lt;/D&gt;&lt;D xsi:type="xsd:double"&gt;-7.8244867&lt;/D&gt;&lt;D xsi:type="xsd:double"&gt;-5.275202&lt;/D&gt;&lt;D xsi:type="xsd:double"&gt;6.725514&lt;/D&gt;&lt;D xsi:type="xsd:double"&gt;8.917332&lt;/D&gt;&lt;D xsi:type="xsd:double"&gt;17.05265&lt;/D&gt;&lt;D xsi:type="xsd:double"&gt;7.8582883&lt;/D&gt;&lt;D xsi:type="xsd:double"&gt;12.110222&lt;/D&gt;&lt;D xsi:type="xsd:double"&gt;23.905241&lt;/D&gt;&lt;D xsi:type="xsd:double"&gt;13.409721&lt;/D&gt;&lt;D xsi:type="xsd:double"&gt;19.339096&lt;/D&gt;&lt;D xsi:type="xsd:double"&gt;22.280205&lt;/D&gt;&lt;D xsi:type="xsd:double"&gt;25.002611&lt;/D&gt;&lt;D xsi:type="xsd:double"&gt;34.515156&lt;/D&gt;&lt;D xsi:type="xsd:double"&gt;28.269505&lt;/D&gt;&lt;/FQL&gt;&lt;FQL&gt;&lt;Q&gt;CC_JP^FG_COMPANY_NAME&lt;/Q&gt;&lt;R&gt;1&lt;/R&gt;&lt;C&gt;1&lt;/C&gt;&lt;D xsi:type="xsd:string"&gt;Japan&lt;/D&gt;&lt;/FQL&gt;&lt;FQL&gt;&lt;Q&gt;EWU^FG_PRICE(0)&lt;/Q&gt;&lt;R&gt;1&lt;/R&gt;&lt;C&gt;1&lt;/C&gt;&lt;D xsi:type="xsd:double"&gt;34.09&lt;/D&gt;&lt;/FQL&gt;&lt;FQL&gt;&lt;Q&gt;USDAUD^FG_PRICE_CHANGE(0,-1AM)&lt;/Q&gt;&lt;R&gt;1&lt;/R&gt;&lt;C&gt;1&lt;/C&gt;&lt;D xsi:type="xsd:double"&gt;1.3885617&lt;/D&gt;&lt;/FQL&gt;&lt;FQL&gt;&lt;Q&gt;SPY^FG_COMPANY_NAME&lt;/Q&gt;&lt;R&gt;1&lt;/R&gt;&lt;C&gt;1&lt;/C&gt;&lt;D xsi:type="xsd:string"&gt;SPDR S&amp;amp;P 500 ETF Trust&lt;/D&gt;&lt;/FQL&gt;&lt;FQL&gt;&lt;Q&gt;TIPSCL10Y-FDS^FG_YIELD(-10AY,0,Y,,"YTM")&lt;/Q&gt;&lt;R&gt;10&lt;/R&gt;&lt;C&gt;1&lt;/C&gt;&lt;D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xsi:type="xsd:double"&gt;5.3314&lt;/D&gt;&lt;/FQL&gt;&lt;FQL&gt;&lt;Q&gt;CC_AU^FG_COMPANY_NAME&lt;/Q&gt;&lt;R&gt;1&lt;/R&gt;&lt;C&gt;1&lt;/C&gt;&lt;D xsi:type="xsd:string"&gt;Australia&lt;/D&gt;&lt;/FQL&gt;&lt;FQL&gt;&lt;Q&gt;DDR3512M-FDS^FG_PRICE_CHANGE(0,-1AY)&lt;/Q&gt;&lt;R&gt;1&lt;/R&gt;&lt;C&gt;1&lt;/C&gt;&lt;D xsi:type="xsd:double"&gt;-12.6058179120661&lt;/D&gt;&lt;/FQL&gt;&lt;FQL&gt;&lt;Q&gt;FC0000JP^FG_PRICE(0)&lt;/Q&gt;&lt;R&gt;1&lt;/R&gt;&lt;C&gt;1&lt;/C&gt;&lt;D xsi:type="xsd:double"&gt;177.06544&lt;/D&gt;&lt;/FQL&gt;&lt;FQL&gt;&lt;Q&gt;PASP-FDS^FG_PRICE_CHANGE(0,-3AM)&lt;/Q&gt;&lt;R&gt;1&lt;/R&gt;&lt;C&gt;1&lt;/C&gt;&lt;D xsi:type="xsd:double"&gt;5.32544378698225&lt;/D&gt;&lt;/FQL&gt;&lt;FQL&gt;&lt;Q&gt;EWI^FG_PRICE_MAVG(0,,,,60)&lt;/Q&gt;&lt;R&gt;1&lt;/R&gt;&lt;C&gt;1&lt;/C&gt;&lt;D xsi:type="xsd:double"&gt;35.54767&lt;/D&gt;&lt;/FQL&gt;&lt;FQL&gt;&lt;Q&gt;CAGDPY@US^EE_ACTUAL_ANNUAL(MED,+1)&lt;/Q&gt;&lt;R&gt;1&lt;/R&gt;&lt;C&gt;1&lt;/C&gt;&lt;D xsi:type="xsd:double"&gt;-3.05&lt;/D&gt;&lt;/FQL&gt;&lt;FQL&gt;&lt;Q&gt;CAGDPY@NZ^EE_ACTUAL_ANNUAL(MED,+1)&lt;/Q&gt;&lt;R&gt;1&lt;/R&gt;&lt;C&gt;1&lt;/C&gt;&lt;D xsi:type="xsd:double"&gt;-6.35&lt;/D&gt;&lt;/FQL&gt;&lt;FQL&gt;&lt;Q&gt;USDITL^FG_PRICE_CHANGE(0,-1AY)&lt;/Q&gt;&lt;R&gt;1&lt;/R&gt;&lt;C&gt;1&lt;/C&gt;&lt;D xsi:type="xsd:double"&gt;1.9335866&lt;/D&gt;&lt;/FQL&gt;&lt;FQL&gt;&lt;Q&gt;USDANG^FG_PRICE_CHANGE(0,-1AY)&lt;/Q&gt;&lt;R&gt;1&lt;/R&gt;&lt;C&gt;1&lt;/C&gt;&lt;D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xsi:type="xsd:double"&gt;-0.6869376&lt;/D&gt;&lt;/FQL&gt;&lt;FQL&gt;&lt;Q&gt;USDJPY^FG_PRICE_CHANGE(0,-1AY)&lt;/Q&gt;&lt;R&gt;1&lt;/R&gt;&lt;C&gt;1&lt;/C&gt;&lt;D xsi:type="xsd:double"&gt;14.79013&lt;/D&gt;&lt;/FQL&gt;&lt;FQL&gt;&lt;Q&gt;USDCAD^FG_PRICE_CHANGE(0,-1AY)&lt;/Q&gt;&lt;R&gt;1&lt;/R&gt;&lt;C&gt;1&lt;/C&gt;&lt;D xsi:type="xsd:double"&gt;1.6977429&lt;/D&gt;&lt;/FQL&gt;&lt;FQL&gt;&lt;Q&gt;USDNZD^FG_PRICE_CHANGE(0,-1AY)&lt;/Q&gt;&lt;R&gt;1&lt;/R&gt;&lt;C&gt;1&lt;/C&gt;&lt;D xsi:type="xsd:double"&gt;3.7827373&lt;/D&gt;&lt;/FQL&gt;&lt;FQL&gt;&lt;Q&gt;EWA^JULIAN(FMA_EPS(NTMA,-20AY,0,CY,,"PORTAGG","MEANR").DATES)&lt;/Q&gt;&lt;R&gt;20&lt;/R&gt;&lt;C&gt;1&lt;/C&gt;&lt;D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xsi:type="xsd:double"&gt;-2.0525455&lt;/D&gt;&lt;D xsi:type="xsd:double"&gt;1.7602563&lt;/D&gt;&lt;D xsi:type="xsd:double"&gt;1.098299&lt;/D&gt;&lt;D xsi:type="xsd:double"&gt;-4.009211&lt;/D&gt;&lt;D xsi:type="xsd:double"&gt;-1.7171144&lt;/D&gt;&lt;D xsi:type="xsd:double"&gt;-1.6582787&lt;/D&gt;&lt;D xsi:type="xsd:double"&gt;-7.979524&lt;/D&gt;&lt;D xsi:type="xsd:double"&gt;8.049738&lt;/D&gt;&lt;D xsi:type="xsd:double"&gt;-0.60569644&lt;/D&gt;&lt;D xsi:type="xsd:double"&gt;-5.6805077&lt;/D&gt;&lt;D xsi:type="xsd:double"&gt;5.727315&lt;/D&gt;&lt;D xsi:type="xsd:double"&gt;1.4773726&lt;/D&gt;&lt;D xsi:type="xsd:double"&gt;1.8804908&lt;/D&gt;&lt;D xsi:type="xsd:double"&gt;1.6076207&lt;/D&gt;&lt;D xsi:type="xsd:double"&gt;1.6993761&lt;/D&gt;&lt;D xsi:type="xsd:double"&gt;-3.5796285&lt;/D&gt;&lt;D xsi:type="xsd:double"&gt;-1.3919055&lt;/D&gt;&lt;D xsi:type="xsd:double"&gt;-2.540779&lt;/D&gt;&lt;D xsi:type="xsd:double"&gt;0.096559525&lt;/D&gt;&lt;D xsi:type="xsd:double"&gt;-3.9871395&lt;/D&gt;&lt;D xsi:type="xsd:double"&gt;-5.257869&lt;/D&gt;&lt;D xsi:type="xsd:double"&gt;-3.4138322&lt;/D&gt;&lt;D xsi:type="xsd:double"&gt;-5.274719&lt;/D&gt;&lt;D xsi:type="xsd:double"&gt;13.805103&lt;/D&gt;&lt;D xsi:type="xsd:double"&gt;0.8154988&lt;/D&gt;&lt;D xsi:type="xsd:double"&gt;-1.6852021&lt;/D&gt;&lt;D xsi:type="xsd:double"&gt;-2.3311615&lt;/D&gt;&lt;D xsi:type="xsd:double"&gt;-0.8210659&lt;/D&gt;&lt;D xsi:type="xsd:double"&gt;6.512141&lt;/D&gt;&lt;D xsi:type="xsd:double"&gt;-0.41450858&lt;/D&gt;&lt;D xsi:type="xsd:double"&gt;-0.9018421&lt;/D&gt;&lt;D xsi:type="xsd:double"&gt;-3.7101865&lt;/D&gt;&lt;D xsi:type="xsd:double"&gt;4.616499&lt;/D&gt;&lt;D xsi:type="xsd:double"&gt;0.67733526&lt;/D&gt;&lt;D xsi:type="xsd:double"&gt;5.315852&lt;/D&gt;&lt;D xsi:type="xsd:double"&gt;0.8521795&lt;/D&gt;&lt;D xsi:type="xsd:double"&gt;1.2999654&lt;/D&gt;&lt;D xsi:type="xsd:double"&gt;7.9563737&lt;/D&gt;&lt;D xsi:type="xsd:double"&gt;1.9316435&lt;/D&gt;&lt;D xsi:type="xsd:double"&gt;2.6587963&lt;/D&gt;&lt;D xsi:type="xsd:double"&gt;-1.829803&lt;/D&gt;&lt;D xsi:type="xsd:double"&gt;3.8461566&lt;/D&gt;&lt;D xsi:type="xsd:double"&gt;3.5612583&lt;/D&gt;&lt;D xsi:type="xsd:double"&gt;-3.9064586&lt;/D&gt;&lt;D xsi:type="xsd:double"&gt;-2.662468&lt;/D&gt;&lt;D xsi:type="xsd:double"&gt;5.75397&lt;/D&gt;&lt;D xsi:type="xsd:double"&gt;-6.1797676&lt;/D&gt;&lt;D xsi:type="xsd:double"&gt;3.1736493&lt;/D&gt;&lt;D xsi:type="xsd:double"&gt;-4.3818893&lt;/D&gt;&lt;D xsi:type="xsd:double"&gt;3.8239717&lt;/D&gt;&lt;D xsi:type="xsd:double"&gt;-2.3384929&lt;/D&gt;&lt;D xsi:type="xsd:double"&gt;-4.1741667&lt;/D&gt;&lt;D xsi:type="xsd:double"&gt;1.7979741&lt;/D&gt;&lt;D xsi:type="xsd:double"&gt;1.1239529&lt;/D&gt;&lt;D xsi:type="xsd:double"&gt;-4.0012717&lt;/D&gt;&lt;D xsi:type="xsd:double"&gt;-1.8193841&lt;/D&gt;&lt;D xsi:type="xsd:double"&gt;-4.54852&lt;/D&gt;&lt;D xsi:type="xsd:double"&gt;2.885282&lt;/D&gt;&lt;D xsi:type="xsd:double"&gt;1.0298729&lt;/D&gt;&lt;D xsi:type="xsd:double"&gt;1.2911916&lt;/D&gt;&lt;D xsi:type="xsd:double"&gt;7.0446134&lt;/D&gt;&lt;D xsi:type="xsd:double"&gt;-3.8232505&lt;/D&gt;&lt;D xsi:type="xsd:double"&gt;0&lt;/D&gt;&lt;D xsi:type="xsd:double"&gt;2.697146&lt;/D&gt;&lt;D xsi:type="xsd:double"&gt;-7.0399523&lt;/D&gt;&lt;D xsi:type="xsd:double"&gt;5.3892255&lt;/D&gt;&lt;D xsi:type="xsd:double"&gt;-1.1363626&lt;/D&gt;&lt;D xsi:type="xsd:double"&gt;8.350229&lt;/D&gt;&lt;D xsi:type="xsd:double"&gt;1.435256&lt;/D&gt;&lt;D xsi:type="xsd:double"&gt;1.5026927&lt;/D&gt;&lt;D xsi:type="xsd:double"&gt;4.234433&lt;/D&gt;&lt;D xsi:type="xsd:double"&gt;-20.194292&lt;/D&gt;&lt;D xsi:type="xsd:double"&gt;-1.8443406&lt;/D&gt;&lt;D xsi:type="xsd:double"&gt;2.9688&lt;/D&gt;&lt;D xsi:type="xsd:double"&gt;7.7007294&lt;/D&gt;&lt;D xsi:type="xsd:double"&gt;10.342455&lt;/D&gt;&lt;D xsi:type="xsd:double"&gt;8.687615&lt;/D&gt;&lt;D xsi:type="xsd:double"&gt;0.65193176&lt;/D&gt;&lt;D xsi:type="xsd:double"&gt;2.7879477&lt;/D&gt;&lt;D xsi:type="xsd:double"&gt;5.178082&lt;/D&gt;&lt;D xsi:type="xsd:double"&gt;2.94348&lt;/D&gt;&lt;D xsi:type="xsd:double"&gt;5.005729&lt;/D&gt;&lt;D xsi:type="xsd:double"&gt;3.3988833&lt;/D&gt;&lt;D xsi:type="xsd:double"&gt;5.9168816&lt;/D&gt;&lt;D xsi:type="xsd:double"&gt;4.389274&lt;/D&gt;&lt;D xsi:type="xsd:double"&gt;0.08494854&lt;/D&gt;&lt;D xsi:type="xsd:double"&gt;4.608476&lt;/D&gt;&lt;D xsi:type="xsd:double"&gt;-1.888752&lt;/D&gt;&lt;D xsi:type="xsd:double"&gt;2.89824&lt;/D&gt;&lt;D xsi:type="xsd:double"&gt;-2.0764768&lt;/D&gt;&lt;D xsi:type="xsd:double"&gt;-6.7184567&lt;/D&gt;&lt;D xsi:type="xsd:double"&gt;9.047937&lt;/D&gt;&lt;D xsi:type="xsd:double"&gt;-4.4169245&lt;/D&gt;&lt;D xsi:type="xsd:double"&gt;1.629591&lt;/D&gt;&lt;D xsi:type="xsd:double"&gt;-10.365987&lt;/D&gt;&lt;D xsi:type="xsd:double"&gt;-12.004889&lt;/D&gt;&lt;D xsi:type="xsd:double"&gt;6.112802&lt;/D&gt;&lt;D xsi:type="xsd:double"&gt;-12.463993&lt;/D&gt;&lt;D xsi:type="xsd:double"&gt;2.648306&lt;/D&gt;&lt;D xsi:type="xsd:double"&gt;-9.355318&lt;/D&gt;&lt;D xsi:type="xsd:double"&gt;12.173343&lt;/D&gt;&lt;D xsi:type="xsd:double"&gt;-9.171337&lt;/D&gt;&lt;D xsi:type="xsd:double"&gt;-13.051945&lt;/D&gt;&lt;D xsi:type="xsd:double"&gt;27.408504&lt;/D&gt;&lt;D xsi:type="xsd:double"&gt;-0.6154716&lt;/D&gt;&lt;D xsi:type="xsd:double"&gt;3.9824247&lt;/D&gt;&lt;D xsi:type="xsd:double"&gt;-0.34227967&lt;/D&gt;&lt;D xsi:type="xsd:double"&gt;-4.092729&lt;/D&gt;&lt;D xsi:type="xsd:double"&gt;5.849004&lt;/D&gt;&lt;D xsi:type="xsd:double"&gt;2.3118138&lt;/D&gt;&lt;D xsi:type="xsd:double"&gt;-2.7555823&lt;/D&gt;&lt;D xsi:type="xsd:double"&gt;-0.68008304&lt;/D&gt;&lt;D xsi:type="xsd:double"&gt;-2.8530657&lt;/D&gt;&lt;D xsi:type="xsd:double"&gt;-2.5550604&lt;/D&gt;&lt;D xsi:type="xsd:double"&gt;1.7179012&lt;/D&gt;&lt;D xsi:type="xsd:double"&gt;-2.4000049&lt;/D&gt;&lt;D xsi:type="xsd:double"&gt;14.51124&lt;/D&gt;&lt;D xsi:type="xsd:double"&gt;2.523756&lt;/D&gt;&lt;D xsi:type="xsd:double"&gt;-0.2649784&lt;/D&gt;&lt;D xsi:type="xsd:double"&gt;7.8374147&lt;/D&gt;&lt;D xsi:type="xsd:double"&gt;-2.5375664&lt;/D&gt;&lt;/FQL&gt;&lt;FQL&gt;&lt;Q&gt;TIOS-FDS^FG_PRICE(0)/MAX(FG_PRICE(0,-1AY))&lt;/Q&gt;&lt;R&gt;1&lt;/R&gt;&lt;C&gt;1&lt;/C&gt;&lt;D xsi:type="xsd:double"&gt;0.726345726970033&lt;/D&gt;&lt;/FQL&gt;&lt;FQL&gt;&lt;Q&gt;USDCHF^FG_PRICE_CHANGE(0,-6AM)&lt;/Q&gt;&lt;R&gt;1&lt;/R&gt;&lt;C&gt;1&lt;/C&gt;&lt;D xsi:type="xsd:double"&gt;0.99185705&lt;/D&gt;&lt;/FQL&gt;&lt;FQL&gt;&lt;Q&gt;CPALM-FDS^FG_PRICE_MAVG(0,,,,30)&lt;/Q&gt;&lt;R&gt;1&lt;/R&gt;&lt;C&gt;1&lt;/C&gt;&lt;D xsi:type="xsd:double"&gt;4313.4&lt;/D&gt;&lt;/FQL&gt;&lt;FQL&gt;&lt;Q&gt;CAGDPY@CH^EE_ACTUAL_ANNUAL(MED,+1)&lt;/Q&gt;&lt;R&gt;1&lt;/R&gt;&lt;C&gt;1&lt;/C&gt;&lt;D xsi:type="xsd:double"&gt;8.6&lt;/D&gt;&lt;/FQL&gt;&lt;FQL&gt;&lt;Q&gt;EWA^FMA_PE(NTMA,-10AY,0,AM,"PORTAGG","MEANR")&lt;/Q&gt;&lt;R&gt;121&lt;/R&gt;&lt;C&gt;1&lt;/C&gt;&lt;D xsi:type="xsd:double"&gt;14.3665960513262&lt;/D&gt;&lt;D xsi:type="xsd:double"&gt;14.2700358497457&lt;/D&gt;&lt;D xsi:type="xsd:double"&gt;14.3287013080641&lt;/D&gt;&lt;D xsi:type="xsd:double"&gt;14.6345834112356&lt;/D&gt;&lt;D xsi:type="xsd:double"&gt;14.4824954408226&lt;/D&gt;&lt;D xsi:type="xsd:double"&gt;14.6519973626464&lt;/D&gt;&lt;D xsi:type="xsd:double"&gt;13.6405203794069&lt;/D&gt;&lt;D xsi:type="xsd:double"&gt;14.5153528099667&lt;/D&gt;&lt;D xsi:type="xsd:double"&gt;13.8229396404654&lt;/D&gt;&lt;D xsi:type="xsd:double"&gt;14.7910246106693&lt;/D&gt;&lt;D xsi:type="xsd:double"&gt;15.7533452056629&lt;/D&gt;&lt;D xsi:type="xsd:double"&gt;15.8074675603033&lt;/D&gt;&lt;D xsi:type="xsd:double"&gt;16.5830151988825&lt;/D&gt;&lt;D xsi:type="xsd:double"&gt;15.7693163286506&lt;/D&gt;&lt;D xsi:type="xsd:double"&gt;15.3122804398733&lt;/D&gt;&lt;D xsi:type="xsd:double"&gt;15.1095200696876&lt;/D&gt;&lt;D xsi:type="xsd:double"&gt;15.1347073694528&lt;/D&gt;&lt;D xsi:type="xsd:double"&gt;14.3028006920765&lt;/D&gt;&lt;D xsi:type="xsd:double"&gt;15.1554685743865&lt;/D&gt;&lt;D xsi:type="xsd:double"&gt;14.7288041770361&lt;/D&gt;&lt;D xsi:type="xsd:double"&gt;14.7746093515713&lt;/D&gt;&lt;D xsi:type="xsd:double"&gt;14.6514987708418&lt;/D&gt;&lt;D xsi:type="xsd:double"&gt;14.7578984991763&lt;/D&gt;&lt;D xsi:type="xsd:double"&gt;16.1166036707772&lt;/D&gt;&lt;D xsi:type="xsd:double"&gt;15.1590831350238&lt;/D&gt;&lt;D xsi:type="xsd:double"&gt;16.5732530353264&lt;/D&gt;&lt;D xsi:type="xsd:double"&gt;16.2466950378194&lt;/D&gt;&lt;D xsi:type="xsd:double"&gt;16.1366157028891&lt;/D&gt;&lt;D xsi:type="xsd:double"&gt;16.7145837992522&lt;/D&gt;&lt;D xsi:type="xsd:double"&gt;16.0677382127277&lt;/D&gt;&lt;D xsi:type="xsd:double"&gt;16.3355035757947&lt;/D&gt;&lt;D xsi:type="xsd:double"&gt;15.9164664958631&lt;/D&gt;&lt;D xsi:type="xsd:double"&gt;15.902515362013&lt;/D&gt;&lt;D xsi:type="xsd:double"&gt;16.0240467975403&lt;/D&gt;&lt;D xsi:type="xsd:double"&gt;15.8687074156165&lt;/D&gt;&lt;D xsi:type="xsd:double"&gt;15.8277049015119&lt;/D&gt;&lt;D xsi:type="xsd:double"&gt;15.9095792338548&lt;/D&gt;&lt;D xsi:type="xsd:double"&gt;15.7192324916987&lt;/D&gt;&lt;D xsi:type="xsd:double"&gt;15.1595002902089&lt;/D&gt;&lt;D xsi:type="xsd:double"&gt;15.4328559138326&lt;/D&gt;&lt;D xsi:type="xsd:double"&gt;15.5353954973803&lt;/D&gt;&lt;D xsi:type="xsd:double"&gt;15.5792195528617&lt;/D&gt;&lt;D xsi:type="xsd:double"&gt;15.5466707966009&lt;/D&gt;&lt;D xsi:type="xsd:double"&gt;16.131743422553&lt;/D&gt;&lt;D xsi:type="xsd:double"&gt;15.8507053868471&lt;/D&gt;&lt;D xsi:type="xsd:double"&gt;15.9728125145996&lt;/D&gt;&lt;D xsi:type="xsd:double"&gt;15.1562252732907&lt;/D&gt;&lt;D xsi:type="xsd:double"&gt;15.4056068152723&lt;/D&gt;&lt;D xsi:type="xsd:double"&gt;14.9567760029408&lt;/D&gt;&lt;D xsi:type="xsd:double"&gt;15.5073397881885&lt;/D&gt;&lt;D xsi:type="xsd:double"&gt;15.1267339329547&lt;/D&gt;&lt;D xsi:type="xsd:double"&gt;15.4558288670821&lt;/D&gt;&lt;D xsi:type="xsd:double"&gt;15.6011103556455&lt;/D&gt;&lt;D xsi:type="xsd:double"&gt;15.2022605041444&lt;/D&gt;&lt;D xsi:type="xsd:double"&gt;14.3832098140669&lt;/D&gt;&lt;D xsi:type="xsd:double"&gt;14.647037538523&lt;/D&gt;&lt;D xsi:type="xsd:double"&gt;13.830385769618&lt;/D&gt;&lt;D xsi:type="xsd:double"&gt;14.4239379752127&lt;/D&gt;&lt;D xsi:type="xsd:double"&gt;15.0143237482287&lt;/D&gt;&lt;D xsi:type="xsd:double"&gt;15.2420927258356&lt;/D&gt;&lt;D xsi:type="xsd:double"&gt;15.2184230729117&lt;/D&gt;&lt;D xsi:type="xsd:double"&gt;15.3891090344512&lt;/D&gt;&lt;D xsi:type="xsd:double"&gt;15.9353468461175&lt;/D&gt;&lt;D xsi:type="xsd:double"&gt;16.1393043559798&lt;/D&gt;&lt;D xsi:type="xsd:double"&gt;15.9716847105929&lt;/D&gt;&lt;D xsi:type="xsd:double"&gt;16.4340822707632&lt;/D&gt;&lt;D xsi:type="xsd:double"&gt;16.5104808010076&lt;/D&gt;&lt;D xsi:type="xsd:double"&gt;17.255301596916&lt;/D&gt;&lt;D xsi:type="xsd:double"&gt;17.2335091596144&lt;/D&gt;&lt;D xsi:type="xsd:double"&gt;17.6973313983956&lt;/D&gt;&lt;D xsi:type="xsd:double"&gt;18.0346297959722&lt;/D&gt;&lt;D xsi:type="xsd:double"&gt;14.8577018102295&lt;/D&gt;&lt;D xsi:type="xsd:double"&gt;15.7640645999622&lt;/D&gt;&lt;D xsi:type="xsd:double"&gt;17.4138326628337&lt;/D&gt;&lt;D xsi:type="xsd:double"&gt;19.3763788261573&lt;/D&gt;&lt;D xsi:type="xsd:double"&gt;18.8165039957777&lt;/D&gt;&lt;D xsi:type="xsd:double"&gt;19.5278741512129&lt;/D&gt;&lt;D xsi:type="xsd:double"&gt;18.4732198250566&lt;/D&gt;&lt;D xsi:type="xsd:double"&gt;18.7865480733202&lt;/D&gt;&lt;D xsi:type="xsd:double"&gt;19.2617954493314&lt;/D&gt;&lt;D xsi:type="xsd:double"&gt;19.2541317673783&lt;/D&gt;&lt;D xsi:type="xsd:double"&gt;19.273089005236&lt;/D&gt;&lt;D xsi:type="xsd:double"&gt;19.1890586627225&lt;/D&gt;&lt;D xsi:type="xsd:double"&gt;17.9817850404025&lt;/D&gt;&lt;D xsi:type="xsd:double"&gt;18.0821954365405&lt;/D&gt;&lt;D xsi:type="xsd:double"&gt;18.0681195699038&lt;/D&gt;&lt;D xsi:type="xsd:double"&gt;18.1272075763175&lt;/D&gt;&lt;D xsi:type="xsd:double"&gt;17.0199912304574&lt;/D&gt;&lt;D xsi:type="xsd:double"&gt;17.2217666174846&lt;/D&gt;&lt;D xsi:type="xsd:double"&gt;17.0164735671257&lt;/D&gt;&lt;D xsi:type="xsd:double"&gt;17.2542344656071&lt;/D&gt;&lt;D xsi:type="xsd:double"&gt;17.3405211669866&lt;/D&gt;&lt;D xsi:type="xsd:double"&gt;17.2270474645054&lt;/D&gt;&lt;D xsi:type="xsd:double"&gt;17.2963316084987&lt;/D&gt;&lt;D xsi:type="xsd:double"&gt;15.9710431809822&lt;/D&gt;&lt;D xsi:type="xsd:double"&gt;15.4753693266256&lt;/D&gt;&lt;D xsi:type="xsd:double"&gt;15.8531807318743&lt;/D&gt;&lt;D xsi:type="xsd:double"&gt;14.149024800812&lt;/D&gt;&lt;D xsi:type="xsd:double"&gt;13.4533685306735&lt;/D&gt;&lt;D xsi:type="xsd:double"&gt;12.7026748729092&lt;/D&gt;&lt;D xsi:type="xsd:double"&gt;14.1648664473334&lt;/D&gt;&lt;D xsi:type="xsd:double"&gt;13.6558920110344&lt;/D&gt;&lt;D xsi:type="xsd:double"&gt;12.8345208882583&lt;/D&gt;&lt;D xsi:type="xsd:double"&gt;14.26953039134&lt;/D&gt;&lt;D xsi:type="xsd:double"&gt;14.4531920800488&lt;/D&gt;&lt;D xsi:type="xsd:double"&gt;14.2521793611965&lt;/D&gt;&lt;D xsi:type="xsd:double"&gt;14.8224426982472&lt;/D&gt;&lt;D xsi:type="xsd:double"&gt;14.1321606836372&lt;/D&gt;&lt;D xsi:type="xsd:double"&gt;14.5799128653833&lt;/D&gt;&lt;D xsi:type="xsd:double"&gt;14.631264313976&lt;/D&gt;&lt;D xsi:type="xsd:double"&gt;14.5726792864749&lt;/D&gt;&lt;D xsi:type="xsd:double"&gt;14.7403507901797&lt;/D&gt;&lt;D xsi:type="xsd:double"&gt;15.4037629449184&lt;/D&gt;&lt;D xsi:type="xsd:double"&gt;15.3374949556746&lt;/D&gt;&lt;D xsi:type="xsd:double"&gt;14.872971194338&lt;/D&gt;&lt;D xsi:type="xsd:double"&gt;14.7527074569694&lt;/D&gt;&lt;D xsi:type="xsd:double"&gt;15.4009574521785&lt;/D&gt;&lt;D xsi:type="xsd:double"&gt;16.1577133434558&lt;/D&gt;&lt;D xsi:type="xsd:double"&gt;16.4366464538004&lt;/D&gt;&lt;D xsi:type="xsd:double"&gt;16.5982462964673&lt;/D&gt;&lt;D xsi:type="xsd:double"&gt;16.7046008353544&lt;/D&gt;&lt;/FQL&gt;&lt;FQL&gt;&lt;Q&gt;CAGDPY@CH^EE_ACTUAL_ANNUAL(MED,0)&lt;/Q&gt;&lt;R&gt;1&lt;/R&gt;&lt;C&gt;1&lt;/C&gt;&lt;D xsi:type="xsd:double"&gt;7.64151941312264&lt;/D&gt;&lt;/FQL&gt;&lt;FQL&gt;&lt;Q&gt;USDEUR^FG_PRICE_CHANGE(0,-1AM)&lt;/Q&gt;&lt;R&gt;1&lt;/R&gt;&lt;C&gt;1&lt;/C&gt;&lt;D xsi:type="xsd:double"&gt;2.0737052&lt;/D&gt;&lt;/FQL&gt;&lt;FQL&gt;&lt;Q&gt;EWQ^FMA_ROE(NTMA,-20AY,NOW,FY,"PORTAGG","MEANR")&lt;/Q&gt;&lt;R&gt;20&lt;/R&gt;&lt;C&gt;1&lt;/C&gt;&lt;D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xsi:type="xsd:double"&gt;10.9140096513637&lt;/D&gt;&lt;D xsi:type="xsd:double"&gt;8.94242101235722&lt;/D&gt;&lt;D xsi:type="xsd:double"&gt;12.2539581193409&lt;/D&gt;&lt;D xsi:type="xsd:double"&gt;13.1475852543623&lt;/D&gt;&lt;D xsi:type="xsd:double"&gt;13.2210595032912&lt;/D&gt;&lt;/FQL&gt;&lt;FQL&gt;&lt;Q&gt;TRYID10Y-FDS^FG_YIELD(-10AY,0,Y,,"YTM")&lt;/Q&gt;&lt;R&gt;10&lt;/R&gt;&lt;C&gt;1&lt;/C&gt;&lt;D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xsi:type="xsd:double"&gt;5.1912&lt;/D&gt;&lt;/FQL&gt;&lt;FQL&gt;&lt;Q&gt;NI-FDS^FG_PRICE_CHANGE(0,-1AY)&lt;/Q&gt;&lt;R&gt;1&lt;/R&gt;&lt;C&gt;1&lt;/C&gt;&lt;D xsi:type="xsd:double"&gt;-22.472647702407&lt;/D&gt;&lt;/FQL&gt;&lt;FQL&gt;&lt;Q&gt;CPALM-FDS^FG_PRICE_CHANGE(0,-1AY)&lt;/Q&gt;&lt;R&gt;1&lt;/R&gt;&lt;C&gt;1&lt;/C&gt;&lt;D xsi:type="xsd:double"&gt;5.53738317757009&lt;/D&gt;&lt;/FQL&gt;&lt;FQL&gt;&lt;Q&gt;BRENT-FDS^FG_PRICE_CHANGE(0,-1AY)&lt;/Q&gt;&lt;R&gt;1&lt;/R&gt;&lt;C&gt;1&lt;/C&gt;&lt;D xsi:type="xsd:double"&gt;-1.29899988504425&lt;/D&gt;&lt;/FQL&gt;&lt;FQL&gt;&lt;Q&gt;TIOS-FDS^FG_PRICE_CHANGE(0,-1AY)&lt;/Q&gt;&lt;R&gt;1&lt;/R&gt;&lt;C&gt;1&lt;/C&gt;&lt;D xsi:type="xsd:double"&gt;-13.4985543163982&lt;/D&gt;&lt;/FQL&gt;&lt;FQL&gt;&lt;Q&gt;EWD^FG_PRICE_MAVG(0,,,,30)&lt;/Q&gt;&lt;R&gt;1&lt;/R&gt;&lt;C&gt;1&lt;/C&gt;&lt;D xsi:type="xsd:double"&gt;40.30467&lt;/D&gt;&lt;/FQL&gt;&lt;FQL&gt;&lt;Q&gt;QQQ^FG_PRICE_MAVG(0,,,,30)&lt;/Q&gt;&lt;R&gt;1&lt;/R&gt;&lt;C&gt;1&lt;/C&gt;&lt;D xsi:type="xsd:double"&gt;441.39435&lt;/D&gt;&lt;/FQL&gt;&lt;FQL&gt;&lt;Q&gt;EWG^FG_PRICE_MAVG(0,,,,30)&lt;/Q&gt;&lt;R&gt;1&lt;/R&gt;&lt;C&gt;1&lt;/C&gt;&lt;D xsi:type="xsd:double"&gt;31.232666&lt;/D&gt;&lt;/FQL&gt;&lt;FQL&gt;&lt;Q&gt;EWL^FMA_PE(NTMA,-10AY,0,AM,"PORTAGG","MEANR")&lt;/Q&gt;&lt;R&gt;121&lt;/R&gt;&lt;C&gt;1&lt;/C&gt;&lt;D xsi:type="xsd:double"&gt;15.793394674902&lt;/D&gt;&lt;D xsi:type="xsd:double"&gt;16.2365664480007&lt;/D&gt;&lt;D xsi:type="xsd:double"&gt;16.3633411398503&lt;/D&gt;&lt;D xsi:type="xsd:double"&gt;15.8759194942779&lt;/D&gt;&lt;D xsi:type="xsd:double"&gt;15.6850965645641&lt;/D&gt;&lt;D xsi:type="xsd:double"&gt;16.1996202242473&lt;/D&gt;&lt;D xsi:type="xsd:double"&gt;15.1180215919904&lt;/D&gt;&lt;D xsi:type="xsd:double"&gt;16.0171699386595&lt;/D&gt;&lt;D xsi:type="xsd:double"&gt;15.8844671221898&lt;/D&gt;&lt;D xsi:type="xsd:double"&gt;15.7565158369341&lt;/D&gt;&lt;D xsi:type="xsd:double"&gt;16.7688405585768&lt;/D&gt;&lt;D xsi:type="xsd:double"&gt;17.4307842939274&lt;/D&gt;&lt;D xsi:type="xsd:double"&gt;18.2873658413189&lt;/D&gt;&lt;D xsi:type="xsd:double"&gt;17.58207468929&lt;/D&gt;&lt;D xsi:type="xsd:double"&gt;17.4507722124497&lt;/D&gt;&lt;D xsi:type="xsd:double"&gt;17.3141890608346&lt;/D&gt;&lt;D xsi:type="xsd:double"&gt;17.5329748261516&lt;/D&gt;&lt;D xsi:type="xsd:double"&gt;16.4383634756011&lt;/D&gt;&lt;D xsi:type="xsd:double"&gt;16.5148429239243&lt;/D&gt;&lt;D xsi:type="xsd:double"&gt;16.9195713641884&lt;/D&gt;&lt;D xsi:type="xsd:double"&gt;16.3629039781085&lt;/D&gt;&lt;D xsi:type="xsd:double"&gt;15.8714021057983&lt;/D&gt;&lt;D xsi:type="xsd:double"&gt;15.3438078232223&lt;/D&gt;&lt;D xsi:type="xsd:double"&gt;16.6850509645926&lt;/D&gt;&lt;D xsi:type="xsd:double"&gt;16.3693736019375&lt;/D&gt;&lt;D xsi:type="xsd:double"&gt;16.7218410765325&lt;/D&gt;&lt;D xsi:type="xsd:double"&gt;16.6654060352742&lt;/D&gt;&lt;D xsi:type="xsd:double"&gt;16.8909296158977&lt;/D&gt;&lt;D xsi:type="xsd:double"&gt;17.632974680332&lt;/D&gt;&lt;D xsi:type="xsd:double"&gt;17.3492168529548&lt;/D&gt;&lt;D xsi:type="xsd:double"&gt;16.9472844163371&lt;/D&gt;&lt;D xsi:type="xsd:double"&gt;16.4589581239384&lt;/D&gt;&lt;D xsi:type="xsd:double"&gt;16.6379478574713&lt;/D&gt;&lt;D xsi:type="xsd:double"&gt;17.1329667105597&lt;/D&gt;&lt;D xsi:type="xsd:double"&gt;17.3800024830095&lt;/D&gt;&lt;D xsi:type="xsd:double"&gt;17.6390374546385&lt;/D&gt;&lt;D xsi:type="xsd:double"&gt;17.3655432380124&lt;/D&gt;&lt;D xsi:type="xsd:double"&gt;17.9636342430407&lt;/D&gt;&lt;D xsi:type="xsd:double"&gt;17.85127543502&lt;/D&gt;&lt;D xsi:type="xsd:double"&gt;17.5884797474274&lt;/D&gt;&lt;D xsi:type="xs</t>
        </r>
      </text>
    </comment>
    <comment ref="A5" authorId="0" shapeId="0" xr:uid="{0D18E907-1369-480F-8C3D-CD4496A86612}">
      <text>
        <r>
          <rPr>
            <b/>
            <sz val="9"/>
            <color indexed="81"/>
            <rFont val="Tahoma"/>
            <charset val="1"/>
          </rPr>
          <t>d:double"&gt;17.4298361216625&lt;/D&gt;&lt;D xsi:type="xsd:double"&gt;17.6244891823348&lt;/D&gt;&lt;D xsi:type="xsd:double"&gt;17.9228212917989&lt;/D&gt;&lt;D xsi:type="xsd:double"&gt;17.6132197782747&lt;/D&gt;&lt;D xsi:type="xsd:double"&gt;17.5684426919503&lt;/D&gt;&lt;D xsi:type="xsd:double"&gt;17.8194456158752&lt;/D&gt;&lt;D xsi:type="xsd:double"&gt;16.2648856057421&lt;/D&gt;&lt;D xsi:type="xsd:double"&gt;16.4759389556176&lt;/D&gt;&lt;D xsi:type="xsd:double"&gt;15.9882902806959&lt;/D&gt;&lt;D xsi:type="xsd:double"&gt;16.3319589528541&lt;/D&gt;&lt;D xsi:type="xsd:double"&gt;15.7177299246148&lt;/D&gt;&lt;D xsi:type="xsd:double"&gt;15.7493936931123&lt;/D&gt;&lt;D xsi:type="xsd:double"&gt;16.0272555606498&lt;/D&gt;&lt;D xsi:type="xsd:double"&gt;15.8603191003457&lt;/D&gt;&lt;D xsi:type="xsd:double"&gt;15.099561828975&lt;/D&gt;&lt;D xsi:type="xsd:double"&gt;15.7763992586422&lt;/D&gt;&lt;D xsi:type="xsd:double"&gt;15.0717087920287&lt;/D&gt;&lt;D xsi:type="xsd:double"&gt;15.2151961802266&lt;/D&gt;&lt;D xsi:type="xsd:double"&gt;15.642013385746&lt;/D&gt;&lt;D xsi:type="xsd:double"&gt;16.2407004674962&lt;/D&gt;&lt;D xsi:type="xsd:double"&gt;16.8214935924938&lt;/D&gt;&lt;D xsi:type="xsd:double"&gt;16.4548542669117&lt;/D&gt;&lt;D xsi:type="xsd:double"&gt;17.0332851121985&lt;/D&gt;&lt;D xsi:type="xsd:double"&gt;17.0478071474615&lt;/D&gt;&lt;D xsi:type="xsd:double"&gt;16.8454919914567&lt;/D&gt;&lt;D xsi:type="xsd:double"&gt;17.2416350055733&lt;/D&gt;&lt;D xsi:type="xsd:double"&gt;17.0625929798254&lt;/D&gt;&lt;D xsi:type="xsd:double"&gt;17.39759123594&lt;/D&gt;&lt;D xsi:type="xsd:double"&gt;17.4475663713257&lt;/D&gt;&lt;D xsi:type="xsd:double"&gt;17.7647889301834&lt;/D&gt;&lt;D xsi:type="xsd:double"&gt;18.4564089491856&lt;/D&gt;&lt;D xsi:type="xsd:double"&gt;15.5532674730645&lt;/D&gt;&lt;D xsi:type="xsd:double"&gt;17.201386624659&lt;/D&gt;&lt;D xsi:type="xsd:double"&gt;18.4684854374838&lt;/D&gt;&lt;D xsi:type="xsd:double"&gt;18.9415663556914&lt;/D&gt;&lt;D xsi:type="xsd:double"&gt;19.6272246483842&lt;/D&gt;&lt;D xsi:type="xsd:double"&gt;19.4476162019499&lt;/D&gt;&lt;D xsi:type="xsd:double"&gt;19.5541471928664&lt;/D&gt;&lt;D xsi:type="xsd:double"&gt;19.1489146403025&lt;/D&gt;&lt;D xsi:type="xsd:double"&gt;19.0489408517571&lt;/D&gt;&lt;D xsi:type="xsd:double"&gt;18.4091986057186&lt;/D&gt;&lt;D xsi:type="xsd:double"&gt;19.033005451417&lt;/D&gt;&lt;D xsi:type="xsd:double"&gt;18.9427240000447&lt;/D&gt;&lt;D xsi:type="xsd:double"&gt;18.6366898982463&lt;/D&gt;&lt;D xsi:type="xsd:double"&gt;19.4318662139275&lt;/D&gt;&lt;D xsi:type="xsd:double"&gt;18.7563549514869&lt;/D&gt;&lt;D xsi:type="xsd:double"&gt;19.8934381599974&lt;/D&gt;&lt;D xsi:type="xsd:double"&gt;19.7674143902215&lt;/D&gt;&lt;D xsi:type="xsd:double"&gt;19.912565258323&lt;/D&gt;&lt;D xsi:type="xsd:double"&gt;19.291137408155&lt;/D&gt;&lt;D xsi:type="xsd:double"&gt;18.440787499336&lt;/D&gt;&lt;D xsi:type="xsd:double"&gt;19.3351641493919&lt;/D&gt;&lt;D xsi:type="xsd:double"&gt;19.3398855458018&lt;/D&gt;&lt;D xsi:type="xsd:double"&gt;19.1540521443617&lt;/D&gt;&lt;D xsi:type="xsd:double"&gt;18.345573487205&lt;/D&gt;&lt;D xsi:type="xsd:double"&gt;17.2783782289093&lt;/D&gt;&lt;D xsi:type="xsd:double"&gt;18.6817404478294&lt;/D&gt;&lt;D xsi:type="xsd:double"&gt;16.8409878148009&lt;/D&gt;&lt;D xsi:type="xsd:double"&gt;15.9733284461668&lt;/D&gt;&lt;D xsi:type="xsd:double"&gt;16.1077690013462&lt;/D&gt;&lt;D xsi:type="xsd:double"&gt;17.0128718640024&lt;/D&gt;&lt;D xsi:type="xsd:double"&gt;16.2017353089666&lt;/D&gt;&lt;D xsi:type="xsd:double"&gt;14.796269903738&lt;/D&gt;&lt;D xsi:type="xsd:double"&gt;16.9796219447775&lt;/D&gt;&lt;D xsi:type="xsd:double"&gt;16.7810872886181&lt;/D&gt;&lt;D xsi:type="xsd:double"&gt;17.1235785879537&lt;/D&gt;&lt;D xsi:type="xsd:double"&gt;17.0338052116019&lt;/D&gt;&lt;D xsi:type="xsd:double"&gt;16.6508081989402&lt;/D&gt;&lt;D xsi:type="xsd:double"&gt;17.3460177269749&lt;/D&gt;&lt;D xsi:type="xsd:double"&gt;17.5288419446636&lt;/D&gt;&lt;D xsi:type="xsd:double"&gt;16.4810585102415&lt;/D&gt;&lt;D xsi:type="xsd:double"&gt;16.2413186963177&lt;/D&gt;&lt;D xsi:type="xsd:double"&gt;16.5933964675985&lt;/D&gt;&lt;D xsi:type="xsd:double"&gt;16.3982269841135&lt;/D&gt;&lt;D xsi:type="xsd:double"&gt;16.3139172590364&lt;/D&gt;&lt;D xsi:type="xsd:double"&gt;15.7217153709538&lt;/D&gt;&lt;D xsi:type="xsd:double"&gt;16.6082242344296&lt;/D&gt;&lt;D xsi:type="xsd:double"&gt;16.8871335373211&lt;/D&gt;&lt;D xsi:type="xsd:double"&gt;17.0400848535204&lt;/D&gt;&lt;D xsi:type="xsd:double"&gt;17.74633509864&lt;/D&gt;&lt;D xsi:type="xsd:double"&gt;17.3202837007851&lt;/D&gt;&lt;/FQL&gt;&lt;FQL&gt;&lt;Q&gt;WL-FDS^FG_PRICE_CHANGE(0,-6AM)&lt;/Q&gt;&lt;R&gt;1&lt;/R&gt;&lt;C&gt;1&lt;/C&gt;&lt;D xsi:type="xsd:double"&gt;-11.4479063865783&lt;/D&gt;&lt;/FQL&gt;&lt;FQL&gt;&lt;Q&gt;CPALM-FDS^FG_PRICE_CHANGE(0,-6AM)&lt;/Q&gt;&lt;R&gt;1&lt;/R&gt;&lt;C&gt;1&lt;/C&gt;&lt;D xsi:type="xsd:double"&gt;27.9603399433428&lt;/D&gt;&lt;/FQL&gt;&lt;FQL&gt;&lt;Q&gt;BRENT-FDS^FG_PRICE_CHANGE(0,-6AM)&lt;/Q&gt;&lt;R&gt;1&lt;/R&gt;&lt;C&gt;1&lt;/C&gt;&lt;D xsi:type="xsd:double"&gt;-5.47176043157547&lt;/D&gt;&lt;/FQL&gt;&lt;FQL&gt;&lt;Q&gt;EWD^FG_PRICE(0)&lt;/Q&gt;&lt;R&gt;1&lt;/R&gt;&lt;C&gt;1&lt;/C&gt;&lt;D xsi:type="xsd:double"&gt;39.56&lt;/D&gt;&lt;/FQL&gt;&lt;FQL&gt;&lt;Q&gt;EWG^FG_PRICE(0)&lt;/Q&gt;&lt;R&gt;1&lt;/R&gt;&lt;C&gt;1&lt;/C&gt;&lt;D xsi:type="xsd:double"&gt;30.85&lt;/D&gt;&lt;/FQL&gt;&lt;FQL&gt;&lt;Q&gt;EWN^FMA_EPS(NTMA,-20AY,0,CY,,"PORTAGG","MEANR")&lt;/Q&gt;&lt;R&gt;20&lt;/R&gt;&lt;C&gt;1&lt;/C&gt;&lt;D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xsi:type="xsd:double"&gt;1.99085797419876&lt;/D&gt;&lt;D xsi:type="xsd:double"&gt;2.00892945351409&lt;/D&gt;&lt;D xsi:type="xsd:double"&gt;2.43601807668502&lt;/D&gt;&lt;D xsi:type="xsd:double"&gt;2.42941425498409&lt;/D&gt;&lt;D xsi:type="xsd:double"&gt;2.95560750409213&lt;/D&gt;&lt;/FQL&gt;&lt;FQL&gt;&lt;Q&gt;EWC^FMA_PE(NTMA,-10AY,0,AM,"PORTAGG","MEANR")&lt;/Q&gt;&lt;R&gt;121&lt;/R&gt;&lt;C&gt;1&lt;/C&gt;&lt;D xsi:type="xsd:double"&gt;14.7023026838393&lt;/D&gt;&lt;D xsi:type="xsd:double"&gt;14.7275150967361&lt;/D&gt;&lt;D xsi:type="xsd:double"&gt;14.8339196572435&lt;/D&gt;&lt;D xsi:type="xsd:double"&gt;14.9990897095961&lt;/D&gt;&lt;D xsi:type="xsd:double"&gt;14.9275366338774&lt;/D&gt;&lt;D xsi:type="xsd:double"&gt;15.1253873944008&lt;/D&gt;&lt;D xsi:type="xsd:double"&gt;13.7566973440183&lt;/D&gt;&lt;D xsi:type="xsd:double"&gt;14.5445853863277&lt;/D&gt;&lt;D xsi:type="xsd:double"&gt;14.3577632428945&lt;/D&gt;&lt;D xsi:type="xsd:double"&gt;15.3149830697429&lt;/D&gt;&lt;D xsi:type="xsd:double"&gt;17.242852979671&lt;/D&gt;&lt;D xsi:type="xsd:double"&gt;16.89470694095&lt;/D&gt;&lt;D xsi:type="xsd:double"&gt;17.3889493103798&lt;/D&gt;&lt;D xsi:type="xsd:double"&gt;16.933720739617&lt;/D&gt;&lt;D xsi:type="xsd:double"&gt;16.3277979571452&lt;/D&gt;&lt;D xsi:type="xsd:double"&gt;15.6507552079045&lt;/D&gt;&lt;D xsi:type="xsd:double"&gt;15.5731427351293&lt;/D&gt;&lt;D xsi:type="xsd:double"&gt;14.6495285211832&lt;/D&gt;&lt;D xsi:type="xsd:double"&gt;15.2171116414363&lt;/D&gt;&lt;D xsi:type="xsd:double"&gt;14.5905254796864&lt;/D&gt;&lt;D xsi:type="xsd:double"&gt;13.9753990109654&lt;/D&gt;&lt;D xsi:type="xsd:double"&gt;13.4299471660693&lt;/D&gt;&lt;D xsi:type="xsd:double"&gt;13.8540433656348&lt;/D&gt;&lt;D xsi:type="xsd:double"&gt;15.764855796024&lt;/D&gt;&lt;D xsi:type="xsd:double"&gt;15.8029088203313&lt;/D&gt;&lt;D xsi:type="xsd:double"&gt;16.2961891778304&lt;/D&gt;&lt;D xsi:type="xsd:double"&gt;16.5638660182303&lt;/D&gt;&lt;D xsi:type="xsd:double"&gt;16.4951442550702&lt;/D&gt;&lt;D xsi:type="xsd:double"&gt;16.5977833046823&lt;/D&gt;&lt;D xsi:type="xsd:double"&gt;16.10554107775&lt;/D&gt;&lt;D xsi:type="xsd:double"&gt;15.942254304831&lt;/D&gt;&lt;D xsi:type="xsd:double"&gt;15.6758626920737&lt;/D&gt;&lt;D xsi:type="xsd:double"&gt;15.9969482324079&lt;/D&gt;&lt;D xsi:type="xsd:double"&gt;15.9306054538742&lt;/D&gt;&lt;D xsi:type="xsd:double"&gt;16.2379249672495&lt;/D&gt;&lt;D xsi:type="xsd:double"&gt;15.9114596927576&lt;/D&gt;&lt;D xsi:type="xsd:double"&gt;15.9734362876492&lt;/D&gt;&lt;D xsi:type="xsd:double"&gt;15.6186457774618&lt;/D&gt;&lt;D xsi:type="xsd:double"&gt;15.5265470273275&lt;/D&gt;&lt;D xsi:type="xsd:double"&gt;15.2544340936924&lt;/D&gt;&lt;D xsi:type="xsd:double"&gt;15.4348748627939&lt;/D&gt;&lt;D xsi:type="xsd:double"&gt;15.1808900406953&lt;/D&gt;&lt;D xsi:type="xsd:double"&gt;15.8415611904095&lt;/D&gt;&lt;D xsi:type="xsd:double"&gt;15.9309487680888&lt;/D&gt;&lt;D xsi:type="xsd:double"&gt;15.9856566269587&lt;/D&gt;&lt;D xsi:type="xsd:double"&gt;15.8600884984492&lt;/D&gt;&lt;D xsi:type="xsd:double"&gt;14.2710920811937&lt;/D&gt;&lt;D xsi:type="xsd:double"&gt;14.4567043259723&lt;/D&gt;&lt;D xsi:type="xsd:double"&gt;13.9631541236636&lt;/D&gt;&lt;D xsi:type="xsd:double"&gt;14.3439645129227&lt;/D&gt;&lt;D xsi:type="xsd:double"&gt;14.3856922031861&lt;/D&gt;&lt;D xsi:type="xsd:double"&gt;14.2384652717835&lt;/D&gt;&lt;D xsi:type="xsd:double"&gt;14.0206898622599&lt;/D&gt;&lt;D xsi:type="xsd:double"&gt;13.5875683893646&lt;/D&gt;&lt;D xsi:type="xsd:double"&gt;12.8070533140333&lt;/D&gt;&lt;D xsi:type="xsd:double"&gt;12.6934806330384&lt;/D&gt;&lt;D xsi:type="xsd:double"&gt;12.3666107161248&lt;/D&gt;&lt;D xsi:type="xsd:double"&gt;12.9128227284111&lt;/D&gt;&lt;D xsi:type="xsd:double"&gt;13.714506295609&lt;/D&gt;&lt;D xsi:type="xsd:double"&gt;14.185150615117&lt;/D&gt;&lt;D xsi:type="xsd:double"&gt;14.2463381785534&lt;/D&gt;&lt;D xsi:type="xsd:double"&gt;13.600233920858&lt;/D&gt;&lt;D xsi:type="xsd:double"&gt;13.5230760525806&lt;/D&gt;&lt;D xsi:type="xsd:double"&gt;13.7223338957749&lt;/D&gt;&lt;D xsi:type="xsd:double"&gt;13.5866796270719&lt;/D&gt;&lt;D xsi:type="xsd:double"&gt;13.8810436342627&lt;/D&gt;&lt;D xsi:type="xsd:double"&gt;13.769537392674&lt;/D&gt;&lt;D xsi:type="xsd:double"&gt;14.295945242106&lt;/D&gt;&lt;D xsi:type="xsd:double"&gt;14.2739681310682&lt;/D&gt;&lt;D xsi:type="xsd:double"&gt;14.4543699521625&lt;/D&gt;&lt;D xsi:type="xsd:double"&gt;14.8830097279104&lt;/D&gt;&lt;D xsi:type="xsd:double"&gt;12.3609884938578&lt;/D&gt;&lt;D xsi:type="xsd:double"&gt;14.6933365726659&lt;/D&gt;&lt;D xsi:type="xsd:double"&gt;17.6747450695753&lt;/D&gt;&lt;D xsi:type="xsd:double"&gt;17.5365475514038&lt;/D&gt;&lt;D xsi:type="xsd:double"&gt;17.5855953729004&lt;/D&gt;&lt;D xsi:type="xsd:double"&gt;17.5708133361772&lt;/D&gt;&lt;D xsi:type="xsd:double"&gt;16.747630176199&lt;/D&gt;&lt;D xsi:type="xsd:double"&gt;16.4952905881851&lt;/D&gt;&lt;D xsi:type="xsd:double"&gt;16.1457604429991&lt;/D&gt;&lt;D xsi:type="xsd:double"&gt;16.1704747839626&lt;/D&gt;&lt;D xsi:type="xsd:double"&gt;16.1667006994007&lt;/D&gt;&lt;D xsi:type="xsd:double"&gt;16.1822307636254&lt;/D&gt;&lt;D xsi:type="xsd:double"&gt;15.5852539170192&lt;/D&gt;&lt;D xsi:type="xsd:double"&gt;15.6017763757538&lt;/D&gt;&lt;D xsi:type="xsd:double"&gt;15.4382275574268&lt;/D&gt;&lt;D xsi:type="xsd:double"&gt;15.5821467785511&lt;/D&gt;&lt;D xsi:type="xsd:double"&gt;15.5256302553181&lt;/D&gt;&lt;D xsi:type="xsd:double"&gt;15.1078359664142&lt;/D&gt;&lt;D xsi:type="xsd:double"&gt;14.8635048274522&lt;/D&gt;&lt;D xsi:type="xsd:double"&gt;14.5578412872593&lt;/D&gt;&lt;D xsi:type="xsd:double"&gt;14.9812373941129&lt;/D&gt;&lt;D xsi:type="xsd:double"&gt;14.2121602392571&lt;/D&gt;&lt;D xsi:type="xsd:double"&gt;14.3944731564101&lt;/D&gt;&lt;D xsi:type="xsd:double"&gt;14.3682561642342&lt;/D&gt;&lt;D xsi:type="xsd:double"&gt;13.5264539735141&lt;/D&gt;&lt;D xsi:type="xsd:double"&gt;13.3920569808281&lt;/D&gt;&lt;D xsi:type="xsd:double"&gt;11.92074747716&lt;/D&gt;&lt;D xsi:type="xsd:double"&gt;12.0595160011186&lt;/D&gt;&lt;D xsi:type="xsd:double"&gt;11.0921535577953&lt;/D&gt;&lt;D xsi:type="xsd:double"&gt;11.7380472650546&lt;/D&gt;&lt;D xsi:type="xsd:double"&gt;11.6262405811149&lt;/D&gt;&lt;D xsi:type="xsd:double"&gt;10.633483834628&lt;/D&gt;&lt;D xsi:type="xsd:double"&gt;11.9564720952585&lt;/D&gt;&lt;D xsi:type="xsd:double"&gt;12.1594861715241&lt;/D&gt;&lt;D xsi:type="xsd:double"&gt;12.3983011990643&lt;/D&gt;&lt;D xsi:type="xsd:double"&gt;12.8805298087573&lt;/D&gt;&lt;D xsi:type="xsd:double"&gt;12.4714298943157&lt;/D&gt;&lt;D xsi:type="xsd:double"&gt;12.8849376191797&lt;/D&gt;&lt;D xsi:type="xsd:double"&gt;13.0102907485771&lt;/D&gt;&lt;D xsi:type="xsd:double"&gt;12.8537991193252&lt;/D&gt;&lt;D xsi:type="xsd:double"&gt;12.8591963209082&lt;/D&gt;&lt;D xsi:type="xsd:double"&gt;13.2612575674658&lt;/D&gt;&lt;D xsi:type="xsd:double"&gt;13.0550904452868&lt;/D&gt;&lt;D xsi:type="xsd:double"&gt;12.6471443519169&lt;/D&gt;&lt;D xsi:type="xsd:double"&gt;12.4872963005758&lt;/D&gt;&lt;D xsi:type="xsd:double"&gt;13.1611396916657&lt;/D&gt;&lt;D xsi:type="xsd:double"&gt;13.5955195424149&lt;/D&gt;&lt;D xsi:type="xsd:double"&gt;13.8926919256997&lt;/D&gt;&lt;D xsi:type="xsd:double"&gt;14.4640422521099&lt;/D&gt;&lt;D xsi:type="xsd:double"&gt;14.6644513364516&lt;/D&gt;&lt;/FQL&gt;&lt;FQL&gt;&lt;Q&gt;USDSEK^FG_PRICE_CHANGE(0,-3AM)&lt;/Q&gt;&lt;R&gt;1&lt;/R&gt;&lt;C&gt;1&lt;/C&gt;&lt;D xsi:type="xsd:double"&gt;4.7281384&lt;/D&gt;&lt;/FQL&gt;&lt;FQL&gt;&lt;Q&gt;EWG^FMA_DIV_YLD(NTMA,-10AY,0,AM,"PORTAGG","MEANR")&lt;/Q&gt;&lt;R&gt;121&lt;/R&gt;&lt;C&gt;1&lt;/C&gt;&lt;D xsi:type="xsd:double"&gt;3.05735964159449&lt;/D&gt;&lt;D xsi:type="xsd:double"&gt;3.02201102096729&lt;/D&gt;&lt;D xsi:type="xsd:double"&gt;2.96629070079728&lt;/D&gt;&lt;D xsi:type="xsd:double"&gt;3.10477820995579&lt;/D&gt;&lt;D xsi:type="xsd:double"&gt;3.26265531550129&lt;/D&gt;&lt;D xsi:type="xsd:double"&gt;3.10944423168624&lt;/D&gt;&lt;D xsi:type="xsd:double"&gt;3.44366313081434&lt;/D&gt;&lt;D xsi:type="xsd:double"&gt;3.29287443282985&lt;/D&gt;&lt;D xsi:type="xsd:double"&gt;3.16942774955146&lt;/D&gt;&lt;D xsi:type="xsd:double"&gt;3.23809334138701&lt;/D&gt;&lt;D xsi:type="xsd:double"&gt;2.9443839503697&lt;/D&gt;&lt;D xsi:type="xsd:double"&gt;2.69424565226019&lt;/D&gt;&lt;D xsi:type="xsd:double"&gt;2.60633719784107&lt;/D&gt;&lt;D xsi:type="xsd:double"&gt;2.83807176161337&lt;/D&gt;&lt;D xsi:type="xsd:double"&gt;2.97359917900191&lt;/D&gt;&lt;D xsi:type="xsd:double"&gt;2.99985936476937&lt;/D&gt;&lt;D xsi:type="xsd:double"&gt;3.02486378795582&lt;/D&gt;&lt;D xsi:type="xsd:double"&gt;3.37282846320245&lt;/D&gt;&lt;D xsi:type="xsd:double"&gt;3.30474400999604&lt;/D&gt;&lt;D xsi:type="xsd:double"&gt;2.97937048237063&lt;/D&gt;&lt;D xsi:type="xsd:double"&gt;3.14603142088753&lt;/D&gt;&lt;D xsi:type="xsd:double"&gt;3.32623645068152&lt;/D&gt;&lt;D xsi:type="xsd:double"&gt;3.74879912317149&lt;/D&gt;&lt;D xsi:type="xsd:double"&gt;3.33529131160523&lt;/D&gt;&lt;D xsi:type="xsd:double"&gt;3.3892853609743&lt;/D&gt;&lt;D xsi:type="xsd:double"&gt;3.33830006876263&lt;/D&gt;&lt;D xsi:type="xsd:double"&gt;3.4186106729556&lt;/D&gt;&lt;D xsi:type="xsd:double"&gt;3.43008711549204&lt;/D&gt;&lt;D xsi:type="xsd:double"&gt;3.1339545408625&lt;/D&gt;&lt;D xsi:type="xsd:double"&gt;3.18462599176139&lt;/D&gt;&lt;D xsi:type="xsd:double"&gt;3.14207783878134&lt;/D&gt;&lt;D xsi:type="xsd:double"&gt;3.17717326560003&lt;/D&gt;&lt;D xsi:type="xsd:double"&gt;3.0388274934947&lt;/D&gt;&lt;D xsi:type="xsd:double"&gt;2.9379228836923&lt;/D&gt;&lt;D xsi:type="xsd:double"&gt;2.97462062373004&lt;/D&gt;&lt;D xsi:type="xsd:double"&gt;2.95471489324386&lt;/D&gt;&lt;D xsi:type="xsd:double"&gt;2.93630368038807&lt;/D&gt;&lt;D xsi:type="xsd:double"&gt;2.87830573476721&lt;/D&gt;&lt;D xsi:type="xsd:double"&gt;2.9050955420522&lt;/D&gt;&lt;D xsi:type="xsd:double"&gt;3.01509007875563&lt;/D&gt;&lt;D xsi:type="xsd:double"&gt;3.13089452200739&lt;/D&gt;&lt;D xsi:type="xsd:double"&gt;3.05871418380932&lt;/D&gt;&lt;D xsi:type="xsd:double"&gt;2.95669364923216&lt;/D&gt;&lt;D xsi:type="xsd:double"&gt;2.92047883043325&lt;/D&gt;&lt;D xsi:type="xsd:double"&gt;2.90490776996785&lt;/D&gt;&lt;D xsi:type="xsd:double"&gt;2.89580749699441&lt;/D&gt;&lt;D xsi:type="xsd:double"&gt;3.19950504726284&lt;/D&gt;&lt;D xsi:type="xsd:double"&gt;3.14791412114316&lt;/D&gt;&lt;D xsi:type="xsd:double"&gt;3.21786092780106&lt;/D&gt;&lt;D xsi:type="xsd:double"&gt;3.09773286075758&lt;/D&gt;&lt;D xsi:type="xsd:double"&gt;3.13359018347147&lt;/D&gt;&lt;D xsi:type="xsd:double"&gt;3.24627203932159&lt;/D&gt;&lt;D xsi:type="xsd:double"&gt;3.25195249270802&lt;/D&gt;&lt;D xsi:type="xsd:double"&gt;3.37012152957509&lt;/D&gt;&lt;D xsi:type="xsd:double"&gt;3.5414034675482&lt;/D&gt;&lt;D xsi:type="xsd:double"&gt;3.58925817903421&lt;/D&gt;&lt;D xsi:type="xsd:double"&gt;3.85813964465166&lt;/D&gt;&lt;D xsi:type="xsd:double"&gt;3.82866141842785&lt;/D&gt;&lt;D xsi:type="xsd:double"&gt;3.76866409502181&lt;/D&gt;&lt;D xsi:type="xsd:double"&gt;3.61164561687488&lt;/D&gt;&lt;D xsi:type="xsd:double"&gt;3.49919011853287&lt;/D&gt;&lt;D xsi:type="xsd:double"&gt;3.50930678667879&lt;/D&gt;&lt;D xsi:type="xsd:double"&gt;3.55330028185207&lt;/D&gt;&lt;D xsi:type="xsd:double"&gt;3.4817423335076&lt;/D&gt;&lt;D xsi:type="xsd:double"&gt;3.6003553181979&lt;/D&gt;&lt;D xsi:type="xsd:double"&gt;3.39568905264812&lt;/D&gt;&lt;D xsi:type="xsd:double"&gt;3.37765149597833&lt;/D&gt;&lt;D xsi:type="xsd:double"&gt;3.14311337538505&lt;/D&gt;&lt;D xsi:type="xsd:double"&gt;3.12017552860434&lt;/D&gt;&lt;D xsi:type="xsd:double"&gt;3.05129721228659&lt;/D&gt;&lt;D xsi:type="xsd:double"&gt;3.03520810114927&lt;/D&gt;&lt;D xsi:type="xsd:double"&gt;3.915838489406&lt;/D&gt;&lt;D xsi:type="xsd:double"&gt;3.58605127018635&lt;/D&gt;&lt;D xsi:type="xsd:double"&gt;3.34377891944796&lt;/D&gt;&lt;D xsi:type="xsd:double"&gt;2.97822866691369&lt;/D&gt;&lt;D xsi:type="xsd:double"&gt;2.85308277595171&lt;/D&gt;&lt;D xsi:type="xsd:double"&gt;2.8163593046431&lt;/D&gt;&lt;D xsi:type="xsd:double"&gt;2.79505898533113&lt;/D&gt;&lt;D xsi:type="xsd:double"&gt;2.81431585644167&lt;/D&gt;&lt;D xsi:type="xsd:double"&gt;2.84406706402069&lt;/D&gt;&lt;D xsi:type="xsd:double"&gt;2.82466590761592&lt;/D&gt;&lt;D xsi:type="xsd:double"&gt;2.71400710394261&lt;/D&gt;&lt;D xsi:type="xsd:double"&gt;2.73023764266485&lt;/D&gt;&lt;D xsi:type="xsd:double"&gt;2.73573731358226&lt;/D&gt;&lt;D xsi:type="xsd:double"&gt;2.68523363488801&lt;/D&gt;&lt;D xsi:type="xsd:double"&gt;2.849861260354&lt;/D&gt;&lt;D xsi:type="xsd:double"&gt;2.77463956726167&lt;/D&gt;&lt;D xsi:type="xsd:double"&gt;2.79882999570092&lt;/D&gt;&lt;D xsi:type="xsd:double"&gt;2.84118021151196&lt;/D&gt;&lt;D xsi:type="xsd:double"&gt;2.87352855639462&lt;/D&gt;&lt;D xsi:type="xsd:double"&gt;2.99773697678603&lt;/D&gt;&lt;D xsi:type="xsd:double"&gt;2.93856521463692&lt;/D&gt;&lt;D xsi:type="xsd:double"&gt;3.05878748173642&lt;/D&gt;&lt;D xsi:type="xsd:double"&gt;3.05504897669262&lt;/D&gt;&lt;D xsi:type="xsd:double"&gt;3.20275345369466&lt;/D&gt;&lt;D xsi:type="xsd:double"&gt;3.69004429689762&lt;/D&gt;&lt;D xsi:type="xsd:double"&gt;3.59784656787531&lt;/D&gt;&lt;D xsi:type="xsd:double"&gt;3.85980291895976&lt;/D&gt;&lt;D xsi:type="xsd:double"&gt;3.91628965229692&lt;/D&gt;&lt;D xsi:type="xsd:double"&gt;4.19605006934319&lt;/D&gt;&lt;D xsi:type="xsd:double"&gt;3.9421593245201&lt;/D&gt;&lt;D xsi:type="xsd:double"&gt;4.113209353651&lt;/D&gt;&lt;D xsi:type="xsd:double"&gt;4.44802771135323&lt;/D&gt;&lt;D xsi:type="xsd:double"&gt;3.8063664522364&lt;/D&gt;&lt;D xsi:type="xsd:double"&gt;3.74377167481525&lt;/D&gt;&lt;D xsi:type="xsd:double"&gt;3.57006076233301&lt;/D&gt;&lt;D xsi:type="xsd:double"&gt;3.48209913954179&lt;/D&gt;&lt;D xsi:type="xsd:double"&gt;3.53782530576025&lt;/D&gt;&lt;D xsi:type="xsd:double"&gt;3.53716426202476&lt;/D&gt;&lt;D xsi:type="xsd:double"&gt;3.58063593967219&lt;/D&gt;&lt;D xsi:type="xsd:double"&gt;3.64755064448519&lt;/D&gt;&lt;D xsi:type="xsd:double"&gt;3.72237435478828&lt;/D&gt;&lt;D xsi:type="xsd:double"&gt;3.72068146938854&lt;/D&gt;&lt;D xsi:type="xsd:double"&gt;3.7434961066809&lt;/D&gt;&lt;D xsi:type="xsd:double"&gt;3.84616943875515&lt;/D&gt;&lt;D xsi:type="xsd:double"&gt;3.88351064577612&lt;/D&gt;&lt;D xsi:type="xsd:double"&gt;3.53954840113507&lt;/D&gt;&lt;D xsi:type="xsd:double"&gt;3.62483080140524&lt;/D&gt;&lt;D xsi:type="xsd:double"&gt;3.53884266251168&lt;/D&gt;&lt;D xsi:type="xsd:double"&gt;3.34132114098394&lt;/D&gt;&lt;D xsi:type="xsd:double"&gt;3.28722235223823&lt;/D&gt;&lt;/FQL&gt;&lt;FQL&gt;&lt;Q&gt;BRENT-FDS^FG_PRICE(0)&lt;/Q&gt;&lt;R&gt;1&lt;/R&gt;&lt;C&gt;1&lt;/C&gt;&lt;D xsi:type="xsd:double"&gt;85.86&lt;/D&gt;&lt;/FQL&gt;&lt;FQL&gt;&lt;Q&gt;CAGDPY@US^EE_ACTUAL_ANNUAL(MED,0)&lt;/Q&gt;&lt;R&gt;1&lt;/R&gt;&lt;C&gt;1&lt;/C&gt;&lt;D xsi:type="xsd:double"&gt;-2.99561673751749&lt;/D&gt;&lt;/FQL&gt;&lt;FQL&gt;&lt;Q&gt;CAGDPY@NZ^EE_ACTUAL_ANNUAL(MED,0)&lt;/Q&gt;&lt;R&gt;1&lt;/R&gt;&lt;C&gt;1&lt;/C&gt;&lt;D xsi:type="xsd:double"&gt;-6.9&lt;/D&gt;&lt;/FQL&gt;&lt;FQL&gt;&lt;Q&gt;USDITL^FG_PRICE(0)&lt;/Q&gt;&lt;R&gt;1&lt;/R&gt;&lt;C&gt;1&lt;/C&gt;&lt;D xsi:type="xsd:double"&gt;1808.6685&lt;/D&gt;&lt;/FQL&gt;&lt;FQL&gt;&lt;Q&gt;USDANG^FG_PRICE(0)&lt;/Q&gt;&lt;R&gt;1&lt;/R&gt;&lt;C&gt;1&lt;/C&gt;&lt;D xsi:type="xsd:double"&gt;1.79&lt;/D&gt;&lt;/FQL&gt;&lt;FQL&gt;&lt;Q&gt;USDGBP^FG_PRICE(0)&lt;/Q&gt;&lt;R&gt;1&lt;/R&gt;&lt;C&gt;1&lt;/C&gt;&lt;D xsi:type="xsd:double"&gt;0.7987539&lt;/D&gt;&lt;/FQL&gt;&lt;FQL&gt;&lt;Q&gt;USDJPY^FG_PRICE(0)&lt;/Q&gt;&lt;R&gt;1&lt;/R&gt;&lt;C&gt;1&lt;/C&gt;&lt;D xsi:type="xsd:double"&gt;153.285&lt;/D&gt;&lt;/FQL&gt;&lt;FQL&gt;&lt;Q&gt;USDCAD^FG_PRICE(0)&lt;/Q&gt;&lt;R&gt;1&lt;/R&gt;&lt;C&gt;1&lt;/C&gt;&lt;D xsi:type="xsd:double"&gt;1.37175&lt;/D&gt;&lt;/FQL&gt;&lt;FQL&gt;&lt;Q&gt;USDNZD^FG_PRICE(0)&lt;/Q&gt;&lt;R&gt;1&lt;/R&gt;&lt;C&gt;1&lt;/C&gt;&lt;D xsi:type="xsd:double"&gt;1.6737802&lt;/D&gt;&lt;/FQL&gt;&lt;FQL&gt;&lt;Q&gt;EWI^P_PRICE_RETURNS_PR('52W',2,-10AY,0,AM)&lt;/Q&gt;&lt;R&gt;121&lt;/R&gt;&lt;C&gt;1&lt;/C&gt;&lt;D xsi:type="xsd:double"&gt;43.81328&lt;/D&gt;&lt;D xsi:type="xsd:double"&gt;35.626484&lt;/D&gt;&lt;D xsi:type="xsd:double"&gt;41.88912&lt;/D&gt;&lt;D xsi:type="xsd:double"&gt;39.275753&lt;/D&gt;&lt;D xsi:type="xsd:double"&gt;14.815653&lt;/D&gt;&lt;D xsi:type="xsd:double"&gt;19.080317&lt;/D&gt;&lt;D xsi:type="xsd:double"&gt;-3.4401894&lt;/D&gt;&lt;D xsi:type="xsd:double"&gt;-3.1117022&lt;/D&gt;&lt;D xsi:type="xsd:double"&gt;-2.0462334&lt;/D&gt;&lt;D xsi:type="xsd:double"&gt;-16.682983&lt;/D&gt;&lt;D xsi:type="xsd:double"&gt;-12.481033&lt;/D&gt;&lt;D xsi:type="xsd:double"&gt;-14.133138&lt;/D&gt;&lt;D xsi:type="xsd:double"&gt;-11.398989&lt;/D&gt;&lt;D xsi:type="xsd:double"&gt;-9.376287&lt;/D&gt;&lt;D xsi:type="xsd:double"&gt;-10.317362&lt;/D&gt;&lt;D xsi:type="xsd:double"&gt;-6.457293&lt;/D&gt;&lt;D xsi:type="xsd:double"&gt;4.799354&lt;/D&gt;&lt;D xsi:type="xsd:double"&gt;-6.054282&lt;/D&gt;&lt;D xsi:type="xsd:double"&gt;7.553613&lt;/D&gt;&lt;D xsi:type="xsd:double"&gt;2.1139503&lt;/D&gt;&lt;D xsi:type="xsd:double"&gt;-0.07815957&lt;/D&gt;&lt;D xsi:type="xsd:double"&gt;2.1486402&lt;/D&gt;&lt;D xsi:type="xsd:double"&gt;-20.760065&lt;/D&gt;&lt;D xsi:type="xsd:double"&gt;-9.896982&lt;/D&gt;&lt;D xsi:type="xsd:double"&gt;-19.44036&lt;/D&gt;&lt;D xsi:type="xsd:double"&gt;-20.627457&lt;/D&gt;&lt;D xsi:type="xsd:double"&gt;-24.54905&lt;/D&gt;&lt;D xsi:type="xsd:double"&gt;-28.259998&lt;/D&gt;&lt;D xsi:type="xsd:double"&gt;-26.33304&lt;/D&gt;&lt;D xsi:type="xsd:double"&gt;-19.545109&lt;/D&gt;&lt;D xsi:type="xsd:double"&gt;-26.236898&lt;/D&gt;&lt;D xsi:type="xsd:double"&gt;-20.764833&lt;/D&gt;&lt;D xsi:type="xsd:double"&gt;-13.947892&lt;/D&gt;&lt;D xsi:type="xsd:double"&gt;-0.83925724&lt;/D&gt;&lt;D xsi:type="xsd:double"&gt;10.771108&lt;/D&gt;&lt;D xsi:type="xsd:double"&gt;6.208098&lt;/D&gt;&lt;D xsi:type="xsd:double"&gt;9.9424&lt;/D&gt;&lt;D xsi:type="xsd:double"&gt;19.372225&lt;/D&gt;&lt;D xsi:type="xsd:double"&gt;20.288288&lt;/D&gt;&lt;D xsi:type="xsd:double"&gt;37.721027&lt;/D&gt;&lt;D xsi:type="xsd:double"&gt;35.031963&lt;/D&gt;&lt;D xsi:type="xsd:double"&gt;39.63957&lt;/D&gt;&lt;D xsi:type="xsd:double"&gt;47.67562&lt;/D&gt;&lt;D xsi:type="xsd:double"&gt;42.66759&lt;/D&gt;&lt;D xsi:type="xsd:double"&gt;37.10028&lt;/D&gt;&lt;D xsi:type="xsd:double"&gt;35.565376&lt;/D&gt;&lt;D xsi:type="xsd:double"&gt;36.365734&lt;/D&gt;&lt;D xsi:type="xsd:double"&gt;36.285877&lt;/D&gt;&lt;D xsi:type="xsd:double"&gt;34.033775&lt;/D&gt;&lt;D xsi:type="xsd:double"&gt;24.101437&lt;/D&gt;&lt;D xsi:type="xsd:double"&gt;11.339796&lt;/D&gt;&lt;D xsi:type="xsd:double"&gt;5.181575&lt;/D&gt;&lt;D xsi:type="xsd:double"&gt;-3.4802139&lt;/D&gt;&lt;D xsi:type="xsd:double"&gt;-6.9309235&lt;/D&gt;&lt;D xsi:type="xsd:double"&gt;-14.662486&lt;/D&gt;&lt;D xsi:type="xsd:double"&gt;-14.641464&lt;/D&gt;&lt;D xsi:type="xsd:double"&gt;-18.630445&lt;/D&gt;&lt;D xsi:type="xsd:double"&gt;-18.651522&lt;/D&gt;&lt;D xsi:type="xsd:double"&gt;-15.853394&lt;/D&gt;&lt;D xsi:type="xsd:double"&gt;-13.727129&lt;/D&gt;&lt;D xsi:type="xsd:double"&gt;-11.235189&lt;/D&gt;&lt;D xsi:type="xsd:double"&gt;-14.768988&lt;/D&gt;&lt;D xsi:type="xsd:double"&gt;-6.838375&lt;/D&gt;&lt;D xsi:type="xsd:double"&gt;3.140986&lt;/D&gt;&lt;D xsi:type="xsd:double"&gt;-5.4775057&lt;/D&gt;&lt;D xsi:type="xsd:double"&gt;3.1881452&lt;/D&gt;&lt;D xsi:type="xsd:double"&gt;12.832737&lt;/D&gt;&lt;D xsi:type="xsd:double"&gt;21.27409&lt;/D&gt;&lt;D xsi:type="xsd:double"&gt;23.111797&lt;/D&gt;&lt;D xsi:type="xsd:double"&gt;20.115936&lt;/D&gt;&lt;D xsi:type="xsd:double"&gt;22.177172&lt;/D&gt;&lt;D xsi:type="xsd:double"&gt;-14.337873&lt;/D&gt;&lt;D xsi:type="xsd:double"&gt;-20.528275&lt;/D&gt;&lt;D xsi:type="xsd:double"&gt;-21.28777&lt;/D&gt;&lt;D xsi:type="xsd:double"&gt;-11.958843&lt;/D&gt;&lt;D xsi:type="xsd:double"&gt;-10.991359&lt;/D&gt;&lt;D xsi:type="xsd:double"&gt;1.4357924&lt;/D&gt;&lt;D xsi:type="xsd:double"&gt;-5.02373&lt;/D&gt;&lt;D xsi:type="xsd:double"&gt;-4.81236&lt;/D&gt;&lt;D xsi:type="xsd:double"&gt;-6.64593&lt;/D&gt;&lt;D xsi:type="xsd:double"&gt;1.8901587&lt;/D&gt;&lt;D xsi:type="xsd:double"&gt;3.1517148&lt;/D&gt;&lt;D xsi:type="xsd:double"&gt;4.220915&lt;/D&gt;&lt;D xsi:type="xsd:double"&gt;44.874657&lt;/D&gt;&lt;D xsi:type="xsd:double"&gt;50.167538&lt;/D&gt;&lt;D xsi:type="xsd:double"&gt;59.429146&lt;/D&gt;&lt;D xsi:type="xsd:double"&gt;49.77491&lt;/D&gt;&lt;D xsi:type="xsd:double"&gt;34.666157&lt;/D&gt;&lt;D xsi:type="xsd:double"&gt;32.770584&lt;/D&gt;&lt;D xsi:type="xsd:double"&gt;29.371489&lt;/D&gt;&lt;D xsi:type="xsd:double"&gt;29.024733&lt;/D&gt;&lt;D xsi:type="xsd:double"&gt;27.927912&lt;/D&gt;&lt;D xsi:type="xsd:double"&gt;13.712776&lt;/D&gt;&lt;D xsi:type="xsd:double"&gt;14.078641&lt;/D&gt;&lt;D xsi:type="xsd:double"&gt;7.3375583&lt;/D&gt;&lt;D xsi:type="xsd:double"&gt;-12.605101&lt;/D&gt;&lt;D xsi:type="xsd:double"&gt;-5.924201&lt;/D&gt;&lt;D xsi:type="xsd:double"&gt;-15.534491&lt;/D&gt;&lt;D xsi:type="xsd:double"&gt;-21.45728&lt;/D&gt;&lt;D xsi:type="xsd:double"&gt;-24.542475&lt;/D&gt;&lt;D xsi:type="xsd:double"&gt;-21.667141&lt;/D&gt;&lt;D xsi:type="xsd:double"&gt;-23.75772&lt;/D&gt;&lt;D xsi:type="xsd:double"&gt;-29.566061&lt;/D&gt;&lt;D xsi:type="xsd:double"&gt;-15.555531&lt;/D&gt;&lt;D xsi:type="xsd:double"&gt;-11.833096&lt;/D&gt;&lt;D xsi:type="xsd:double"&gt;-8.579599&lt;/D&gt;&lt;D xsi:type="xsd:double"&gt;-3.799808&lt;/D&gt;&lt;D xsi:type="xsd:double"&gt;13.878655&lt;/D&gt;&lt;D xsi:type="xsd:double"&gt;12.148714&lt;/D&gt;&lt;D xsi:type="xsd:double"&gt;23.104668&lt;/D&gt;&lt;D xsi:type="xsd:double"&gt;18.269575&lt;/D&gt;&lt;D xsi:type="xsd:double"&gt;42.416298&lt;/D&gt;&lt;D xsi:type="xsd:double"&gt;31.808674&lt;/D&gt;&lt;D xsi:type="xsd:double"&gt;37.960564&lt;/D&gt;&lt;D xsi:type="xsd:double"&gt;48.445847&lt;/D&gt;&lt;D xsi:type="xsd:double"&gt;21.05466&lt;/D&gt;&lt;D xsi:type="xsd:double"&gt;26.91412&lt;/D&gt;&lt;D xsi:type="xsd:double"&gt;20.041143&lt;/D&gt;&lt;D xsi:type="xsd:double"&gt;15.485358&lt;/D&gt;&lt;D xsi:type="xsd:double"&gt;28.177774&lt;/D&gt;&lt;D xsi:type="xsd:double"&gt;21.576107&lt;/D&gt;&lt;/FQL&gt;&lt;FQL&gt;&lt;Q&gt;EWN^FG_TOTAL_RETURNC(-10AY,0,AM)&lt;/Q&gt;&lt;R&gt;121&lt;/R&gt;&lt;C&gt;1&lt;/C&gt;&lt;D xsi:type="xsd:double"&gt;-0.23446679&lt;/D&gt;&lt;D xsi:type="xsd:double"&gt;0.39168596&lt;/D&gt;&lt;D xsi:type="xsd:double"&gt;1.9118309&lt;/D&gt;&lt;D xsi:type="xsd:double"&gt;-3.3866107&lt;/D&gt;&lt;D xsi:type="xsd:double"&gt;-3.6924958&lt;/D&gt;&lt;D xsi:type="xsd:double"&gt;2.9960155&lt;/D&gt;&lt;D xsi:type="xsd:double"&gt;-7.2823405&lt;/D&gt;&lt;D xsi:type="xsd:double"&gt;5.397105&lt;/D&gt;&lt;D xsi:type="xsd:double"&gt;1.4154911&lt;/D&gt;&lt;D xsi:type="xsd:double"&gt;-5.053985&lt;/D&gt;&lt;D xsi:type="xsd:double"&gt;5.683303&lt;/D&gt;&lt;D xsi:type="xsd:double"&gt;2.3398995&lt;/D&gt;&lt;D xsi:type="xsd:double"&gt;4.412353&lt;/D&gt;&lt;D xsi:type="xsd:double"&gt;1.8056035&lt;/D&gt;&lt;D xsi:type="xsd:double"&gt;0.9056568&lt;/D&gt;&lt;D xsi:type="xsd:double"&gt;-0.60043335&lt;/D&gt;&lt;D xsi:type="xsd:double"&gt;1.0658503&lt;/D&gt;&lt;D xsi:type="xsd:double"&gt;-9.039545&lt;/D&gt;&lt;D xsi:type="xsd:double"&gt;1.325047&lt;/D&gt;&lt;D xsi:type="xsd:double"&gt;2.0433187&lt;/D&gt;&lt;D xsi:type="xsd:double"&gt;-5.5666804&lt;/D&gt;&lt;D xsi:type="xsd:double"&gt;-3.7799776&lt;/D&gt;&lt;D xsi:type="xsd:double"&gt;-4.3902454&lt;/D&gt;&lt;D xsi:type="xsd:double"&gt;12.755108&lt;/D&gt;&lt;D xsi:type="xsd:double"&gt;0.08227825&lt;/D&gt;&lt;D xsi:type="xsd:double"&gt;0.65761805&lt;/D&gt;&lt;D xsi:type="xsd:double"&gt;-1.5108168&lt;/D&gt;&lt;D xsi:type="xsd:double"&gt;-2.9702961&lt;/D&gt;&lt;D xsi:type="xsd:double"&gt;6.892073&lt;/D&gt;&lt;D xsi:type="xsd:double"&gt;-0.48661232&lt;/D&gt;&lt;D xsi:type="xsd:double"&gt;-0.040751696&lt;/D&gt;&lt;D xsi:type="xsd:double"&gt;-3.0574799&lt;/D&gt;&lt;D xsi:type="xsd:double"&gt;1.0513067&lt;/D&gt;&lt;D xsi:type="xsd:double"&gt;3.016746&lt;/D&gt;&lt;D xsi:type="xsd:double"&gt;2.373159&lt;/D&gt;&lt;D xsi:type="xsd:double"&gt;6.5547585&lt;/D&gt;&lt;D xsi:type="xsd:double"&gt;0.562644&lt;/D&gt;&lt;D xsi:type="xsd:double"&gt;7.348013&lt;/D&gt;&lt;D xsi:type="xsd:double"&gt;2.6059747&lt;/D&gt;&lt;D xsi:type="xsd:double"&gt;0.33472776&lt;/D&gt;&lt;D xsi:type="xsd:double"&gt;3.792274&lt;/D&gt;&lt;D xsi:type="xsd:double"&gt;2.6991487&lt;/D&gt;&lt;D xsi:type="xsd:double"&gt;1.8910289&lt;/D&gt;&lt;D xsi:type="xsd:double"&gt;-1.6357362&lt;/D&gt;&lt;D xsi:type="xsd:double"&gt;1.4070988&lt;/D&gt;&lt;D xsi:type="xsd:double"&gt;2.9445052&lt;/D&gt;&lt;D xsi:type="xsd:double"&gt;-4.0049257&lt;/D&gt;&lt;D xsi:type="xsd:double"&gt;4.589224&lt;/D&gt;&lt;D xsi:type="xsd:double"&gt;-0.33752918&lt;/D&gt;&lt;D xsi:type="xsd:double"&gt;-1.139158&lt;/D&gt;&lt;D xsi:type="xsd:double"&gt;0.9031534&lt;/D&gt;&lt;D xsi:type="xsd:double"&gt;-3.6118388&lt;/D&gt;&lt;D xsi:type="xsd:double"&gt;-0.09762049&lt;/D&gt;&lt;D xsi:type="xsd:double"&gt;-1.9869745&lt;/D&gt;&lt;D xsi:type="xsd:double"&gt;-6.4805627&lt;/D&gt;&lt;D xsi:type="xsd:double"&gt;2.4520278&lt;/D&gt;&lt;D xsi:type="xsd:double"&gt;-5.5844603&lt;/D&gt;&lt;D xsi:type="xsd:double"&gt;0.075519085&lt;/D&gt;&lt;D xsi:type="xsd:double"&gt;4.9428225&lt;/D&gt;&lt;D xsi:type="xsd:double"&gt;2.8822541&lt;/D&gt;&lt;D xsi:type="xsd:double"&gt;4.783058&lt;/D&gt;&lt;D xsi:type="xsd:double"&gt;0.6194949&lt;/D&gt;&lt;D xsi:type="xsd:double"&gt;0.84251165&lt;/D&gt;&lt;D xsi:type="xsd:double"&gt;1.5061378&lt;/D&gt;&lt;D xsi:type="xsd:double"&gt;-2.0434618&lt;/D&gt;&lt;D xsi:type="xsd:double"&gt;4.801321&lt;/D&gt;&lt;D xsi:type="xsd:double"&gt;-0.063192844&lt;/D&gt;&lt;D xsi:type="xsd:double"&gt;3.2880187&lt;/D&gt;&lt;D xsi:type="xsd:double"&gt;1.4386296&lt;/D&gt;&lt;D xsi:type="xsd:double"&gt;2.2287846&lt;/D&gt;&lt;D xsi:type="xsd:double"&gt;1.8968582&lt;/D&gt;&lt;D xsi:type="xsd:double"&gt;-19.80803&lt;/D&gt;&lt;D xsi:type="xsd:double"&gt;-0.036269426&lt;/D&gt;&lt;D xsi:type="xsd:double"&gt;4.4992685&lt;/D&gt;&lt;D xsi:type="xsd:double"&gt;7.708335&lt;/D&gt;&lt;D xsi:type="xsd:double"&gt;10.3622675&lt;/D&gt;&lt;D xsi:type="xsd:double"&gt;2.2627115&lt;/D&gt;&lt;D xsi:type="xsd:double"&gt;1.2068987&lt;/D&gt;&lt;D xsi:type="xsd:double"&gt;4.2021513&lt;/D&gt;&lt;D xsi:type="xsd:double"&gt;3.6512256&lt;/D&gt;&lt;D xsi:type="xsd:double"&gt;5.3890586&lt;/D&gt;&lt;D xsi:type="xsd:double"&gt;6.232941&lt;/D&gt;&lt;D xsi:type="xsd:double"&gt;7.0435762&lt;/D&gt;&lt;D xsi:type="xsd:double"&gt;-0.2860844&lt;/D&gt;&lt;D xsi:type="xsd:double"&gt;5.8927298&lt;/D&gt;&lt;D xsi:type="xsd:double"&gt;-0.6461084&lt;/D&gt;&lt;D xsi:type="xsd:double"&gt;5.033362&lt;/D&gt;&lt;D xsi:type="xsd:double"&gt;-3.1162083&lt;/D&gt;&lt;D xsi:type="xsd:double"&gt;5.8933377&lt;/D&gt;&lt;D xsi:type="xsd:double"&gt;3.5077453&lt;/D&gt;&lt;D xsi:type="xsd:double"&gt;-7.251036&lt;/D&gt;&lt;D xsi:type="xsd:double"&gt;7.1851373&lt;/D&gt;&lt;D xsi:type="xsd:double"&gt;-6.0940742&lt;/D&gt;&lt;D xsi:type="xsd:double"&gt;-0.034826994&lt;/D&gt;&lt;D xsi:type="xsd:double"&gt;-8.348608&lt;/D&gt;&lt;D xsi:type="xsd:double"&gt;-14.419013&lt;/D&gt;&lt;D xsi:type="xsd:double"&gt;4.8805833&lt;/D&gt;&lt;D xsi:type="xsd:double"&gt;-11.509907&lt;/D&gt;&lt;D xsi:type="xsd:double"&gt;3.491187&lt;/D&gt;&lt;D xsi:type="xsd:double"&gt;-7.256299&lt;/D&gt;&lt;D xsi:type="xsd:double"&gt;12.488926&lt;/D&gt;&lt;D xsi:type="xsd:double"&gt;-8.2939625&lt;/D&gt;&lt;D xsi:type="xsd:double"&gt;-14.081276&lt;/D&gt;&lt;D xsi:type="xsd:double"&gt;25.749493&lt;/D&gt;&lt;D xsi:type="xsd:double"&gt;3.0463576&lt;/D&gt;&lt;D xsi:type="xsd:double"&gt;6.5703154&lt;/D&gt;&lt;D xsi:type="xsd:double"&gt;0.9466052&lt;/D&gt;&lt;D xsi:type="xsd:double"&gt;-4.376054&lt;/D&gt;&lt;D xsi:type="xsd:double"&gt;6.1855674&lt;/D&gt;&lt;D xsi:type="xsd:double"&gt;-0.6393552&lt;/D&gt;&lt;D xsi:type="xsd:double"&gt;1.0601163&lt;/D&gt;&lt;D xsi:type="xsd:double"&gt;2.6111722&lt;/D&gt;&lt;D xsi:type="xsd:double"&gt;-0.4647851&lt;/D&gt;&lt;D xsi:type="xsd:double"&gt;-6.5374794&lt;/D&gt;&lt;D xsi:type="xsd:double"&gt;-3.4723938&lt;/D&gt;&lt;D xsi:type="xsd:double"&gt;3.80435&lt;/D&gt;&lt;D xsi:type="xsd:double"&gt;7.6788783&lt;/D&gt;&lt;D xsi:type="xsd:double"&gt;1.6875982&lt;/D&gt;&lt;D xsi:type="xsd:double"&gt;8.648777&lt;/D&gt;&lt;D xsi:type="xsd:double"&gt;2.34375&lt;/D&gt;&lt;D xsi:type="xsd:double"&gt;2.145648&lt;/D&gt;&lt;/FQL&gt;&lt;FQL&gt;&lt;Q&gt;SPY^FMA_DIV_YLD(NTMA,-10AY,0,AM,"PORTAGG","MEANR")&lt;/Q&gt;&lt;R&gt;121&lt;/R&gt;&lt;C&gt;1&lt;/C&gt;&lt;D xsi:type="xsd:double"&gt;2.2377633820496&lt;/D&gt;&lt;D xsi:type="xsd:double"&gt;2.16447193329157&lt;/D&gt;&lt;D xsi:type="xsd:double"&gt;2.10694597288078&lt;/D&gt;&lt;D xsi:type="xsd:double"&gt;2.09999318935238&lt;/D&gt;&lt;D xsi:type="xsd:double"&gt;2.14905674284075&lt;/D&gt;&lt;D xsi:type="xsd:double"&gt;2.09601848491903&lt;/D&gt;&lt;D xsi:type="xsd:double"&gt;2.21104821185827&lt;/D&gt;&lt;D xsi:type="xsd:double"&gt;2.08943500819661&lt;/D&gt;&lt;D xsi:type="xsd:double"&gt;2.11450657020264&lt;/D&gt;&lt;D xsi:type="xsd:double"&gt;2.12001625623554&lt;/D&gt;&lt;D xsi:type="xsd:double"&gt;2.13107715552629&lt;/D&gt;&lt;D xsi:type="xsd:double"&gt;2.20428114645751&lt;/D&gt;&lt;D xsi:type="xsd:double"&gt;2.14719230192098&lt;/D&gt;&lt;D xsi:type="xsd:double"&gt;2.15710987745838&lt;/D&gt;&lt;D xsi:type="xsd:double"&gt;2.16264997671443&lt;/D&gt;&lt;D xsi:type="xsd:double"&gt;2.19483531868702&lt;/D&gt;&lt;D xsi:type="xsd:double"&gt;2.21782471067056&lt;/D&gt;&lt;D xsi:type="xsd:double"&gt;2.3678583434001&lt;/D&gt;&lt;D xsi:type="xsd:double"&gt;2.30970880384733&lt;/D&gt;&lt;D xsi:type="xsd:double"&gt;2.27434156761827&lt;/D&gt;&lt;D xsi:type="xsd:double"&gt;2.34103294675335&lt;/D&gt;&lt;D xsi:type="xsd:double"&gt;2.46484935821878&lt;/D&gt;&lt;D xsi:type="xsd:double"&gt;2.45182025901469&lt;/D&gt;&lt;D xsi:type="xsd:double"&gt;2.47519773454617&lt;/D&gt;&lt;D xsi:type="xsd:double"&gt;2.29179874134034&lt;/D&gt;&lt;D xsi:type="xsd:double"&gt;2.29270141173246&lt;/D&gt;&lt;D xsi:type="xsd:double"&gt;2.27710953304458&lt;/D&gt;&lt;D xsi:type="xsd:double"&gt;2.24414840435916&lt;/D&gt;&lt;D xsi:type="xsd:double"&gt;2.20100067632346&lt;/D&gt;&lt;D xsi:type="xsd:double"&gt;2.26317548959492&lt;/D&gt;&lt;D xsi:type="xsd:double"&gt;2.25490875326439&lt;/D&gt;&lt;D xsi:type="xsd:double"&gt;2.23891481056996&lt;/D&gt;&lt;D xsi:type="xsd:double"&gt;2.16289050591605&lt;/D&gt;&lt;D xsi:type="xsd:double"&gt;2.15944661425271&lt;/D&gt;&lt;D xsi:type="xsd:double"&gt;2.14117898857405&lt;/D&gt;&lt;D xsi:type="xsd:double"&gt;2.10103240225839&lt;/D&gt;&lt;D xsi:type="xsd:double"&gt;2.1270782557172&lt;/D&gt;&lt;D xsi:type="xsd:double"&gt;2.10601337622223&lt;/D&gt;&lt;D xsi:type="xsd:double"&gt;2.08510706554299&lt;/D&gt;&lt;D xsi:type="xsd:double"&gt;2.1164381560793&lt;/D&gt;&lt;D xsi:type="xsd:double"&gt;2.11521825969821&lt;/D&gt;&lt;D xsi:type="xsd:double"&gt;2.08499289871638&lt;/D&gt;&lt;D xsi:type="xsd:double"&gt;2.03621042040131&lt;/D&gt;&lt;D xsi:type="xsd:double"&gt;2.03271670486126&lt;/D&gt;&lt;D xsi:type="xsd:double"&gt;1.96681663098966&lt;/D&gt;&lt;D xsi:type="xsd:double"&gt;1.90167278905507&lt;/D&gt;&lt;D xsi:type="xsd:double"&gt;2.0390592771745&lt;/D&gt;&lt;D xsi:type="xsd:double"&gt;1.94003063748878&lt;/D&gt;&lt;D xsi:type="xsd:double"&gt;2.0650293118626&lt;/D&gt;&lt;D xsi:type="xsd:double"&gt;2.02027602670771&lt;/D&gt;&lt;D xsi:type="xsd:double"&gt;1.99166721083648&lt;/D&gt;&lt;D xsi:type="xsd:double"&gt;2.02136875391547&lt;/D&gt;&lt;D xsi:type="xsd:double"&gt;1.99644665563204&lt;/D&gt;&lt;D xsi:type="xsd:double"&gt;1.96927984988813&lt;/D&gt;&lt;D xsi:type="xsd:double"&gt;2.09642588240479&lt;/D&gt;&lt;D xsi:type="xsd:double"&gt;2.06010003386089&lt;/D&gt;&lt;D xsi:type="xsd:double"&gt;2.19258008146937&lt;/D&gt;&lt;D xsi:type="xsd:double"&gt;2.24375147571903&lt;/D&gt;&lt;D xsi:type="xsd:double"&gt;2.16493448629511&lt;/D&gt;&lt;D xsi:type="xsd:double"&gt;2.11355914333017&lt;/D&gt;&lt;D xsi:type="xsd:double"&gt;2.05472550576892&lt;/D&gt;&lt;D xsi:type="xsd:double"&gt;2.06853723100161&lt;/D&gt;&lt;D xsi:type="xsd:double"&gt;2.08019442167009&lt;/D&gt;&lt;D xsi:type="xsd:double"&gt;2.0126347190307&lt;/D&gt;&lt;D xsi:type="xsd:double"&gt;2.0763283764553&lt;/D&gt;&lt;D xsi:type="xsd:double"&gt;2.03057786637583&lt;/D&gt;&lt;D xsi:type="xsd:double"&gt;2.06222022390803&lt;/D&gt;&lt;D xsi:type="xsd:double"&gt;1.99766919749838&lt;/D&gt;&lt;D xsi:type="xsd:double"&gt;1.97442205458748&lt;/D&gt;&lt;D xsi:type="xsd:double"&gt;1.91553767791581&lt;/D&gt;&lt;D xsi:type="xsd:double"&gt;1.87837648037086&lt;/D&gt;&lt;D xsi:type="xsd:double"&gt;2.31303839369285&lt;/D&gt;&lt;D xsi:type="xsd:double"&gt;2.22091959953362&lt;/D&gt;&lt;D xsi:type="xsd:double"&gt;2.07214044204913&lt;/D&gt;&lt;D xsi:type="xsd:double"&gt;2.00554867570137&lt;/D&gt;&lt;D xsi:type="xsd:double"&gt;1.86872958196418&lt;/D&gt;&lt;D xsi:type="xsd:double"&gt;1.78405411306599&lt;/D&gt;&lt;D xsi:type="xsd:double"&gt;1.78440200093759&lt;/D&gt;&lt;D xsi:type="xsd:double"&gt;1.71714817510006&lt;/D&gt;&lt;D xsi:type="xsd:double"&gt;1.67620420598014&lt;/D&gt;&lt;D xsi:type="xsd:double"&gt;1.63847504157568&lt;/D&gt;&lt;D xsi:type="xsd:double"&gt;1.56102517174522&lt;/D&gt;&lt;D xsi:type="xsd:double"&gt;1.53112648945175&lt;/D&gt;&lt;D xsi:type="xsd:double"&gt;1.53069403000381&lt;/D&gt;&lt;D xsi:type="xsd:double"&gt;1.4672829559412&lt;/D&gt;&lt;D xsi:type="xsd:double"&gt;1.46960083346098&lt;/D&gt;&lt;D xsi:type="xsd:double"&gt;1.44916551126818&lt;/D&gt;&lt;D xsi:type="xsd:double"&gt;1.42534876475446&lt;/D&gt;&lt;D xsi:type="xsd:double"&gt;1.41464751370966&lt;/D&gt;&lt;D xsi:type="xsd:double"&gt;1.42084747442791&lt;/D&gt;&lt;D xsi:type="xsd:double"&gt;1.46036447268824&lt;/D&gt;&lt;D xsi:type="xsd:double"&gt;1.38018938746268&lt;/D&gt;&lt;D xsi:type="xsd:double"&gt;1.36841887243866&lt;/D&gt;&lt;D xsi:type="xsd:double"&gt;1.37120842134008&lt;/D&gt;&lt;D xsi:type="xsd:double"&gt;1.48589212247229&lt;/D&gt;&lt;D xsi:type="xsd:double"&gt;1.56939307361354&lt;/D&gt;&lt;D xsi:type="xsd:double"&gt;1.48971085911437&lt;/D&gt;&lt;D xsi:type="xsd:double"&gt;1.6812355798081&lt;/D&gt;&lt;D xsi:type="xsd:double"&gt;1.71017178436021&lt;/D&gt;&lt;D xsi:type="xsd:double"&gt;1.74252746765732&lt;/D&gt;&lt;D xsi:type="xsd:double"&gt;1.61147966512459&lt;/D&gt;&lt;D xsi:type="xsd:double"&gt;1.68024943720507&lt;/D&gt;&lt;D xsi:type="xsd:double"&gt;1.90838921330728&lt;/D&gt;&lt;D xsi:type="xsd:double"&gt;1.72972864021681&lt;/D&gt;&lt;D xsi:type="xsd:double"&gt;1.76063096863434&lt;/D&gt;&lt;D xsi:type="xsd:double"&gt;1.75016138650996&lt;/D&gt;&lt;D xsi:type="xsd:double"&gt;1.70964206828533&lt;/D&gt;&lt;D xsi:type="xsd:double"&gt;1.82008805087509&lt;/D&gt;&lt;D xsi:type="xsd:double"&gt;1.71556082005749&lt;/D&gt;&lt;D xsi:type="xsd:double"&gt;1.70555090291697&lt;/D&gt;&lt;D xsi:type="xsd:double"&gt;1.64940523281427&lt;/D&gt;&lt;D xsi:type="xsd:double"&gt;1.60051212625247&lt;/D&gt;&lt;D xsi:type="xsd:double"&gt;1.60424391274015&lt;/D&gt;&lt;D xsi:type="xsd:double"&gt;1.60243694232239&lt;/D&gt;&lt;D xsi:type="xsd:double"&gt;1.65550858038689&lt;/D&gt;&lt;D xsi:type="xsd:double"&gt;1.64559336083481&lt;/D&gt;&lt;D xsi:type="xsd:double"&gt;1.57973262142596&lt;/D&gt;&lt;D xsi:type="xsd:double"&gt;1.54069259495976&lt;/D&gt;&lt;D xsi:type="xsd:double"&gt;1.48648694132239&lt;/D&gt;&lt;D xsi:type="xsd:double"&gt;1.46684704493385&lt;/D&gt;&lt;D xsi:type="xsd:double"&gt;1.44397114569048&lt;/D&gt;&lt;/FQL&gt;&lt;FQL&gt;&lt;Q&gt;EWU^FMA_PE(NTMA,-10AY,0,AM,"PORTAGG","MEANR")&lt;/Q&gt;&lt;R&gt;121&lt;/R&gt;&lt;C&gt;1&lt;/C&gt;&lt;D xsi:type="xsd:double"&gt;13.0762560623144&lt;/D&gt;&lt;D xsi:type="xsd:double"&gt;13.6092472610369&lt;/D&gt;&lt;D xsi:type="xsd:double"&gt;13.6648989825643&lt;/D&gt;&lt;D xsi:type="xsd:double"&gt;13.4705476197054&lt;/D&gt;&lt;D xsi:type="xsd:double"&gt;13.2889465838814&lt;/D&gt;&lt;D xsi:type="xsd:double"&gt;13.3706986723975&lt;/D&gt;&lt;D xsi:type="xsd:double"&gt;12.5069967406504&lt;/D&gt;&lt;D xsi:type="xsd:double"&gt;13.3917479464262&lt;/D&gt;&lt;D xsi:type="xsd:double"&gt;13.5282266126228&lt;/D&gt;&lt;D xsi:type="xsd:double"&gt;13.6574947514962&lt;/D&gt;&lt;D xsi:type="xsd:double"&gt;15.336208644109&lt;/D&gt;&lt;D xsi:type="xsd:double"&gt;15.1335206255697&lt;/D&gt;&lt;D xsi:type="xsd:double"&gt;16.0803042769955&lt;/D&gt;&lt;D xsi:type="xsd:double"&gt;16.2479356209188&lt;/D&gt;&lt;D xsi:type="xsd:double"&gt;15.7159697690335&lt;/D&gt;&lt;D xsi:type="xsd:double"&gt;15.2118083680274&lt;</t>
        </r>
      </text>
    </comment>
    <comment ref="A6" authorId="0" shapeId="0" xr:uid="{3D7A129F-DC48-44E5-BEF7-C479979232E5}">
      <text>
        <r>
          <rPr>
            <b/>
            <sz val="9"/>
            <color indexed="81"/>
            <rFont val="Tahoma"/>
            <charset val="1"/>
          </rPr>
          <t>/D&gt;&lt;D xsi:type="xsd:double"&gt;15.3723210295655&lt;/D&gt;&lt;D xsi:type="xsd:double"&gt;14.325634596936&lt;/D&gt;&lt;D xsi:type="xsd:double"&gt;15.3093024904814&lt;/D&gt;&lt;D xsi:type="xsd:double"&gt;15.2086428510713&lt;/D&gt;&lt;D xsi:type="xsd:double"&gt;14.5504639555129&lt;/D&gt;&lt;D xsi:type="xsd:double"&gt;14.4149357757584&lt;/D&gt;&lt;D xsi:type="xsd:double"&gt;14.3459433544902&lt;/D&gt;&lt;D xsi:type="xsd:double"&gt;16.020247807802&lt;/D&gt;&lt;D xsi:type="xsd:double"&gt;16.1041398702929&lt;/D&gt;&lt;D xsi:type="xsd:double"&gt;15.8049922131335&lt;/D&gt;&lt;D xsi:type="xsd:double"&gt;15.456618916032&lt;/D&gt;&lt;D xsi:type="xsd:double"&gt;16.0387945197243&lt;/D&gt;&lt;D xsi:type="xsd:double"&gt;16.3529542493336&lt;/D&gt;&lt;D xsi:type="xsd:double"&gt;15.7862466416168&lt;/D&gt;&lt;D xsi:type="xsd:double"&gt;15.5253735063551&lt;/D&gt;&lt;D xsi:type="xsd:double"&gt;14.3743852810301&lt;/D&gt;&lt;D xsi:type="xsd:double"&gt;14.4597164461922&lt;/D&gt;&lt;D xsi:type="xsd:double"&gt;14.4127411852019&lt;/D&gt;&lt;D xsi:type="xsd:double"&gt;14.5121104342617&lt;/D&gt;&lt;D xsi:type="xsd:double"&gt;14.3415333034341&lt;/D&gt;&lt;D xsi:type="xsd:double"&gt;14.4925347863581&lt;/D&gt;&lt;D xsi:type="xsd:double"&gt;14.5895890380697&lt;/D&gt;&lt;D xsi:type="xsd:double"&gt;14.7216397543999&lt;/D&gt;&lt;D xsi:type="xsd:double"&gt;14.3969144131089&lt;/D&gt;&lt;D xsi:type="xsd:double"&gt;14.4243020492942&lt;/D&gt;&lt;D xsi:type="xsd:double"&gt;14.6419703772834&lt;/D&gt;&lt;D xsi:type="xsd:double"&gt;14.6262773573593&lt;/D&gt;&lt;D xsi:type="xsd:double"&gt;14.3707702445482&lt;/D&gt;&lt;D xsi:type="xsd:double"&gt;14.3561488322185&lt;/D&gt;&lt;D xsi:type="xsd:double"&gt;14.7589401057589&lt;/D&gt;&lt;D xsi:type="xsd:double"&gt;13.3277442334801&lt;/D&gt;&lt;D xsi:type="xsd:double"&gt;13.5669654160062&lt;/D&gt;&lt;D xsi:type="xsd:double"&gt;13.6229763994972&lt;/D&gt;&lt;D xsi:type="xsd:double"&gt;13.9891439125936&lt;/D&gt;&lt;D xsi:type="xsd:double"&gt;13.618191830355&lt;/D&gt;&lt;D xsi:type="xsd:double"&gt;13.1591292439607&lt;/D&gt;&lt;D xsi:type="xsd:double"&gt;13.0323955034441&lt;/D&gt;&lt;D xsi:type="xsd:double"&gt;12.3539425229695&lt;/D&gt;&lt;D xsi:type="xsd:double"&gt;11.8834158727692&lt;/D&gt;&lt;D xsi:type="xsd:double"&gt;11.9317973522365&lt;/D&gt;&lt;D xsi:type="xsd:double"&gt;11.3641677993985&lt;/D&gt;&lt;D xsi:type="xsd:double"&gt;11.8642334111706&lt;/D&gt;&lt;D xsi:type="xsd:double"&gt;12.2991729578137&lt;/D&gt;&lt;D xsi:type="xsd:double"&gt;12.3446009391539&lt;/D&gt;&lt;D xsi:type="xsd:double"&gt;12.7521685424105&lt;/D&gt;&lt;D xsi:type="xsd:double"&gt;12.2672687034365&lt;/D&gt;&lt;D xsi:type="xsd:double"&gt;12.5373441899382&lt;/D&gt;&lt;D xsi:type="xsd:double"&gt;12.6340554096781&lt;/D&gt;&lt;D xsi:type="xsd:double"&gt;11.9960559987459&lt;/D&gt;&lt;D xsi:type="xsd:double"&gt;12.3402014013513&lt;/D&gt;&lt;D xsi:type="xsd:double"&gt;12.4399017020382&lt;/D&gt;&lt;D xsi:type="xsd:double"&gt;12.7847128518943&lt;/D&gt;&lt;D xsi:type="xsd:double"&gt;12.8665603196985&lt;/D&gt;&lt;D xsi:type="xsd:double"&gt;13.4547045043235&lt;/D&gt;&lt;D xsi:type="xsd:double"&gt;13.4326657965616&lt;/D&gt;&lt;D xsi:type="xsd:double"&gt;10.9508504682805&lt;/D&gt;&lt;D xsi:type="xsd:double"&gt;13.2268588411147&lt;/D&gt;&lt;D xsi:type="xsd:double"&gt;15.127820986487&lt;/D&gt;&lt;D xsi:type="xsd:double"&gt;15.9053278761599&lt;/D&gt;&lt;D xsi:type="xsd:double"&gt;15.611971592685&lt;/D&gt;&lt;D xsi:type="xsd:double"&gt;15.7583813548374&lt;/D&gt;&lt;D xsi:type="xsd:double"&gt;15.0329870958657&lt;/D&gt;&lt;D xsi:type="xsd:double"&gt;14.5779776535393&lt;/D&gt;&lt;D xsi:type="xsd:double"&gt;14.858434212399&lt;/D&gt;&lt;D xsi:type="xsd:double"&gt;14.7996997800261&lt;/D&gt;&lt;D xsi:type="xsd:double"&gt;14.7103256562065&lt;/D&gt;&lt;D xsi:type="xsd:double"&gt;13.9494768346473&lt;/D&gt;&lt;D xsi:type="xsd:double"&gt;14.0823871173839&lt;/D&gt;&lt;D xsi:type="xsd:double"&gt;13.5394060118599&lt;/D&gt;&lt;D xsi:type="xsd:double"&gt;13.1801255662324&lt;/D&gt;&lt;D xsi:type="xsd:double"&gt;13.2186602462703&lt;/D&gt;&lt;D xsi:type="xsd:double"&gt;12.6549612460289&lt;/D&gt;&lt;D xsi:type="xsd:double"&gt;12.4487261259886&lt;/D&gt;&lt;D xsi:type="xsd:double"&gt;11.9763149903769&lt;/D&gt;&lt;D xsi:type="xsd:double"&gt;12.1561525044762&lt;/D&gt;&lt;D xsi:type="xsd:double"&gt;12.1852295371646&lt;/D&gt;&lt;D xsi:type="xsd:double"&gt;11.937358230028&lt;/D&gt;&lt;D xsi:type="xsd:double"&gt;12.3552529551934&lt;/D&gt;&lt;D xsi:type="xsd:double"&gt;12.4026246652188&lt;/D&gt;&lt;D xsi:type="xsd:double"&gt;11.3002413503728&lt;/D&gt;&lt;D xsi:type="xsd:double"&gt;11.240085705904&lt;/D&gt;&lt;D xsi:type="xsd:double"&gt;10.1903512516835&lt;/D&gt;&lt;D xsi:type="xsd:double"&gt;9.98848077975791&lt;/D&gt;&lt;D xsi:type="xsd:double"&gt;9.46837324083893&lt;/D&gt;&lt;D xsi:type="xsd:double"&gt;9.83352248817194&lt;/D&gt;&lt;D xsi:type="xsd:double"&gt;9.3115187694151&lt;/D&gt;&lt;D xsi:type="xsd:double"&gt;8.57115513446453&lt;/D&gt;&lt;D xsi:type="xsd:double"&gt;9.39165872909164&lt;/D&gt;&lt;D xsi:type="xsd:double"&gt;9.94151921735834&lt;/D&gt;&lt;D xsi:type="xsd:double"&gt;10.209156475051&lt;/D&gt;&lt;D xsi:type="xsd:double"&gt;10.5515497273308&lt;/D&gt;&lt;D xsi:type="xsd:double"&gt;10.32587977174&lt;/D&gt;&lt;D xsi:type="xsd:double"&gt;10.6396540402666&lt;/D&gt;&lt;D xsi:type="xsd:double"&gt;10.4763236281283&lt;/D&gt;&lt;D xsi:type="xsd:double"&gt;10.2968231814355&lt;/D&gt;&lt;D xsi:type="xsd:double"&gt;10.0874773322366&lt;/D&gt;&lt;D xsi:type="xsd:double"&gt;10.5021592194265&lt;/D&gt;&lt;D xsi:type="xsd:double"&gt;10.3838492151111&lt;/D&gt;&lt;D xsi:type="xsd:double"&gt;10.4707329281691&lt;/D&gt;&lt;D xsi:type="xsd:double"&gt;10.0711363812022&lt;/D&gt;&lt;D xsi:type="xsd:double"&gt;10.6217836602048&lt;/D&gt;&lt;D xsi:type="xsd:double"&gt;10.9008523725563&lt;/D&gt;&lt;D xsi:type="xsd:double"&gt;11.0054962533022&lt;/D&gt;&lt;D xsi:type="xsd:double"&gt;11.2650526144613&lt;/D&gt;&lt;D xsi:type="xsd:double"&gt;11.522912625928&lt;/D&gt;&lt;/FQL&gt;&lt;FQL&gt;&lt;Q&gt;EWJ^FMA_PE(LTMA,-10AY,0,AM,"PORTAGG","MEANR")&lt;/Q&gt;&lt;R&gt;121&lt;/R&gt;&lt;C&gt;1&lt;/C&gt;&lt;D xsi:type="xsd:double"&gt;15.2797395733791&lt;/D&gt;&lt;D xsi:type="xsd:double"&gt;15.1688181548055&lt;/D&gt;&lt;D xsi:type="xsd:double"&gt;15.3136442885065&lt;/D&gt;&lt;D xsi:type="xsd:double"&gt;15.1876667938493&lt;/D&gt;&lt;D xsi:type="xsd:double"&gt;14.9660388038514&lt;/D&gt;&lt;D xsi:type="xsd:double"&gt;15.2328550519898&lt;/D&gt;&lt;D xsi:type="xsd:double"&gt;14.6983497259631&lt;/D&gt;&lt;D xsi:type="xsd:double"&gt;15.7437846241602&lt;/D&gt;&lt;D xsi:type="xsd:double"&gt;15.6419922454167&lt;/D&gt;&lt;D xsi:type="xsd:double"&gt;15.5625901440065&lt;/D&gt;&lt;D xsi:type="xsd:double"&gt;15.775651640085&lt;/D&gt;&lt;D xsi:type="xsd:double"&gt;16.8778533600497&lt;/D&gt;&lt;D xsi:type="xsd:double"&gt;16.9086024667639&lt;/D&gt;&lt;D xsi:type="xsd:double"&gt;16.9595808291801&lt;/D&gt;&lt;D xsi:type="xsd:double"&gt;17.0082793018715&lt;/D&gt;&lt;D xsi:type="xsd:double"&gt;16.4777221502367&lt;/D&gt;&lt;D xsi:type="xsd:double"&gt;16.9513512083092&lt;/D&gt;&lt;D xsi:type="xsd:double"&gt;15.4554872071275&lt;/D&gt;&lt;D xsi:type="xsd:double"&gt;15.6083422029541&lt;/D&gt;&lt;D xsi:type="xsd:double"&gt;16.1923365552196&lt;/D&gt;&lt;D xsi:type="xsd:double"&gt;15.7344265555179&lt;/D&gt;&lt;D xsi:type="xsd:double"&gt;14.6395682307881&lt;/D&gt;&lt;D xsi:type="xsd:double"&gt;13.0545657044529&lt;/D&gt;&lt;D xsi:type="xsd:double"&gt;13.8980621957561&lt;/D&gt;&lt;D xsi:type="xsd:double"&gt;13.6258164058338&lt;/D&gt;&lt;D xsi:type="xsd:double"&gt;13.8376359310508&lt;/D&gt;&lt;D xsi:type="xsd:double"&gt;14.0301570735055&lt;/D&gt;&lt;D xsi:type="xsd:double"&gt;13.7526772907481&lt;/D&gt;&lt;D xsi:type="xsd:double"&gt;14.0870045472117&lt;/D&gt;&lt;D xsi:type="xsd:double"&gt;14.4021382193022&lt;/D&gt;&lt;D xsi:type="xsd:double"&gt;14.4541319662101&lt;/D&gt;&lt;D xsi:type="xsd:double"&gt;14.726368354767&lt;/D&gt;&lt;D xsi:type="xsd:double"&gt;16.4007547075462&lt;/D&gt;&lt;D xsi:type="xsd:double"&gt;16.7136866081716&lt;/D&gt;&lt;D xsi:type="xsd:double"&gt;16.3935407048128&lt;/D&gt;&lt;D xsi:type="xsd:double"&gt;15.9556360058039&lt;/D&gt;&lt;D xsi:type="xsd:double"&gt;15.6079172909583&lt;/D&gt;&lt;D xsi:type="xsd:double"&gt;15.7228038425008&lt;/D&gt;&lt;D xsi:type="xsd:double"&gt;15.6504208498473&lt;/D&gt;&lt;D xsi:type="xsd:double"&gt;15.5345717234751&lt;/D&gt;&lt;D xsi:type="xsd:double"&gt;15.1952121941301&lt;/D&gt;&lt;D xsi:type="xsd:double"&gt;14.7850834332444&lt;/D&gt;&lt;D xsi:type="xsd:double"&gt;15.05692787685&lt;/D&gt;&lt;D xsi:type="xsd:double"&gt;15.8660551661815&lt;/D&gt;&lt;D xsi:type="xsd:double"&gt;16.2671424816563&lt;/D&gt;&lt;D xsi:type="xsd:double"&gt;17.0347338282773&lt;/D&gt;&lt;D xsi:type="xsd:double"&gt;15.18742475902&lt;/D&gt;&lt;D xsi:type="xsd:double"&gt;14.3828924480937&lt;/D&gt;&lt;D xsi:type="xsd:double"&gt;14.2361664154318&lt;/D&gt;&lt;D xsi:type="xsd:double"&gt;14.3065771505919&lt;/D&gt;&lt;D xsi:type="xsd:double"&gt;14.1753839717359&lt;/D&gt;&lt;D xsi:type="xsd:double"&gt;13.7674428918904&lt;/D&gt;&lt;D xsi:type="xsd:double"&gt;13.6898952277831&lt;/D&gt;&lt;D xsi:type="xsd:double"&gt;13.4049735973249&lt;/D&gt;&lt;D xsi:type="xsd:double"&gt;13.2581926299185&lt;/D&gt;&lt;D xsi:type="xsd:double"&gt;12.9243749325811&lt;/D&gt;&lt;D xsi:type="xsd:double"&gt;12.1755550802937&lt;/D&gt;&lt;D xsi:type="xsd:double"&gt;11.7916340124008&lt;/D&gt;&lt;D xsi:type="xsd:double"&gt;12.054706773505&lt;/D&gt;&lt;D xsi:type="xsd:double"&gt;12.6577263890739&lt;/D&gt;&lt;D xsi:type="xsd:double"&gt;12.7281548725462&lt;/D&gt;&lt;D xsi:type="xsd:double"&gt;12.6222250151243&lt;/D&gt;&lt;D xsi:type="xsd:double"&gt;12.8288345007114&lt;/D&gt;&lt;D xsi:type="xsd:double"&gt;12.9937824423541&lt;/D&gt;&lt;D xsi:type="xsd:double"&gt;12.7371439303625&lt;/D&gt;&lt;D xsi:type="xsd:double"&gt;13.3407384211866&lt;/D&gt;&lt;D xsi:type="xsd:double"&gt;13.5026267430712&lt;/D&gt;&lt;D xsi:type="xsd:double"&gt;14.4452322673432&lt;/D&gt;&lt;D xsi:type="xsd:double"&gt;15.0425609801813&lt;/D&gt;&lt;D xsi:type="xsd:double"&gt;15.4591426689193&lt;/D&gt;&lt;D xsi:type="xsd:double"&gt;15.3569143906531&lt;/D&gt;&lt;D xsi:type="xsd:double"&gt;13.7683132731338&lt;/D&gt;&lt;D xsi:type="xsd:double"&gt;13.8930910281329&lt;/D&gt;&lt;D xsi:type="xsd:double"&gt;14.5102030047708&lt;/D&gt;&lt;D xsi:type="xsd:double"&gt;16.3212898776875&lt;/D&gt;&lt;D xsi:type="xsd:double"&gt;17.1175849699691&lt;/D&gt;&lt;D xsi:type="xsd:double"&gt;18.2981507693505&lt;/D&gt;&lt;D xsi:type="xsd:double"&gt;19.524945383709&lt;/D&gt;&lt;D xsi:type="xsd:double"&gt;20.4710416830593&lt;/D&gt;&lt;D xsi:type="xsd:double"&gt;21.9176193200833&lt;/D&gt;&lt;D xsi:type="xsd:double"&gt;22.7323813936746&lt;/D&gt;&lt;D xsi:type="xsd:double"&gt;23.9895117546849&lt;/D&gt;&lt;D xsi:type="xsd:double"&gt;23.7397587763756&lt;/D&gt;&lt;D xsi:type="xsd:double"&gt;21.5502240432215&lt;/D&gt;&lt;D xsi:type="xsd:double"&gt;21.2109846671376&lt;/D&gt;&lt;D xsi:type="xsd:double"&gt;20.5639759056877&lt;/D&gt;&lt;D xsi:type="xsd:double"&gt;20.1178244086418&lt;/D&gt;&lt;D xsi:type="xsd:double"&gt;19.4675773440235&lt;/D&gt;&lt;D xsi:type="xsd:double"&gt;19.0300191081041&lt;/D&gt;&lt;D xsi:type="xsd:double"&gt;18.8208439901965&lt;/D&gt;&lt;D xsi:type="xsd:double"&gt;17.7358889988985&lt;/D&gt;&lt;D xsi:type="xsd:double"&gt;17.4165365263864&lt;/D&gt;&lt;D xsi:type="xsd:double"&gt;16.4080912461322&lt;/D&gt;&lt;D xsi:type="xsd:double"&gt;16.0102303662014&lt;/D&gt;&lt;D xsi:type="xsd:double"&gt;15.4117522028643&lt;/D&gt;&lt;D xsi:type="xsd:double"&gt;14.5151455940302&lt;/D&gt;&lt;D xsi:type="xsd:double"&gt;14.4562682396466&lt;/D&gt;&lt;D xsi:type="xsd:double"&gt;14.1452240997895&lt;/D&gt;&lt;D xsi:type="xsd:double"&gt;14.2245688527152&lt;/D&gt;&lt;D xsi:type="xsd:double"&gt;13.9318940257478&lt;/D&gt;&lt;D xsi:type="xsd:double"&gt;13.8745139084395&lt;/D&gt;&lt;D xsi:type="xsd:double"&gt;13.7644468516386&lt;/D&gt;&lt;D xsi:type="xsd:double"&gt;13.0475058846797&lt;/D&gt;&lt;D xsi:type="xsd:double"&gt;13.5397537565322&lt;/D&gt;&lt;D xsi:type="xsd:double"&gt;13.3748551246887&lt;/D&gt;&lt;D xsi:type="xsd:double"&gt;12.8774995289419&lt;/D&gt;&lt;D xsi:type="xsd:double"&gt;13.5554161059805&lt;/D&gt;&lt;D xsi:type="xsd:double"&gt;13.6807168734812&lt;/D&gt;&lt;D xsi:type="xsd:double"&gt;13.6354495721319&lt;/D&gt;&lt;D xsi:type="xsd:double"&gt;13.8294651158514&lt;/D&gt;&lt;D xsi:type="xsd:double"&gt;14.3039727170093&lt;/D&gt;&lt;D xsi:type="xsd:double"&gt;14.42345649215&lt;/D&gt;&lt;D xsi:type="xsd:double"&gt;14.6602932244956&lt;/D&gt;&lt;D xsi:type="xsd:double"&gt;14.9221474652885&lt;/D&gt;&lt;D xsi:type="xsd:double"&gt;14.7689873529261&lt;/D&gt;&lt;D xsi:type="xsd:double"&gt;14.9993346125903&lt;/D&gt;&lt;D xsi:type="xsd:double"&gt;15.1332591105222&lt;/D&gt;&lt;D xsi:type="xsd:double"&gt;16.1154407562067&lt;/D&gt;&lt;D xsi:type="xsd:double"&gt;16.4728499440848&lt;/D&gt;&lt;D xsi:type="xsd:double"&gt;16.9758998785812&lt;/D&gt;&lt;D xsi:type="xsd:double"&gt;16.925507371433&lt;/D&gt;&lt;/FQL&gt;&lt;FQL&gt;&lt;Q&gt;WL-FDS^FG_PRICE_CHANGE(0,-1AY)&lt;/Q&gt;&lt;R&gt;1&lt;/R&gt;&lt;C&gt;1&lt;/C&gt;&lt;D xsi:type="xsd:double"&gt;-10.5907473309608&lt;/D&gt;&lt;/FQL&gt;&lt;FQL&gt;&lt;Q&gt;CAGDPY@IT^EE_ACTUAL_ANNUAL(MED,0)&lt;/Q&gt;&lt;R&gt;1&lt;/R&gt;&lt;C&gt;1&lt;/C&gt;&lt;D xsi:type="xsd:double"&gt;0.50816790549232&lt;/D&gt;&lt;/FQL&gt;&lt;FQL&gt;&lt;Q&gt;ENZL^JULIAN(FMA_DIV_YLD(NTMA,-10AY,0,AM,"PORTAGG","MEANR").DATES)&lt;/Q&gt;&lt;R&gt;121&lt;/R&gt;&lt;C&gt;1&lt;/C&gt;&lt;D xsi:type="xsd:long"&gt;41740&lt;/D&gt;&lt;D xsi:type="xsd:long"&gt;41768&lt;/D&gt;&lt;D xsi:type="xsd:long"&gt;41801&lt;/D&gt;&lt;D xsi:type="xsd:long"&gt;41831&lt;/D&gt;&lt;D xsi:type="xsd:long"&gt;41862&lt;/D&gt;&lt;D xsi:type="xsd:long"&gt;41893&lt;/D&gt;&lt;D xsi:type="xsd:long"&gt;41922&lt;/D&gt;&lt;D xsi:type="xsd:long"&gt;41954&lt;/D&gt;&lt;D xsi:type="xsd:long"&gt;41984&lt;/D&gt;&lt;D xsi:type="xsd:long"&gt;42013&lt;/D&gt;&lt;D xsi:type="xsd:long"&gt;42046&lt;/D&gt;&lt;D xsi:type="xsd:long"&gt;42074&lt;/D&gt;&lt;D xsi:type="xsd:long"&gt;42104&lt;/D&gt;&lt;D xsi:type="xsd:long"&gt;42135&lt;/D&gt;&lt;D xsi:type="xsd:long"&gt;42166&lt;/D&gt;&lt;D xsi:type="xsd:long"&gt;42195&lt;/D&gt;&lt;D xsi:type="xsd:long"&gt;42227&lt;/D&gt;&lt;D xsi:type="xsd:long"&gt;42258&lt;/D&gt;&lt;D xsi:type="xsd:long"&gt;42286&lt;/D&gt;&lt;D xsi:type="xsd:long"&gt;42319&lt;/D&gt;&lt;D xsi:type="xsd:long"&gt;42349&lt;/D&gt;&lt;D xsi:type="xsd:long"&gt;42380&lt;/D&gt;&lt;D xsi:type="xsd:long"&gt;42411&lt;/D&gt;&lt;D xsi:type="xsd:long"&gt;42440&lt;/D&gt;&lt;D xsi:type="xsd:long"&gt;42471&lt;/D&gt;&lt;D xsi:type="xsd:long"&gt;42501&lt;/D&gt;&lt;D xsi:type="xsd:long"&gt;42531&lt;/D&gt;&lt;D xsi:type="xsd:long"&gt;42562&lt;/D&gt;&lt;D xsi:type="xsd:long"&gt;42593&lt;/D&gt;&lt;D xsi:type="xsd:long"&gt;42622&lt;/D&gt;&lt;D xsi:type="xsd:long"&gt;42654&lt;/D&gt;&lt;D xsi:type="xsd:long"&gt;42685&lt;/D&gt;&lt;D xsi:type="xsd:long"&gt;42713&lt;/D&gt;&lt;D xsi:type="xsd:long"&gt;42746&lt;/D&gt;&lt;D xsi:type="xsd:long"&gt;42776&lt;/D&gt;&lt;D xsi:type="xsd:long"&gt;42804&lt;/D&gt;&lt;D xsi:type="xsd:long"&gt;42836&lt;/D&gt;&lt;D xsi:type="xsd:long"&gt;42866&lt;/D&gt;&lt;D xsi:type="xsd:long"&gt;42895&lt;/D&gt;&lt;D xsi:type="xsd:long"&gt;42927&lt;/D&gt;&lt;D xsi:type="xsd:long"&gt;42958&lt;/D&gt;&lt;D xsi:type="xsd:long"&gt;42989&lt;/D&gt;&lt;D xsi:type="xsd:long"&gt;43019&lt;/D&gt;&lt;D xsi:type="xsd:long"&gt;43049&lt;/D&gt;&lt;D xsi:type="xsd:long"&gt;43080&lt;/D&gt;&lt;D xsi:type="xsd:long"&gt;43111&lt;/D&gt;&lt;D xsi:type="xsd:long"&gt;43140&lt;/D&gt;&lt;D xsi:type="xsd:long"&gt;43168&lt;/D&gt;&lt;D xsi:type="xsd:long"&gt;43201&lt;/D&gt;&lt;D xsi:type="xsd:long"&gt;43231&lt;/D&gt;&lt;D xsi:type="xsd:long"&gt;43262&lt;/D&gt;&lt;D xsi:type="xsd:long"&gt;43292&lt;/D&gt;&lt;D xsi:type="xsd:long"&gt;43322&lt;/D&gt;&lt;D xsi:type="xsd:long"&gt;43354&lt;/D&gt;&lt;D xsi:type="xsd:long"&gt;43384&lt;/D&gt;&lt;D xsi:type="xsd:long"&gt;43413&lt;/D&gt;&lt;D xsi:type="xsd:long"&gt;43445&lt;/D&gt;&lt;D xsi:type="xsd:long"&gt;43476&lt;/D&gt;&lt;D xsi:type="xsd:long"&gt;43507&lt;/D&gt;&lt;D xsi:type="xsd:long"&gt;43535&lt;/D&gt;&lt;D xsi:type="xsd:long"&gt;43566&lt;/D&gt;&lt;D xsi:type="xsd:long"&gt;43595&lt;/D&gt;&lt;D xsi:type="xsd:long"&gt;43627&lt;/D&gt;&lt;D xsi:type="xsd:long"&gt;43657&lt;/D&gt;&lt;D xsi:type="xsd:long"&gt;43686&lt;/D&gt;&lt;D xsi:type="xsd:long"&gt;43719&lt;/D&gt;&lt;D xsi:type="xsd:long"&gt;43749&lt;/D&gt;&lt;D xsi:type="xsd:long"&gt;43780&lt;/D&gt;&lt;D xsi:type="xsd:long"&gt;43810&lt;/D&gt;&lt;D xsi:type="xsd:long"&gt;43840&lt;/D&gt;&lt;D xsi:type="xsd:long"&gt;43872&lt;/D&gt;&lt;D xsi:type="xsd:long"&gt;43901&lt;/D&gt;&lt;D xsi:type="xsd:long"&gt;43930&lt;/D&gt;&lt;D xsi:type="xsd:long"&gt;43962&lt;/D&gt;&lt;D xsi:type="xsd:long"&gt;43993&lt;/D&gt;&lt;D xsi:type="xsd:long"&gt;44022&lt;/D&gt;&lt;D xsi:type="xsd:long"&gt;44054&lt;/D&gt;&lt;D xsi:type="xsd:long"&gt;44085&lt;/D&gt;&lt;D xsi:type="xsd:long"&gt;44113&lt;/D&gt;&lt;D xsi:type="xsd:long"&gt;44146&lt;/D&gt;&lt;D xsi:type="xsd:long"&gt;44176&lt;/D&gt;&lt;D xsi:type="xsd:long"&gt;44207&lt;/D&gt;&lt;D xsi:type="xsd:long"&gt;44238&lt;/D&gt;&lt;D xsi:type="xsd:long"&gt;44266&lt;/D&gt;&lt;D xsi:type="xsd:long"&gt;44295&lt;/D&gt;&lt;D xsi:type="xsd:long"&gt;44327&lt;/D&gt;&lt;D xsi:type="xsd:long"&gt;44358&lt;/D&gt;&lt;D xsi:type="xsd:long"&gt;44386&lt;/D&gt;&lt;D xsi:type="xsd:long"&gt;44419&lt;/D&gt;&lt;D xsi:type="xsd:long"&gt;44449&lt;/D&gt;&lt;D xsi:type="xsd:long"&gt;44480&lt;/D&gt;&lt;D xsi:type="xsd:long"&gt;44511&lt;/D&gt;&lt;D xsi:type="xsd:long"&gt;44540&lt;/D&gt;&lt;D xsi:type="xsd:long"&gt;44572&lt;/D&gt;&lt;D xsi:type="xsd:long"&gt;44603&lt;/D&gt;&lt;D xsi:type="xsd:long"&gt;44631&lt;/D&gt;&lt;D xsi:type="xsd:long"&gt;44662&lt;/D&gt;&lt;D xsi:type="xsd:long"&gt;44692&lt;/D&gt;&lt;D xsi:type="xsd:long"&gt;44722&lt;/D&gt;&lt;D xsi:type="xsd:long"&gt;44753&lt;/D&gt;&lt;D xsi:type="xsd:long"&gt;44784&lt;/D&gt;&lt;D xsi:type="xsd:long"&gt;44813&lt;/D&gt;&lt;D xsi:type="xsd:long"&gt;44845&lt;/D&gt;&lt;D xsi:type="xsd:long"&gt;44876&lt;/D&gt;&lt;D xsi:type="xsd:long"&gt;44904&lt;/D&gt;&lt;D xsi:type="xsd:long"&gt;44937&lt;/D&gt;&lt;D xsi:type="xsd:long"&gt;44967&lt;/D&gt;&lt;D xsi:type="xsd:long"&gt;44995&lt;/D&gt;&lt;D xsi:type="xsd:long"&gt;45027&lt;/D&gt;&lt;D xsi:type="xsd:long"&gt;45057&lt;/D&gt;&lt;D xsi:type="xsd:long"&gt;45086&lt;/D&gt;&lt;D xsi:type="xsd:long"&gt;45118&lt;/D&gt;&lt;D xsi:type="xsd:long"&gt;45149&lt;/D&gt;&lt;D xsi:type="xsd:long"&gt;45180&lt;/D&gt;&lt;D xsi:type="xsd:long"&gt;45210&lt;/D&gt;&lt;D xsi:type="xsd:long"&gt;45240&lt;/D&gt;&lt;D xsi:type="xsd:long"&gt;45271&lt;/D&gt;&lt;D xsi:type="xsd:long"&gt;45302&lt;/D&gt;&lt;D xsi:type="xsd:long"&gt;45331&lt;/D&gt;&lt;D xsi:type="xsd:long"&gt;45362&lt;/D&gt;&lt;D xsi:type="xsd:long"&gt;45390&lt;/D&gt;&lt;/FQL&gt;&lt;FQL&gt;&lt;Q&gt;USDUSD^STD(FG_PRICE_CHANGE(0,-3AY,M))&lt;/Q&gt;&lt;R&gt;1&lt;/R&gt;&lt;C&gt;1&lt;/C&gt;&lt;D xsi:type="xsd:double"&gt;0&lt;/D&gt;&lt;/FQL&gt;&lt;FQL&gt;&lt;Q&gt;COPP-FDS^FG_PRICE_CHANGE(0,-1AM)&lt;/Q&gt;&lt;R&gt;1&lt;/R&gt;&lt;C&gt;1&lt;/C&gt;&lt;D xsi:type="xsd:double"&gt;8.40025493945187&lt;/D&gt;&lt;/FQL&gt;&lt;FQL&gt;&lt;Q&gt;SPY^FMA_ROE(NTMA,-20AY,NOW,FY,"PORTAGG","MEANR")&lt;/Q&gt;&lt;R&gt;20&lt;/R&gt;&lt;C&gt;1&lt;/C&gt;&lt;D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xsi:type="xsd:double"&gt;18.2857096567651&lt;/D&gt;&lt;D xsi:type="xsd:double"&gt;17.227083507933&lt;/D&gt;&lt;D xsi:type="xsd:double"&gt;20.6818646511774&lt;/D&gt;&lt;D xsi:type="xsd:double"&gt;20.5967285961949&lt;/D&gt;&lt;D xsi:type="xsd:double"&gt;20.3357352039297&lt;/D&gt;&lt;/FQL&gt;&lt;FQL&gt;&lt;Q&gt;TRYAE10Y-FDS^FG_YIELD(-10AY,0,Y,,"YTM")&lt;/Q&gt;&lt;R&gt;10&lt;/R&gt;&lt;C&gt;1&lt;/C&gt;&lt;D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xsi:type="xsd:double"&gt;11.358896&lt;/D&gt;&lt;/FQL&gt;&lt;FQL&gt;&lt;Q&gt;USDJPY^FG_COMPANY_NAME&lt;/Q&gt;&lt;R&gt;1&lt;/R&gt;&lt;C&gt;1&lt;/C&gt;&lt;D xsi:type="xsd:string"&gt;Japanese Yen per U.S. Dollar&lt;/D&gt;&lt;/FQL&gt;&lt;FQL&gt;&lt;Q&gt;EWD^P_PRICE_RETURNS_PR('52W',2,-10AY,0,AM)&lt;/Q&gt;&lt;R&gt;121&lt;/R&gt;&lt;C&gt;1&lt;/C&gt;&lt;D xsi:type="xsd:double"&gt;11.659706&lt;/D&gt;&lt;D xsi:type="xsd:double"&gt;13.59117&lt;/D&gt;&lt;D xsi:type="xsd:double"&gt;17.949163&lt;/D&gt;&lt;D xsi:type="xsd:double"&gt;11.52178&lt;/D&gt;&lt;D xsi:type="xsd:double"&gt;3.4761071&lt;/D&gt;&lt;D xsi:type="xsd:double"&gt;0.2763629&lt;/D&gt;&lt;D xsi:type="xsd:double"&gt;-6.553382&lt;/D&gt;&lt;D xsi:type="xsd:double"&gt;0.7011652&lt;/D&gt;&lt;D xsi:type="xsd:double"&gt;1.7089844&lt;/D&gt;&lt;D xsi:type="xsd:double"&gt;-8.944845&lt;/D&gt;&lt;D xsi:type="xsd:double"&gt;-6.0142937&lt;/D&gt;&lt;D xsi:type="xsd:double"&gt;-6.505066&lt;/D&gt;&lt;D xsi:type="xsd:double"&gt;-2.75082&lt;/D&gt;&lt;D xsi:type="xsd:double"&gt;-2.8966963&lt;/D&gt;&lt;D xsi:type="xsd:double"&gt;-2.3193657&lt;/D&gt;&lt;D xsi:type="xsd:double"&gt;-1.910758&lt;/D&gt;&lt;D xsi:type="xsd:double"&gt;-1.5575528&lt;/D&gt;&lt;D xsi:type="xsd:double"&gt;-2.4409533&lt;/D&gt;&lt;D xsi:type="xsd:double"&gt;4.783976&lt;/D&gt;&lt;D xsi:type="xsd:double"&gt;-5.700821&lt;/D&gt;&lt;D xsi:type="xsd:double"&gt;-10.114515&lt;/D&gt;&lt;D xsi:type="xsd:double"&gt;-7.9544067&lt;/D&gt;&lt;D xsi:type="xsd:double"&gt;-17.532707&lt;/D&gt;&lt;D xsi:type="xsd:double"&gt;-7.5143695&lt;/D&gt;&lt;D xsi:type="xsd:double"&gt;-8.481169&lt;/D&gt;&lt;D xsi:type="xsd:double"&gt;-11.447042&lt;/D&gt;&lt;D xsi:type="xsd:double"&gt;-14.314735&lt;/D&gt;&lt;D xsi:type="xsd:double"&gt;-12.523502&lt;/D&gt;&lt;D xsi:type="xsd:double"&gt;-5.5117188&lt;/D&gt;&lt;D xsi:type="xsd:double"&gt;-1.2248933&lt;/D&gt;&lt;D xsi:type="xsd:double"&gt;-4.413295&lt;/D&gt;&lt;D xsi:type="xsd:double"&gt;-4.1375694&lt;/D&gt;&lt;D xsi:type="xsd:double"&gt;2.0305753&lt;/D&gt;&lt;D xsi:type="xsd:double"&gt;10.337281&lt;/D&gt;&lt;D xsi:type="xsd:double"&gt;20.621014&lt;/D&gt;&lt;D xsi:type="xsd:double"&gt;12.297869&lt;/D&gt;&lt;D xsi:type="xsd:double"&gt;9.233463&lt;/D&gt;&lt;D xsi:type="xsd:double"&gt;19.945812&lt;/D&gt;&lt;D xsi:type="xsd:double"&gt;20.242893&lt;/D&gt;&lt;D xsi:type="xsd:double"&gt;29.573095&lt;/D&gt;&lt;D xsi:type="xsd:double"&gt;19.425034&lt;/D&gt;&lt;D xsi:type="xsd:double"&gt;24.534512&lt;/D&gt;&lt;D xsi:type="xsd:double"&gt;30.143188&lt;/D&gt;&lt;D xsi:type="xsd:double"&gt;28.246271&lt;/D&gt;&lt;D xsi:type="xsd:double"&gt;20.84129&lt;/D&gt;&lt;D xsi:type="xsd:double"&gt;26.934696&lt;/D&gt;&lt;D xsi:type="xsd:double"&gt;13.227749&lt;/D&gt;&lt;D xsi:type="xsd:double"&gt;16.135132&lt;/D&gt;&lt;D xsi:type="xsd:double"&gt;9.19367&lt;/D&gt;&lt;D xsi:type="xsd:double"&gt;5.013907&lt;/D&gt;&lt;D xsi:type="xsd:double"&gt;0.6146431&lt;/D&gt;&lt;D xsi:type="xsd:double"&gt;-6.0822544&lt;/D&gt;&lt;D xsi:type="xsd:double"&gt;-2.956158&lt;/D&gt;&lt;D xsi:type="xsd:double"&gt;-5.1645336&lt;/D&gt;&lt;D xsi:type="xsd:double"&gt;-12.089867&lt;/D&gt;&lt;D xsi:type="xsd:double"&gt;-10.334551&lt;/D&gt;&lt;D xsi:type="xsd:double"&gt;-11.920905&lt;/D&gt;&lt;D xsi:type="xsd:double"&gt;-14.31014&lt;/D&gt;&lt;D xsi:type="xsd:double"&gt;-7.7252746&lt;/D&gt;&lt;D xsi:type="xsd:double"&gt;-9.408874&lt;/D&gt;&lt;D xsi:type="xsd:double"&gt;1.4168978&lt;/D&gt;&lt;D xsi:type="xsd:double"&gt;-6.7075253&lt;/D&gt;&lt;D xsi:type="xsd:double"&gt;-3.8034737&lt;/D&gt;&lt;D xsi:type="xsd:double"&gt;3.094411&lt;/D&gt;&lt;D xsi:type="xsd:double"&gt;-8.0124855&lt;/D&gt;&lt;D xsi:type="xsd:double"&gt;-1.8851995&lt;/D&gt;&lt;D xsi:type="xsd:double"&gt;1.0428548&lt;/D&gt;&lt;D xsi:type="xsd:double"&gt;11.508942&lt;/D&gt;&lt;D xsi:type="xsd:double"&gt;18.499352&lt;/D&gt;&lt;D xsi:type="xsd:double"&gt;15.675902&lt;/D&gt;&lt;D xsi:type="xsd:double"&gt;20.61509&lt;/D&gt;&lt;D xsi:type="xsd:double"&gt;-4.969299&lt;/D&gt;&lt;D xsi:type="xsd:double"&gt;-12.200266&lt;/D&gt;&lt;D xsi:type="xsd:double"&gt;-6.706792&lt;/D&gt;&lt;D xsi:type="xsd:double"&gt;0.47746897&lt;/D&gt;&lt;D xsi:type="xsd:double"&gt;7.8163147&lt;/D&gt;&lt;D xsi:type="xsd:double"&gt;26.222456&lt;/D&gt;&lt;D xsi:type="xsd:double"&gt;20.548702&lt;/D&gt;&lt;D xsi:type="xsd:double"&gt;29.537846&lt;/D&gt;&lt;D xsi:type="xsd:double"&gt;21.664417&lt;/D&gt;&lt;D xsi:type="xsd:double"&gt;23.47343&lt;/D&gt;&lt;D xsi:type="xsd:double"&gt;27.734709&lt;/D&gt;&lt;D xsi:type="xsd:double"&gt;26.710785&lt;/D&gt;&lt;D xsi:type="xsd:double"&gt;68.16856&lt;/D&gt;&lt;D xsi:type="xsd:double"&gt;78.84852&lt;/D&gt;&lt;D xsi:type="xsd:double"&gt;73.839485&lt;/D&gt;&lt;D xsi:type="xsd:double"&gt;68.848274&lt;/D&gt;&lt;D xsi:type="xsd:double"&gt;51.862846&lt;/D&gt;&lt;D xsi:type="xsd:double"&gt;42.13488&lt;/D&gt;&lt;D xsi:type="xsd:double"&gt;38.947166&lt;/D&gt;&lt;D xsi:type="xsd:double"&gt;25.492882&lt;/D&gt;&lt;D xsi:type="xsd:double"&gt;30.110205&lt;/D&gt;&lt;D xsi:type="xsd:double"&gt;20.441675&lt;/D&gt;&lt;D xsi:type="xsd:double"&gt;16.9232&lt;/D&gt;&lt;D xsi:type="xsd:double"&gt;1.357913&lt;/D&gt;&lt;D xsi:type="xsd:double"&gt;-15.792447&lt;/D&gt;&lt;D xsi:type="xsd:double"&gt;-14.402133&lt;/D&gt;&lt;D xsi:type="xsd:double"&gt;-25.134636&lt;/D&gt;&lt;D xsi:type="xsd:double"&gt;-26.68963&lt;/D&gt;&lt;D xsi:type="xsd:double"&gt;-32.128197&lt;/D&gt;&lt;D xsi:type="xsd:double"&gt;-26.010334&lt;/D&gt;&lt;D xsi:type="xsd:double"&gt;-31.514894&lt;/D&gt;&lt;D xsi:type="xsd:double"&gt;-36.03077&lt;/D&gt;&lt;D xsi:type="xsd:double"&gt;-25.26018&lt;/D&gt;&lt;D xsi:type="xsd:double"&gt;-22.220505&lt;/D&gt;&lt;D xsi:type="xsd:double"&gt;-20.48856&lt;/D&gt;&lt;D xsi:type="xsd:double"&gt;-13.809562&lt;/D&gt;&lt;D xsi:type="xsd:double"&gt;-3.968203&lt;/D&gt;&lt;D xsi:type="xsd:double"&gt;-3.8875341&lt;/D&gt;&lt;D xsi:type="xsd:double"&gt;12.335944&lt;/D&gt;&lt;D xsi:type="xsd:double"&gt;3.5046816&lt;/D&gt;&lt;D xsi:type="xsd:double"&gt;16.607273&lt;/D&gt;&lt;D xsi:type="xsd:double"&gt;0.9869218&lt;/D&gt;&lt;D xsi:type="xsd:double"&gt;8.343161&lt;/D&gt;&lt;D xsi:type="xsd:double"&gt;26.747381&lt;/D&gt;&lt;D xsi:type="xsd:double"&gt;0.267303&lt;/D&gt;&lt;D xsi:type="xsd:double"&gt;11.871576&lt;/D&gt;&lt;D xsi:type="xsd:double"&gt;10.302234&lt;/D&gt;&lt;D xsi:type="xsd:double"&gt;8.219683&lt;/D&gt;&lt;D xsi:type="xsd:double"&gt;24.119198&lt;/D&gt;&lt;D xsi:type="xsd:double"&gt;14.28504&lt;/D&gt;&lt;/FQL&gt;&lt;FQL&gt;&lt;Q&gt;QQQ^FMA_DIV_YLD(NTMA,-10AY,0,AM,"PORTAGG","MEANR")&lt;/Q&gt;&lt;R&gt;121&lt;/R&gt;&lt;C&gt;1&lt;/C&gt;&lt;D xsi:type="xsd:double"&gt;1.46178169650173&lt;/D&gt;&lt;D xsi:type="xsd:double"&gt;1.37117478268192&lt;/D&gt;&lt;D xsi:type="xsd:double"&gt;1.29460864199521&lt;/D&gt;&lt;D xsi:type="xsd:double"&gt;1.25295638039516&lt;/D&gt;&lt;D xsi:type="xsd:double"&gt;1.26295065214243&lt;/D&gt;&lt;D xsi:type="xsd:double"&gt;1.21037360522292&lt;/D&gt;&lt;D xsi:type="xsd:double"&gt;1.29897661037713&lt;/D&gt;&lt;D xsi:type="xsd:double"&gt;1.22047053970116&lt;/D&gt;&lt;D xsi:type="xsd:double"&gt;1.22027857920861&lt;/D&gt;&lt;D xsi:type="xsd:double"&gt;1.21236066567382&lt;/D&gt;&lt;D xsi:type="xsd:double"&gt;1.2436272525478&lt;/D&gt;&lt;D xsi:type="xsd:double"&gt;1.27979377167136&lt;/D&gt;&lt;D xsi:type="xsd:double"&gt;1.25309261202606&lt;/D&gt;&lt;D xsi:type="xsd:double"&gt;1.25269521352604&lt;/D&gt;&lt;D xsi:type="xsd:double"&gt;1.24669843572773&lt;/D&gt;&lt;D xsi:type="xsd:double"&gt;1.26815330981798&lt;/D&gt;&lt;D xsi:type="xsd:double"&gt;1.28562219136825&lt;/D&gt;&lt;D xsi:type="xsd:double"&gt;1.34946956388827&lt;/D&gt;&lt;D xsi:type="xsd:double"&gt;1.3388914690956&lt;/D&gt;&lt;D xsi:type="xsd:double"&gt;1.27700322288312&lt;/D&gt;&lt;D xsi:type="xsd:double"&gt;1.31058183502697&lt;/D&gt;&lt;D xsi:type="xsd:double"&gt;1.35368442426508&lt;/D&gt;&lt;D xsi:type="xsd:double"&gt;1.49207259848398&lt;/D&gt;&lt;D xsi:type="xsd:double"&gt;1.36792810606793&lt;/D&gt;&lt;D xsi:type="xsd:double"&gt;1.34383186670129&lt;/D&gt;&lt;D xsi:type="xsd:double"&gt;1.38816296263704&lt;/D&gt;&lt;D xsi:type="xsd:double"&gt;1.3621594770997&lt;/D&gt;&lt;D xsi:type="xsd:double"&gt;1.32770628270816&lt;/D&gt;&lt;D xsi:type="xsd:double"&gt;1.27622703615651&lt;/D&gt;&lt;D xsi:type="xsd:double"&gt;1.31642251813892&lt;/D&gt;&lt;D xsi:type="xsd:double"&gt;1.27561808966151&lt;/D&gt;&lt;D xsi:type="xsd:double"&gt;1.30955856276947&lt;/D&gt;&lt;D xsi:type="xsd:double"&gt;1.28681401466482&lt;/D&gt;&lt;D xsi:type="xsd:double"&gt;1.25559775260767&lt;/D&gt;&lt;D xsi:type="xsd:double"&gt;1.24020759724841&lt;/D&gt;&lt;D xsi:type="xsd:double"&gt;1.21495280909675&lt;/D&gt;&lt;D xsi:type="xsd:double"&gt;1.22006068218115&lt;/D&gt;&lt;D xsi:type="xsd:double"&gt;1.17539598622722&lt;/D&gt;&lt;D xsi:type="xsd:double"&gt;1.17124959059601&lt;/D&gt;&lt;D xsi:type="xsd:double"&gt;1.20431437770814&lt;/D&gt;&lt;D xsi:type="xsd:double"&gt;1.18881283492331&lt;/D&gt;&lt;D xsi:type="xsd:double"&gt;1.1626814868071&lt;/D&gt;&lt;D xsi:type="xsd:double"&gt;1.14460574160504&lt;/D&gt;&lt;D xsi:type="xsd:double"&gt;1.11365373427376&lt;/D&gt;&lt;D xsi:type="xsd:double"&gt;1.10733130112958&lt;/D&gt;&lt;D xsi:type="xsd:double"&gt;1.05297296948924&lt;/D&gt;&lt;D xsi:type="xsd:double"&gt;1.12646340323705&lt;/D&gt;&lt;D xsi:type="xsd:double"&gt;1.03102296146111&lt;/D&gt;&lt;D xsi:type="xsd:double"&gt;1.12574886013076&lt;/D&gt;&lt;D xsi:type="xsd:double"&gt;1.08179633413312&lt;/D&gt;&lt;D xsi:type="xsd:double"&gt;1.05629860663771&lt;/D&gt;&lt;D xsi:type="xsd:double"&gt;1.05016478041227&lt;/D&gt;&lt;D xsi:type="xsd:double"&gt;1.07776980813142&lt;/D&gt;&lt;D xsi:type="xsd:double"&gt;1.07474190503042&lt;/D&gt;&lt;D xsi:type="xsd:double"&gt;1.16626803583183&lt;/D&gt;&lt;D xsi:type="xsd:double"&gt;1.16992239306012&lt;/D&gt;&lt;D xsi:type="xsd:double"&gt;1.24660870765988&lt;/D&gt;&lt;D xsi:type="xsd:double"&gt;1.26893623605216&lt;/D&gt;&lt;D xsi:type="xsd:double"&gt;1.22449541408074&lt;/D&gt;&lt;D xsi:type="xsd:double"&gt;1.16998260637745&lt;/D&gt;&lt;D xsi:type="xsd:double"&gt;1.10932959748614&lt;/D&gt;&lt;D xsi:type="xsd:double"&gt;1.11979029855516&lt;/D&gt;&lt;D xsi:type="xsd:double"&gt;1.14121765196273&lt;/D&gt;&lt;D xsi:type="xsd:double"&gt;1.08387909780964&lt;/D&gt;&lt;D xsi:type="xsd:double"&gt;1.12608320903163&lt;/D&gt;&lt;D xsi:type="xsd:double"&gt;1.09195066444251&lt;/D&gt;&lt;D xsi:type="xsd:double"&gt;1.10539224339597&lt;/D&gt;&lt;D xsi:type="xsd:double"&gt;1.06610027904409&lt;/D&gt;&lt;D xsi:type="xsd:double"&gt;1.07417133964886&lt;/D&gt;&lt;D xsi:type="xsd:double"&gt;1.02233114916317&lt;/D&gt;&lt;D xsi:type="xsd:double"&gt;0.969856869598628&lt;/D&gt;&lt;D xsi:type="xsd:double"&gt;1.1591517291436&lt;/D&gt;&lt;D xsi:type="xsd:double"&gt;1.12674411209563&lt;/D&gt;&lt;D xsi:type="xsd:double"&gt;0.981781387885753&lt;/D&gt;&lt;D xsi:type="xsd:double"&gt;0.947659310603252&lt;/D&gt;&lt;D xsi:type="xsd:double"&gt;0.840603771849073&lt;/D&gt;&lt;D xsi:type="xsd:double"&gt;0.839923271574923&lt;/D&gt;&lt;D xsi:type="xsd:double"&gt;0.825129872969276&lt;/D&gt;&lt;D xsi:type="xsd:double"&gt;0.783905568013503&lt;/D&gt;&lt;D xsi:type="xsd:double"&gt;0.778660186001606&lt;/D&gt;&lt;D xsi:type="xsd:double"&gt;0.753044145720861&lt;/D&gt;&lt;D xsi:type="xsd:double"&gt;0.763640477501972&lt;/D&gt;&lt;D xsi:type="xsd:double"&gt;0.726005958339398&lt;/D&gt;&lt;D xsi:type="xsd:double"&gt;0.768281549410437&lt;/D&gt;&lt;D xsi:type="xsd:double"&gt;0.726699127876129&lt;/D&gt;&lt;D xsi:type="xsd:double"&gt;0.757421363560065&lt;/D&gt;&lt;D xsi:type="xsd:double"&gt;0.729243330776988&lt;/D&gt;&lt;D xsi:type="xsd:double"&gt;0.692488935134041&lt;/D&gt;&lt;D xsi:type="xsd:double"&gt;0.703536748122934&lt;/D&gt;&lt;D xsi:type="xsd:double"&gt;0.687638193514619&lt;/D&gt;&lt;D xsi:type="xsd:double"&gt;0.728397395045765&lt;/D&gt;&lt;D xsi:type="xsd:double"&gt;0.672146254659848&lt;/D&gt;&lt;D xsi:type="xsd:double"&gt;0.66581930587248&lt;/D&gt;&lt;D xsi:type="xsd:double"&gt;0.690494994135971&lt;/D&gt;&lt;D xsi:type="xsd:double"&gt;0.778889564216713&lt;/D&gt;&lt;D xsi:type="xsd:double"&gt;0.845466163150408&lt;/D&gt;&lt;D xsi:type="xsd:double"&gt;0.806591904161703&lt;/D&gt;&lt;D xsi:type="xsd:double"&gt;0.947300134702887&lt;/D&gt;&lt;D xsi:type="xsd:double"&gt;0.965087862736124&lt;/D&gt;&lt;D xsi:type="xsd:double"&gt;0.971829907439586&lt;/D&gt;&lt;D xsi:type="xsd:double"&gt;0.870800602246975&lt;/D&gt;&lt;D xsi:type="xsd:double"&gt;0.926391445855466&lt;/D&gt;&lt;D xsi:type="xsd:double"&gt;1.08975420927691&lt;/D&gt;&lt;D xsi:type="xsd:double"&gt;1.00380449202661&lt;/D&gt;&lt;D xsi:type="xsd:double"&gt;1.02385475103314&lt;/D&gt;&lt;D xsi:type="xsd:double"&gt;0.999043265456376&lt;/D&gt;&lt;D xsi:type="xsd:double"&gt;0.937085394521043&lt;/D&gt;&lt;D xsi:type="xsd:double"&gt;0.98080137943102&lt;/D&gt;&lt;D xsi:type="xsd:double"&gt;0.899375327561633&lt;/D&gt;&lt;D xsi:type="xsd:double"&gt;0.856350924456733&lt;/D&gt;&lt;D xsi:type="xsd:double"&gt;0.795864518651362&lt;/D&gt;&lt;D xsi:type="xsd:double"&gt;0.768226700328006&lt;/D&gt;&lt;D xsi:type="xsd:double"&gt;0.898339450719161&lt;/D&gt;&lt;D xsi:type="xsd:double"&gt;0.876482202309667&lt;/D&gt;&lt;D xsi:type="xsd:double"&gt;0.915436873826448&lt;/D&gt;&lt;D xsi:type="xsd:double"&gt;0.904436827656993&lt;/D&gt;&lt;D xsi:type="xsd:double"&gt;0.879350798821902&lt;/D&gt;&lt;D xsi:type="xsd:double"&gt;0.916161058631477&lt;/D&gt;&lt;D xsi:type="xsd:double"&gt;0.880350328128442&lt;/D&gt;&lt;D xsi:type="xsd:double"&gt;0.889194759008573&lt;/D&gt;&lt;D xsi:type="xsd:double"&gt;0.897804582183328&lt;/D&gt;&lt;/FQL&gt;&lt;FQL&gt;&lt;Q&gt;NI-FDS^FG_PRICE_CHANGE(0,-6AM)&lt;/Q&gt;&lt;R&gt;1&lt;/R&gt;&lt;C&gt;1&lt;/C&gt;&lt;D xsi:type="xsd:double"&gt;-2.98466593647316&lt;/D&gt;&lt;/FQL&gt;&lt;FQL&gt;&lt;Q&gt;QQQ^FG_PRICE(0)&lt;/Q&gt;&lt;R&gt;1&lt;/R&gt;&lt;C&gt;1&lt;/C&gt;&lt;D xsi:type="xsd:double"&gt;445.37&lt;/D&gt;&lt;/FQL&gt;&lt;FQL&gt;&lt;Q&gt;EWQ^FG_COMPANY_NAME&lt;/Q&gt;&lt;R&gt;1&lt;/R&gt;&lt;C&gt;1&lt;/C&gt;&lt;D xsi:type="xsd:string"&gt;iShares MSCI France ETF&lt;/D&gt;&lt;/FQL&gt;&lt;FQL&gt;&lt;Q&gt;ENZL^FMA_PE(LTMA,-10AY,0,AM,"PORTAGG","MEANR")&lt;/Q&gt;&lt;R&gt;121&lt;/R&gt;&lt;C&gt;1&lt;/C&gt;&lt;D xsi:type="xsd:double"&gt;17.9104541076293&lt;/D&gt;&lt;D xsi:type="xsd:double"&gt;18.0124463996806&lt;/D&gt;&lt;D xsi:type="xsd:double"&gt;17.9524610538234&lt;/D&gt;&lt;D xsi:type="xsd:double"&gt;17.9096378356181&lt;/D&gt;&lt;D xsi:type="xsd:double"&gt;17.8016636002514&lt;/D&gt;&lt;D xsi:type="xsd:double"&gt;17.9639098580911&lt;/D&gt;&lt;D xsi:type="xsd:double"&gt;17.8689048706871&lt;/D&gt;&lt;D xsi:type="xsd:double"&gt;18.8239085083771&lt;/D&gt;&lt;D xsi:type="xsd:double"&gt;18.8689903282454&lt;/D&gt;&lt;D xsi:type="xsd:double"&gt;19.2938661591459&lt;/D&gt;&lt;D xsi:type="xsd:double"&gt;20.0034143543103&lt;/D&gt;&lt;D xsi:type="xsd:double"&gt;20.4637628496401&lt;/D&gt;&lt;D xsi:type="xsd:double"&gt;20.2042178295739&lt;/D&gt;&lt;D xsi:type="xsd:double"&gt;20.0563270299678&lt;/D&gt;&lt;D xsi:type="xsd:double"&gt;19.9695865019611&lt;/D&gt;&lt;D xsi:type="xsd:double"&gt;19.6258591634084&lt;/D&gt;&lt;D xsi:type="xsd:double"&gt;19.6481427717267&lt;/D&gt;&lt;D xsi:type="xsd:double"&gt;19.0525039041733&lt;/D&gt;&lt;D xsi:type="xsd:double"&gt;18.6646324256699&lt;/D&gt;&lt;D xsi:type="xsd:double"&gt;19.483926495824&lt;/D&gt;&lt;D xsi:type="xsd:double"&gt;19.4732059544712&lt;/D&gt;&lt;D xsi:type="xsd:double"&gt;19.0946037167696&lt;/D&gt;&lt;D xsi:type="xsd:double"&gt;18.5619111999904&lt;/D&gt;&lt;D xsi:type="xsd:double"&gt;19.3356460295648&lt;/D&gt;&lt;D xsi:type="xsd:double"&gt;19.3132665623906&lt;/D&gt;&lt;D xsi:type="xsd:double"&gt;19.6296974870895&lt;/D&gt;&lt;D xsi:type="xsd:double"&gt;19.7688926499115&lt;/D&gt;&lt;D xsi:type="xsd:double"&gt;19.9830873776566&lt;/D&gt;&lt;D xsi:type="xsd:double"&gt;20.6710264481811&lt;/D&gt;&lt;D xsi:type="xsd:double"&gt;21.2835286217647&lt;/D&gt;&lt;D xsi:type="xsd:double"&gt;20.4324388585761&lt;/D&gt;&lt;D xsi:type="xsd:double"&gt;19.5124372077911&lt;/D&gt;&lt;D xsi:type="xsd:double"&gt;19.9085519685142&lt;/D&gt;&lt;D xsi:type="xsd:double"&gt;20.5088174860674&lt;/D&gt;&lt;D xsi:type="xsd:double"&gt;20.5522290996097&lt;/D&gt;&lt;D xsi:type="xsd:double"&gt;19.7930368561237&lt;/D&gt;&lt;D xsi:type="xsd:double"&gt;19.8350746247794&lt;/D&gt;&lt;D xsi:type="xsd:double"&gt;20.0628590216386&lt;/D&gt;&lt;D xsi:type="xsd:double"&gt;19.946115112116&lt;/D&gt;&lt;D xsi:type="xsd:double"&gt;20.1029674192931&lt;/D&gt;&lt;D xsi:type="xsd:double"&gt;20.4946706374448&lt;/D&gt;&lt;D xsi:type="xsd:double"&gt;20.7065653846174&lt;/D&gt;&lt;D xsi:type="xsd:double"&gt;20.8477100587071&lt;/D&gt;&lt;D xsi:type="xsd:double"&gt;21.0391634695554&lt;/D&gt;&lt;D xsi:type="xsd:double"&gt;21.9340642152076&lt;/D&gt;&lt;D xsi:type="xsd:double"&gt;21.8608735172736&lt;/D&gt;&lt;D xsi:type="xsd:double"&gt;20.4918446230976&lt;/D&gt;&lt;D xsi:type="xsd:double"&gt;22.5603705497098&lt;/D&gt;&lt;D xsi:type="xsd:double"&gt;22.4100821352874&lt;/D&gt;&lt;D xsi:type="xsd:double"&gt;22.4615906030511&lt;/D&gt;&lt;D xsi:type="xsd:double"&gt;22.7598230887273&lt;/D&gt;&lt;D xsi:type="xsd:double"&gt;22.8883966048082&lt;/D&gt;&lt;D xsi:type="xsd:double"&gt;23.0521914419907&lt;/D&gt;&lt;D xsi:type="xsd:double"&gt;23.5313911524807&lt;/D&gt;&lt;D xsi:type="xsd:double"&gt;22.4501599788018&lt;/D&gt;&lt;D xsi:type="xsd:double"&gt;23.1008487815122&lt;/D&gt;&lt;D xsi:type="xsd:double"&gt;22.5910878441937&lt;/D&gt;&lt;D xsi:type="xsd:double"&gt;23.2702327107766&lt;/D&gt;&lt;D xsi:type="xsd:double"&gt;23.8402876518877&lt;/D&gt;&lt;D xsi:type="xsd:double"&gt;24.1315269646477&lt;/D&gt;&lt;D xsi:type="xsd:double"&gt;24.0631204979166&lt;/D&gt;&lt;D xsi:type="xsd:double"&gt;24.2429538514557&lt;/D&gt;&lt;D xsi:type="xsd:double"&gt;24.222283608966&lt;/D&gt;&lt;D xsi:type="xsd:double"&gt;25.0057681900134&lt;/D&gt;&lt;D xsi:type="xsd:double"&gt;25.4422551338654&lt;/D&gt;&lt;D xsi:type="xsd:double"&gt;28.4457124878746&lt;/D&gt;&lt;D xsi:type="xsd:double"&gt;28.7125919732495&lt;/D&gt;&lt;D xsi:type="xsd:double"&gt;29.2626714460513&lt;/D&gt;&lt;D xsi:type="xsd:double"&gt;31.3785509880758&lt;/D&gt;&lt;D xsi:type="xsd:double"&gt;32.3702856866614&lt;/D&gt;&lt;D xsi:type="xsd:double"&gt;33.1478754011266&lt;/D&gt;&lt;D xsi:type="xsd:double"&gt;30.753201507957&lt;/D&gt;&lt;D xsi:type="xsd:double"&gt;30.7890893984906&lt;/D&gt;&lt;D xsi:type="xsd:double"&gt;32.0496445007059&lt;/D&gt;&lt;D xsi:type="xsd:double"&gt;32.239198207276&lt;/D&gt;&lt;D xsi:type="xsd:double"&gt;33.2079643467989&lt;/D&gt;&lt;D xsi:type="xsd:double"&gt;33.9819268078474&lt;/D&gt;&lt;D xsi:type="xsd:double"&gt;33.7593155996043&lt;/D&gt;&lt;D xsi:type="xsd:double"&gt;35.0361357978003&lt;/D&gt;&lt;D xsi:type="xsd:double"&gt;35.8197687092209&lt;/D&gt;&lt;D xsi:type="xsd:double"&gt;37.1212536720626&lt;/D&gt;&lt;D xsi:type="xsd:double"&gt;38.2691661213967&lt;/D&gt;&lt;D xsi:type="xsd:double"&gt;35.3654147144884&lt;/D&gt;&lt;D xsi:type="xsd:double"&gt;34.3722005356456&lt;/D&gt;&lt;D xsi:type="xsd:double"&gt;34.4754655488868&lt;/D&gt;&lt;D xsi:type="xsd:double"&gt;34.918058506712&lt;/D&gt;&lt;D xsi:type="xsd:double"&gt;35.3670873351657&lt;/D&gt;&lt;D xsi:type="xsd:double"&gt;36.4228497855203&lt;/D&gt;&lt;D xsi:type="xsd:double"&gt;36.8320275028811&lt;/D&gt;&lt;D xsi:type="xsd:double"&gt;38.3842548037291&lt;/D&gt;&lt;D xsi:type="xsd:double"&gt;38.4143205438745&lt;/D&gt;&lt;D xsi:type="xsd:double"&gt;39.1918092372763&lt;/D&gt;&lt;D xsi:type="xsd:double"&gt;39.3060316456823&lt;/D&gt;&lt;D xsi:type="xsd:double"&gt;38.5275557468118&lt;/D&gt;&lt;D xsi:type="xsd:double"&gt;36.833960226324&lt;/D&gt;&lt;D xsi:type="xsd:double"&gt;35.072985904635&lt;/D&gt;&lt;D xsi:type="xsd:double"&gt;34.5511119156688&lt;/D&gt;&lt;D xsi:type="xsd:double"&gt;34.2760667391997&lt;/D&gt;&lt;D xsi:type="xsd:double"&gt;33.2953246492655&lt;/D&gt;&lt;D xsi:type="xsd:double"&gt;32.9917737261157&lt;/D&gt;&lt;D xsi:type="xsd:double"&gt;33.45529873339&lt;/D&gt;&lt;D xsi:type="xsd:double"&gt;34.3223276342766&lt;/D&gt;&lt;D xsi:type="xsd:double"&gt;31.4193896038389&lt;/D&gt;&lt;D xsi:type="xsd:double"&gt;31.2948009576031&lt;/D&gt;&lt;D xsi:type="xsd:double"&gt;29.5336256195382&lt;/D&gt;&lt;D xsi:type="xsd:double"&gt;29.430977385565&lt;/D&gt;&lt;D xsi:type="xsd:double"&gt;30.1105232049034&lt;/D&gt;&lt;D xsi:type="xsd:double"&gt;29.2819773512989&lt;/D&gt;&lt;D xsi:type="xsd:double"&gt;28.7393326297613&lt;/D&gt;&lt;D xsi:type="xsd:double"&gt;28.2334359884153&lt;/D&gt;&lt;D xsi:type="xsd:double"&gt;26.4766955421626&lt;/D&gt;&lt;D xsi:type="xsd:double"&gt;25.7994019098141&lt;/D&gt;&lt;D xsi:type="xsd:double"&gt;24.8749917649049&lt;/D&gt;&lt;D xsi:type="xsd:double"&gt;24.119067250312&lt;/D&gt;&lt;D xsi:type="xsd:dou</t>
        </r>
      </text>
    </comment>
    <comment ref="A7" authorId="0" shapeId="0" xr:uid="{93964EA9-C498-41ED-8D07-E79E79F619AC}">
      <text>
        <r>
          <rPr>
            <b/>
            <sz val="9"/>
            <color indexed="81"/>
            <rFont val="Tahoma"/>
            <charset val="1"/>
          </rPr>
          <t>ble"&gt;23.5003573867012&lt;/D&gt;&lt;D xsi:type="xsd:double"&gt;22.6825770307956&lt;/D&gt;&lt;D xsi:type="xsd:double"&gt;23.4579588618341&lt;/D&gt;&lt;D xsi:type="xsd:double"&gt;24.0021673982946&lt;/D&gt;&lt;D xsi:type="xsd:double"&gt;23.29424360869&lt;/D&gt;&lt;D xsi:type="xsd:double"&gt;23.7831691565117&lt;/D&gt;&lt;D xsi:type="xsd:double"&gt;24.0445572294489&lt;/D&gt;&lt;/FQL&gt;&lt;FQL&gt;&lt;Q&gt;DDR3512M-FDS^MAX(FG_PRICE(0,-5AY))&lt;/Q&gt;&lt;R&gt;1&lt;/R&gt;&lt;C&gt;1&lt;/C&gt;&lt;D xsi:type="xsd:double"&gt;3.3053632&lt;/D&gt;&lt;/FQL&gt;&lt;FQL&gt;&lt;Q&gt;TRYFR10Y-FDS^FG_YIELD(-10AY,0,Y,,"YTM")&lt;/Q&gt;&lt;R&gt;10&lt;/R&gt;&lt;C&gt;1&lt;/C&gt;&lt;D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xsi:type="xsd:double"&gt;2.36864078670768&lt;/D&gt;&lt;D xsi:type="xsd:double"&gt;2.66234515884581&lt;/D&gt;&lt;D xsi:type="xsd:double"&gt;2.58388720632297&lt;/D&gt;&lt;D xsi:type="xsd:double"&gt;2.86429657456778&lt;/D&gt;&lt;/FQL&gt;&lt;FQL&gt;&lt;Q&gt;USDGBP^STD(FG_PRICE_CHANGE(0,-3AY,M))&lt;/Q&gt;&lt;R&gt;1&lt;/R&gt;&lt;C&gt;1&lt;/C&gt;&lt;D xsi:type="xsd:double"&gt;2.40614321798816&lt;/D&gt;&lt;/FQL&gt;&lt;FQL&gt;&lt;Q&gt;ENZL^FG_TOTAL_RETURNC(-10AY,0,AM)&lt;/Q&gt;&lt;R&gt;121&lt;/R&gt;&lt;C&gt;1&lt;/C&gt;&lt;D xsi:type="xsd:double"&gt;2.7591228&lt;/D&gt;&lt;D xsi:type="xsd:double"&gt;0.2539158&lt;/D&gt;&lt;D xsi:type="xsd:double"&gt;-0.7502377&lt;/D&gt;&lt;D xsi:type="xsd:double"&gt;1.5358686&lt;/D&gt;&lt;D xsi:type="xsd:double"&gt;-5.2969933&lt;/D&gt;&lt;D xsi:type="xsd:double"&gt;1.2317777&lt;/D&gt;&lt;D xsi:type="xsd:double"&gt;-5.3886294&lt;/D&gt;&lt;D xsi:type="xsd:double"&gt;6.5879345&lt;/D&gt;&lt;D xsi:type="xsd:double"&gt;-0.19699931&lt;/D&gt;&lt;D xsi:type="xsd:double"&gt;2.1203876&lt;/D&gt;&lt;D xsi:type="xsd:double"&gt;-1.8380463&lt;/D&gt;&lt;D xsi:type="xsd:double"&gt;-1.5938818&lt;/D&gt;&lt;D xsi:type="xsd:double"&gt;4.482889&lt;/D&gt;&lt;D xsi:type="xsd:double"&gt;-3.921634&lt;/D&gt;&lt;D xsi:type="xsd:double"&gt;-2.9457033&lt;/D&gt;&lt;D xsi:type="xsd:double"&gt;-6.6452026&lt;/D&gt;&lt;D xsi:type="xsd:double"&gt;-1.7691433&lt;/D&gt;&lt;D xsi:type="xsd:double"&gt;-5.8458805&lt;/D&gt;&lt;D xsi:type="xsd:double"&gt;5.926621&lt;/D&gt;&lt;D xsi:type="xsd:double"&gt;4.381287&lt;/D&gt;&lt;D xsi:type="xsd:double"&gt;2.4673939&lt;/D&gt;&lt;D xsi:type="xsd:double"&gt;-1.5007198&lt;/D&gt;&lt;D xsi:type="xsd:double"&gt;0.34335852&lt;/D&gt;&lt;D xsi:type="xsd:double"&gt;10.502279&lt;/D&gt;&lt;D xsi:type="xsd:double"&gt;5.0103307&lt;/D&gt;&lt;D xsi:type="xsd:double"&gt;2.5823832&lt;/D&gt;&lt;D xsi:type="xsd:double"&gt;3.620243&lt;/D&gt;&lt;D xsi:type="xsd:double"&gt;4.7432303&lt;/D&gt;&lt;D xsi:type="xsd:double"&gt;4.116559&lt;/D&gt;&lt;D xsi:type="xsd:double"&gt;2.363336&lt;/D&gt;&lt;D xsi:type="xsd:double"&gt;-8.753145&lt;/D&gt;&lt;D xsi:type="xsd:double"&gt;-5.590063&lt;/D&gt;&lt;D xsi:type="xsd:double"&gt;3.7889838&lt;/D&gt;&lt;D xsi:type="xsd:double"&gt;1.1108637&lt;/D&gt;&lt;D xsi:type="xsd:double"&gt;3.0987144&lt;/D&gt;&lt;D xsi:type="xsd:double"&gt;-3.4715712&lt;/D&gt;&lt;D xsi:type="xsd:double"&gt;1.7861366&lt;/D&gt;&lt;D xsi:type="xsd:double"&gt;2.8693438&lt;/D&gt;&lt;D xsi:type="xsd:double"&gt;4.103267&lt;/D&gt;&lt;D xsi:type="xsd:double"&gt;2.6796222&lt;/D&gt;&lt;D xsi:type="xsd:double"&gt;2.5043964&lt;/D&gt;&lt;D xsi:type="xsd:double"&gt;1.1358738&lt;/D&gt;&lt;D xsi:type="xsd:double"&gt;-0.89001656&lt;/D&gt;&lt;D xsi:type="xsd:double"&gt;-3.709644&lt;/D&gt;&lt;D xsi:type="xsd:double"&gt;3.4972787&lt;/D&gt;&lt;D xsi:type="xsd:double"&gt;4.45745&lt;/D&gt;&lt;D xsi:type="xsd:double"&gt;-2.2399008&lt;/D&gt;&lt;D xsi:type="xsd:double"&gt;6.1670303&lt;/D&gt;&lt;D xsi:type="xsd:double"&gt;1.2908459&lt;/D&gt;&lt;D xsi:type="xsd:double"&gt;-2.9669464&lt;/D&gt;&lt;D xsi:type="xsd:double"&gt;4.063201&lt;/D&gt;&lt;D xsi:type="xsd:double"&gt;-3.06499&lt;/D&gt;&lt;D xsi:type="xsd:double"&gt;-2.9622257&lt;/D&gt;&lt;D xsi:type="xsd:double"&gt;1.7053962&lt;/D&gt;&lt;D xsi:type="xsd:double"&gt;-6.287992&lt;/D&gt;&lt;D xsi:type="xsd:double"&gt;6.240213&lt;/D&gt;&lt;D xsi:type="xsd:double"&gt;0.2105236&lt;/D&gt;&lt;D xsi:type="xsd:double"&gt;2.0766497&lt;/D&gt;&lt;D xsi:type="xsd:double"&gt;1.990366&lt;/D&gt;&lt;D xsi:type="xsd:double"&gt;3.0608058&lt;/D&gt;&lt;D xsi:type="xsd:double"&gt;2.3121476&lt;/D&gt;&lt;D xsi:type="xsd:double"&gt;1.2078643&lt;/D&gt;&lt;D xsi:type="xsd:double"&gt;-0.94321966&lt;/D&gt;&lt;D xsi:type="xsd:double"&gt;7.07469&lt;/D&gt;&lt;D xsi:type="xsd:double"&gt;-1.3448775&lt;/D&gt;&lt;D xsi:type="xsd:double"&gt;0.6349206&lt;/D&gt;&lt;D xsi:type="xsd:double"&gt;-2.1710873&lt;/D&gt;&lt;D xsi:type="xsd:double"&gt;0.49316883&lt;/D&gt;&lt;D xsi:type="xsd:double"&gt;7.266903&lt;/D&gt;&lt;D xsi:type="xsd:double"&gt;2.8859138&lt;/D&gt;&lt;D xsi:type="xsd:double"&gt;-0.873363&lt;/D&gt;&lt;D xsi:type="xsd:double"&gt;-10.114538&lt;/D&gt;&lt;D xsi:type="xsd:double"&gt;-8.860999&lt;/D&gt;&lt;D xsi:type="xsd:double"&gt;6.883192&lt;/D&gt;&lt;D xsi:type="xsd:double"&gt;5.8563113&lt;/D&gt;&lt;D xsi:type="xsd:double"&gt;9.77&lt;/D&gt;&lt;D xsi:type="xsd:double"&gt;1.168263&lt;/D&gt;&lt;D xsi:type="xsd:double"&gt;0.39641857&lt;/D&gt;&lt;D xsi:type="xsd:double"&gt;5.3562164&lt;/D&gt;&lt;D xsi:type="xsd:double"&gt;6.3060164&lt;/D&gt;&lt;D xsi:type="xsd:double"&gt;3.908646&lt;/D&gt;&lt;D xsi:type="xsd:double"&gt;2.0949244&lt;/D&gt;&lt;D xsi:type="xsd:double"&gt;-3.032732&lt;/D&gt;&lt;D xsi:type="xsd:double"&gt;-4.273123&lt;/D&gt;&lt;D xsi:type="xsd:double"&gt;-0.6613076&lt;/D&gt;&lt;D xsi:type="xsd:double"&gt;1.8227935&lt;/D&gt;&lt;D xsi:type="xsd:double"&gt;-2.519226&lt;/D&gt;&lt;D xsi:type="xsd:double"&gt;-0.12891293&lt;/D&gt;&lt;D xsi:type="xsd:double"&gt;-0.46789646&lt;/D&gt;&lt;D xsi:type="xsd:double"&gt;2.7232885&lt;/D&gt;&lt;D xsi:type="xsd:double"&gt;-3.0298233&lt;/D&gt;&lt;D xsi:type="xsd:double"&gt;1.0740399&lt;/D&gt;&lt;D xsi:type="xsd:double"&gt;-5.0635996&lt;/D&gt;&lt;D xsi:type="xsd:double"&gt;-0.54324865&lt;/D&gt;&lt;D xsi:type="xsd:double"&gt;-7.323408&lt;/D&gt;&lt;D xsi:type="xsd:double"&gt;0.6538391&lt;/D&gt;&lt;D xsi:type="xsd:double"&gt;-0.519681&lt;/D&gt;&lt;D xsi:type="xsd:double"&gt;-13.264918&lt;/D&gt;&lt;D xsi:type="xsd:double"&gt;-0.56984425&lt;/D&gt;&lt;D xsi:type="xsd:double"&gt;-2.4053931&lt;/D&gt;&lt;D xsi:type="xsd:double"&gt;11.594522&lt;/D&gt;&lt;D xsi:type="xsd:double"&gt;-3.7781298&lt;/D&gt;&lt;D xsi:type="xsd:double"&gt;-15.350884&lt;/D&gt;&lt;D xsi:type="xsd:double"&gt;13.200104&lt;/D&gt;&lt;D xsi:type="xsd:double"&gt;8.06452&lt;/D&gt;&lt;D xsi:type="xsd:double"&gt;0.91047287&lt;/D&gt;&lt;D xsi:type="xsd:double"&gt;3.5147667&lt;/D&gt;&lt;D xsi:type="xsd:double"&gt;-7.217699&lt;/D&gt;&lt;D xsi:type="xsd:double"&gt;3.7222862&lt;/D&gt;&lt;D xsi:type="xsd:double"&gt;1.8749952&lt;/D&gt;&lt;D xsi:type="xsd:double"&gt;-4.840165&lt;/D&gt;&lt;D xsi:type="xsd:double"&gt;2.9875398&lt;/D&gt;&lt;D xsi:type="xsd:double"&gt;-3.9363682&lt;/D&gt;&lt;D xsi:type="xsd:double"&gt;-5.5626335&lt;/D&gt;&lt;D xsi:type="xsd:double"&gt;1.2589931&lt;/D&gt;&lt;D xsi:type="xsd:double"&gt;-2.975136&lt;/D&gt;&lt;D xsi:type="xsd:double"&gt;6.6132665&lt;/D&gt;&lt;D xsi:type="xsd:double"&gt;4.8198223&lt;/D&gt;&lt;D xsi:type="xsd:double"&gt;-2.6964903&lt;/D&gt;&lt;D xsi:type="xsd:double"&gt;-1.1707783&lt;/D&gt;&lt;D xsi:type="xsd:double"&gt;-1.4237642&lt;/D&gt;&lt;/FQL&gt;&lt;FQL&gt;&lt;Q&gt;EWJ^FG_PRICE_MAVG(0,,,,200)&lt;/Q&gt;&lt;R&gt;1&lt;/R&gt;&lt;C&gt;1&lt;/C&gt;&lt;D xsi:type="xsd:double"&gt;63.76155&lt;/D&gt;&lt;/FQL&gt;&lt;FQL&gt;&lt;Q&gt;CC_US^FG_COMPANY_NAME&lt;/Q&gt;&lt;R&gt;1&lt;/R&gt;&lt;C&gt;1&lt;/C&gt;&lt;D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Dollar&lt;/D&gt;&lt;/FQL&gt;&lt;FQL&gt;&lt;Q&gt;USDGBP^FG_COMPANY_NAME&lt;/Q&gt;&lt;R&gt;1&lt;/R&gt;&lt;C&gt;1&lt;/C&gt;&lt;D xsi:type="xsd:string"&gt;British Pounds per U.S. Dollar&lt;/D&gt;&lt;/FQL&gt;&lt;FQL&gt;&lt;Q&gt;USDCAD^FG_COMPANY_NAME&lt;/Q&gt;&lt;R&gt;1&lt;/R&gt;&lt;C&gt;1&lt;/C&gt;&lt;D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Dollar&lt;/D&gt;&lt;/FQL&gt;&lt;FQL&gt;&lt;Q&gt;EWQ^FG_TOTAL_RETURNC(-10AY,0,AM)&lt;/Q&gt;&lt;R&gt;121&lt;/R&gt;&lt;C&gt;1&lt;/C&gt;&lt;D xsi:type="xsd:double"&gt;0.37995577&lt;/D&gt;&lt;D xsi:type="xsd:double"&gt;2.7873397&lt;/D&gt;&lt;D xsi:type="xsd:double"&gt;1.07131&lt;/D&gt;&lt;D xsi:type="xsd:double"&gt;-4.297966&lt;/D&gt;&lt;D xsi:type="xsd:double"&gt;-5.1590085&lt;/D&gt;&lt;D xsi:type="xsd:double"&gt;2.4590135&lt;/D&gt;&lt;D xsi:type="xsd:double"&gt;-10.763634&lt;/D&gt;&lt;D xsi:type="xsd:double"&gt;3.76935&lt;/D&gt;&lt;D xsi:type="xsd:double"&gt;-1.3940692&lt;/D&gt;&lt;D xsi:type="xsd:double"&gt;-4.1741967&lt;/D&gt;&lt;D xsi:type="xsd:double"&gt;6.9601655&lt;/D&gt;&lt;D xsi:type="xsd:double"&gt;-0.6272018&lt;/D&gt;&lt;D xsi:type="xsd:double"&gt;5.5226803&lt;/D&gt;&lt;D xsi:type="xsd:double"&gt;1.4953256&lt;/D&gt;&lt;D xsi:type="xsd:double"&gt;0.8103132&lt;/D&gt;&lt;D xsi:type="xsd:double"&gt;-1.8750012&lt;/D&gt;&lt;D xsi:type="xsd:double"&gt;2.4990559&lt;/D&gt;&lt;D xsi:type="xsd:double"&gt;-7.831544&lt;/D&gt;&lt;D xsi:type="xsd:double"&gt;3.0460835&lt;/D&gt;&lt;D xsi:type="xsd:double"&gt;-0.9334862&lt;/D&gt;&lt;D xsi:type="xsd:double"&gt;-5.496663&lt;/D&gt;&lt;D xsi:type="xsd:double"&gt;-5.098981&lt;/D&gt;&lt;D xsi:type="xsd:double"&gt;-4.701227&lt;/D&gt;&lt;D xsi:type="xsd:double"&gt;12.079298&lt;/D&gt;&lt;D xsi:type="xsd:double"&gt;-2.2624433&lt;/D&gt;&lt;D xsi:type="xsd:double"&gt;2.3989916&lt;/D&gt;&lt;D xsi:type="xsd:double"&gt;-1.644057&lt;/D&gt;&lt;D xsi:type="xsd:double"&gt;-2.737081&lt;/D&gt;&lt;D xsi:type="xsd:double"&gt;6.566763&lt;/D&gt;&lt;D xsi:type="xsd:double"&gt;-0.12407303&lt;/D&gt;&lt;D xsi:type="xsd:double"&gt;-1.4078677&lt;/D&gt;&lt;D xsi:type="xsd:double"&gt;-0.797981&lt;/D&gt;&lt;D xsi:type="xsd:double"&gt;3.4716368&lt;/D&gt;&lt;D xsi:type="xsd:double"&gt;2.782166&lt;/D&gt;&lt;D xsi:type="xsd:double"&gt;-0.39952397&lt;/D&gt;&lt;D xsi:type="xsd:double"&gt;3.4897685&lt;/D&gt;&lt;D xsi:type="xsd:double"&gt;2.0542622&lt;/D&gt;&lt;D xsi:type="xsd:double"&gt;8.925188&lt;/D&gt;&lt;D xsi:type="xsd:double"&gt;2.4407268&lt;/D&gt;&lt;D xsi:type="xsd:double"&gt;0.13616085&lt;/D&gt;&lt;D xsi:type="xsd:double"&gt;1.1410832&lt;/D&gt;&lt;D xsi:type="xsd:double"&gt;3.965807&lt;/D&gt;&lt;D xsi:type="xsd:double"&gt;2.6307106&lt;/D&gt;&lt;D xsi:type="xsd:double"&gt;-1.4738858&lt;/D&gt;&lt;D xsi:type="xsd:double"&gt;1.658535&lt;/D&gt;&lt;D xsi:type="xsd:double"&gt;3.801453&lt;/D&gt;&lt;D xsi:type="xsd:double"&gt;-5.1313696&lt;/D&gt;&lt;D xsi:type="xsd:double"&gt;4.2033195&lt;/D&gt;&lt;D xsi:type="xsd:double"&gt;0.4690528&lt;/D&gt;&lt;D xsi:type="xsd:double"&gt;2.2097707&lt;/D&gt;&lt;D xsi:type="xsd:double"&gt;-1.0048747&lt;/D&gt;&lt;D xsi:type="xsd:double"&gt;-2.93535&lt;/D&gt;&lt;D xsi:type="xsd:double"&gt;-1.5852451&lt;/D&gt;&lt;D xsi:type="xsd:double"&gt;-0.03287196&lt;/D&gt;&lt;D xsi:type="xsd:double"&gt;-4.2420206&lt;/D&gt;&lt;D xsi:type="xsd:double"&gt;-1.4766514&lt;/D&gt;&lt;D xsi:type="xsd:double"&gt;-6.064832&lt;/D&gt;&lt;D xsi:type="xsd:double"&gt;0.7208228&lt;/D&gt;&lt;D xsi:type="xsd:double"&gt;2.7387142&lt;/D&gt;&lt;D xsi:type="xsd:double"&gt;5.0792456&lt;/D&gt;&lt;D xsi:type="xsd:double"&gt;3.7709951&lt;/D&gt;&lt;D xsi:type="xsd:double"&gt;-1.0571539&lt;/D&gt;&lt;D xsi:type="xsd:double"&gt;2.070117&lt;/D&gt;&lt;D xsi:type="xsd:double"&gt;2.1778703&lt;/D&gt;&lt;D xsi:type="xsd:double"&gt;-3.9041936&lt;/D&gt;&lt;D xsi:type="xsd:double"&gt;3.0385733&lt;/D&gt;&lt;D xsi:type="xsd:double"&gt;0.53014755&lt;/D&gt;&lt;D xsi:type="xsd:double"&gt;4.5814037&lt;/D&gt;&lt;D xsi:type="xsd:double"&gt;0.15758276&lt;/D&gt;&lt;D xsi:type="xsd:double"&gt;2.5779486&lt;/D&gt;&lt;D xsi:type="xsd:double"&gt;-0.55333376&lt;/D&gt;&lt;D xsi:type="xsd:double"&gt;-22.009272&lt;/D&gt;&lt;D xsi:type="xsd:double"&gt;-3.3293724&lt;/D&gt;&lt;D xsi:type="xsd:double"&gt;-0.9840071&lt;/D&gt;&lt;D xsi:type="xsd:double"&gt;9.606624&lt;/D&gt;&lt;D xsi:type="xsd:double"&gt;6.205082&lt;/D&gt;&lt;D xsi:type="xsd:double"&gt;3.8668036&lt;/D&gt;&lt;D xsi:type="xsd:double"&gt;1.3443589&lt;/D&gt;&lt;D xsi:type="xsd:double"&gt;-1.0544181&lt;/D&gt;&lt;D xsi:type="xsd:double"&gt;9.212791&lt;/D&gt;&lt;D xsi:type="xsd:double"&gt;4.28077&lt;/D&gt;&lt;D xsi:type="xsd:double"&gt;2.8306723&lt;/D&gt;&lt;D xsi:type="xsd:double"&gt;0.265491&lt;/D&gt;&lt;D xsi:type="xsd:double"&gt;4.1776896&lt;/D&gt;&lt;D xsi:type="xsd:double"&gt;2.0050764&lt;/D&gt;&lt;D xsi:type="xsd:double"&gt;3.7929177&lt;/D&gt;&lt;D xsi:type="xsd:double"&gt;5.5134177&lt;/D&gt;&lt;D xsi:type="xsd:double"&gt;-3.093046&lt;/D&gt;&lt;D xsi:type="xsd:double"&gt;3.5083175&lt;/D&gt;&lt;D xsi:type="xsd:double"&gt;-1.5545368&lt;/D&gt;&lt;D xsi:type="xsd:double"&gt;-3.339374&lt;/D&gt;&lt;D xsi:type="xsd:double"&gt;6.8291306&lt;/D&gt;&lt;D xsi:type="xsd:double"&gt;-2.2060692&lt;/D&gt;&lt;D xsi:type="xsd:double"&gt;3.793776&lt;/D&gt;&lt;D xsi:type="xsd:double"&gt;-5.1776648&lt;/D&gt;&lt;D xsi:type="xsd:double"&gt;-12.981802&lt;/D&gt;&lt;D xsi:type="xsd:double"&gt;5.1676393&lt;/D&gt;&lt;D xsi:type="xsd:double"&gt;-7.3413253&lt;/D&gt;&lt;D xsi:type="xsd:double"&gt;1.714766&lt;/D&gt;&lt;D xsi:type="xsd:double"&gt;-7.188499&lt;/D&gt;&lt;D xsi:type="xsd:double"&gt;11.600685&lt;/D&gt;&lt;D xsi:type="xsd:double"&gt;-6.7242384&lt;/D&gt;&lt;D xsi:type="xsd:double"&gt;-10.515875&lt;/D&gt;&lt;D xsi:type="xsd:double"&gt;21.61863&lt;/D&gt;&lt;D xsi:type="xsd:double"&gt;2.218175&lt;/D&gt;&lt;D xsi:type="xsd:double"&gt;6.536269&lt;/D&gt;&lt;D xsi:type="xsd:double"&gt;1.9602418&lt;/D&gt;&lt;D xsi:type="xsd:double"&gt;-0.8239448&lt;/D&gt;&lt;D xsi:type="xsd:double"&gt;6.286347&lt;/D&gt;&lt;D xsi:type="xsd:double"&gt;1.4330387&lt;/D&gt;&lt;D xsi:type="xsd:double"&gt;-3.1742096&lt;/D&gt;&lt;D xsi:type="xsd:double"&gt;3.0919433&lt;/D&gt;&lt;D xsi:type="xsd:double"&gt;0.57879686&lt;/D&gt;&lt;D xsi:type="xsd:double"&gt;-2.7988493&lt;/D&gt;&lt;D xsi:type="xsd:double"&gt;-3.794402&lt;/D&gt;&lt;D xsi:type="xsd:double"&gt;0&lt;/D&gt;&lt;D xsi:type="xsd:double"&gt;7.3286653&lt;/D&gt;&lt;D xsi:type="xsd:double"&gt;0.46768188&lt;/D&gt;&lt;D xsi:type="xsd:double"&gt;1.4360309&lt;/D&gt;&lt;D xsi:type="xsd:double"&gt;5.585587&lt;/D&gt;&lt;D xsi:type="xsd:double"&gt;-1.633352&lt;/D&gt;&lt;/FQL&gt;&lt;FQL&gt;&lt;Q&gt;EWG^FMA_PE(LTMA,-10AY,0,AM,"PORTAGG","MEANR")&lt;/Q&gt;&lt;R&gt;121&lt;/R&gt;&lt;C&gt;1&lt;/C&gt;&lt;D xsi:type="xsd:double"&gt;14.6076543167395&lt;/D&gt;&lt;D xsi:type="xsd:double"&gt;14.5998367957307&lt;/D&gt;&lt;D xsi:type="xsd:double"&gt;14.6954217446802&lt;/D&gt;&lt;D xsi:type="xsd:double"&gt;14.4068300416694&lt;/D&gt;&lt;D xsi:type="xsd:double"&gt;13.9833000182288&lt;/D&gt;&lt;D xsi:type="xsd:double"&gt;14.312660230648&lt;/D&gt;&lt;D xsi:type="xsd:double"&gt;13.2688778334265&lt;/D&gt;&lt;D xsi:type="xsd:double"&gt;13.7880940237434&lt;/D&gt;&lt;D xsi:type="xsd:double"&gt;14.4001799283093&lt;/D&gt;&lt;D xsi:type="xsd:double"&gt;14.0789368329184&lt;/D&gt;&lt;D xsi:type="xsd:double"&gt;15.5248918928687&lt;/D&gt;&lt;D xsi:type="xsd:double"&gt;16.5350042881932&lt;/D&gt;&lt;D xsi:type="xsd:double"&gt;16.646122667963&lt;/D&gt;&lt;D xsi:type="xsd:double"&gt;16.1861943982277&lt;/D&gt;&lt;D xsi:type="xsd:double"&gt;15.7748816427991&lt;/D&gt;&lt;D xsi:type="xsd:double"&gt;15.5554574828692&lt;/D&gt;&lt;D xsi:type="xsd:double"&gt;15.3046880678917&lt;/D&gt;&lt;D xsi:type="xsd:double"&gt;14.1879545370979&lt;/D&gt;&lt;D xsi:type="xsd:double"&gt;13.9774515135673&lt;/D&gt;&lt;D xsi:type="xsd:double"&gt;14.5318741865672&lt;/D&gt;&lt;D xsi:type="xsd:double"&gt;13.7111668565447&lt;/D&gt;&lt;D xsi:type="xsd:double"&gt;12.7825812102268&lt;/D&gt;&lt;D xsi:type="xsd:double"&gt;11.6041301356356&lt;/D&gt;&lt;D xsi:type="xsd:double"&gt;12.7194321345345&lt;/D&gt;&lt;D xsi:type="xsd:double"&gt;12.6975217488305&lt;/D&gt;&lt;D xsi:type="xsd:double"&gt;12.8120559615309&lt;/D&gt;&lt;D xsi:type="xsd:double"&gt;12.7200029920131&lt;/D&gt;&lt;D xsi:type="xsd:double"&gt;12.7627140905597&lt;/D&gt;&lt;D xsi:type="xsd:double"&gt;13.4647172270557&lt;/D&gt;&lt;D xsi:type="xsd:double"&gt;13.5332344123155&lt;/D&gt;&lt;D xsi:type="xsd:double"&gt;13.6641639492056&lt;/D&gt;&lt;D xsi:type="xsd:double"&gt;13.7021570143689&lt;/D&gt;&lt;D xsi:type="xsd:double"&gt;14.3636267024595&lt;/D&gt;&lt;D xsi:type="xsd:double"&gt;14.9751977455918&lt;/D&gt;&lt;D xsi:type="xsd:double"&gt;14.9245788584118&lt;/D&gt;&lt;D xsi:type="xsd:double"&gt;14.9697675917959&lt;/D&gt;&lt;D xsi:type="xsd:double"&gt;14.8968341920428&lt;/D&gt;&lt;D xsi:type="xsd:double"&gt;14.9000141783268&lt;/D&gt;&lt;D xsi:type="xsd:double"&gt;14.8163297120057&lt;/D&gt;&lt;D xsi:type="xsd:double"&gt;14.5331920416681&lt;/D&gt;&lt;D xsi:type="xsd:double"&gt;14.1397285354081&lt;/D&gt;&lt;D xsi:type="xsd:double"&gt;14.3288921007457&lt;/D&gt;&lt;D xsi:type="xsd:double"&gt;14.7460738287816&lt;/D&gt;&lt;D xsi:type="xsd:double"&gt;15.2540062124712&lt;/D&gt;&lt;D xsi:type="xsd:double"&gt;15.4644535213951&lt;/D&gt;&lt;D xsi:type="xsd:double"&gt;15.5103619492625&lt;/D&gt;&lt;D xsi:type="xsd:double"&gt;14.0776883634533&lt;/D&gt;&lt;D xsi:type="xsd:double"&gt;14.229153280713&lt;/D&gt;&lt;D xsi:type="xsd:double"&gt;14.1103480587839&lt;/D&gt;&lt;D xsi:type="xsd:double"&gt;14.2223580899837&lt;/D&gt;&lt;D xsi:type="xsd:double"&gt;14.1546323562172&lt;/D&gt;&lt;D xsi:type="xsd:double"&gt;13.9647728014047&lt;/D&gt;&lt;D xsi:type="xsd:double"&gt;13.9825843129578&lt;/D&gt;&lt;D xsi:type="xsd:double"&gt;13.7394458573839&lt;/D&gt;&lt;D xsi:type="xsd:double"&gt;13.2568977944979&lt;/D&gt;&lt;D xsi:type="xsd:double"&gt;13.1517536795005&lt;/D&gt;&lt;D xsi:type="xsd:double"&gt;12.4158188470605&lt;/D&gt;&lt;D xsi:type="xsd:double"&gt;12.4286019601991&lt;/D&gt;&lt;D xsi:type="xsd:double"&gt;12.7450540775733&lt;/D&gt;&lt;D xsi:type="xsd:double"&gt;13.2064083879524&lt;/D&gt;&lt;D xsi:type="xsd:double"&gt;13.267070821425&lt;/D&gt;&lt;D xsi:type="xsd:double"&gt;13.2771545266368&lt;/D&gt;&lt;D xsi:type="xsd:double"&gt;13.23640124351&lt;/D&gt;&lt;D xsi:type="xsd:double"&gt;13.507235528024&lt;/D&gt;&lt;D xsi:type="xsd:double"&gt;13.3144695032251&lt;/D&gt;&lt;D xsi:type="xsd:double"&gt;14.0033915092222&lt;/D&gt;&lt;D xsi:type="xsd:double"&gt;14.2074658759574&lt;/D&gt;&lt;D xsi:type="xsd:double"&gt;15.1185855759996&lt;/D&gt;&lt;D xsi:type="xsd:double"&gt;15.2248307994576&lt;/D&gt;&lt;D xsi:type="xsd:double"&gt;15.7657294752993&lt;/D&gt;&lt;D xsi:type="xsd:double"&gt;16.1609318047122&lt;/D&gt;&lt;D xsi:type="xsd:double"&gt;13.7200051442524&lt;/D&gt;&lt;D xsi:type="xsd:double"&gt;14.2755371533434&lt;/D&gt;&lt;D xsi:type="xsd:double"&gt;15.2613336102803&lt;/D&gt;&lt;D xsi:type="xsd:double"&gt;16.8789059387715&lt;/D&gt;&lt;D xsi:type="xsd:double"&gt;18.4257868504757&lt;/D&gt;&lt;D xsi:type="xsd:double"&gt;19.4343607932138&lt;/D&gt;&lt;D xsi:type="xsd:double"&gt;20.4417047100276&lt;/D&gt;&lt;D xsi:type="xsd:double"&gt;20.6699534249895&lt;/D&gt;&lt;D xsi:type="xsd:double"&gt;20.5122673809125&lt;/D&gt;&lt;D xsi:type="xsd:double"&gt;20.7392792838602&lt;/D&gt;&lt;D xsi:type="xsd:double"&gt;22.1237587362216&lt;/D&gt;&lt;D xsi:type="xsd:double"&gt;21.5518813437333&lt;/D&gt;&lt;D xsi:type="xsd:double"&gt;20.2466172232739&lt;/D&gt;&lt;D xsi:type="xsd:double"&gt;19.9979916286525&lt;/D&gt;&lt;D xsi:type="xsd:double"&gt;19.0633898519378&lt;/D&gt;&lt;D xsi:type="xsd:double"&gt;18.7483339270202&lt;/D&gt;&lt;D xsi:type="xsd:double"&gt;18.1967074892241&lt;/D&gt;&lt;D xsi:type="xsd:double"&gt;17.3165862233338&lt;/D&gt;&lt;D xsi:type="xsd:double"&gt;16.6199071702865&lt;/D&gt;&lt;D xsi:type="xsd:double"&gt;15.8193439347996&lt;/D&gt;&lt;D xsi:type="xsd:double"&gt;15.3977272358646&lt;/D&gt;&lt;D xsi:type="xsd:double"&gt;14.3821253049469&lt;/D&gt;&lt;D xsi:type="xsd:double"&gt;14.113509730134&lt;/D&gt;&lt;D xsi:type="xsd:double"&gt;13.3543917634539&lt;/D&gt;&lt;D xsi:type="xsd:double"&gt;12.3681416136074&lt;/D&gt;&lt;D xsi:type="xsd:double"&gt;12.3700472878685&lt;/D&gt;&lt;D xsi:type="xsd:double"&gt;12.050525374025&lt;/D&gt;&lt;D xsi:type="xsd:double"&gt;11.8684788100465&lt;/D&gt;&lt;D xsi:type="xsd:double"&gt;11.3417251564392&lt;/D&gt;&lt;D xsi:type="xsd:double"&gt;11.290206351321&lt;/D&gt;&lt;D xsi:type="xsd:double"&gt;10.8861467137065&lt;/D&gt;&lt;D xsi:type="xsd:double"&gt;10.0238345674324&lt;/D&gt;&lt;D xsi:type="xsd:double"&gt;11.0079789720346&lt;/D&gt;&lt;D xsi:type="xsd:double"&gt;10.830270371817&lt;/D&gt;&lt;D xsi:type="xsd:double"&gt;11.2835437002261&lt;/D&gt;&lt;D xsi:type="xsd:double"&gt;11.5527919164621&lt;/D&gt;&lt;D xsi:type="xsd:double"&gt;11.3525866726257&lt;/D&gt;&lt;D xsi:type="xsd:double"&gt;11.3897603419525&lt;/D&gt;&lt;D xsi:type="xsd:double"&gt;11.3313374772192&lt;/D&gt;&lt;D xsi:type="xsd:double"&gt;11.2321638829083&lt;/D&gt;&lt;D xsi:type="xsd:double"&gt;11.1532968548896&lt;/D&gt;&lt;D xsi:type="xsd:double"&gt;11.196223614725&lt;/D&gt;&lt;D xsi:type="xsd:double"&gt;11.2328511137835&lt;/D&gt;&lt;D xsi:type="xsd:double"&gt;11.0843362801285&lt;/D&gt;&lt;D xsi:type="xsd:double"&gt;10.977045870205&lt;/D&gt;&lt;D xsi:type="xsd:double"&gt;11.9396654997217&lt;/D&gt;&lt;D xsi:type="xsd:double"&gt;11.7883226133863&lt;/D&gt;&lt;D xsi:type="xsd:double"&gt;12.0265550190178&lt;/D&gt;&lt;D xsi:type="xsd:double"&gt;12.5180251583105&lt;/D&gt;&lt;D xsi:type="xsd:double"&gt;12.5852273078983&lt;/D&gt;&lt;/FQL&gt;&lt;FQL&gt;&lt;Q&gt;TIOS-FDS^FG_PRICE_CHANGE(0,-6AM)&lt;/Q&gt;&lt;R&gt;1&lt;/R&gt;&lt;C&gt;1&lt;/C&gt;&lt;D xsi:type="xsd:double"&gt;-11.4952244104471&lt;/D&gt;&lt;/FQL&gt;&lt;FQL&gt;&lt;Q&gt;USDAUD^FG_PRICE_CHANGE(0,-6AM)&lt;/Q&gt;&lt;R&gt;1&lt;/R&gt;&lt;C&gt;1&lt;/C&gt;&lt;D xsi:type="xsd:double"&gt;-1.549679&lt;/D&gt;&lt;/FQL&gt;&lt;FQL&gt;&lt;Q&gt;BRENT-FDS^FG_PRICE_MAVG(0,,,,30)&lt;/Q&gt;&lt;R&gt;1&lt;/R&gt;&lt;C&gt;1&lt;/C&gt;&lt;D xsi:type="xsd:double"&gt;85.86&lt;/D&gt;&lt;/FQL&gt;&lt;FQL&gt;&lt;Q&gt;USDAUD^FG_PRICE_CHANGE(0,-3AM)&lt;/Q&gt;&lt;R&gt;1&lt;/R&gt;&lt;C&gt;1&lt;/C&gt;&lt;D xsi:type="xsd:double"&gt;2.1940947&lt;/D&gt;&lt;/FQL&gt;&lt;FQL&gt;&lt;Q&gt;WL-FDS^FG_PRICE(0)&lt;/Q&gt;&lt;R&gt;1&lt;/R&gt;&lt;C&gt;1&lt;/C&gt;&lt;D xsi:type="xsd:double"&gt;628.1&lt;/D&gt;&lt;/FQL&gt;&lt;FQL&gt;&lt;Q&gt;EWC^FG_PRICE(0)&lt;/Q&gt;&lt;R&gt;1&lt;/R&gt;&lt;C&gt;1&lt;/C&gt;&lt;D xsi:type="xsd:double"&gt;37.76&lt;/D&gt;&lt;/FQL&gt;&lt;FQL&gt;&lt;Q&gt;EWU^FG_COMPANY_NAME&lt;/Q&gt;&lt;R&gt;1&lt;/R&gt;&lt;C&gt;1&lt;/C&gt;&lt;D xsi:type="xsd:string"&gt;iShares MSCI United Kingdom ETF&lt;/D&gt;&lt;/FQL&gt;&lt;FQL&gt;&lt;Q&gt;USDSEK^FG_PRICE_CHANGE(0,-1AM)&lt;/Q&gt;&lt;R&gt;1&lt;/R&gt;&lt;C&gt;1&lt;/C&gt;&lt;D xsi:type="xsd:double"&gt;5.265522&lt;/D&gt;&lt;/FQL&gt;&lt;FQL&gt;&lt;Q&gt;USDCHF^FG_PRICE(0)&lt;/Q&gt;&lt;R&gt;1&lt;/R&gt;&lt;C&gt;1&lt;/C&gt;&lt;D xsi:type="xsd:double"&gt;0.9113&lt;/D&gt;&lt;/FQL&gt;&lt;FQL&gt;&lt;Q&gt;W-FDS^FG_PRICE_CHANGE(0,-1AY)&lt;/Q&gt;&lt;R&gt;1&lt;/R&gt;&lt;C&gt;1&lt;/C&gt;&lt;D xsi:type="xsd:double"&gt;-18.1379821958457&lt;/D&gt;&lt;/FQL&gt;&lt;FQL&gt;&lt;Q&gt;TRYCN10Y-FDS^FG_YIELD(-10AY,0,Y,,"YTM")&lt;/Q&gt;&lt;R&gt;10&lt;/R&gt;&lt;C&gt;1&lt;/C&gt;&lt;D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xsi:type="xsd:double"&gt;2.574&lt;/D&gt;&lt;/FQL&gt;&lt;FQL&gt;&lt;Q&gt;EWD^FMA_PE(LTMA,-10AY,0,AM,"PORTAGG","MEANR")&lt;/Q&gt;&lt;R&gt;121&lt;/R&gt;&lt;C&gt;1&lt;/C&gt;&lt;D xsi:type="xsd:double"&gt;15.3247926683813&lt;/D&gt;&lt;D xsi:type="xsd:double"&gt;15.4769459623595&lt;/D&gt;&lt;D xsi:type="xsd:double"&gt;15.7747867184975&lt;/D&gt;&lt;D xsi:type="xsd:double"&gt;15.6998568725583&lt;/D&gt;&lt;D xsi:type="xsd:double"&gt;15.8614090532526&lt;/D&gt;&lt;D xsi:type="xsd:double"&gt;15.8420872144438&lt;/D&gt;&lt;D xsi:type="xsd:double"&gt;15.2323805172852&lt;/D&gt;&lt;D xsi:type="xsd:double"&gt;16.788239641363&lt;/D&gt;&lt;D xsi:type="xsd:double"&gt;17.39262218474&lt;/D&gt;&lt;D xsi:type="xsd:double"&gt;17.3501845842365&lt;/D&gt;&lt;D xsi:type="xsd:double"&gt;19.2334706712006&lt;/D&gt;&lt;D xsi:type="xsd:double"&gt;20.1522880921658&lt;/D&gt;&lt;D xsi:type="xsd:double"&gt;19.9010533588037&lt;/D&gt;&lt;D xsi:type="xsd:double"&gt;18.9608186036432&lt;/D&gt;&lt;D xsi:type="xsd:double"&gt;18.97696578605&lt;/D&gt;&lt;D xsi:type="xsd:double"&gt;18.6423040518817&lt;/D&gt;&lt;D xsi:type="xsd:double"&gt;18.5388523569438&lt;/D&gt;&lt;D xsi:type="xsd:double"&gt;17.2793039634111&lt;/D&gt;&lt;D xsi:type="xsd:double"&gt;17.0746739120283&lt;/D&gt;&lt;D xsi:type="xsd:double"&gt;16.9312876515718&lt;/D&gt;&lt;D xsi:type="xsd:double"&gt;15.838998612314&lt;/D&gt;&lt;D xsi:type="xsd:double"&gt;14.8548473970952&lt;/D&gt;&lt;D xsi:type="xsd:double"&gt;13.8840395946582&lt;/D&gt;&lt;D xsi:type="xsd:double"&gt;15.6817963226905&lt;/D&gt;&lt;D xsi:type="xsd:double"&gt;15.5940403374424&lt;/D&gt;&lt;D xsi:type="xsd:double"&gt;15.5143507452138&lt;/D&gt;&lt;D xsi:type="xsd:double"&gt;15.3255573180106&lt;/D&gt;&lt;D xsi:type="xsd:double"&gt;15.5117631170618&lt;/D&gt;&lt;D xsi:type="xsd:double"&gt;16.0646344496113&lt;/D&gt;&lt;D xsi:type="xsd:double"&gt;16.0850630095338&lt;/D&gt;&lt;D xsi:type="xsd:double"&gt;16.6385516139404&lt;/D&gt;&lt;D xsi:type="xsd:double"&gt;17.0412387106005&lt;/D&gt;&lt;D xsi:type="xsd:double"&gt;18.0715369323263&lt;/D&gt;&lt;D xsi:type="xsd:double"&gt;18.1149711269785&lt;/D&gt;&lt;D xsi:type="xsd:double"&gt;18.4676890876899&lt;/D&gt;&lt;D xsi:type="xsd:double"&gt;17.5196757699805&lt;/D&gt;&lt;D xsi:type="xsd:double"&gt;17.5530144690677&lt;/D&gt;&lt;D xsi:type="xsd:double"&gt;17.6691881454157&lt;/D&gt;&lt;D xsi:type="xsd:double"&gt;17.6468614598417&lt;/D&gt;&lt;D xsi:type="xsd:double"&gt;17.5951654627824&lt;/D&gt;&lt;D xsi:type="xsd:double"&gt;16.846638162441&lt;/D&gt;&lt;D xsi:type="xsd:double"&gt;17.0670498444975&lt;/D&gt;&lt;D xsi:type="xsd:double"&gt;17.6646964773352&lt;/D&gt;&lt;D xsi:type="xsd:double"&gt;18.2248621997234&lt;/D&gt;&lt;D xsi:type="xsd:double"&gt;18.1457671171149&lt;/D&gt;&lt;D xsi:type="xsd:double"&gt;18.5284232113559&lt;/D&gt;&lt;D xsi:type="xsd:double"&gt;16.1654813673167&lt;/D&gt;&lt;D xsi:type="xsd:double"&gt;16.9807111730829&lt;/D&gt;&lt;D xsi:type="xsd:double"&gt;16.6973055615486&lt;/D&gt;&lt;D xsi:type="xsd:double"&gt;16.8282702397389&lt;/D&gt;&lt;D xsi:type="xsd:double"&gt;16.5776606338127&lt;/D&gt;&lt;D xsi:type="xsd:double"&gt;16.3588714364117&lt;/D&gt;&lt;D xsi:type="xsd:double"&gt;16.597937316627&lt;/D&gt;&lt;D xsi:type="xsd:double"&gt;16.5650137302279&lt;/D&gt;&lt;D xsi:type="xsd:double"&gt;15.7771925439781&lt;/D&gt;&lt;D xsi:type="xsd:double"&gt;15.2068225607652&lt;/D&gt;&lt;D xsi:type="xsd:double"&gt;14.3146014657702&lt;/D&gt;&lt;D xsi:type="xsd:double"&gt;14.4829776621313&lt;/D&gt;&lt;D xsi:type="xsd:double"&gt;16.9245489508814&lt;/D&gt;&lt;D xsi:type="xsd:double"&gt;18.040518627933&lt;/D&gt;&lt;D xsi:type="xsd:double"&gt;17.8345378939706&lt;/D&gt;&lt;D xsi:type="xsd:double"&gt;17.5561521936487&lt;/D&gt;&lt;D xsi:type="xsd:double"&gt;17.1723570503806&lt;/D&gt;&lt;D xsi:type="xsd:double"&gt;17.0402195928995&lt;/D&gt;&lt;D xsi:type="xsd:double"&gt;15.9687518736928&lt;/D&gt;&lt;D xsi:type="xsd:double"&gt;16.2513926399279&lt;/D&gt;&lt;D xsi:type="xsd:double"&gt;16.4483794455132&lt;/D&gt;&lt;D xsi:type="xsd:double"&gt;16.9913535772325&lt;/D&gt;&lt;D xsi:type="xsd:double"&gt;15.8850444701058&lt;/D&gt;&lt;D xsi:type="xsd:double"&gt;16.3535537703105&lt;/D&gt;&lt;D xsi:type="xsd:double"&gt;14.3781738320339&lt;/D&gt;&lt;D xsi:type="xsd:double"&gt;12.6751105381141&lt;/D&gt;&lt;D xsi:type="xsd:double"&gt;13.61637114756&lt;/D&gt;&lt;D xsi:type="xsd:double"&gt;15.2590377731084&lt;/D&gt;&lt;D xsi:type="xsd:double"&gt;16.0857396206183&lt;/D&gt;&lt;D xsi:type="xsd:double"&gt;17.6662683042069&lt;/D&gt;&lt;D xsi:type="xsd:double"&gt;17.6987781258264&lt;/D&gt;&lt;D xsi:type="xsd:double"&gt;17.6379333037766&lt;/D&gt;&lt;D xsi:type="xsd:double"&gt;18.3045686411082&lt;/D&gt;&lt;D xsi:type="xsd:double"&gt;16.4285959066428&lt;/D&gt;&lt;D xsi:type="xsd:double"&gt;17.0428359756698&lt;/D&gt;&lt;D xsi:type="xsd:double"&gt;18.5235757237425&lt;/D&gt;&lt;D xsi:type="xsd:double"&gt;17.4995223471472&lt;/D&gt;&lt;D xsi:type="xsd:double"&gt;17.9039940068079&lt;/D&gt;&lt;D xsi:type="xsd:double"&gt;18.349470590264&lt;/D&gt;&lt;D xsi:type="xsd:double"&gt;17.4218575383309&lt;/D&gt;&lt;D xsi:type="xsd:double"&gt;17.905099909468&lt;/D&gt;&lt;D xsi:type="xsd:double"&gt;18.1301508808067&lt;/D&gt;&lt;D xsi:type="xsd:double"&gt;17.6450362833372&lt;/D&gt;&lt;D xsi:type="xsd:double"&gt;17.4591399521456&lt;/D&gt;&lt;D xsi:type="xsd:double"&gt;16.8529653400174&lt;/D&gt;&lt;D xsi:type="xsd:double"&gt;16.7816381572586&lt;/D&gt;&lt;D xsi:type="xsd:double"&gt;16.5759958982964&lt;/D&gt;&lt;D xsi:type="xsd:double"&gt;16.0794374865712&lt;/D&gt;&lt;D xsi:type="xsd:double"&gt;12.3356387498622&lt;/D&gt;&lt;D xsi:type="xsd:double"&gt;11.7190134410172&lt;/D&gt;&lt;D xsi:type="xsd:double"&gt;12.1529264561173&lt;/D&gt;&lt;D xsi:type="xsd:double"&gt;13.1326528226029&lt;/D&gt;&lt;D xsi:type="xsd:double"&gt;13.4530566023918&lt;/D&gt;&lt;D xsi:type="xsd:double"&gt;13.7578411960893&lt;/D&gt;&lt;D xsi:type="xsd:double"&gt;14.8190290449742&lt;/D&gt;&lt;D xsi:type="xsd:double"&gt;14.7530283441959&lt;/D&gt;&lt;D xsi:type="xsd:double"&gt;14.4156958514378&lt;/D&gt;&lt;D xsi:type="xsd:double"&gt;14.2776205837731&lt;/D&gt;&lt;D xsi:type="xsd:double"&gt;15.72715305939&lt;/D&gt;&lt;D xsi:type="xsd:double"&gt;16.6189987077012&lt;/D&gt;&lt;D xsi:type="xsd:double"&gt;25.9040753980523&lt;/D&gt;&lt;D xsi:type="xsd:double"&gt;25.2215859813523&lt;/D&gt;&lt;D xsi:type="xsd:double"&gt;23.9795071224603&lt;/D&gt;&lt;D xsi:type="xsd:double"&gt;22.8097053994659&lt;/D&gt;&lt;D xsi:type="xsd:double"&gt;21.7578853135366&lt;/D&gt;&lt;D xsi:type="xsd:double"&gt;20.3232702787286&lt;/D&gt;&lt;D xsi:type="xsd:double"&gt;18.9411603345931&lt;/D&gt;&lt;D xsi:type="xsd:double"&gt;17.5503544071554&lt;/D&gt;&lt;D xsi:type="xsd:double"&gt;16.4523219313797&lt;/D&gt;&lt;D xsi:type="xsd:double"&gt;15.5902894726472&lt;/D&gt;&lt;D xsi:type="xsd:double"&gt;17.8959191796539&lt;/D&gt;&lt;D xsi:type="xsd:double"&gt;17.2291450521567&lt;/D&gt;&lt;D xsi:type="xsd:double"&gt;15.2265477810007&lt;/D&gt;&lt;D xsi:type="xsd:double"&gt;15.9960728162863&lt;/D&gt;&lt;D xsi:type="xsd:double"&gt;16.0641433336114&lt;/D&gt;&lt;/FQL&gt;&lt;FQL&gt;&lt;Q&gt;PLATI-FDS^FG_PRICE_CHANGE(0,-6AM)&lt;/Q&gt;&lt;R&gt;1&lt;/R&gt;&lt;C&gt;1&lt;/C&gt;&lt;D xsi:type="xsd:double"&gt;10.8474576271187&lt;/D&gt;&lt;/FQL&gt;&lt;FQL&gt;&lt;Q&gt;EWQ^FG_PRICE(0)&lt;/Q&gt;&lt;R&gt;1&lt;/R&gt;&lt;C&gt;1&lt;/C&gt;&lt;D xsi:type="xsd:double"&gt;40.35&lt;/D&gt;&lt;/FQL&gt;&lt;FQL&gt;&lt;Q&gt;EWI^FMA_PE(NTMA,-10AY,0,AM,"PORTAGG","MEANR")&lt;/Q&gt;&lt;R&gt;121&lt;/R&gt;&lt;C&gt;1&lt;/C&gt;&lt;D xsi:type="xsd:double"&gt;13.521791076058&lt;/D&gt;&lt;D xsi:type="xsd:double"&gt;13.8207677527988&lt;/D&gt;&lt;D xsi:type="xsd:double"&gt;14.6109338166838&lt;/D&gt;&lt;D xsi:type="xsd:double"&gt;13.8617157517757&lt;/D&gt;&lt;D xsi:type="xsd:double"&gt;13.0501676734161&lt;/D&gt;&lt;D xsi:type="xsd:double"&gt;14.0759931612825&lt;/D&gt;&lt;D xsi:type="xsd:double"&gt;12.5150407256355&lt;/D&gt;&lt;D xsi:type="xsd:double"&gt;12.6794841454221&lt;/D&gt;&lt;D xsi:type="xsd:double"&gt;12.5771436691365&lt;/D&gt;&lt;D xsi:type="xsd:double"&gt;11.756665961576&lt;/D&gt;&lt;D xsi:type="xsd:double"&gt;14.097001353957&lt;/D&gt;&lt;D xsi:type="xsd:double"&gt;15.6873068172108&lt;/D&gt;&lt;D xsi:type="xsd:double"&gt;16.2389306829032&lt;/D&gt;&lt;D xsi:type="xsd:double"&gt;15.8496837048314&lt;/D&gt;&lt;D xsi:type="xsd:double"&gt;15.3980335528021&lt;/D&gt;&lt;D xsi:type="xsd:double"&gt;14.9774261091662&lt;/D&gt;&lt;D xsi:type="xsd:double"&gt;15.5943213328869&lt;/D&gt;&lt;D xsi:type="xsd:double"&gt;14.3746031426826&lt;/D&gt;&lt;D xsi:type="xsd:double"&gt;14.5971735812116&lt;/D&gt;&lt;D xsi:type="xsd:double"&gt;14.8171529052627&lt;/D&gt;&lt;D xsi:type="xsd:double"&gt;13.8996972130561&lt;/D&gt;&lt;D xsi:type="xsd:double"&gt;13.3208685643442&lt;/D&gt;&lt;D xsi:type="xsd:double"&gt;11.3227524659391&lt;/D&gt;&lt;D xsi:type="xsd:double"&gt;13.7408450918804&lt;/D&gt;&lt;D xsi:type="xsd:double"&gt;12.9057308005515&lt;/D&gt;&lt;D xsi:type="xsd:double"&gt;13.1381134694341&lt;/D&gt;&lt;D xsi:type="xsd:double"&gt;12.4906733518375&lt;/D&gt;&lt;D xsi:type="xsd:double"&gt;11.8298291647199&lt;/D&gt;&lt;D xsi:type="xsd:double"&gt;12.7968485458617&lt;/D&gt;&lt;D xsi:type="xsd:double"&gt;12.4798024463263&lt;/D&gt;&lt;D xsi:type="xsd:double"&gt;11.7280821786706&lt;/D&gt;&lt;D xsi:type="xsd:double"&gt;11.8434378398969&lt;/D&gt;&lt;D xsi:type="xsd:double"&gt;12.8113917756079&lt;/D&gt;&lt;D xsi:type="xsd:double"&gt;13.4855074143449&lt;/D&gt;&lt;D xsi:type="xsd:double"&gt;13.0473965591938&lt;/D&gt;&lt;D xsi:type="xsd:double"&gt;13.2863042680179&lt;/D&gt;&lt;D xsi:type="xsd:double"&gt;13.2047796175225&lt;/D&gt;&lt;D xsi:type="xsd:double"&gt;13.8339827809243&lt;/D&gt;&lt;D xsi:type="xsd:double"&gt;13.3966175320939&lt;/D&gt;&lt;D xsi:type="xsd:double"&gt;13.2858010619716&lt;/D&gt;&lt;D xsi:type="xsd:double"&gt;13.1548267937409&lt;/D&gt;&lt;D xsi:type="xsd:double"&gt;13.4101121970334&lt;/D&gt;&lt;D xsi:type="xsd:double"&gt;13.6343544877723&lt;/D&gt;&lt;D xsi:type="xsd:double"&gt;13.4460005963658&lt;/D&gt;&lt;D xsi:type="xsd:double"&gt;13.5620771047574&lt;/D&gt;&lt;D xsi:type="xsd:double"&gt;13.5891917985774&lt;/D&gt;&lt;D xsi:type="xsd:double"&gt;12.426312143247&lt;/D&gt;&lt;D xsi:type="xsd:double"&gt;12.717101374817&lt;/D&gt;&lt;D xsi:type="xsd:double"&gt;12.7153872586357&lt;/D&gt;&lt;D xsi:type="xsd:double"&gt;12.9419183625077&lt;/D&gt;&lt;D xsi:type="xsd:double"&gt;11.6542418697284&lt;/D&gt;&lt;D xsi:type="xsd:double"&gt;11.3582594777778&lt;/D&gt;&lt;D xsi:type="xsd:double"&gt;11.0899770874372&lt;/D&gt;&lt;D xsi:type="xsd:double"&gt;10.7425846934127&lt;/D&gt;&lt;D xsi:type="xsd:double"&gt;9.92915550276532&lt;/D&gt;&lt;D xsi:type="xsd:double"&gt;9.83250022460173&lt;/D&gt;&lt;D xsi:type="xsd:double"&gt;9.26225425279815&lt;/D&gt;&lt;D xsi:type="xsd:double"&gt;9.69421551586197&lt;/D&gt;&lt;D xsi:type="xsd:double"&gt;10.0729848571755&lt;/D&gt;&lt;D xsi:type="xsd:double"&gt;10.475005669469&lt;/D&gt;&lt;D xsi:type="xsd:double"&gt;10.8716695057461&lt;/D&gt;&lt;D xsi:type="xsd:double"&gt;10.3914402393696&lt;/D&gt;&lt;D xsi:type="xsd:double"&gt;10.1395791921148&lt;/D&gt;&lt;D xsi:type="xsd:double"&gt;10.9367895923365&lt;/D&gt;&lt;D xsi:type="xsd:double"&gt;10.0179679863687&lt;/D&gt;&lt;D xsi:type="xsd:double"&gt;10.7296148385626&lt;/D&gt;&lt;D xsi:type="xsd:double"&gt;10.8571929792904&lt;/D&gt;&lt;D xsi:type="xsd:double"&gt;11.3806577159949&lt;/D&gt;&lt;D xsi:type="xsd:double"&gt;11.2242476099526&lt;/D&gt;&lt;D xsi:type="xsd:double"&gt;11.6285504676505&lt;/D&gt;&lt;D xsi:type="xsd:double"&gt;11.8042046385782&lt;/D&gt;&lt;D xsi:type="xsd:double"&gt;8.75598712261855&lt;/D&gt;&lt;D xsi:type="xsd:double"&gt;10.5489472602225&lt;/D&gt;&lt;D xsi:type="xsd:double"&gt;14.9128710219147&lt;/D&gt;&lt;D xsi:type="xsd:double"&gt;17.1167848320886&lt;/D&gt;&lt;D xsi:type="xsd:double"&gt;17.324407478027&lt;/D&gt;&lt;D xsi:type="xsd:double"&gt;16.7733821331543&lt;/D&gt;&lt;D xsi:type="xsd:double"&gt;15.7376439361044&lt;/D&gt;&lt;D xsi:type="xsd:double"&gt;14.8153885346636&lt;/D&gt;&lt;D xsi:type="xsd:double"&gt;14.8602130540076&lt;/D&gt;&lt;D xsi:type="xsd:double"&gt;14.7921811915182&lt;/D&gt;&lt;D xsi:type="xsd:double"&gt;14.9427126998914&lt;/D&gt;&lt;D xsi:type="xsd:double"&gt;14.3289421919993&lt;/D&gt;&lt;D xsi:type="xsd:double"&gt;13.9840670202808&lt;/D&gt;&lt;D xsi:type="xsd:double"&gt;13.8515871782921&lt;/D&gt;&lt;D xsi:type="xsd:double"&gt;13.1546707212197&lt;/D&gt;&lt;D xsi:type="xsd:double"&gt;13.7436947531938&lt;/D&gt;&lt;D xsi:type="xsd:double"&gt;13.1343794703468&lt;/D&gt;&lt;D xsi:type="xsd:double"&gt;12.4119748862931&lt;/D&gt;&lt;D xsi:type="xsd:double"&gt;11.7191175863183&lt;/D&gt;&lt;D xsi:type="xsd:double"&gt;11.615399947347&lt;/D&gt;&lt;D xsi:type="xsd:double"&gt;11.7512456845556&lt;/D&gt;&lt;D xsi:type="xsd:double"&gt;10.8563034542595&lt;/D&gt;&lt;D xsi:type="xsd:double"&gt;11.1790075066485&lt;/D&gt;&lt;D xsi:type="xsd:double"&gt;10.6758535162701&lt;/D&gt;&lt;D xsi:type="xsd:double"&gt;9.18218897849224&lt;/D&gt;&lt;D xsi:type="xsd:double"&gt;9.69396941234049&lt;/D&gt;&lt;D xsi:type="xsd:double"&gt;9.12605508934808&lt;/D&gt;&lt;D xsi:type="xsd:double"&gt;8.16454429223532&lt;/D&gt;&lt;D xsi:type="xsd:double"&gt;7.78397799196989&lt;/D&gt;&lt;D xsi:type="xsd:double"&gt;7.76968849083534&lt;/D&gt;&lt;D xsi:type="xsd:double"&gt;7.64621193624032&lt;/D&gt;&lt;D xsi:type="xsd:double"&gt;7.25121608554498&lt;/D&gt;&lt;D xsi:type="xsd:double"&gt;8.29033705698233&lt;/D&gt;&lt;D xsi:type="xsd:double"&gt;7.79105088578293&lt;/D&gt;&lt;D xsi:type="xsd:double"&gt;8.15830342037662&lt;/D&gt;&lt;D xsi:type="xsd:double"&gt;8.40013224155108&lt;/D&gt;&lt;D xsi:type="xsd:double"&gt;8.55951059201857&lt;/D&gt;&lt;D xsi:type="xsd:double"&gt;8.64584881132127&lt;/D&gt;&lt;D xsi:type="xsd:double"&gt;8.31729821182228&lt;/D&gt;&lt;D xsi:type="xsd:double"&gt;8.5631520822216&lt;/D&gt;&lt;D xsi:type="xsd:double"&gt;8.70754513252644&lt;/D&gt;&lt;D xsi:type="xsd:double"&gt;8.28216617494314&lt;/D&gt;&lt;D xsi:type="xsd:double"&gt;8.43335784886033&lt;/D&gt;&lt;D xsi:type="xsd:double"&gt;8.23671507588336&lt;/D&gt;&lt;D xsi:type="xsd:double"&gt;8.08981891637547&lt;/D&gt;&lt;D xsi:type="xsd:double"&gt;8.84518040558309&lt;/D&gt;&lt;D xsi:type="xsd:double"&gt;8.88638262696507&lt;/D&gt;&lt;D xsi:type="xsd:double"&gt;9.00876216550793&lt;/D&gt;&lt;D xsi:type="xsd:double"&gt;9.42572794464604&lt;/D&gt;&lt;D xsi:type="xsd:double"&gt;9.68793366955095&lt;/D&gt;&lt;/FQL&gt;&lt;FQL&gt;&lt;Q&gt;PLATI-FDS^FG_PRICE_CHANGE(0,-3AM)&lt;/Q&gt;&lt;R&gt;1&lt;/R&gt;&lt;C&gt;1&lt;/C&gt;&lt;D xsi:type="xsd:double"&gt;5.48387096774194&lt;/D&gt;&lt;/FQL&gt;&lt;FQL&gt;&lt;Q&gt;EWI^FG_PRICE_MAVG(0,,,,200)&lt;/Q&gt;&lt;R&gt;1&lt;/R&gt;&lt;C&gt;1&lt;/C&gt;&lt;D xsi:type="xsd:double"&gt;33.01195&lt;/D&gt;&lt;/FQL&gt;&lt;FQL&gt;&lt;Q&gt;ENZL^FG_PRICE_MAVG(0,,,,60)&lt;/Q&gt;&lt;R&gt;1&lt;/R&gt;&lt;C&gt;1&lt;/C&gt;&lt;D xsi:type="xsd:double"&gt;45.738297&lt;/D&gt;&lt;/FQL&gt;&lt;FQL&gt;&lt;Q&gt;EWG^FG_COMPANY_NAME&lt;/Q&gt;&lt;R&gt;1&lt;/R&gt;&lt;C&gt;1&lt;/C&gt;&lt;D xsi:type="xsd:string"&gt;iShares MSCI Germany ETF&lt;/D&gt;&lt;/FQL&gt;&lt;FQL&gt;&lt;Q&gt;QQQ^FMA_ROE(NTMA,-20AY,NOW,FY,"PORTAGG","MEANR")&lt;/Q&gt;&lt;R&gt;20&lt;/R&gt;&lt;C&gt;1&lt;/C&gt;&lt;D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xsi:type="xsd:double"&gt;25.011729152832&lt;/D&gt;&lt;D xsi:type="xsd:double"&gt;24.534442850509&lt;/D&gt;&lt;D xsi:type="xsd:double"&gt;26.6372021642568&lt;/D&gt;&lt;D xsi:type="xsd:double"&gt;24.0483215722889&lt;/D&gt;&lt;D xsi:type="xsd:double"&gt;25.3011114335366&lt;/D&gt;&lt;/FQL&gt;&lt;FQL&gt;&lt;Q&gt;TRYMY10Y-FDS^FG_YIELD(-10AY,0,Y,,"YTM")&lt;/Q&gt;&lt;R&gt;10&lt;/R&gt;&lt;C&gt;1&lt;/C&gt;&lt;D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</t>
        </r>
      </text>
    </comment>
    <comment ref="A8" authorId="0" shapeId="0" xr:uid="{3FD9BA5F-DFBC-44FF-872D-10CF07C65390}">
      <text>
        <r>
          <rPr>
            <b/>
            <sz val="9"/>
            <color indexed="81"/>
            <rFont val="Tahoma"/>
            <charset val="1"/>
          </rPr>
          <t>ble"&gt;0.618&lt;/D&gt;&lt;D xsi:type="xsd:double"&gt;1.315&lt;/D&gt;&lt;D xsi:type="xsd:double"&gt;4.585&lt;/D&gt;&lt;D xsi:type="xsd:double"&gt;3.099&lt;/D&gt;&lt;/FQL&gt;&lt;FQL&gt;&lt;Q&gt;WL-FDS^FG_PRICE_MAVG(0,,,,30)&lt;/Q&gt;&lt;R&gt;1&lt;/R&gt;&lt;C&gt;1&lt;/C&gt;&lt;D xsi:type="xsd:double"&gt;627.54&lt;/D&gt;&lt;/FQL&gt;&lt;FQL&gt;&lt;Q&gt;QQQ^P_PRICE_RETURNS_PR('52W',2,-10AY,0,AM)&lt;/Q&gt;&lt;R&gt;121&lt;/R&gt;&lt;C&gt;1&lt;/C&gt;&lt;D xsi:type="xsd:double"&gt;22.081936&lt;/D&gt;&lt;D xsi:type="xsd:double"&gt;21.446228&lt;/D&gt;&lt;D xsi:type="xsd:double"&gt;29.817736&lt;/D&gt;&lt;D xsi:type="xsd:double"&gt;29.031647&lt;/D&gt;&lt;D xsi:type="xsd:double"&gt;26.719772&lt;/D&gt;&lt;D xsi:type="xsd:double"&gt;30.063557&lt;/D&gt;&lt;D xsi:type="xsd:double"&gt;21.90807&lt;/D&gt;&lt;D xsi:type="xsd:double"&gt;25.940395&lt;/D&gt;&lt;D xsi:type="xsd:double"&gt;23.655678&lt;/D&gt;&lt;D xsi:type="xsd:double"&gt;19.731676&lt;/D&gt;&lt;D xsi:type="xsd:double"&gt;19.801308&lt;/D&gt;&lt;D xsi:type="xsd:double"&gt;17.801071&lt;/D&gt;&lt;D xsi:type="xsd:double"&gt;28.021503&lt;/D&gt;&lt;D xsi:type="xsd:double"&gt;26.119888&lt;/D&gt;&lt;D xsi:type="xsd:double"&gt;19.353426&lt;/D&gt;&lt;D xsi:type="xsd:double"&gt;14.942705&lt;/D&gt;&lt;D xsi:type="xsd:double"&gt;16.615845&lt;/D&gt;&lt;D xsi:type="xsd:double"&gt;6.71314&lt;/D&gt;&lt;D xsi:type="xsd:double"&gt;11.173237&lt;/D&gt;&lt;D xsi:type="xsd:double"&gt;11.814523&lt;/D&gt;&lt;D xsi:type="xsd:double"&gt;7.8887105&lt;/D&gt;&lt;D xsi:type="xsd:double"&gt;2.7056098&lt;/D&gt;&lt;D xsi:type="xsd:double"&gt;-6.912607&lt;/D&gt;&lt;D xsi:type="xsd:double"&gt;2.348566&lt;/D&gt;&lt;D xsi:type="xsd:double"&gt;1.8876433&lt;/D&gt;&lt;D xsi:type="xsd:double"&gt;-0.6931484&lt;/D&gt;&lt;D xsi:type="xsd:double"&gt;0.58237314&lt;/D&gt;&lt;D xsi:type="xsd:double"&gt;4.2096853&lt;/D&gt;&lt;D xsi:type="xsd:double"&gt;7.5373173&lt;/D&gt;&lt;D xsi:type="xsd:double"&gt;11.274349&lt;/D&gt;&lt;D xsi:type="xsd:double"&gt;11.565315&lt;/D&gt;&lt;D xsi:type="xsd:double"&gt;3.5098672&lt;/D&gt;&lt;D xsi:type="xsd:double"&gt;7.053733&lt;/D&gt;&lt;D xsi:type="xsd:double"&gt;19.144356&lt;/D&gt;&lt;D xsi:type="xsd:double"&gt;33.212326&lt;/D&gt;&lt;D xsi:type="xsd:double"&gt;26.94229&lt;/D&gt;&lt;D xsi:type="xsd:double"&gt;22.285545&lt;/D&gt;&lt;D xsi:type="xsd:double"&gt;31.358088&lt;/D&gt;&lt;D xsi:type="xsd:double"&gt;28.341818&lt;/D&gt;&lt;D xsi:type="xsd:double"&gt;26.644648&lt;/D&gt;&lt;D xsi:type="xsd:double"&gt;22.58234&lt;/D&gt;&lt;D xsi:type="xsd:double"&gt;28.961658&lt;/D&gt;&lt;D xsi:type="xsd:double"&gt;27.232277&lt;/D&gt;&lt;D xsi:type="xsd:double"&gt;34.09926&lt;/D&gt;&lt;D xsi:type="xsd:double"&gt;31.767475&lt;/D&gt;&lt;D xsi:type="xsd:double"&gt;34.04347&lt;/D&gt;&lt;D xsi:type="xsd:double"&gt;24.073769&lt;/D&gt;&lt;D xsi:type="xsd:double"&gt;33.552193&lt;/D&gt;&lt;D xsi:type="xsd:double"&gt;22.99223&lt;/D&gt;&lt;D xsi:type="xsd:double"&gt;23.60481&lt;/D&gt;&lt;D xsi:type="xsd:double"&gt;26.039768&lt;/D&gt;&lt;D xsi:type="xsd:double"&gt;27.902115&lt;/D&gt;&lt;D xsi:type="xsd:double"&gt;29.037142&lt;/D&gt;&lt;D xsi:type="xsd:double"&gt;26.552498&lt;/D&gt;&lt;D xsi:type="xsd:double"&gt;15.444672&lt;/D&gt;&lt;D xsi:type="xsd:double"&gt;12.459528&lt;/D&gt;&lt;D xsi:type="xsd:double"&gt;5.7525396&lt;/D&gt;&lt;D xsi:type="xsd:double"&gt;-0.75089335&lt;/D&gt;&lt;D xsi:type="xsd:double"&gt;8.801889&lt;/D&gt;&lt;D xsi:type="xsd:double"&gt;1.7693996&lt;/D&gt;&lt;D xsi:type="xsd:double"&gt;16.447544&lt;/D&gt;&lt;D xsi:type="xsd:double"&gt;10.01761&lt;/D&gt;&lt;D xsi:type="xsd:double"&gt;5.7674766&lt;/D&gt;&lt;D xsi:type="xsd:double"&gt;10.026693&lt;/D&gt;&lt;D xsi:type="xsd:double"&gt;3.417647&lt;/D&gt;&lt;D xsi:type="xsd:double"&gt;6.006539&lt;/D&gt;&lt;D xsi:type="xsd:double"&gt;13.697254&lt;/D&gt;&lt;D xsi:type="xsd:double"&gt;18.218994&lt;/D&gt;&lt;D xsi:type="xsd:double"&gt;26.41368&lt;/D&gt;&lt;D xsi:type="xsd:double"&gt;36.549603&lt;/D&gt;&lt;D xsi:type="xsd:double"&gt;38.906742&lt;/D&gt;&lt;D xsi:type="xsd:double"&gt;12.645936&lt;/D&gt;&lt;D xsi:type="xsd:double"&gt;9.808922&lt;/D&gt;&lt;D xsi:type="xsd:double"&gt;23.679806&lt;/D&gt;&lt;D xsi:type="xsd:double"&gt;28.690683&lt;/D&gt;&lt;D xsi:type="xsd:double"&gt;38.187862&lt;/D&gt;&lt;D xsi:type="xsd:double"&gt;43.345165&lt;/D&gt;&lt;D xsi:type="xsd:double"&gt;41.675793&lt;/D&gt;&lt;D xsi:type="xsd:double"&gt;53.739834&lt;/D&gt;&lt;D xsi:type="xsd:double"&gt;45.266415&lt;/D&gt;&lt;D xsi:type="xsd:double"&gt;48.35974&lt;/D&gt;&lt;D xsi:type="xsd:double"&gt;44.972397&lt;/D&gt;&lt;D xsi:type="xsd:double"&gt;45.238148&lt;/D&gt;&lt;D xsi:type="xsd:double"&gt;64.075935&lt;/D&gt;&lt;D xsi:type="xsd:double"&gt;68.880775&lt;/D&gt;&lt;D xsi:type="xsd:double"&gt;44.285404&lt;/D&gt;&lt;D xsi:type="xsd:double"&gt;46.726643&lt;/D&gt;&lt;D xsi:type="xsd:double"&gt;38.476406&lt;/D&gt;&lt;D xsi:type="xsd:double"&gt;38.876617&lt;/D&gt;&lt;D xsi:type="xsd:double"&gt;39.063583&lt;/D&gt;&lt;D xsi:type="xsd:double"&gt;26.10954&lt;/D&gt;&lt;D xsi:type="xsd:double"&gt;35.519005&lt;/D&gt;&lt;D xsi:type="xsd:double"&gt;32.26881&lt;/D&gt;&lt;D xsi:type="xsd:double"&gt;23.30023&lt;/D&gt;&lt;D xsi:type="xsd:double"&gt;4.230273&lt;/D&gt;&lt;D xsi:type="xsd:double"&gt;2.491641&lt;/D&gt;&lt;D xsi:type="xsd:double"&gt;1.6089559&lt;/D&gt;&lt;D xsi:type="xsd:double"&gt;-9.8560095&lt;/D&gt;&lt;D xsi:type="xsd:double"&gt;-14.725161&lt;/D&gt;&lt;D xsi:type="xsd:double"&gt;-19.49144&lt;/D&gt;&lt;D xsi:type="xsd:double"&gt;-11.013251&lt;/D&gt;&lt;D xsi:type="xsd:double"&gt;-18.6249&lt;/D&gt;&lt;D xsi:type="xsd:double"&gt;-26.231324999999998&lt;/D&gt;&lt;D xsi:type="xsd:double"&gt;-25.818407&lt;/D&gt;&lt;D xsi:type="xsd:double"&gt;-27.922894&lt;/D&gt;&lt;D xsi:type="xsd:double"&gt;-27.533829&lt;/D&gt;&lt;D xsi:type="xsd:double"&gt;-15.771079&lt;/D&gt;&lt;D xsi:type="xsd:double"&gt;-12.2559185&lt;/D&gt;&lt;D xsi:type="xsd:double"&gt;-6.6423297&lt;/D&gt;&lt;D xsi:type="xsd:double"&gt;12.628961&lt;/D&gt;&lt;D xsi:type="xsd:double"&gt;19.309593&lt;/D&gt;&lt;D xsi:type="xsd:double"&gt;28.287197&lt;/D&gt;&lt;D xsi:type="xsd:double"&gt;13.81681&lt;/D&gt;&lt;D xsi:type="xsd:double"&gt;23.632885&lt;/D&gt;&lt;D xsi:type="xsd:double"&gt;42.244495&lt;/D&gt;&lt;D xsi:type="xsd:double"&gt;34.736073&lt;/D&gt;&lt;D xsi:type="xsd:double"&gt;41.190193&lt;/D&gt;&lt;D xsi:type="xsd:double"&gt;48.503136&lt;/D&gt;&lt;D xsi:type="xsd:double"&gt;45.87022&lt;/D&gt;&lt;D xsi:type="xsd:double"&gt;52.626465&lt;/D&gt;&lt;D xsi:type="xsd:double"&gt;41.954376&lt;/D&gt;&lt;/FQL&gt;&lt;FQL&gt;&lt;Q&gt;ENZL^JULIAN(FMA_DIV_YLD(LTMA,-10AY,0,AM,"PORTAGG","MEANR").DATES)&lt;/Q&gt;&lt;R&gt;121&lt;/R&gt;&lt;C&gt;1&lt;/C&gt;&lt;D xsi:type="xsd:long"&gt;41740&lt;/D&gt;&lt;D xsi:type="xsd:long"&gt;41768&lt;/D&gt;&lt;D xsi:type="xsd:long"&gt;41801&lt;/D&gt;&lt;D xsi:type="xsd:long"&gt;41831&lt;/D&gt;&lt;D xsi:type="xsd:long"&gt;41862&lt;/D&gt;&lt;D xsi:type="xsd:long"&gt;41893&lt;/D&gt;&lt;D xsi:type="xsd:long"&gt;41922&lt;/D&gt;&lt;D xsi:type="xsd:long"&gt;41954&lt;/D&gt;&lt;D xsi:type="xsd:long"&gt;41984&lt;/D&gt;&lt;D xsi:type="xsd:long"&gt;42013&lt;/D&gt;&lt;D xsi:type="xsd:long"&gt;42046&lt;/D&gt;&lt;D xsi:type="xsd:long"&gt;42074&lt;/D&gt;&lt;D xsi:type="xsd:long"&gt;42104&lt;/D&gt;&lt;D xsi:type="xsd:long"&gt;42135&lt;/D&gt;&lt;D xsi:type="xsd:long"&gt;42166&lt;/D&gt;&lt;D xsi:type="xsd:long"&gt;42195&lt;/D&gt;&lt;D xsi:type="xsd:long"&gt;42227&lt;/D&gt;&lt;D xsi:type="xsd:long"&gt;42258&lt;/D&gt;&lt;D xsi:type="xsd:long"&gt;42286&lt;/D&gt;&lt;D xsi:type="xsd:long"&gt;42319&lt;/D&gt;&lt;D xsi:type="xsd:long"&gt;42349&lt;/D&gt;&lt;D xsi:type="xsd:long"&gt;42380&lt;/D&gt;&lt;D xsi:type="xsd:long"&gt;42411&lt;/D&gt;&lt;D xsi:type="xsd:long"&gt;42440&lt;/D&gt;&lt;D xsi:type="xsd:long"&gt;42471&lt;/D&gt;&lt;D xsi:type="xsd:long"&gt;42501&lt;/D&gt;&lt;D xsi:type="xsd:long"&gt;42531&lt;/D&gt;&lt;D xsi:type="xsd:long"&gt;42562&lt;/D&gt;&lt;D xsi:type="xsd:long"&gt;42593&lt;/D&gt;&lt;D xsi:type="xsd:long"&gt;42622&lt;/D&gt;&lt;D xsi:type="xsd:long"&gt;42654&lt;/D&gt;&lt;D xsi:type="xsd:long"&gt;42685&lt;/D&gt;&lt;D xsi:type="xsd:long"&gt;42713&lt;/D&gt;&lt;D xsi:type="xsd:long"&gt;42746&lt;/D&gt;&lt;D xsi:type="xsd:long"&gt;42776&lt;/D&gt;&lt;D xsi:type="xsd:long"&gt;42804&lt;/D&gt;&lt;D xsi:type="xsd:long"&gt;42836&lt;/D&gt;&lt;D xsi:type="xsd:long"&gt;42866&lt;/D&gt;&lt;D xsi:type="xsd:long"&gt;42895&lt;/D&gt;&lt;D xsi:type="xsd:long"&gt;42927&lt;/D&gt;&lt;D xsi:type="xsd:long"&gt;42958&lt;/D&gt;&lt;D xsi:type="xsd:long"&gt;42989&lt;/D&gt;&lt;D xsi:type="xsd:long"&gt;43019&lt;/D&gt;&lt;D xsi:type="xsd:long"&gt;43049&lt;/D&gt;&lt;D xsi:type="xsd:long"&gt;43080&lt;/D&gt;&lt;D xsi:type="xsd:long"&gt;43111&lt;/D&gt;&lt;D xsi:type="xsd:long"&gt;43140&lt;/D&gt;&lt;D xsi:type="xsd:long"&gt;43168&lt;/D&gt;&lt;D xsi:type="xsd:long"&gt;43201&lt;/D&gt;&lt;D xsi:type="xsd:long"&gt;43231&lt;/D&gt;&lt;D xsi:type="xsd:long"&gt;43262&lt;/D&gt;&lt;D xsi:type="xsd:long"&gt;43292&lt;/D&gt;&lt;D xsi:type="xsd:long"&gt;43322&lt;/D&gt;&lt;D xsi:type="xsd:long"&gt;43354&lt;/D&gt;&lt;D xsi:type="xsd:long"&gt;43384&lt;/D&gt;&lt;D xsi:type="xsd:long"&gt;43413&lt;/D&gt;&lt;D xsi:type="xsd:long"&gt;43445&lt;/D&gt;&lt;D xsi:type="xsd:long"&gt;43476&lt;/D&gt;&lt;D xsi:type="xsd:long"&gt;43507&lt;/D&gt;&lt;D xsi:type="xsd:long"&gt;43535&lt;/D&gt;&lt;D xsi:type="xsd:long"&gt;43566&lt;/D&gt;&lt;D xsi:type="xsd:long"&gt;43595&lt;/D&gt;&lt;D xsi:type="xsd:long"&gt;43627&lt;/D&gt;&lt;D xsi:type="xsd:long"&gt;43657&lt;/D&gt;&lt;D xsi:type="xsd:long"&gt;43686&lt;/D&gt;&lt;D xsi:type="xsd:long"&gt;43719&lt;/D&gt;&lt;D xsi:type="xsd:long"&gt;43749&lt;/D&gt;&lt;D xsi:type="xsd:long"&gt;43780&lt;/D&gt;&lt;D xsi:type="xsd:long"&gt;43810&lt;/D&gt;&lt;D xsi:type="xsd:long"&gt;43840&lt;/D&gt;&lt;D xsi:type="xsd:long"&gt;43872&lt;/D&gt;&lt;D xsi:type="xsd:long"&gt;43901&lt;/D&gt;&lt;D xsi:type="xsd:long"&gt;43930&lt;/D&gt;&lt;D xsi:type="xsd:long"&gt;43962&lt;/D&gt;&lt;D xsi:type="xsd:long"&gt;43993&lt;/D&gt;&lt;D xsi:type="xsd:long"&gt;44022&lt;/D&gt;&lt;D xsi:type="xsd:long"&gt;44054&lt;/D&gt;&lt;D xsi:type="xsd:long"&gt;44085&lt;/D&gt;&lt;D xsi:type="xsd:long"&gt;44113&lt;/D&gt;&lt;D xsi:type="xsd:long"&gt;44146&lt;/D&gt;&lt;D xsi:type="xsd:long"&gt;44176&lt;/D&gt;&lt;D xsi:type="xsd:long"&gt;44207&lt;/D&gt;&lt;D xsi:type="xsd:long"&gt;44238&lt;/D&gt;&lt;D xsi:type="xsd:long"&gt;44266&lt;/D&gt;&lt;D xsi:type="xsd:long"&gt;44295&lt;/D&gt;&lt;D xsi:type="xsd:long"&gt;44327&lt;/D&gt;&lt;D xsi:type="xsd:long"&gt;44358&lt;/D&gt;&lt;D xsi:type="xsd:long"&gt;44386&lt;/D&gt;&lt;D xsi:type="xsd:long"&gt;44419&lt;/D&gt;&lt;D xsi:type="xsd:long"&gt;44449&lt;/D&gt;&lt;D xsi:type="xsd:long"&gt;44480&lt;/D&gt;&lt;D xsi:type="xsd:long"&gt;44511&lt;/D&gt;&lt;D xsi:type="xsd:long"&gt;44540&lt;/D&gt;&lt;D xsi:type="xsd:long"&gt;44572&lt;/D&gt;&lt;D xsi:type="xsd:long"&gt;44603&lt;/D&gt;&lt;D xsi:type="xsd:long"&gt;44631&lt;/D&gt;&lt;D xsi:type="xsd:long"&gt;44662&lt;/D&gt;&lt;D xsi:type="xsd:long"&gt;44692&lt;/D&gt;&lt;D xsi:type="xsd:long"&gt;44722&lt;/D&gt;&lt;D xsi:type="xsd:long"&gt;44753&lt;/D&gt;&lt;D xsi:type="xsd:long"&gt;44784&lt;/D&gt;&lt;D xsi:type="xsd:long"&gt;44813&lt;/D&gt;&lt;D xsi:type="xsd:long"&gt;44845&lt;/D&gt;&lt;D xsi:type="xsd:long"&gt;44876&lt;/D&gt;&lt;D xsi:type="xsd:long"&gt;44904&lt;/D&gt;&lt;D xsi:type="xsd:long"&gt;44937&lt;/D&gt;&lt;D xsi:type="xsd:long"&gt;44967&lt;/D&gt;&lt;D xsi:type="xsd:long"&gt;44995&lt;/D&gt;&lt;D xsi:type="xsd:long"&gt;45027&lt;/D&gt;&lt;D xsi:type="xsd:long"&gt;45057&lt;/D&gt;&lt;D xsi:type="xsd:long"&gt;45086&lt;/D&gt;&lt;D xsi:type="xsd:long"&gt;45118&lt;/D&gt;&lt;D xsi:type="xsd:long"&gt;45149&lt;/D&gt;&lt;D xsi:type="xsd:long"&gt;45180&lt;/D&gt;&lt;D xsi:type="xsd:long"&gt;45210&lt;/D&gt;&lt;D xsi:type="xsd:long"&gt;45240&lt;/D&gt;&lt;D xsi:type="xsd:long"&gt;45271&lt;/D&gt;&lt;D xsi:type="xsd:long"&gt;45302&lt;/D&gt;&lt;D xsi:type="xsd:long"&gt;45331&lt;/D&gt;&lt;D xsi:type="xsd:long"&gt;45362&lt;/D&gt;&lt;D xsi:type="xsd:long"&gt;45390&lt;/D&gt;&lt;/FQL&gt;&lt;FQL&gt;&lt;Q&gt;PASP-FDS^MAX(FG_PRICE(0,-5AY))&lt;/Q&gt;&lt;R&gt;1&lt;/R&gt;&lt;C&gt;1&lt;/C&gt;&lt;D xsi:type="xsd:double"&gt;3158.12&lt;/D&gt;&lt;/FQL&gt;&lt;FQL&gt;&lt;Q&gt;USDAUD^FG_PRICE(0)&lt;/Q&gt;&lt;R&gt;1&lt;/R&gt;&lt;C&gt;1&lt;/C&gt;&lt;D xsi:type="xsd:double"&gt;1.5343306&lt;/D&gt;&lt;/FQL&gt;&lt;FQL&gt;&lt;Q&gt;EWJ^P_PRICE_RETURNS_PR('52W',2,-10AY,0,AM)&lt;/Q&gt;&lt;R&gt;121&lt;/R&gt;&lt;C&gt;1&lt;/C&gt;&lt;D xsi:type="xsd:double"&gt;-3.6507547&lt;/D&gt;&lt;D xsi:type="xsd:double"&gt;-4.166913&lt;/D&gt;&lt;D xsi:type="xsd:double"&gt;8.670818&lt;/D&gt;&lt;D xsi:type="xsd:double"&gt;1.9407988&lt;/D&gt;&lt;D xsi:type="xsd:double"&gt;4.697585&lt;/D&gt;&lt;D xsi:type="xsd:double"&gt;3.26159&lt;/D&gt;&lt;D xsi:type="xsd:double"&gt;-6.229651&lt;/D&gt;&lt;D xsi:type="xsd:double"&gt;1.6886115&lt;/D&gt;&lt;D xsi:type="xsd:double"&gt;-1.8240154&lt;/D&gt;&lt;D xsi:type="xsd:double"&gt;-6.065649&lt;/D&gt;&lt;D xsi:type="xsd:double"&gt;2.6798844&lt;/D&gt;&lt;D xsi:type="xsd:double"&gt;7.722616&lt;/D&gt;&lt;D xsi:type="xsd:double"&gt;20.896996&lt;/D&gt;&lt;D xsi:type="xsd:double"&gt;17.550325&lt;/D&gt;&lt;D xsi:type="xsd:double"&gt;12.501144&lt;/D&gt;&lt;D xsi:type="xsd:double"&gt;7.3720574&lt;/D&gt;&lt;D xsi:type="xsd:double"&gt;10.053825&lt;/D&gt;&lt;D xsi:type="xsd:double"&gt;0.32684803&lt;/D&gt;&lt;D xsi:type="xsd:double"&gt;9.415138&lt;/D&gt;&lt;D xsi:type="xsd:double"&gt;7.990825&lt;/D&gt;&lt;D xsi:type="xsd:double"&gt;5.855489&lt;/D&gt;&lt;D xsi:type="xsd:double"&gt;4.783559&lt;/D&gt;&lt;D xsi:type="xsd:double"&gt;-10.78074&lt;/D&gt;&lt;D xsi:type="xsd:double"&gt;-4.3235006&lt;/D&gt;&lt;D xsi:type="xsd:double"&gt;-11.907297&lt;/D&gt;&lt;D xsi:type="xsd:double"&gt;-9.177124&lt;/D&gt;&lt;D xsi:type="xsd:double"&gt;-9.066952&lt;/D&gt;&lt;D xsi:type="xsd:double"&gt;-4.968536&lt;/D&gt;&lt;D xsi:type="xsd:double"&gt;-2.4865806&lt;/D&gt;&lt;D xsi:type="xsd:double"&gt;6.629598&lt;/D&gt;&lt;D xsi:type="xsd:double"&gt;3.8766623&lt;/D&gt;&lt;D xsi:type="xsd:double"&gt;0.2713561&lt;/D&gt;&lt;D xsi:type="xsd:double"&gt;7.5945616&lt;/D&gt;&lt;D xsi:type="xsd:double"&gt;12.089157&lt;/D&gt;&lt;D xsi:type="xsd:double"&gt;24.394835&lt;/D&gt;&lt;D xsi:type="xsd:double"&gt;16.550123&lt;/D&gt;&lt;D xsi:type="xsd:double"&gt;15.945255&lt;/D&gt;&lt;D xsi:type="xsd:double"&gt;14.810551&lt;/D&gt;&lt;D xsi:type="xsd:double"&gt;16.27034&lt;/D&gt;&lt;D xsi:type="xsd:double"&gt;14.284182&lt;/D&gt;&lt;D xsi:type="xsd:double"&gt;11.090732&lt;/D&gt;&lt;D xsi:type="xsd:double"&gt;14.005602&lt;/D&gt;&lt;D xsi:type="xsd:double"&gt;16.691185&lt;/D&gt;&lt;D xsi:type="xsd:double"&gt;21.703386&lt;/D&gt;&lt;D xsi:type="xsd:double"&gt;18.811953&lt;/D&gt;&lt;D xsi:type="xsd:double"&gt;26.543152&lt;/D&gt;&lt;D xsi:type="xsd:double"&gt;17.304718&lt;/D&gt;&lt;D xsi:type="xsd:double"&gt;20.500887&lt;/D&gt;&lt;D xsi:type="xsd:double"&gt;19.362402&lt;/D&gt;&lt;D xsi:type="xsd:double"&gt;18.85146&lt;/D&gt;&lt;D xsi:type="xsd:double"&gt;14.318192&lt;/D&gt;&lt;D xsi:type="xsd:double"&gt;8.648264&lt;/D&gt;&lt;D xsi:type="xsd:double"&gt;7.735193&lt;/D&gt;&lt;D xsi:type="xsd:double"&gt;4.5819283&lt;/D&gt;&lt;D xsi:type="xsd:double"&gt;1.190269&lt;/D&gt;&lt;D xsi:type="xsd:double"&gt;-6.0759487&lt;/D&gt;&lt;D xsi:type="xsd:double"&gt;-9.925938&lt;/D&gt;&lt;D xsi:type="xsd:double"&gt;-15.164638&lt;/D&gt;&lt;D xsi:type="xsd:double"&gt;-9.250194&lt;/D&gt;&lt;D xsi:type="xsd:double"&gt;-9.643835&lt;/D&gt;&lt;D xsi:type="xsd:double"&gt;-7.778555&lt;/D&gt;&lt;D xsi:type="xsd:double"&gt;-9.707183&lt;/D&gt;&lt;D xsi:type="xsd:double"&gt;-8.786368&lt;/D&gt;&lt;D xsi:type="xsd:double"&gt;-1.700908&lt;/D&gt;&lt;D xsi:type="xsd:double"&gt;-6.623864&lt;/D&gt;&lt;D xsi:type="xsd:double"&gt;-0.23890734&lt;/D&gt;&lt;D xsi:type="xsd:double"&gt;2.67874&lt;/D&gt;&lt;D xsi:type="xsd:double"&gt;10.327816&lt;/D&gt;&lt;D xsi:type="xsd:double"&gt;15.730715&lt;/D&gt;&lt;D xsi:type="xsd:double"&gt;13.680649&lt;/D&gt;&lt;D xsi:type="xsd:double"&gt;15.493488&lt;/D&gt;&lt;D xsi:type="xsd:double"&gt;-5.959213&lt;/D&gt;&lt;D xsi:type="xsd:double"&gt;-6.368482&lt;/D&gt;&lt;D xsi:type="xsd:double"&gt;-0.21644235&lt;/D&gt;&lt;D xsi:type="xsd:double"&gt;2.7396917&lt;/D&gt;&lt;D xsi:type="xsd:double"&gt;3.5203695&lt;/D&gt;&lt;D xsi:type="xsd:double"&gt;8.015549&lt;/D&gt;&lt;D xsi:type="xsd:double"&gt;6.9489717&lt;/D&gt;&lt;D xsi:type="xsd:double"&gt;7.3044896&lt;/D&gt;&lt;D xsi:type="xsd:double"&gt;8.294845&lt;/D&gt;&lt;D xsi:type="xsd:double"&gt;11.33436&lt;/D&gt;&lt;D xsi:type="xsd:double"&gt;16.702663&lt;/D&gt;&lt;D xsi:type="xsd:double"&gt;20.537674&lt;/D&gt;&lt;D xsi:type="xsd:double"&gt;38.62343&lt;/D&gt;&lt;D xsi:type="xsd:double"&gt;39.94392&lt;/D&gt;&lt;D xsi:type="xsd:double"&gt;29.751646&lt;/D&gt;&lt;D xsi:type="xsd:double"&gt;27.318108&lt;/D&gt;&lt;D xsi:type="xsd:double"&gt;25.662601&lt;/D&gt;&lt;D xsi:type="xsd:double"&gt;22.395563&lt;/D&gt;&lt;D xsi:type="xsd:double"&gt;27.390718&lt;/D&gt;&lt;D xsi:type="xsd:double"&gt;15.925598&lt;/D&gt;&lt;D xsi:type="xsd:double"&gt;10.067344&lt;/D&gt;&lt;D xsi:type="xsd:double"&gt;5.154836&lt;/D&gt;&lt;D xsi:type="xsd:double"&gt;-0.3226459&lt;/D&gt;&lt;D xsi:type="xsd:double"&gt;-8.1916275&lt;/D&gt;&lt;D xsi:type="xsd:double"&gt;-12.180096&lt;/D&gt;&lt;D xsi:type="xsd:double"&gt;-14.293337&lt;/D&gt;&lt;D xsi:type="xsd:double"&gt;-17.785358&lt;/D&gt;&lt;D xsi:type="xsd:double"&gt;-18.492859&lt;/D&gt;&lt;D xsi:type="xsd:double"&gt;-20.767397&lt;/D&gt;&lt;D xsi:type="xsd:double"&gt;-16.115063&lt;/D&gt;&lt;D xsi:type="xsd:double"&gt;-25.503195&lt;/D&gt;&lt;D xsi:type="xsd:double"&gt;-26.293056&lt;/D&gt;&lt;D xsi:type="xsd:double"&gt;-18.624657&lt;/D&gt;&lt;D xsi:type="xsd:double"&gt;-17.25229&lt;/D&gt;&lt;D xsi:type="xsd:double"&gt;-16.658342&lt;/D&gt;&lt;D xsi:type="xsd:double"&gt;-8.779425&lt;/D&gt;&lt;D xsi:type="xsd:double"&gt;-3.4236789&lt;/D&gt;&lt;D xsi:type="xsd:double"&gt;0.13016462&lt;/D&gt;&lt;D xsi:type="xsd:double"&gt;11.106038&lt;/D&gt;&lt;D xsi:type="xsd:double"&gt;12.542152&lt;/D&gt;&lt;D xsi:type="xsd:double"&gt;17.74826&lt;/D&gt;&lt;D xsi:type="xsd:double"&gt;10.0384&lt;/D&gt;&lt;D xsi:type="xsd:double"&gt;18.521667&lt;/D&gt;&lt;D xsi:type="xsd:double"&gt;23.705805&lt;/D&gt;&lt;D xsi:type="xsd:double"&gt;13.295436&lt;/D&gt;&lt;D xsi:type="xsd:double"&gt;15.322256&lt;/D&gt;&lt;D xsi:type="xsd:double"&gt;21.736467&lt;/D&gt;&lt;D xsi:type="xsd:double"&gt;17.747295&lt;/D&gt;&lt;D xsi:type="xsd:double"&gt;25.18369&lt;/D&gt;&lt;D xsi:type="xsd:double"&gt;23.492706&lt;/D&gt;&lt;/FQL&gt;&lt;FQL&gt;&lt;Q&gt;PLATI-FDS^FG_PRICE_CHANGE(0,-1AY)&lt;/Q&gt;&lt;R&gt;1&lt;/R&gt;&lt;C&gt;1&lt;/C&gt;&lt;D xsi:type="xsd:double"&gt;-2.38805970149254&lt;/D&gt;&lt;/FQL&gt;&lt;FQL&gt;&lt;Q&gt;CAGDPY@DE^EE_ACTUAL_ANNUAL(MED,+1)&lt;/Q&gt;&lt;R&gt;1&lt;/R&gt;&lt;C&gt;1&lt;/C&gt;&lt;D xsi:type="xsd:double"&gt;6.5&lt;/D&gt;&lt;/FQL&gt;&lt;FQL&gt;&lt;Q&gt;CAGDPY@DE^EE_ACTUAL_ANNUAL(MED,0)&lt;/Q&gt;&lt;R&gt;1&lt;/R&gt;&lt;C&gt;1&lt;/C&gt;&lt;D xsi:type="xsd:double"&gt;6.10157214967637&lt;/D&gt;&lt;/FQL&gt;&lt;FQL&gt;&lt;Q&gt;USDCAD^STD(FG_PRICE_CHANGE(0,-3AY,M))&lt;/Q&gt;&lt;R&gt;1&lt;/R&gt;&lt;C&gt;1&lt;/C&gt;&lt;D xsi:type="xsd:double"&gt;1.87874814846935&lt;/D&gt;&lt;/FQL&gt;&lt;FQL&gt;&lt;Q&gt;W-FDS^FG_PRICE_CHANGE(0,-3AM)&lt;/Q&gt;&lt;R&gt;1&lt;/R&gt;&lt;C&gt;1&lt;/C&gt;&lt;D xsi:type="xsd:double"&gt;-8.61283643892339&lt;/D&gt;&lt;/FQL&gt;&lt;FQL&gt;&lt;Q&gt;USDSEK^STD(FG_PRICE_CHANGE(0,-3AY,M))&lt;/Q&gt;&lt;R&gt;1&lt;/R&gt;&lt;C&gt;1&lt;/C&gt;&lt;D xsi:type="xsd:double"&gt;2.96220072588676&lt;/D&gt;&lt;/FQL&gt;&lt;FQL&gt;&lt;Q&gt;USDCHF^STD(FG_PRICE_CHANGE(0,-3AY,M))&lt;/Q&gt;&lt;R&gt;1&lt;/R&gt;&lt;C&gt;1&lt;/C&gt;&lt;D xsi:type="xsd:double"&gt;2.49013642394232&lt;/D&gt;&lt;/FQL&gt;&lt;FQL&gt;&lt;Q&gt;USDEUR^STD(FG_PRICE_CHANGE(0,-3AY,M))&lt;/Q&gt;&lt;R&gt;1&lt;/R&gt;&lt;C&gt;1&lt;/C&gt;&lt;D xsi:type="xsd:double"&gt;2.22272008231571&lt;/D&gt;&lt;/FQL&gt;&lt;FQL&gt;&lt;Q&gt;USDAUD^STD(FG_PRICE_CHANGE(0,-3AY,M))&lt;/Q&gt;&lt;R&gt;1&lt;/R&gt;&lt;C&gt;1&lt;/C&gt;&lt;D xsi:type="xsd:double"&gt;3.07262529565013&lt;/D&gt;&lt;/FQL&gt;&lt;FQL&gt;&lt;Q&gt;EWI^FMA_EPS(NTMA,-20AY,0,CY,,"PORTAGG","MEANR")&lt;/Q&gt;&lt;R&gt;20&lt;/R&gt;&lt;C&gt;1&lt;/C&gt;&lt;D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xsi:type="xsd:double"&gt;3.81180346997282&lt;/D&gt;&lt;/FQL&gt;&lt;FQL&gt;&lt;Q&gt;EWN^P_PRICE_RETURNS_PR('52W',2,-10AY,0,AM)&lt;/Q&gt;&lt;R&gt;121&lt;/R&gt;&lt;C&gt;1&lt;/C&gt;&lt;D xsi:type="xsd:double"&gt;22.486664&lt;/D&gt;&lt;D xsi:type="xsd:double"&gt;20.803106&lt;/D&gt;&lt;D xsi:type="xsd:double"&gt;22.48888&lt;/D&gt;&lt;D xsi:type="xsd:double"&gt;14.053869&lt;/D&gt;&lt;D xsi:type="xsd:double"&gt;3.2388687&lt;/D&gt;&lt;D xsi:type="xsd:double"&gt;6.6027284&lt;/D&gt;&lt;D xsi:type="xsd:double"&gt;-2.4849296&lt;/D&gt;&lt;D xsi:type="xsd:double"&gt;-1.3528883&lt;/D&gt;&lt;D xsi:type="xsd:double"&gt;1.0178924&lt;/D&gt;&lt;D xsi:type="xsd:double"&gt;-8.207637&lt;/D&gt;&lt;D xsi:type="xsd:double"&gt;-1.5715301&lt;/D&gt;&lt;D xsi:type="xsd:double"&gt;-0.44930577&lt;/D&gt;&lt;D xsi:type="xsd:double"&gt;3.0173182&lt;/D&gt;&lt;D xsi:type="xsd:double"&gt;5.6548834&lt;/D&gt;&lt;D xsi:type="xsd:double"&gt;4.6117544&lt;/D&gt;&lt;D xsi:type="xsd:double"&gt;7.196021&lt;/D&gt;&lt;D xsi:type="xsd:double"&gt;12.946296&lt;/D&gt;&lt;D xsi:type="xsd:double"&gt;-0.25199652&lt;/D&gt;&lt;D xsi:type="xsd:double"&gt;7.2202563&lt;/D&gt;&lt;D xsi:type="xsd:double"&gt;5.5393577&lt;/D&gt;&lt;D xsi:type="xsd:double"&gt;-1.7267227&lt;/D&gt;&lt;D xsi:type="xsd:double"&gt;-0.40807128&lt;/D&gt;&lt;D xsi:type="xsd:double"&gt;-9.900999&lt;/D&gt;&lt;D xsi:type="xsd:double"&gt;-0.7315695&lt;/D&gt;&lt;D xsi:type="xsd:double"&gt;-4.8483253&lt;/D&gt;&lt;D xsi:type="xsd:double"&gt;-5.921274&lt;/D&gt;&lt;D xsi:type="xsd:double"&gt;-7.898712&lt;/D&gt;&lt;D xsi:type="xsd:double"&gt;-10.363555&lt;/D&gt;&lt;D xsi:type="xsd:double"&gt;-5.196208&lt;/D&gt;&lt;D xsi:type="xsd:double"&gt;3.6751628&lt;/D&gt;&lt;D xsi:type="xsd:double"&gt;2.3200512&lt;/D&gt;&lt;D xsi:type="xsd:double"&gt;-2.7945817&lt;/D&gt;&lt;D xsi:type="xsd:double"&gt;1.5625954&lt;/D&gt;&lt;D xsi:type="xsd:double"&gt;11.3652115&lt;/D&gt;&lt;D xsi:type="xsd:double"&gt;17.984486&lt;/D&gt;&lt;D xsi:type="xsd:double"&gt;15.488922&lt;/D&gt;&lt;D xsi:type="xsd:double"&gt;13.226879&lt;/D&gt;&lt;D xsi:type="xsd:double"&gt;20.752716&lt;/D&gt;&lt;D xsi:type="xsd:double"&gt;21.517765&lt;/D&gt;&lt;D xsi:type="xsd:double"&gt;30.085098&lt;/D&gt;&lt;D xsi:type="xsd:double"&gt;26.312721&lt;/D&gt;&lt;D xsi:type="xsd:double"&gt;30.35643&lt;/D&gt;&lt;D xsi:type="xsd:double"&gt;32.875645&lt;/D&gt;&lt;D xsi:type="xsd:double"&gt;33.53286&lt;/D&gt;&lt;D xsi:type="xsd:double"&gt;35.299088&lt;/D&gt;&lt;D xsi:type="xsd:double"&gt;35.204197&lt;/D&gt;&lt;D xsi:type="xsd:double"&gt;26.326252&lt;/D&gt;&lt;D xsi:type="xsd:double"&gt;26.626896&lt;/D&gt;&lt;D xsi:type="xsd:double"&gt;23.328125&lt;/D&gt;&lt;D xsi:type="xsd:double"&gt;13.57752&lt;/D&gt;&lt;D xsi:type="xsd:double"&gt;11.692619&lt;/D&gt;&lt;D xsi:type="xsd:double"&gt;7.299316&lt;/D&gt;&lt;D xsi:type="xsd:double"&gt;3.142178&lt;/D&gt;&lt;D xsi:type="xsd:double"&gt;-1.4345527&lt;/D&gt;&lt;D xsi:type="xsd:double"&gt;-9.53291&lt;/D&gt;&lt;D xsi:type="xsd:double"&gt;-5.803454&lt;/D&gt;&lt;D xsi:type="xsd:double"&gt;-12.269831&lt;/D&gt;&lt;D xsi:type="xsd:double"&gt;-14.714802&lt;/D&gt;&lt;D xsi:type="xsd:double"&gt;-6.765312&lt;/D&gt;&lt;D xsi:type="xsd:double"&gt;-8.286977&lt;/D&gt;&lt;D xsi:type="xsd:double"&gt;-3.5748243&lt;/D&gt;&lt;D xsi:type="xsd:double"&gt;-1.9816041&lt;/D&gt;&lt;D xsi:type="xsd:double"&gt;-1.9184709&lt;/D&gt;&lt;D xsi:type="xsd:double"&gt;3.2894135&lt;/D&gt;&lt;D xsi:type="xsd:double"&gt;-1.450938&lt;/D&gt;&lt;D xsi:type="xsd:double"&gt;8.291996&lt;/D&gt;&lt;D xsi:type="xsd:double"&gt;15.723062&lt;/D&gt;&lt;D xsi:type="xsd:double"&gt;16.667355&lt;/D&gt;&lt;D xsi:type="xsd:double"&gt;25.345648&lt;/D&gt;&lt;D xsi:type="xsd:double"&gt;27.43156&lt;/D&gt;&lt;D xsi:type="xsd:double"&gt;24.326181&lt;/D&gt;&lt;D xsi:type="xsd:double"&gt;-3.093475&lt;/D&gt;&lt;D xsi:type="xsd:double"&gt;-7.4298024&lt;/D&gt;&lt;D xsi:type="xsd:double"&gt;-3.9857984&lt;/D&gt;&lt;D xsi:type="xsd:double"&gt;2.5512934&lt;/D&gt;&lt;D xsi:type="xsd:double"&gt;11.679733&lt;/D&gt;&lt;D xsi:type="xsd:double"&gt;16.400087&lt;/D&gt;&lt;D xsi:type="xsd:double"&gt;12.407864&lt;/D&gt;&lt;D xsi:type="xsd:double"&gt;20.052124&lt;/D&gt;&lt;D xsi:type="xsd:double"&gt;17.61763&lt;/D&gt;&lt;D xsi:type="xsd:double"&gt;22.198141&lt;/D&gt;&lt;D xsi:type="xsd:double"&gt;26.984478&lt;/D&gt;&lt;D xsi:type="xsd:double"&gt;33.398354&lt;/D&gt;&lt;D xsi:type="xsd:double"&gt;65.87285&lt;/D&gt;&lt;D xsi:type="xsd:double"&gt;75.71104&lt;/D&gt;&lt;D xsi:type="xsd:double"&gt;67.0593&lt;/D&gt;&lt;D xsi:type="xsd:double"&gt;62.91033&lt;/D&gt;&lt;D xsi:type="xsd:double"&gt;44.11527&lt;/D&gt;&lt;D xsi:type="xsd:double"&gt;48.091614&lt;/D&gt;&lt;D xsi:type="xsd:double"&gt;53.066372&lt;/D&gt;&lt;D xsi:type="xsd:double"&gt;34.81108&lt;/D&gt;&lt;D xsi:type="xsd:double"&gt;39.40735&lt;/D&gt;&lt;D xsi:type="xsd:double"&gt;23.57031&lt;/D&gt;&lt;D xsi:type="xsd:double"&gt;16.888737&lt;/D&gt;&lt;D xsi:type="xsd:double"&gt;0.08087158&lt;/D&gt;&lt;D xsi:type="xsd:double"&gt;-14.104062&lt;/D&gt;&lt;D xsi:type="xsd:double"&gt;-14.925069&lt;/D&gt;&lt;D xsi:type="xsd:double"&gt;-24.227547&lt;/D&gt;&lt;D xsi:type="xsd:double"&gt;-25.249928&lt;/D&gt;&lt;D xsi:type="xsd:double"&gt;-28.530508&lt;/D&gt;&lt;D xsi:type="xsd:double"&gt;-24.079014&lt;/D&gt;&lt;D xsi:type="xsd:double"&gt;-32.93848&lt;/D&gt;&lt;D xsi:type="xsd:double"&gt;-37.68886&lt;/D&gt;&lt;D xsi:type="xsd:double"&gt;-26.896626&lt;/D&gt;&lt;D xsi:type="xsd:double"&gt;-19.519901&lt;/D&gt;&lt;D xsi:type="xsd:double"&gt;-14.48062&lt;/D&gt;&lt;D xsi:type="xsd:double"&gt;-8.766669&lt;/D&gt;&lt;D xsi:type="xsd:double"&gt;3.4733295&lt;/D&gt;&lt;D xsi:type="xsd:double"&gt;6.555772&lt;/D&gt;&lt;D xsi:type="xsd:double"&gt;19.645596&lt;/D&gt;&lt;D xsi:type="xsd:double"&gt;13.539516&lt;/D&gt;&lt;D xsi:type="xsd:double"&gt;29.265726&lt;/D&gt;&lt;D xsi:type="xsd:double"&gt;14.380062&lt;/D&gt;&lt;D xsi:type="xsd:double"&gt;16.570831&lt;/D&gt;&lt;D xsi:type="xsd:double"&gt;30.964518&lt;/D&gt;&lt;D xsi:type="xsd:double"&gt;11.475682&lt;/D&gt;&lt;D xsi:type="xsd:double"&gt;12.969387&lt;/D&gt;&lt;D xsi:type="xsd:double"&gt;7.79351&lt;/D&gt;&lt;D xsi:type="xsd:double"&gt;14.585436&lt;/D&gt;&lt;D xsi:type="xsd:double"&gt;24.171055&lt;/D&gt;&lt;D xsi:type="xsd:double"&gt;19.446861&lt;/D&gt;&lt;/FQL&gt;&lt;FQL&gt;&lt;Q&gt;SPY^FG_TOTAL_RETURNC(-10AY,0,AM)&lt;/Q&gt;&lt;R&gt;121&lt;/R&gt;&lt;C&gt;1&lt;/C&gt;&lt;D xsi:type="xsd:double"&gt;-2.6257336&lt;/D&gt;&lt;D xsi:type="xsd:double"&gt;3.5535336&lt;/D&gt;&lt;D xsi:type="xsd:double"&gt;3.7029147&lt;/D&gt;&lt;D xsi:type="xsd:double"&gt;1.3492107&lt;/D&gt;&lt;D xsi:type="xsd:double"&gt;-1.4317691&lt;/D&gt;&lt;D xsi:type="xsd:double"&gt;3.3566475&lt;/D&gt;&lt;D xsi:type="xsd:double"&gt;-4.427534&lt;/D&gt;&lt;D xsi:type="xsd:double"&gt;7.1559787&lt;/D&gt;&lt;D xsi:type="xsd:double"&gt;0.0073432922&lt;/D&gt;&lt;D xsi:type="xsd:double"&gt;0.5790949&lt;/D&gt;&lt;D xsi:type="xsd:double"&gt;1.3121128&lt;/D&gt;&lt;D xsi:type="xsd:double"&gt;-1.1743069&lt;/D&gt;&lt;D xsi:type="xsd:double"&gt;3.1634092&lt;/D&gt;&lt;D xsi:type="xsd:double"&gt;0.26899576&lt;/D&gt;&lt;D xsi:type="xsd:double"&gt;0.48669577&lt;/D&gt;&lt;D xsi:type="xsd:double"&gt;-1.4819324&lt;/D&gt;&lt;D xsi:type="xsd:double"&gt;0.57355165&lt;/D&gt;&lt;D xsi:type="xsd:double"&gt;-5.7171583&lt;/D&gt;&lt;D xsi:type="xsd:double"&gt;2.8741121&lt;/D&gt;&lt;D xsi:type="xsd:double"&gt;3.1838298&lt;/D&gt;&lt;D xsi:type="xsd:double"&gt;-2.8208315&lt;/D&gt;&lt;D xsi:type="xsd:double"&gt;-4.263115&lt;/D&gt;&lt;D xsi:type="xsd:double"&gt;-4.814953&lt;/D&gt;&lt;D xsi:type="xsd:double"&gt;10.88264&lt;/D&gt;&lt;D xsi:type="xsd:double"&gt;1.1382222&lt;/D&gt;&lt;D xsi:type="xsd:double"&gt;1.2155175&lt;/D&gt;&lt;D xsi:type="xsd:double"&gt;1.7288208&lt;/D&gt;&lt;D xsi:type="xsd:double"&gt;2.115643&lt;/D&gt;&lt;D xsi:type="xsd:double"&gt;2.4601698&lt;/D&gt;&lt;D xsi:type="xsd:double"&gt;-2.4559796&lt;/D&gt;&lt;D xsi:type="xsd:double"&gt;0.57781935&lt;/D&gt;&lt;D xsi:type="xsd:double"&gt;1.4009356&lt;/D&gt;&lt;D xsi:type="xsd:double"&gt;4.6622276&lt;/D&gt;&lt;D xsi:type="xsd:double"&gt;0.85253716&lt;/D&gt;&lt;D xsi:type="xsd:double"&gt;1.9418716&lt;/D&gt;&lt;D xsi:type="xsd:double"&gt;2.6694298&lt;/D&gt;&lt;D xsi:type="xsd:double"&gt;-0.67545176&lt;/D&gt;&lt;D xsi:type="xsd:double"&gt;1.8378377&lt;/D&gt;&lt;D xsi:type="xsd:double"&gt;1.6835093&lt;/D&gt;&lt;D xsi:type="xsd:double"&gt;-0.016057491&lt;/D&gt;&lt;D xsi:type="xsd:double"&gt;0.79689026&lt;/D&gt;&lt;D xsi:type="xsd:double"&gt;2.085042&lt;/D&gt;&lt;D xsi:type="xsd:double"&gt;2.8383493&lt;/D&gt;&lt;D xsi:type="xsd:double"&gt;1.2038231&lt;/D&gt;&lt;D xsi:type="xsd:double"&gt;3.1849384&lt;/D&gt;&lt;D xsi:type="xsd:double"&gt;4.209399&lt;/D&gt;&lt;D xsi:type="xsd:double"&gt;-5.2948&lt;/D&gt;&lt;D xsi:type="xsd:double"&gt;6.642449&lt;/D&gt;&lt;D xsi:type="xsd:double"&gt;-5.039978&lt;/D&gt;&lt;D xsi:type="xsd:double"&gt;3.4463167&lt;/D&gt;&lt;D xsi:type="xsd:double"&gt;2.092719&lt;/D&gt;&lt;D xsi:type="xsd:double"&gt;-0.16357899&lt;/D&gt;&lt;D xsi:type="xsd:double"&gt;2.2755265&lt;/D&gt;&lt;D xsi:type="xsd:double"&gt;2.0800948&lt;/D&gt;&lt;D xsi:type="xsd:double"&gt;-5.413294&lt;/D&gt;&lt;D xsi:type="xsd:double"&gt;2.0538568&lt;/D&gt;&lt;D xsi:type="xsd:double"&gt;-4.907113&lt;/D&gt;&lt;D xsi:type="xsd:double"&gt;-1.3650656&lt;/D&gt;&lt;D xsi:type="xsd:double"&gt;4.494548&lt;/D&gt;&lt;D xsi:type="xsd:double"&gt;2.889669&lt;/D&gt;&lt;D xsi:type="xsd:double"&gt;3.9625525&lt;/D&gt;&lt;D xsi:type="xsd:double"&gt;-0.038158894&lt;/D&gt;&lt;D xsi:type="xsd:double"&gt;0.2776742&lt;/D&gt;&lt;D xsi:type="xsd:double"&gt;4.107821&lt;/D&gt;&lt;D xsi:type="xsd:double"&gt;-2.5692463&lt;/D&gt;&lt;D xsi:type="xsd:double"&gt;2.9593349&lt;/D&gt;&lt;D xsi:type="xsd:double"&gt;-0.8644998&lt;/D&gt;&lt;D xsi:type="xsd:double"&gt;4.0738463&lt;/D&gt;&lt;D xsi:type="xsd:double"&gt;1.9685388&lt;/D&gt;&lt;D xsi:type="xsd:double"&gt;4.0978074&lt;/D&gt;&lt;D xsi:type="xsd:double"&gt;2.9320598&lt;/D&gt;&lt;D xsi:type="xsd:double"&gt;-18.16501&lt;/D&gt;&lt;D xsi:type="xsd:double"&gt;2.0225525&lt;/D&gt;&lt;D xsi:type="xsd:double"&gt;5.1401854&lt;/D&gt;&lt;D xsi:type="xsd:double"&gt;2.7726412&lt;/D&gt;&lt;D xsi:type="xsd:double"&gt;6.1161876&lt;/D&gt;&lt;D xsi:type="xsd:double"&gt;4.7891855&lt;/D&gt;&lt;D xsi:type="xsd:double"&gt;0.3786087&lt;/D&gt;&lt;D xsi:type="xsd:double"&gt;4.2491913&lt;/D&gt;&lt;D xsi:type="xsd:double"&gt;2.8311968&lt;/D&gt;&lt;D xsi:type="xsd:double"&gt;2.6999712&lt;/D&gt;&lt;D xsi:type="xsd:double"&gt;3.8249373&lt;/D&gt;&lt;D xsi:type="xsd:double"&gt;3.1741023&lt;/D&gt;&lt;D xsi:type="xsd:double"&gt;0.72176456&lt;/D&gt;&lt;D xsi:type="xsd:double"&gt;4.906857&lt;/D&gt;&lt;D xsi:type="xsd:double"&gt;0.6610155&lt;/D&gt;&lt;D xsi:type="xsd:double"&gt;2.4383783&lt;/D&gt;&lt;D xsi:type="xsd:double"&gt;2.9822946&lt;/D&gt;&lt;D xsi:type="xsd:double"&gt;1.896584&lt;/D&gt;&lt;D xsi:type="xsd:double"&gt;0.3740549&lt;/D&gt;&lt;D xsi:type="xsd:double"&gt;-2.0976067&lt;/D&gt;&lt;D xsi:type="xsd:double"&gt;6.6898227&lt;/D&gt;&lt;D xsi:type="xsd:double"&gt;1.5028954&lt;/D&gt;&lt;D xsi:type="xsd:double"&gt;0.1447916&lt;/D&gt;&lt;D xsi:type="xsd:double"&gt;-6.235236&lt;/D&gt;&lt;D xsi:type="xsd:double"&gt;-4.6292486&lt;/D&gt;&lt;D xsi:type="xsd:double"&gt;5.047226&lt;/D&gt;&lt;D xsi:type="xsd:double"&gt;-10.7224045&lt;/D&gt;&lt;D xsi:type="xsd:double"&gt;-0.75111985&lt;/D&gt;&lt;D xsi:type="xsd:double"&gt;-1.0040879&lt;/D&gt;&lt;D xsi:type="xsd:double"&gt;9.306919&lt;/D&gt;&lt;D xsi:type="xsd:double"&gt;-3.188169&lt;/D&gt;&lt;D xsi:type="xsd:double"&gt;-11.652433&lt;/D&gt;&lt;D xsi:type="xsd:double"&gt;11.396551&lt;/D&gt;&lt;D xsi:type="xsd:double"&gt;-1.312393&lt;/D&gt;&lt;D xsi:type="xsd:double"&gt;1.0370016&lt;/D&gt;&lt;D xsi:type="xsd:double"&gt;3.1654596&lt;/D&gt;&lt;D xsi:type="xsd:double"&gt;-5.423486&lt;/D&gt;&lt;D xsi:type="xsd:double"&gt;6.579888&lt;/D&gt;&lt;D xsi:type="xsd:double"&gt;0.5882025&lt;/D&gt;&lt;D xsi:type="xsd:double"&gt;4.3117404&lt;/D&gt;&lt;D xsi:type="xsd:double"&gt;3.305316&lt;/D&gt;&lt;D xsi:type="xsd:double"&gt;0.72096586&lt;/D&gt;&lt;D xsi:type="xsd:double"&gt;0.6283045&lt;/D&gt;&lt;D xsi:type="xsd:double"&gt;-2.357453&lt;/D&gt;&lt;D xsi:type="xsd:double"&gt;0.9832144&lt;/D&gt;&lt;D xsi:type="xsd:double"&gt;4.8523664&lt;/D&gt;&lt;D xsi:type="xsd:double"&gt;3.5270452&lt;/D&gt;&lt;D xsi:type="xsd:double"&gt;5.2167535&lt;/D&gt;&lt;D xsi:type="xsd:double"&gt;2.011168&lt;/D&gt;&lt;D xsi:type="xsd:double"&gt;1.6312957&lt;/D&gt;&lt;/FQL&gt;&lt;FQL&gt;&lt;Q&gt;EWU^FMA_DIV_YLD(NTMA,-10AY,0,AM,"PORTAGG","MEANR")&lt;/Q&gt;&lt;R&gt;121&lt;/R&gt;&lt;C&gt;1&lt;/C&gt;&lt;D xsi:type="xsd:double"&gt;3.96734914945865&lt;/D&gt;&lt;D xsi:type="xsd:double"&gt;3.8271595470988&lt;/D&gt;&lt;D xsi:type="xsd:double"&gt;3.84351075580577&lt;/D&gt;&lt;D xsi:type="xsd:double"&gt;3.9071045523781&lt;/D&gt;&lt;D xsi:type="xsd:double"&gt;3.98068742082602&lt;/D&gt;&lt;D xsi:type="xsd:double"&gt;3.93156341240818&lt;/D&gt;&lt;D xsi:type="xsd:double"&gt;4.24200475035231&lt;/D&gt;&lt;D xsi:type="xsd:double"&gt;4.06204798552656&lt;/D&gt;&lt;D xsi:type="xsd:double"&gt;4.18276157261068&lt;/D&gt;&lt;D xsi:type="xsd:double"&gt;4.22313167959041&lt;/D&gt;&lt;D xsi:type="xsd:double"&gt;4.01662749865851&lt;/D&gt;&lt;D xsi:type="xsd:double"&gt;4.05278046445944&lt;/D&gt;&lt;D xsi:type="xsd:double"&gt;3.89618276633237&lt;/D&gt;&lt;D xsi:type="xsd:double"&gt;3.85448538187116&lt;/D&gt;&lt;D xsi:type="xsd:double"&gt;3.98066573366638&lt;/D&gt;&lt;D xsi:type="xsd:double"&gt;4.1361340750538&lt;/D&gt;&lt;D xsi:type="xsd:double"&gt;4.0927454563587&lt;/D&gt;&lt;D xsi:type="xsd:double"&gt;4.48866255992631&lt;/D&gt;&lt;D xsi:type="xsd:double"&gt;4.21592468068719&lt;/D&gt;&lt;D xsi:type="xsd:double"&gt;4.27104550176788&lt;/D&gt;&lt;D xsi:type="xsd:double"&gt;4.47156315389068&lt;/D&gt;&lt;D xsi:type="xsd:double"&gt;4.58995960511796&lt;/D&gt;&lt;D xsi:type="xsd:double"&gt;4.84996341487956&lt;/D&gt;&lt;D xsi:type="xsd:double"&gt;4.37186829960877&lt;/D&gt;&lt;D xsi:type="xsd:double"&gt;4.34767089422538&lt;/D&gt;&lt;D xsi:type="xsd:double"&gt;4.35279928818214&lt;/D&gt;&lt;D xsi:type="xsd:double"&gt;4.38729510758901&lt;/D&gt;&lt;D xsi:type="xsd:double"&gt;4.1813138025016&lt;/D&gt;&lt;D xsi:type="xsd:double"&gt;4.05422628037877&lt;/D&gt;&lt;D xsi:type="xsd:double"&gt;4.16058799419207&lt;/D&gt;&lt;D xsi:type="xsd:double"&gt;4.21732784346167&lt;/D&gt;&lt;D xsi:type="xsd:double"&gt;4.44036754672159&lt;/D&gt;&lt;D xsi:type="xsd:double"&gt;4.32940806620778&lt;/D&gt;&lt;D xsi:type="xsd:double"&gt;4.24712450575692&lt;/D&gt;&lt;D xsi:type="xsd:double"&gt;4.2569869973864&lt;/D&gt;&lt;D xsi:type="xsd:double"&gt;4.3278016601037&lt;/D&gt;&lt;D xsi:type="xsd:double"&gt;4.3230777522226&lt;/D&gt;&lt;D xsi:type="xsd:double"&gt;4.28697725820012&lt;/D&gt;&lt;D xsi:type="xsd:double"&gt;4.25510615883469&lt;/D&gt;&lt;D xsi:type="xsd:double"&gt;4.36363991368454&lt;/D&gt;&lt;D xsi:type="xsd:double"&gt;4.36570533902133&lt;/D&gt;&lt;D xsi:type="xsd:double"&gt;4.30978587991614&lt;/D&gt;&lt;D xsi:type="xsd:double"&gt;4.2641743516809&lt;/D&gt;&lt;D xsi:type="xsd:double"&gt;4.34450700548192&lt;/D&gt;&lt;D xsi:type="xsd:double"&gt;4.33375451359651&lt;/D&gt;&lt;D xsi:type="xsd:double"&gt;4.16874661460578&lt;/D&gt;&lt;D xsi:type="xsd:double"&gt;4.52648762818742&lt;/D&gt;&lt;D xsi:type="xsd:double"&gt;4.46575346016303&lt;/D&gt;&lt;D xsi:type="xsd:double"&gt;4.42528558298073&lt;/D&gt;&lt;D xsi:type="xsd:double"&gt;4.2620540999122&lt;/D&gt;&lt;D xsi:type="xsd:double"&gt;4.3157173372341&lt;/D&gt;&lt;D xsi:type="xsd:double"&gt;4.43409875550564&lt;/D&gt;&lt;D xsi:type="xsd:double"&gt;4.45522852636632&lt;/D&gt;&lt;D xsi:type="xsd:double"&gt;4.66603497267666&lt;/D&gt;&lt;D xsi:type="xsd:double"&gt;4.83695684430861&lt;/D&gt;&lt;D xsi:type="xsd:double"&gt;4.82620639031375&lt;/D&gt;&lt;D xsi:type="xsd:double"&gt;5.15900682752731&lt;/D&gt;&lt;D xsi:type="xsd:double"&gt;5.17625245358321&lt;/D&gt;&lt;D xsi:type="xsd:double"&gt;5.01327270209293&lt;/D&gt;&lt;D xsi:type="xsd:double"&gt;4.99838406746535&lt;/D&gt;&lt;D xsi:type="xsd:double"&gt;4.82906729127487&lt;/D&gt;&lt;D xsi:type="xsd:double"&gt;4.98737567884278&lt;/D&gt;&lt;D xsi:type="xsd:double"&gt;4.78597450450685&lt;/D&gt;&lt;D xsi:type="xsd:double"&gt;4.78796712296227&lt;/D&gt;&lt;D xsi:type="xsd:double"&gt;5.07589190174678&lt;/D&gt;&lt;D xsi:type="xsd:double"&gt;4.94750416043706&lt;/D&gt;&lt;D xsi:type="xsd:double"&gt;4.9166669050809&lt;/D&gt;&lt;D xsi:type="xsd:double"&gt;4.8017390107787&lt;/D&gt;&lt;D xsi:type="xsd:double"&gt;4.79001267888819&lt;/D&gt;&lt;D xsi:type="xsd:double"&gt;4.57526406447468&lt;/D&gt;&lt;D xsi:type="xsd:double"&gt;4.65730431236441&lt;/D&gt;&lt;D xsi:type="xsd:double"&gt;5.95882153702442&lt;/D&gt;&lt;D xsi:type="xsd:double"&gt;5.76939994975924&lt;/D&gt;&lt;D xsi:type="xsd:double"&gt;4.60125669181764&lt;/D&gt;&lt;D xsi:type="xsd:double"&gt;4.15630942596638&lt;/D&gt;&lt;D xsi:type="xsd:double"&gt;4.14671353553204&lt;/D&gt;&lt;D xsi:type="xsd:double"&gt;3.93161256806395&lt;/D&gt;&lt;D xsi:type="xsd:double"&gt;4.11042162512259&lt;/D&gt;&lt;D xsi:type="xsd:double"&gt;4.18217388100027&lt;/D&gt;&lt;D xsi:type="xsd:double"&gt;4.00305085066738&lt;/D&gt;&lt;D xsi:type="xsd:double"&gt;3.91345420694263&lt;/D&gt;&lt;D xsi:type="xsd:double"&gt;3.82095283163931&lt;/D&gt;&lt;D xsi:type="xsd:double"&gt;4.02501919207441&lt;/D&gt;&lt;D xsi:type="xsd:double"&gt;3.95753992914819&lt;/D&gt;&lt;D xsi:type="xsd:double"&gt;3.9544635323765&lt;/D&gt;&lt;D xsi:type="xsd:double"&gt;3.94122755102703&lt;/D&gt;&lt;D xsi:type="xsd:double"&gt;3.88337557696583&lt;/D&gt;&lt;D xsi:type="xsd:double"&gt;4.00699698976576&lt;/D&gt;&lt;D xsi:type="xsd:double"&gt;4.10183737302918&lt;/D&gt;&lt;D xsi:type="xsd:double"&gt;4.2252150058451&lt;/D&gt;&lt;D xsi:type="xsd:double"&gt;4.109454660723&lt;/D&gt;&lt;D xsi:type="xsd:double"&gt;3.99891281037108&lt;/D&gt;&lt;D xsi:type="xsd:double"&gt;4.0212291956511&lt;/D&gt;&lt;D xsi:type="xsd:double"&gt;3.86128317630042&lt;/D&gt;&lt;D xsi:type="xsd:double"&gt;3.76214169200272&lt;/D&gt;&lt;D xsi:type="xsd:double"&gt;4.16608307059813&lt;/D&gt;&lt;D xsi:type="xsd:double"&gt;3.94317722716236&lt;/D&gt;&lt;D xsi:type="xsd:double"&gt;4.19990501353891&lt;/D&gt;&lt;D xsi:type="xsd:double"&gt;4.21876782828213&lt;/D&gt;&lt;D xsi:type="xsd:double"&gt;4.32411747370563&lt;/D&gt;&lt;D xsi:type="xsd:double"&gt;4.17931902143912&lt;/D&gt;&lt;D xsi:type="xsd:double"&gt;4.39674697435557&lt;/D&gt;&lt;D xsi:type="xsd:double"&gt;4.71137604153023&lt;/D&gt;&lt;D xsi:type="xsd:double"&gt;4.38093657159932&lt;/D&gt;&lt;D xsi:type="xsd:double"&gt;4.21930978835151&lt;/D&gt;&lt;D xsi:type="xsd:double"&gt;4.13305995082097&lt;/D&gt;&lt;D xsi:type="xsd:double"&gt;4.09529417022344&lt;/D&gt;&lt;D xsi:type="xsd:double"&gt;4.21483974352352&lt;/D&gt;&lt;D xsi:type="xsd:double"&gt;4.13765152494374&lt;/D&gt;&lt;D xsi:type="xsd:double"&gt;4.27612501103037&lt;/D&gt;&lt;D xsi:type="xsd:double"&gt;4.34194971879375&lt;/D&gt;&lt;D xsi:type="xsd:double"&gt;4.49885931410495&lt;/D&gt;&lt;D xsi:type="xsd:double"&gt;4.42760116146881&lt;/D&gt;&lt;D xsi:type="xsd:double"&gt;4.49568306335211&lt;/D&gt;&lt;D xsi:type="xsd:double"&gt;4.4240253239906&lt;/D&gt;&lt;D xsi:type="xsd:double"&gt;4.61606011724026&lt;/D&gt;&lt;D xsi:type="xsd:double"&gt;4.39934669266053&lt;/D&gt;&lt;D xsi:type="xsd:double"&gt;4.34952681892392&lt;/D&gt;&lt;D xsi:type="xsd:double"&gt;4.31492724879488&lt;/D&gt;&lt;D xsi:type="xsd:double"&gt;4.14974974359139&lt;/D&gt;&lt;D xsi:type="xsd:double"&gt;4.0162294100053&lt;/D&gt;&lt;/FQL&gt;&lt;FQL&gt;&lt;Q&gt;EWJ^FMA_PE(NTMA,-10AY,0,AM,"PORTAGG","MEANR")&lt;/Q&gt;&lt;R&gt;121&lt;/R&gt;&lt;C&gt;1&lt;/C&gt;&lt;D xsi:type="xsd:double"&gt;12.5227386026173&lt;/D&gt;&lt;D xsi:type="xsd:double"&gt;12.8494573044499&lt;/D&gt;&lt;D xsi:type="xsd:double"&gt;13.6312305042908&lt;/D&gt;&lt;D xsi:type="xsd:double"&gt;13.6263013982414&lt;/D&gt;&lt;D xsi:type="xsd:double"&gt;13.4362957669993&lt;/D&gt;&lt;D xsi:type="xsd:double"&gt;13.9109548893139&lt;/D&gt;&lt;D xsi:type="xsd:double"&gt;13.1596564540028&lt;/D&gt;&lt;D xsi:type="xsd:double"&gt;14.4133810712487&lt;/D&gt;&lt;D xsi:type="xsd:double"&gt;14.222929110903&lt;/D&gt;&lt;D xsi:type="xsd:double"&gt;13.9224536986246&lt;/D&gt;&lt;D xsi:type="xsd:double"&gt;14.1709914550793&lt;/D&gt;&lt;D xsi:type="xsd:double"&gt;15.0933031416665&lt;/D&gt;&lt;D xsi:type="xsd:double"&gt;15.6172877626872&lt;/D&gt;&lt;D xsi:type="xsd:double"&gt;15.8649527554514&lt;/D&gt;&lt;D xsi:type="xsd:double"&gt;15.8944301363612&lt;/D&gt;&lt;D xsi:type="xsd:double"&gt;14.9094105664143&lt;/D&gt;&lt;D xsi:type="xsd:double"&gt;15.6907434557002&lt;/D&gt;&lt;D xsi:type="xsd:double"&gt;13.6481190642019&lt;/D&gt;&lt;D xsi:type="xsd:double"&gt;14.0086136298185&lt;/D&gt;&lt;D xsi:type="xsd:double"&gt;14.7293037420449&lt;/D&gt;&lt;D xsi:type="xsd:double"&gt;14.1751031803682&lt;/D&gt;&lt;D xsi:type="xsd:double"&gt;13.0969597168254&lt;/D&gt;&lt;D xsi:type="xsd:double"&gt;11.6158565025075&lt;/D&gt;&lt;D xsi:type="xsd:double"&gt;12.9482155711046&lt;/D&gt;&lt;D xsi:type="xsd:double"&gt;12.1774226877574&lt;/D&gt;&lt;D xsi:type="xsd:double"&gt;12.9782613040338&lt;/D&gt;&lt;D xsi:type="xsd:double"&gt;13.3577855484663&lt;/D&gt;&lt;D xsi:type="xsd:double"&gt;12.7816112765091&lt;/D&gt;&lt;D xsi:type="xsd:double"&gt;13.3559872883805&lt;/D&gt;&lt;D xsi:type="xsd:double"&gt;13.6231945826808&lt;/D&gt;&lt;D xsi:type="xsd:double"&gt;13.5587549899267&lt;/D&gt;&lt;D xsi:type="xsd:double"&gt;13.6887554780824&lt;/D&gt;&lt;D xsi:type="xsd:double"&gt;14.9883334209233&lt;/D&gt;&lt;D xsi:type="xsd:double"&gt;14.9310463794758&lt;/D&gt;&lt;D xsi:type="xsd:double"&gt;14.4869528859572&lt;/D&gt;&lt;D xsi:type="xsd:double"&gt;14.403819184986&lt;/D&gt;&lt;D xsi:type="xsd:double"&gt;13.5847484796143&lt;/D&gt;&lt;D xsi:type="xsd:double"&gt;14.3665066117731&lt;/D&gt;&lt;D xsi:type="xsd:double"&gt;14.354416422436&lt;/D&gt;&lt;D xsi:type="xsd:double"&gt;14.3388340762752&lt;/D&gt;&lt;D xsi:type="xsd:double"&gt;13.9592770856528&lt;/D&gt;&lt;D xsi:type="xsd:double"&gt;13.577881022662&lt;/D&gt;&lt;D xsi:type="xsd:double"&gt;14.0988393887013&lt;/D&gt;&lt;D xsi:type="xsd:double"&gt;14.8770236369231&lt;/D&gt;&lt;D xsi:type="xsd:double"&gt;14.7463238676892&lt;/D&gt;&lt;D xsi:type="xsd:double"&gt;15.3895464285226&lt;/D&gt;&lt;D xsi:type="xsd</t>
        </r>
      </text>
    </comment>
    <comment ref="A9" authorId="0" shapeId="0" xr:uid="{EA216973-C30C-4597-A49A-CC455E1119F3}">
      <text>
        <r>
          <rPr>
            <b/>
            <sz val="9"/>
            <color indexed="81"/>
            <rFont val="Tahoma"/>
            <charset val="1"/>
          </rPr>
          <t>:double"&gt;13.7244013862978&lt;/D&gt;&lt;D xsi:type="xsd:double"&gt;12.8410379803821&lt;/D&gt;&lt;D xsi:type="xsd:double"&gt;12.8396618595364&lt;/D&gt;&lt;D xsi:type="xsd:double"&gt;13.3479615239113&lt;/D&gt;&lt;D xsi:type="xsd:double"&gt;13.2141139861734&lt;/D&gt;&lt;D xsi:type="xsd:double"&gt;12.5869207000207&lt;/D&gt;&lt;D xsi:type="xsd:double"&gt;12.6502865565222&lt;/D&gt;&lt;D xsi:type="xsd:double"&gt;12.4188164443487&lt;/D&gt;&lt;D xsi:type="xsd:double"&gt;12.4206107536519&lt;/D&gt;&lt;D xsi:type="xsd:double"&gt;12.1830320458456&lt;/D&gt;&lt;D xsi:type="xsd:double"&gt;11.628603927807&lt;/D&gt;&lt;D xsi:type="xsd:double"&gt;11.4645766704021&lt;/D&gt;&lt;D xsi:type="xsd:double"&gt;11.7866121654903&lt;/D&gt;&lt;D xsi:type="xsd:double"&gt;12.3342802695027&lt;/D&gt;&lt;D xsi:type="xsd:double"&gt;12.6101607693382&lt;/D&gt;&lt;D xsi:type="xsd:double"&gt;12.2375211216242&lt;/D&gt;&lt;D xsi:type="xsd:double"&gt;12.7114930168087&lt;/D&gt;&lt;D xsi:type="xsd:double"&gt;12.9477205180098&lt;/D&gt;&lt;D xsi:type="xsd:double"&gt;12.3916944407999&lt;/D&gt;&lt;D xsi:type="xsd:double"&gt;13.2140153726926&lt;/D&gt;&lt;D xsi:type="xsd:double"&gt;13.267493953767&lt;/D&gt;&lt;D xsi:type="xsd:double"&gt;14.1576825144828&lt;/D&gt;&lt;D xsi:type="xsd:double"&gt;14.4741879041393&lt;/D&gt;&lt;D xsi:type="xsd:double"&gt;14.6490004959646&lt;/D&gt;&lt;D xsi:type="xsd:double"&gt;14.4689547347021&lt;/D&gt;&lt;D xsi:type="xsd:double"&gt;12.0433411624242&lt;/D&gt;&lt;D xsi:type="xsd:double"&gt;12.8765985722734&lt;/D&gt;&lt;D xsi:type="xsd:double"&gt;14.4032324505189&lt;/D&gt;&lt;D xsi:type="xsd:double"&gt;17.3356001705278&lt;/D&gt;&lt;D xsi:type="xsd:double"&gt;17.4938281233366&lt;/D&gt;&lt;D xsi:type="xsd:double"&gt;17.9964213850254&lt;/D&gt;&lt;D xsi:type="xsd:double"&gt;18.3689634651812&lt;/D&gt;&lt;D xsi:type="xsd:double"&gt;18.2031711554791&lt;/D&gt;&lt;D xsi:type="xsd:double"&gt;18.5160882290347&lt;/D&gt;&lt;D xsi:type="xsd:double"&gt;18.4829222402098&lt;/D&gt;&lt;D xsi:type="xsd:double"&gt;18.7209638282424&lt;/D&gt;&lt;D xsi:type="xsd:double"&gt;18.9175726612183&lt;/D&gt;&lt;D xsi:type="xsd:double"&gt;17.702728937508&lt;/D&gt;&lt;D xsi:type="xsd:double"&gt;17.4869297669471&lt;/D&gt;&lt;D xsi:type="xsd:double"&gt;16.6088308315788&lt;/D&gt;&lt;D xsi:type="xsd:double"&gt;16.4803932947942&lt;/D&gt;&lt;D xsi:type="xsd:double"&gt;15.8682688870286&lt;/D&gt;&lt;D xsi:type="xsd:double"&gt;15.813586303757&lt;/D&gt;&lt;D xsi:type="xsd:double"&gt;16.1230625929502&lt;/D&gt;&lt;D xsi:type="xsd:double"&gt;15.1710522281862&lt;/D&gt;&lt;D xsi:type="xsd:double"&gt;15.2131549163465&lt;/D&gt;&lt;D xsi:type="xsd:double"&gt;14.5322842795054&lt;/D&gt;&lt;D xsi:type="xsd:double"&gt;14.4476577894256&lt;/D&gt;&lt;D xsi:type="xsd:double"&gt;13.9109997085341&lt;/D&gt;&lt;D xsi:type="xsd:double"&gt;12.3255869714372&lt;/D&gt;&lt;D xsi:type="xsd:double"&gt;12.843639920229&lt;/D&gt;&lt;D xsi:type="xsd:double"&gt;12.4213160872843&lt;/D&gt;&lt;D xsi:type="xsd:double"&gt;12.9388351531092&lt;/D&gt;&lt;D xsi:type="xsd:double"&gt;12.6038858667839&lt;/D&gt;&lt;D xsi:type="xsd:double"&gt;12.6949211420307&lt;/D&gt;&lt;D xsi:type="xsd:double"&gt;12.8495892686772&lt;/D&gt;&lt;D xsi:type="xsd:double"&gt;12.0974592352945&lt;/D&gt;&lt;D xsi:type="xsd:double"&gt;12.8816886222128&lt;/D&gt;&lt;D xsi:type="xsd:double"&gt;12.7500404392751&lt;/D&gt;&lt;D xsi:type="xsd:double"&gt;12.3444861113031&lt;/D&gt;&lt;D xsi:type="xsd:double"&gt;13.0466678335385&lt;/D&gt;&lt;D xsi:type="xsd:double"&gt;13.2772812427326&lt;/D&gt;&lt;D xsi:type="xsd:double"&gt;13.0943028146334&lt;/D&gt;&lt;D xsi:type="xsd:double"&gt;13.6364388280124&lt;/D&gt;&lt;D xsi:type="xsd:double"&gt;14.5589794681128&lt;/D&gt;&lt;D xsi:type="xsd:double"&gt;14.4456472201569&lt;/D&gt;&lt;D xsi:type="xsd:double"&gt;14.5337530952953&lt;/D&gt;&lt;D xsi:type="xsd:double"&gt;14.6714812835437&lt;/D&gt;&lt;D xsi:type="xsd:double"&gt;14.2572138372403&lt;/D&gt;&lt;D xsi:type="xsd:double"&gt;14.2248180221874&lt;/D&gt;&lt;D xsi:type="xsd:double"&gt;14.076700896177&lt;/D&gt;&lt;D xsi:type="xsd:double"&gt;14.7123314791895&lt;/D&gt;&lt;D xsi:type="xsd:double"&gt;15.0214209585715&lt;/D&gt;&lt;D xsi:type="xsd:double"&gt;15.3842353533253&lt;/D&gt;&lt;D xsi:type="xsd:double"&gt;15.5870373517673&lt;/D&gt;&lt;/FQL&gt;&lt;FQL&gt;&lt;Q&gt;EWC^FMA_PE(LTMA,-10AY,0,AM,"PORTAGG","MEANR")&lt;/Q&gt;&lt;R&gt;121&lt;/R&gt;&lt;C&gt;1&lt;/C&gt;&lt;D xsi:type="xsd:double"&gt;16.3257349648222&lt;/D&gt;&lt;D xsi:type="xsd:double"&gt;16.2422588582579&lt;/D&gt;&lt;D xsi:type="xsd:double"&gt;16.2068584641955&lt;/D&gt;&lt;D xsi:type="xsd:double"&gt;16.266517579643&lt;/D&gt;&lt;D xsi:type="xsd:double"&gt;16.2700962887037&lt;/D&gt;&lt;D xsi:type="xsd:double"&gt;16.4244225978026&lt;/D&gt;&lt;D xsi:type="xsd:double"&gt;15.3566460622082&lt;/D&gt;&lt;D xsi:type="xsd:double"&gt;15.7507413223875&lt;/D&gt;&lt;D xsi:type="xsd:double"&gt;14.9726777445497&lt;/D&gt;&lt;D xsi:type="xsd:double"&gt;15.3376035407089&lt;/D&gt;&lt;D xsi:type="xsd:double"&gt;16.4307216539304&lt;/D&gt;&lt;D xsi:type="xsd:double"&gt;16.9650181534598&lt;/D&gt;&lt;D xsi:type="xsd:double"&gt;17.2093417824561&lt;/D&gt;&lt;D xsi:type="xsd:double"&gt;17.2682335288017&lt;/D&gt;&lt;D xsi:type="xsd:double"&gt;17.1717689642083&lt;/D&gt;&lt;D xsi:type="xsd:double"&gt;16.9457934484426&lt;/D&gt;&lt;D xsi:type="xsd:double"&gt;17.0083883732719&lt;/D&gt;&lt;D xsi:type="xsd:double"&gt;16.4451589072329&lt;/D&gt;&lt;D xsi:type="xsd:double"&gt;17.0482870791567&lt;/D&gt;&lt;D xsi:type="xsd:double"&gt;16.6265385556302&lt;/D&gt;&lt;D xsi:type="xsd:double"&gt;15.8825064152861&lt;/D&gt;&lt;D xsi:type="xsd:double"&gt;14.8969450566934&lt;/D&gt;&lt;D xsi:type="xsd:double"&gt;14.5682041829125&lt;/D&gt;&lt;D xsi:type="xsd:double"&gt;15.9050554668237&lt;/D&gt;&lt;D xsi:type="xsd:double"&gt;16.012509596499&lt;/D&gt;&lt;D xsi:type="xsd:double"&gt;16.359402000722&lt;/D&gt;&lt;D xsi:type="xsd:double"&gt;16.7352595149435&lt;/D&gt;&lt;D xsi:type="xsd:double"&gt;17.0329366876007&lt;/D&gt;&lt;D xsi:type="xsd:double"&gt;17.4971179708227&lt;/D&gt;&lt;D xsi:type="xsd:double"&gt;17.5260598080156&lt;/D&gt;&lt;D xsi:type="xsd:double"&gt;17.8699314323103&lt;/D&gt;&lt;D xsi:type="xsd:double"&gt;18.267031202304&lt;/D&gt;&lt;D xsi:type="xsd:double"&gt;19.1512962673975&lt;/D&gt;&lt;D xsi:type="xsd:double"&gt;19.5581475063379&lt;/D&gt;&lt;D xsi:type="xsd:double"&gt;19.8096750901768&lt;/D&gt;&lt;D xsi:type="xsd:double"&gt;19.3120615915666&lt;/D&gt;&lt;D xsi:type="xsd:double"&gt;19.0472557788551&lt;/D&gt;&lt;D xsi:type="xsd:double"&gt;18.6623098230171&lt;/D&gt;&lt;D xsi:type="xsd:double"&gt;18.3731674506928&lt;/D&gt;&lt;D xsi:type="xsd:double"&gt;17.9826092605643&lt;/D&gt;&lt;D xsi:type="xsd:double"&gt;17.7475737700226&lt;/D&gt;&lt;D xsi:type="xsd:double"&gt;17.3164040740252&lt;/D&gt;&lt;D xsi:type="xsd:double"&gt;17.6240111484143&lt;/D&gt;&lt;D xsi:type="xsd:double"&gt;17.4332531234355&lt;/D&gt;&lt;D xsi:type="xsd:double"&gt;17.2951613104617&lt;/D&gt;&lt;D xsi:type="xsd:double"&gt;17.2527918257056&lt;/D&gt;&lt;D xsi:type="xsd:double"&gt;15.7055638038075&lt;/D&gt;&lt;D xsi:type="xsd:double"&gt;15.8189162920825&lt;/D&gt;&lt;D xsi:type="xsd:double"&gt;15.5896569607014&lt;/D&gt;&lt;D xsi:type="xsd:double"&gt;15.6290746823206&lt;/D&gt;&lt;D xsi:type="xsd:double"&gt;15.6030696953749&lt;/D&gt;&lt;D xsi:type="xsd:double"&gt;15.4950769221326&lt;/D&gt;&lt;D xsi:type="xsd:double"&gt;15.3916115569486&lt;/D&gt;&lt;D xsi:type="xsd:double"&gt;15.0719847970612&lt;/D&gt;&lt;D xsi:type="xsd:double"&gt;14.4487395701509&lt;/D&gt;&lt;D xsi:type="xsd:double"&gt;14.1939020728361&lt;/D&gt;&lt;D xsi:type="xsd:double"&gt;13.549670844126&lt;/D&gt;&lt;D xsi:type="xsd:double"&gt;13.7305129754452&lt;/D&gt;&lt;D xsi:type="xsd:double"&gt;14.5642052870875&lt;/D&gt;&lt;D xsi:type="xsd:double"&gt;14.7304697559195&lt;/D&gt;&lt;D xsi:type="xsd:double"&gt;14.7543549919735&lt;/D&gt;&lt;D xsi:type="xsd:double"&gt;14.510113844369&lt;/D&gt;&lt;D xsi:type="xsd:double"&gt;14.4339989298598&lt;/D&gt;&lt;D xsi:type="xsd:double"&gt;14.503509889299&lt;/D&gt;&lt;D xsi:type="xsd:double"&gt;14.3899521995027&lt;/D&gt;&lt;D xsi:type="xsd:double"&gt;14.5826610520479&lt;/D&gt;&lt;D xsi:type="xsd:double"&gt;14.5619943785231&lt;/D&gt;&lt;D xsi:type="xsd:double"&gt;15.0408233666358&lt;/D&gt;&lt;D xsi:type="xsd:double"&gt;15.078669702455&lt;/D&gt;&lt;D xsi:type="xsd:double"&gt;15.3662787589315&lt;/D&gt;&lt;D xsi:type="xsd:double"&gt;15.7695244040694&lt;/D&gt;&lt;D xsi:type="xsd:double"&gt;14.0722947041718&lt;/D&gt;&lt;D xsi:type="xsd:double"&gt;14.7024224119322&lt;/D&gt;&lt;D xsi:type="xsd:double"&gt;16.2978530649869&lt;/D&gt;&lt;D xsi:type="xsd:double"&gt;16.9168735551322&lt;/D&gt;&lt;D xsi:type="xsd:double"&gt;17.5496388626449&lt;/D&gt;&lt;D xsi:type="xsd:double"&gt;18.1808048808457&lt;/D&gt;&lt;D xsi:type="xsd:double"&gt;18.2152915262953&lt;/D&gt;&lt;D xsi:type="xsd:double"&gt;18.8406299275922&lt;/D&gt;&lt;D xsi:type="xsd:double"&gt;19.2253867114048&lt;/D&gt;&lt;D xsi:type="xsd:double"&gt;20.21175959142&lt;/D&gt;&lt;D xsi:type="xsd:double"&gt;21.2013691438187&lt;/D&gt;&lt;D xsi:type="xsd:double"&gt;21.0372551214973&lt;/D&gt;&lt;D xsi:type="xsd:double"&gt;19.8889177035317&lt;/D&gt;&lt;D xsi:type="xsd:double"&gt;19.5288423412236&lt;/D&gt;&lt;D xsi:type="xsd:double"&gt;19.081108814594&lt;/D&gt;&lt;D xsi:type="xsd:double"&gt;18.6776812581821&lt;/D&gt;&lt;D xsi:type="xsd:double"&gt;18.3030045215367&lt;/D&gt;&lt;D xsi:type="xsd:double"&gt;17.6125468068159&lt;/D&gt;&lt;D xsi:type="xsd:double"&gt;17.0214922372313&lt;/D&gt;&lt;D xsi:type="xsd:double"&gt;16.4453428042504&lt;/D&gt;&lt;D xsi:type="xsd:double"&gt;16.5333932866362&lt;/D&gt;&lt;D xsi:type="xsd:double"&gt;15.5465493038929&lt;/D&gt;&lt;D xsi:type="xsd:double"&gt;15.4631108271139&lt;/D&gt;&lt;D xsi:type="xsd:double"&gt;15.7028059969481&lt;/D&gt;&lt;D xsi:type="xsd:double"&gt;15.1225456270506&lt;/D&gt;&lt;D xsi:type="xsd:double"&gt;14.9425682472274&lt;/D&gt;&lt;D xsi:type="xsd:double"&gt;14.2535439969773&lt;/D&gt;&lt;D xsi:type="xsd:double"&gt;14.0463034229785&lt;/D&gt;&lt;D xsi:type="xsd:double"&gt;13.2564741733888&lt;/D&gt;&lt;D xsi:type="xsd:double"&gt;13.2974674045777&lt;/D&gt;&lt;D xsi:type="xsd:double"&gt;12.9163798040129&lt;/D&gt;&lt;D xsi:type="xsd:double"&gt;11.9318695614759&lt;/D&gt;&lt;D xsi:type="xsd:double"&gt;12.704139651641&lt;/D&gt;&lt;D xsi:type="xsd:double"&gt;12.5373941196975&lt;/D&gt;&lt;D xsi:type="xsd:double"&gt;12.3898363856949&lt;/D&gt;&lt;D xsi:type="xsd:double"&gt;12.8473374265316&lt;/D&gt;&lt;D xsi:type="xsd:double"&gt;12.5488465375658&lt;/D&gt;&lt;D xsi:type="xsd:double"&gt;12.7023042914702&lt;/D&gt;&lt;D xsi:type="xsd:double"&gt;12.8266696231676&lt;/D&gt;&lt;D xsi:type="xsd:double"&gt;12.876394451056&lt;/D&gt;&lt;D xsi:type="xsd:double"&gt;13.0206568124738&lt;/D&gt;&lt;D xsi:type="xsd:double"&gt;13.4838949897522&lt;/D&gt;&lt;D xsi:type="xsd:double"&gt;13.536503156109&lt;/D&gt;&lt;D xsi:type="xsd:double"&gt;13.3542118824737&lt;/D&gt;&lt;D xsi:type="xsd:double"&gt;13.3804074128938&lt;/D&gt;&lt;D xsi:type="xsd:double"&gt;14.0219159588536&lt;/D&gt;&lt;D xsi:type="xsd:double"&gt;14.5526046461283&lt;/D&gt;&lt;D xsi:type="xsd:double"&gt;14.6300149637712&lt;/D&gt;&lt;D xsi:type="xsd:double"&gt;14.9128883691807&lt;/D&gt;&lt;D xsi:type="xsd:double"&gt;14.9886359881478&lt;/D&gt;&lt;/FQL&gt;&lt;FQL&gt;&lt;Q&gt;WL-FDS^FG_PRICE_CHANGE(0,-3AM)&lt;/Q&gt;&lt;R&gt;1&lt;/R&gt;&lt;C&gt;1&lt;/C&gt;&lt;D xsi:type="xsd:double"&gt;0.834804944613921&lt;/D&gt;&lt;/FQL&gt;&lt;FQL&gt;&lt;Q&gt;NI-FDS^FG_PRICE_CHANGE(0,-3AM)&lt;/Q&gt;&lt;R&gt;1&lt;/R&gt;&lt;C&gt;1&lt;/C&gt;&lt;D xsi:type="xsd:double"&gt;9.01538461538463&lt;/D&gt;&lt;/FQL&gt;&lt;FQL&gt;&lt;Q&gt;CPALM-FDS^FG_PRICE_CHANGE(0,-3AM)&lt;/Q&gt;&lt;R&gt;1&lt;/R&gt;&lt;C&gt;1&lt;/C&gt;&lt;D xsi:type="xsd:double"&gt;20.7754010695187&lt;/D&gt;&lt;/FQL&gt;&lt;FQL&gt;&lt;Q&gt;BRENT-FDS^FG_PRICE_CHANGE(0,-3AM)&lt;/Q&gt;&lt;R&gt;1&lt;/R&gt;&lt;C&gt;1&lt;/C&gt;&lt;D xsi:type="xsd:double"&gt;0&lt;/D&gt;&lt;/FQL&gt;&lt;FQL&gt;&lt;Q&gt;TIOS-FDS^FG_PRICE_CHANGE(0,-3AM)&lt;/Q&gt;&lt;R&gt;1&lt;/R&gt;&lt;C&gt;1&lt;/C&gt;&lt;D xsi:type="xsd:double"&gt;-24.5876845516745&lt;/D&gt;&lt;/FQL&gt;&lt;FQL&gt;&lt;Q&gt;FC0000AU^FG_PRICE(0)&lt;/Q&gt;&lt;R&gt;1&lt;/R&gt;&lt;C&gt;1&lt;/C&gt;&lt;D xsi:type="xsd:double"&gt;356.84073&lt;/D&gt;&lt;/FQL&gt;&lt;FQL&gt;&lt;Q&gt;EWN^FG_PRICE_MAVG(0,,,,200)&lt;/Q&gt;&lt;R&gt;1&lt;/R&gt;&lt;C&gt;1&lt;/C&gt;&lt;D xsi:type="xsd:double"&gt;43.24363&lt;/D&gt;&lt;/FQL&gt;&lt;FQL&gt;&lt;Q&gt;EWU^FG_PRICE_MAVG(0,,,,200)&lt;/Q&gt;&lt;R&gt;1&lt;/R&gt;&lt;C&gt;1&lt;/C&gt;&lt;D xsi:type="xsd:double"&gt;32.38955&lt;/D&gt;&lt;/FQL&gt;&lt;FQL&gt;&lt;Q&gt;EWC^FG_PRICE_MAVG(0,,,,200)&lt;/Q&gt;&lt;R&gt;1&lt;/R&gt;&lt;C&gt;1&lt;/C&gt;&lt;D xsi:type="xsd:double"&gt;35.2865&lt;/D&gt;&lt;/FQL&gt;&lt;FQL&gt;&lt;Q&gt;EWU^FG_PRICE_MAVG(0,,,,60)&lt;/Q&gt;&lt;R&gt;1&lt;/R&gt;&lt;C&gt;1&lt;/C&gt;&lt;D xsi:type="xsd:double"&gt;33.048&lt;/D&gt;&lt;/FQL&gt;&lt;FQL&gt;&lt;Q&gt;CC_DE^FG_COMPANY_NAME&lt;/Q&gt;&lt;R&gt;1&lt;/R&gt;&lt;C&gt;1&lt;/C&gt;&lt;D xsi:type="xsd:string"&gt;Germany&lt;/D&gt;&lt;/FQL&gt;&lt;FQL&gt;&lt;Q&gt;EWJ^FG_TOTAL_RETURNC(-10AY,0,AM)&lt;/Q&gt;&lt;R&gt;121&lt;/R&gt;&lt;C&gt;1&lt;/C&gt;&lt;D xsi:type="xsd:double"&gt;-5.8413267&lt;/D&gt;&lt;D xsi:type="xsd:double"&gt;3.1481504&lt;/D&gt;&lt;D xsi:type="xsd:double"&gt;5.2962184&lt;/D&gt;&lt;D xsi:type="xsd:double"&gt;2.4869561&lt;/D&gt;&lt;D xsi:type="xsd:double"&gt;-0.75376034&lt;/D&gt;&lt;D xsi:type="xsd:double"&gt;-0.16878247&lt;/D&gt;&lt;D xsi:type="xsd:double"&gt;-6.8469944&lt;/D&gt;&lt;D xsi:type="xsd:double"&gt;6.442821&lt;/D&gt;&lt;D xsi:type="xsd:double"&gt;-2.2165298&lt;/D&gt;&lt;D xsi:type="xsd:double"&gt;-2.3932278&lt;/D&gt;&lt;D xsi:type="xsd:double"&gt;5.2111387&lt;/D&gt;&lt;D xsi:type="xsd:double"&gt;4.1844606&lt;/D&gt;&lt;D xsi:type="xsd:double"&gt;6.0655713&lt;/D&gt;&lt;D xsi:type="xsd:double"&gt;-0.07727146&lt;/D&gt;&lt;D xsi:type="xsd:double"&gt;0.7733941&lt;/D&gt;&lt;D xsi:type="xsd:double"&gt;-2.3494065&lt;/D&gt;&lt;D xsi:type="xsd:double"&gt;1.8957376&lt;/D&gt;&lt;D xsi:type="xsd:double"&gt;-8.992249&lt;/D&gt;&lt;D xsi:type="xsd:double"&gt;3.0664444&lt;/D&gt;&lt;D xsi:type="xsd:double"&gt;3.5537124&lt;/D&gt;&lt;D xsi:type="xsd:double"&gt;-4.1500387&lt;/D&gt;&lt;D xsi:type="xsd:double"&gt;-3.3816338&lt;/D&gt;&lt;D xsi:type="xsd:double"&gt;-10.416675&lt;/D&gt;&lt;D xsi:type="xsd:double"&gt;11.724806&lt;/D&gt;&lt;D xsi:type="xsd:double"&gt;-2.3417115&lt;/D&gt;&lt;D xsi:type="xsd:double"&gt;3.0195355&lt;/D&gt;&lt;D xsi:type="xsd:double"&gt;0.43102503&lt;/D&gt;&lt;D xsi:type="xsd:double"&gt;2.5238752&lt;/D&gt;&lt;D xsi:type="xsd:double"&gt;4.556966&lt;/D&gt;&lt;D xsi:type="xsd:double"&gt;-0.4842639&lt;/D&gt;&lt;D xsi:type="xsd:double"&gt;0.40551424&lt;/D&gt;&lt;D xsi:type="xsd:double"&gt;-0.040388107&lt;/D&gt;&lt;D xsi:type="xsd:double"&gt;3.5353541&lt;/D&gt;&lt;D xsi:type="xsd:double"&gt;-0.011593103&lt;/D&gt;&lt;D xsi:type="xsd:double"&gt;1.4412642&lt;/D&gt;&lt;D xsi:type="xsd:double"&gt;-0.07785559&lt;/D&gt;&lt;D xsi:type="xsd:double"&gt;-0.2532184&lt;/D&gt;&lt;D xsi:type="xsd:double"&gt;2.011335&lt;/D&gt;&lt;D xsi:type="xsd:double"&gt;3.5413504&lt;/D&gt;&lt;D xsi:type="xsd:double"&gt;-1.0118008&lt;/D&gt;&lt;D xsi:type="xsd:double"&gt;1.6353369&lt;/D&gt;&lt;D xsi:type="xsd:double"&gt;2.1268725&lt;/D&gt;&lt;D xsi:type="xsd:double"&gt;2.7707338&lt;/D&gt;&lt;D xsi:type="xsd:double"&gt;4.105735&lt;/D&gt;&lt;D xsi:type="xsd:double"&gt;1.2186766&lt;/D&gt;&lt;D xsi:type="xsd:double"&gt;6.4947605&lt;/D&gt;&lt;D xsi:type="xsd:double"&gt;-6.623459&lt;/D&gt;&lt;D xsi:type="xsd:double"&gt;2.623999&lt;/D&gt;&lt;D xsi:type="xsd:double"&gt;-0.47838688&lt;/D&gt;&lt;D xsi:type="xsd:double"&gt;1.5746713&lt;/D&gt;&lt;D xsi:type="xsd:double"&gt;-0.407964&lt;/D&gt;&lt;D xsi:type="xsd:double"&gt;-5.921406&lt;/D&gt;&lt;D xsi:type="xsd:double"&gt;0.9303093&lt;/D&gt;&lt;D xsi:type="xsd:double"&gt;-1.0087013&lt;/D&gt;&lt;D xsi:type="xsd:double"&gt;-0.562191&lt;/D&gt;&lt;D xsi:type="xsd:double"&gt;-2.6501775&lt;/D&gt;&lt;D xsi:type="xsd:double"&gt;-3.6479115&lt;/D&gt;&lt;D xsi:type="xsd:double"&gt;0.3010273&lt;/D&gt;&lt;D xsi:type="xsd:double"&gt;-0.11355281&lt;/D&gt;&lt;D xsi:type="xsd:double"&gt;2.1788597&lt;/D&gt;&lt;D xsi:type="xsd:double"&gt;1.5761137&lt;/D&gt;&lt;D xsi:type="xsd:double"&gt;-1.2960911&lt;/D&gt;&lt;D xsi:type="xsd:double"&gt;1.3685942&lt;/D&gt;&lt;D xsi:type="xsd:double"&gt;1.3866186&lt;/D&gt;&lt;D xsi:type="xsd:double"&gt;-2.723807&lt;/D&gt;&lt;D xsi:type="xsd:double"&gt;4.237449&lt;/D&gt;&lt;D xsi:type="xsd:double"&gt;2.3459911&lt;/D&gt;&lt;D xsi:type="xsd:double"&gt;4.6019197&lt;/D&gt;&lt;D xsi:type="xsd:double"&gt;1.0705948&lt;/D&gt;&lt;D xsi:type="xsd:double"&gt;-0.31968355&lt;/D&gt;&lt;D xsi:type="xsd:double"&gt;0.30242205&lt;/D&gt;&lt;D xsi:type="xsd:double"&gt;-16.800673&lt;/D&gt;&lt;D xsi:type="xsd:double"&gt;1.4294386&lt;/D&gt;&lt;D xsi:type="xsd:double"&gt;4.882884&lt;/D&gt;&lt;D xsi:type="xsd:double"&gt;4.3716908&lt;/D&gt;&lt;D xsi:type="xsd:double"&gt;1.9715071&lt;/D&gt;&lt;D xsi:type="xsd:double"&gt;1.6848922&lt;/D&gt;&lt;D xsi:type="xsd:double"&gt;3.2081842&lt;/D&gt;&lt;D xsi:type="xsd:double"&gt;1.5542269&lt;/D&gt;&lt;D xsi:type="xsd:double"&gt;6.744039&lt;/D&gt;&lt;D xsi:type="xsd:double"&gt;3.9073467&lt;/D&gt;&lt;D xsi:type="xsd:double"&gt;4.486692&lt;/D&gt;&lt;D xsi:type="xsd:double"&gt;3.5984874&lt;/D&gt;&lt;D xsi:type="xsd:double"&gt;-4.317254&lt;/D&gt;&lt;D xsi:type="xsd:double"&gt;2.3956418&lt;/D&gt;&lt;D xsi:type="xsd:double"&gt;-2.7558446&lt;/D&gt;&lt;D xsi:type="xsd:double"&gt;2.414143&lt;/D&gt;&lt;D xsi:type="xsd:double"&gt;-0.65330863&lt;/D&gt;&lt;D xsi:type="xsd:double"&gt;0.3361106&lt;/D&gt;&lt;D xsi:type="xsd:double"&gt;6.0442686&lt;/D&gt;&lt;D xsi:type="xsd:double"&gt;-6.3864765&lt;/D&gt;&lt;D xsi:type="xsd:double"&gt;1.3497591&lt;/D&gt;&lt;D xsi:type="xsd:double"&gt;-0.94094276&lt;/D&gt;&lt;D xsi:type="xsd:double"&gt;-0.74530244&lt;/D&gt;&lt;D xsi:type="xsd:double"&gt;-4.580039&lt;/D&gt;&lt;D xsi:type="xsd:double"&gt;-8.474046&lt;/D&gt;&lt;D xsi:type="xsd:double"&gt;-0.068330765&lt;/D&gt;&lt;D xsi:type="xsd:double"&gt;-6.71795&lt;/D&gt;&lt;D xsi:type="xsd:double"&gt;1.3854146&lt;/D&gt;&lt;D xsi:type="xsd:double"&gt;-3.285271&lt;/D&gt;&lt;D xsi:type="xsd:double"&gt;6.2275887&lt;/D&gt;&lt;D xsi:type="xsd:double"&gt;-5.720377&lt;/D&gt;&lt;D xsi:type="xsd:double"&gt;-7.480687&lt;/D&gt;&lt;D xsi:type="xsd:double"&gt;11.894094&lt;/D&gt;&lt;D xsi:type="xsd:double"&gt;0.5824566&lt;/D&gt;&lt;D xsi:type="xsd:double"&gt;0.11343956&lt;/D&gt;&lt;D xsi:type="xsd:double"&gt;5.2898526&lt;/D&gt;&lt;D xsi:type="xsd:double"&gt;-2.3055732&lt;/D&gt;&lt;D xsi:type="xsd:double"&gt;1.9373059&lt;/D&gt;&lt;D xsi:type="xsd:double"&gt;3.5072565&lt;/D&gt;&lt;D xsi:type="xsd:double"&gt;4.5889735&lt;/D&gt;&lt;D xsi:type="xsd:double"&gt;-0.6428838&lt;/D&gt;&lt;D xsi:type="xsd:double"&gt;-0.7279217&lt;/D&gt;&lt;D xsi:type="xsd:double"&gt;1.5479922&lt;/D&gt;&lt;D xsi:type="xsd:double"&gt;-3.4338892&lt;/D&gt;&lt;D xsi:type="xsd:double"&gt;0.48189163&lt;/D&gt;&lt;D xsi:type="xsd:double"&gt;4.415405&lt;/D&gt;&lt;D xsi:type="xsd:double"&gt;5.681741&lt;/D&gt;&lt;D xsi:type="xsd:double"&gt;1.2613893&lt;/D&gt;&lt;D xsi:type="xsd:double"&gt;4.45745&lt;/D&gt;&lt;D xsi:type="xsd:double"&gt;0.56034327&lt;/D&gt;&lt;/FQL&gt;&lt;FQL&gt;&lt;Q&gt;EWL^FG_PRICE_MAVG(0,,,,200)&lt;/Q&gt;&lt;R&gt;1&lt;/R&gt;&lt;C&gt;1&lt;/C&gt;&lt;D xsi:type="xsd:double"&gt;45.9637&lt;/D&gt;&lt;/FQL&gt;&lt;FQL&gt;&lt;Q&gt;EWC^FMA_ROE(NTMA,-20AY,NOW,FY,"PORTAGG","MEANR")&lt;/Q&gt;&lt;R&gt;20&lt;/R&gt;&lt;C&gt;1&lt;/C&gt;&lt;D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xsi:type="xsd:double"&gt;14.0029403106189&lt;/D&gt;&lt;D xsi:type="xsd:double"&gt;13.147116166704&lt;/D&gt;&lt;/FQL&gt;&lt;FQL&gt;&lt;Q&gt;EWU^FMA_EPS(NTMA,-20AY,0,CY,,"PORTAGG","MEANR")&lt;/Q&gt;&lt;R&gt;20&lt;/R&gt;&lt;C&gt;1&lt;/C&gt;&lt;D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xsi:type="xsd:double"&gt;2.53485794961448&lt;/D&gt;&lt;D xsi:type="xsd:double"&gt;2.03463841368045&lt;/D&gt;&lt;D xsi:type="xsd:double"&gt;2.71427224666172&lt;/D&gt;&lt;D xsi:type="xsd:double"&gt;3.12760120843659&lt;/D&gt;&lt;D xsi:type="xsd:double"&gt;3.00279789751534&lt;/D&gt;&lt;/FQL&gt;&lt;FQL&gt;&lt;Q&gt;ENZL^FMA_DIV_YLD(NTMA,-10AY,0,AM,"PORTAGG","MEANR")&lt;/Q&gt;&lt;R&gt;121&lt;/R&gt;&lt;C&gt;1&lt;/C&gt;&lt;D xsi:type="xsd:double"&gt;4.12356292469888&lt;/D&gt;&lt;D xsi:type="xsd:double"&gt;4.10001185353113&lt;/D&gt;&lt;D xsi:type="xsd:double"&gt;4.2180422965904&lt;/D&gt;&lt;D xsi:type="xsd:double"&gt;4.47065595228737&lt;/D&gt;&lt;D xsi:type="xsd:double"&gt;4.56935885103544&lt;/D&gt;&lt;D xsi:type="xsd:double"&gt;4.53336692397436&lt;/D&gt;&lt;D xsi:type="xsd:double"&gt;4.60804294886135&lt;/D&gt;&lt;D xsi:type="xsd:double"&gt;4.43877701401957&lt;/D&gt;&lt;D xsi:type="xsd:double"&gt;4.49176577624116&lt;/D&gt;&lt;D xsi:type="xsd:double"&gt;4.42916115987728&lt;/D&gt;&lt;D xsi:type="xsd:double"&gt;4.27009228755625&lt;/D&gt;&lt;D xsi:type="xsd:double"&gt;4.30397228088674&lt;/D&gt;&lt;D xsi:type="xsd:double"&gt;4.43109586472914&lt;/D&gt;&lt;D xsi:type="xsd:double"&gt;4.46684507537055&lt;/D&gt;&lt;D xsi:type="xsd:double"&gt;4.45734684347586&lt;/D&gt;&lt;D xsi:type="xsd:double"&gt;4.71045703063957&lt;/D&gt;&lt;D xsi:type="xsd:double"&gt;4.63740267303238&lt;/D&gt;&lt;D xsi:type="xsd:double"&gt;5.14860233606005&lt;/D&gt;&lt;D xsi:type="xsd:double"&gt;5.25610306562709&lt;/D&gt;&lt;D xsi:type="xsd:double"&gt;4.89148516645734&lt;/D&gt;&lt;D xsi:type="xsd:double"&gt;4.80690185897919&lt;/D&gt;&lt;D xsi:type="xsd:double"&gt;4.91500710396966&lt;/D&gt;&lt;D xsi:type="xsd:double"&gt;5.00506587776045&lt;/D&gt;&lt;D xsi:type="xsd:double"&gt;4.69045024862221&lt;/D&gt;&lt;D xsi:type="xsd:double"&gt;4.57466759997125&lt;/D&gt;&lt;D xsi:type="xsd:double"&gt;4.48680314332507&lt;/D&gt;&lt;D xsi:type="xsd:double"&gt;4.36495976201959&lt;/D&gt;&lt;D xsi:type="xsd:double"&gt;4.28318419588048&lt;/D&gt;&lt;D xsi:type="xsd:double"&gt;4.13908222769064&lt;/D&gt;&lt;D xsi:type="xsd:double"&gt;4.15035892748783&lt;/D&gt;&lt;D xsi:type="xsd:double"&gt;4.47062267261873&lt;/D&gt;&lt;D xsi:type="xsd:double"&gt;4.75551146868518&lt;/D&gt;&lt;D xsi:type="xsd:double"&gt;4.6078893654269&lt;/D&gt;&lt;D xsi:type="xsd:double"&gt;4.49879391793521&lt;/D&gt;&lt;D xsi:type="xsd:double"&gt;4.50667709990805&lt;/D&gt;&lt;D xsi:type="xsd:double"&gt;4.56289658551886&lt;/D&gt;&lt;D xsi:type="xsd:double"&gt;4.54782765244196&lt;/D&gt;&lt;D xsi:type="xsd:double"&gt;4.4120669030521&lt;/D&gt;&lt;D xsi:type="xsd:double"&gt;4.45983933935568&lt;/D&gt;&lt;D xsi:type="xsd:double"&gt;4.39765769190603&lt;/D&gt;&lt;D xsi:type="xsd:double"&gt;4.37462018184818&lt;/D&gt;&lt;D xsi:type="xsd:double"&gt;4.37674925124824&lt;/D&gt;&lt;D xsi:type="xsd:double"&gt;4.37975500058567&lt;/D&gt;&lt;D xsi:type="xsd:double"&gt;4.46071557559729&lt;/D&gt;&lt;D xsi:type="xsd:double"&gt;4.27337967167598&lt;/D&gt;&lt;D xsi:type="xsd:double"&gt;4.30326745832043&lt;/D&gt;&lt;D xsi:type="xsd:double"&gt;4.56959119117219&lt;/D&gt;&lt;D xsi:type="xsd:double"&gt;4.21231062148988&lt;/D&gt;&lt;D xsi:type="xsd:double"&gt;4.24857329402348&lt;/D&gt;&lt;D xsi:type="xsd:double"&gt;4.16891396826759&lt;/D&gt;&lt;D xsi:type="xsd:double"&gt;4.02003836130956&lt;/D&gt;&lt;D xsi:type="xsd:double"&gt;4.04318509565326&lt;/D&gt;&lt;D xsi:type="xsd:double"&gt;4.06509938421979&lt;/D&gt;&lt;D xsi:type="xsd:double"&gt;3.96420940690043&lt;/D&gt;&lt;D xsi:type="xsd:double"&gt;4.29790467077548&lt;/D&gt;&lt;D xsi:type="xsd:double"&gt;4.16232154472356&lt;/D&gt;&lt;D xsi:type="xsd:double"&gt;4.2072097561295&lt;/D&gt;&lt;D xsi:type="xsd:double"&gt;4.10424526837896&lt;/D&gt;&lt;D xsi:type="xsd:double"&gt;4.02082362069456&lt;/D&gt;&lt;D xsi:type="xsd:double"&gt;3.90516139854378&lt;/D&gt;&lt;D xsi:type="xsd:double"&gt;3.79539484576937&lt;/D&gt;&lt;D xsi:type="xsd:double"&gt;3.69133867957838&lt;/D&gt;&lt;D xsi:type="xsd:double"&gt;3.69958217184623&lt;/D&gt;&lt;D xsi:type="xsd:double"&gt;3.45335730951031&lt;/D&gt;&lt;D xsi:type="xsd:double"&gt;3.39516552295264&lt;/D&gt;&lt;D xsi:type="xsd:double"&gt;3.32380257398423&lt;/D&gt;&lt;D xsi:type="xsd:double"&gt;3.33908241893286&lt;/D&gt;&lt;D xsi:type="xsd:double"&gt;3.32829318074809&lt;/D&gt;&lt;D xsi:type="xsd:double"&gt;3.26119680712192&lt;/D&gt;&lt;D xsi:type="xsd:double"&gt;3.16115836461661&lt;/D&gt;&lt;D xsi:type="xsd:double"&gt;3.0614920573976&lt;/D&gt;&lt;D xsi:type="xsd:double"&gt;3.29041534704995&lt;/D&gt;&lt;D xsi:type="xsd:double"&gt;2.99315351601391&lt;/D&gt;&lt;D xsi:type="xsd:double"&gt;2.59458847527481&lt;/D&gt;&lt;D xsi:type="xsd:double"&gt;2.56753949060891&lt;/D&gt;&lt;D xsi:type="xsd:double"&gt;2.48601791303435&lt;/D&gt;&lt;D xsi:type="xsd:double"&gt;2.40710005761217&lt;/D&gt;&lt;D xsi:type="xsd:double"&gt;2.42285264645463&lt;/D&gt;&lt;D xsi:type="xsd:double"&gt;2.35745165006595&lt;/D&gt;&lt;D xsi:type="xsd:double"&gt;2.35548026964501&lt;/D&gt;&lt;D xsi:type="xsd:double"&gt;2.37329087515197&lt;/D&gt;&lt;D xsi:type="xsd:double"&gt;2.40389451621252&lt;/D&gt;&lt;D xsi:type="xsd:double"&gt;2.55864349769717&lt;/D&gt;&lt;D xsi:type="xsd:double"&gt;2.61252028697769&lt;/D&gt;&lt;D xsi:type="xsd:double"&gt;2.58053083612425&lt;/D&gt;&lt;D xsi:type="xsd:double"&gt;2.61479268133808&lt;/D&gt;&lt;D xsi:type="xsd:double"&gt;2.68127948986522&lt;/D&gt;&lt;D xsi:type="xsd:double"&gt;2.61377342419419&lt;/D&gt;&lt;D xsi:type="xsd:double"&gt;2.67839015468842&lt;/D&gt;&lt;D xsi:type="xsd:double"&gt;2.60295707600186&lt;/D&gt;&lt;D xsi:type="xsd:double"&gt;2.679694214382&lt;/D&gt;&lt;D xsi:type="xsd:double"&gt;2.68312794802182&lt;/D&gt;&lt;D xsi:type="xsd:double"&gt;2.78182117206002&lt;/D&gt;&lt;D xsi:type="xsd:double"&gt;2.82053354848459&lt;/D&gt;&lt;D xsi:type="xsd:double"&gt;2.97607356038104&lt;/D&gt;&lt;D xsi:type="xsd:double"&gt;3.08455783962233&lt;/D&gt;&lt;D xsi:type="xsd:double"&gt;3.12183613769547&lt;/D&gt;&lt;D xsi:type="xsd:double"&gt;3.22166169109288&lt;/D&gt;&lt;D xsi:type="xsd:double"&gt;3.27040182027887&lt;/D&gt;&lt;D xsi:type="xsd:double"&gt;3.32596237858118&lt;/D&gt;&lt;D xsi:type="xsd:double"&gt;3.19764550067021&lt;/D&gt;&lt;D xsi:type="xsd:double"&gt;3.18309613799441&lt;/D&gt;&lt;D xsi:type="xsd:double"&gt;3.45344474023046&lt;/D&gt;&lt;D xsi:type="xsd:double"&gt;3.38689405810595&lt;/D&gt;&lt;D xsi:type="xsd:double"&gt;3.42404910768495&lt;/D&gt;&lt;D xsi:type="xsd:double"&gt;3.41812520577267&lt;/D&gt;&lt;D xsi:type="xsd:double"&gt;3.27312822269979&lt;/D&gt;&lt;D xsi:type="xsd:double"&gt;3.43694008882196&lt;/D&gt;&lt;D xsi:type="xsd:double"&gt;3.40674019677182&lt;/D&gt;&lt;D xsi:type="xsd:double"&gt;3.49807181510528&lt;/D&gt;&lt;D xsi:type="xsd:double"&gt;3.49598244824903&lt;/D&gt;&lt;D xsi:type="xsd:double"&gt;3.4314390240269&lt;/D&gt;&lt;D xsi:type="xsd:double"&gt;3.44218672125393&lt;/D&gt;&lt;D xsi:type="xsd:double"&gt;3.40116311875821&lt;/D&gt;&lt;D xsi:type="xsd:double"&gt;3.4247252194625&lt;/D&gt;&lt;D xsi:type="xsd:double"&gt;3.46446847410753&lt;/D&gt;&lt;D xsi:type="xsd:double"&gt;3.11220345253468&lt;/D&gt;&lt;D xsi:type="xsd:double"&gt;2.98100143901958&lt;/D&gt;&lt;D xsi:type="xsd:double"&gt;2.9897573073423&lt;/D&gt;&lt;D xsi:type="xsd:double"&gt;2.75651229745694&lt;/D&gt;&lt;D xsi:type="xsd:double"&gt;2.78524724385285&lt;/D&gt;&lt;/FQL&gt;&lt;FQL&gt;&lt;Q&gt;EWA^FG_TOTAL_RETURNC(-10AY,0,AM)&lt;/Q&gt;&lt;R&gt;121&lt;/R&gt;&lt;C&gt;1&lt;/C&gt;&lt;D xsi:type="xsd:double"&gt;5.4975986&lt;/D&gt;&lt;D xsi:type="xsd:double"&gt;0.9509325&lt;/D&gt;&lt;D xsi:type="xsd:double"&gt;0.11303425&lt;/D&gt;&lt;D xsi:type="xsd:double"&gt;1.4294624&lt;/D&gt;&lt;D xsi:type="xsd:double"&gt;-1.9962311&lt;/D&gt;&lt;D xsi:type="xsd:double"&gt;0.65333843&lt;/D&gt;&lt;D xsi:type="xsd:double"&gt;-11.492938&lt;/D&gt;&lt;D xsi:type="xsd:double"&gt;8.110439&lt;/D&gt;&lt;D xsi:type="xsd:double"&gt;-9.936153&lt;/D&gt;&lt;D xsi:type="xsd:double"&gt;2.9292226&lt;/D&gt;&lt;D xsi:type="xsd:double"&gt;0.48888922&lt;/D&gt;&lt;D xsi:type="xsd:double"&gt;-0.6634295&lt;/D&gt;&lt;D xsi:type="xsd:double"&gt;4.85307&lt;/D&gt;&lt;D xsi:type="xsd:double"&gt;-4.3736696&lt;/D&gt;&lt;D xsi:type="xsd:double"&gt;-1.7761946&lt;/D&gt;&lt;D xsi:type="xsd:double"&gt;-4.1517076&lt;/D&gt;&lt;D xsi:type="xsd:double"&gt;-3.671497&lt;/D&gt;&lt;D xsi:type="xsd:double"&gt;-8.074224&lt;/D&gt;&lt;D xsi:type="xsd:double"&gt;7.146752&lt;/D&gt;&lt;D xsi:type="xsd:double"&gt;-6.6191435&lt;/D&gt;&lt;D xsi:type="xsd:double"&gt;-1.3631403&lt;/D&gt;&lt;D xsi:type="xsd:double"&gt;-3.2874346&lt;/D&gt;&lt;D xsi:type="xsd:double"&gt;-1.7626405&lt;/D&gt;&lt;D xsi:type="xsd:double"&gt;18.241632&lt;/D&gt;&lt;D xsi:type="xsd:double"&gt;-5.8674755&lt;/D&gt;&lt;D xsi:type="xsd:double"&gt;6.018269&lt;/D&gt;&lt;D xsi:type="xsd:double"&gt;-1.5205204&lt;/D&gt;&lt;D xsi:type="xsd:double"&gt;3.923285&lt;/D&gt;&lt;D xsi:type="xsd:double"&gt;5.9769034&lt;/D&gt;&lt;D xsi:type="xsd:double"&gt;-6.303316&lt;/D&gt;&lt;D xsi:type="xsd:double"&gt;4.1476965&lt;/D&gt;&lt;D xsi:type="xsd:double"&gt;-0.7770777&lt;/D&gt;&lt;D xsi:type="xsd:double"&gt;3.52422&lt;/D&gt;&lt;D xsi:type="xsd:double"&gt;4.033184&lt;/D&gt;&lt;D xsi:type="xsd:double"&gt;1.9598722&lt;/D&gt;&lt;D xsi:type="xsd:double"&gt;0.9153247&lt;/D&gt;&lt;D xsi:type="xsd:double"&gt;2.2675753&lt;/D&gt;&lt;D xsi:type="xsd:double"&gt;-3.10421&lt;/D&gt;&lt;D xsi:type="xsd:double"&gt;-1.2814701&lt;/D&gt;&lt;D xsi:type="xsd:double"&gt;2.2460938&lt;/D&gt;&lt;D xsi:type="xsd:double"&gt;3.0583858&lt;/D&gt;&lt;D xsi:type="xsd:double"&gt;3.4622312&lt;/D&gt;&lt;D xsi:type="xsd:double"&gt;-2.3468077&lt;/D&gt;&lt;D xsi:type="xsd:double"&gt;3.1152725&lt;/D&gt;&lt;D xsi:type="xsd:double"&gt;-1.9853294&lt;/D&gt;&lt;D xsi:type="xsd:double"&gt;6.207061&lt;/D&gt;&lt;D xsi:type="xsd:double"&gt;-6.032288&lt;/D&gt;&lt;D xsi:type="xsd:double"&gt;5.3797364&lt;/D&gt;&lt;D xsi:type="xsd:double"&gt;-4.290003&lt;/D&gt;&lt;D xsi:type="xsd:double"&gt;2.4204493&lt;/D&gt;&lt;D xsi:type="xsd:double"&gt;0.70022345&lt;/D&gt;&lt;D xsi:type="xsd:double"&gt;-0.39247274&lt;/D&gt;&lt;D xsi:type="xsd:double"&gt;0&lt;/D&gt;&lt;D xsi:type="xsd:double"&gt;-3.603202&lt;/D&gt;&lt;D xsi:type="xsd:double"&gt;-5.4914656&lt;/D&gt;&lt;D xsi:type="xsd:double"&gt;3.515637&lt;/D&gt;&lt;D xsi:type="xsd:double"&gt;-4.7169805&lt;/D&gt;&lt;D xsi:type="xsd:double"&gt;3.9107919&lt;/D&gt;&lt;D xsi:type="xsd:double"&gt;2.5235057&lt;/D&gt;&lt;D xsi:type="xsd:double"&gt;3.523171&lt;/D&gt;&lt;D xsi:type="xsd:double"&gt;0.93239546&lt;/D&gt;&lt;D xsi:type="xsd:double"&gt;0.27713776&lt;/D&gt;&lt;D xsi:type="xsd:double"&gt;4.0073752&lt;/D&gt;&lt;D xsi:type="xsd:double"&gt;1.9976258&lt;/D&gt;&lt;D xsi:type="xsd:double"&gt;-4.7851143&lt;/D&gt;&lt;D xsi:type="xsd:double"&gt;4.2345285&lt;/D&gt;&lt;D xsi:type="xsd:double"&gt;-1.160717&lt;/D&gt;&lt;D xsi:type="xsd:double"&gt;3.432703&lt;/D&gt;&lt;D xsi:type="xsd:double"&gt;-0.6550193&lt;/D&gt;&lt;D xsi:type="xsd:double"&gt;2.4475813&lt;/D&gt;&lt;D xsi:type="xsd:double"&gt;-0.08752942&lt;/D&gt;&lt;D xsi:type="xsd:double"&gt;-23.521687&lt;/D&gt;&lt;D xsi:type="xsd:double"&gt;-4.7537208&lt;/D&gt;&lt;D xsi:type="xsd:double"&gt;2.044499&lt;/D&gt;&lt;D xsi:type="xsd:double"&gt;11.078382&lt;/D&gt;&lt;D xsi:type="xsd:double"&gt;5.681753&lt;/D&gt;&lt;D xsi:type="xsd:double"&gt;5.094242&lt;/D&gt;&lt;D xsi:type="xsd:double"&gt;-2.326709&lt;/D&gt;&lt;D xsi:type="xsd:double"&gt;3.325057&lt;/D&gt;&lt;D xsi:type="xsd:double"&gt;7.2526455&lt;/D&gt;&lt;D xsi:type="xsd:double"&gt;6.35916&lt;/D&gt;&lt;D xsi:type="xsd:double"&gt;3.6936045&lt;/D&gt;&lt;D xsi:type="xsd:double"&gt;2.7846098&lt;/D&gt;&lt;D xsi:type="xsd:double"&gt;0.35856962&lt;/D&gt;&lt;D xsi:type="xsd:double"&gt;1.3100386&lt;/D&gt;&lt;D xsi:type="xsd:double"&gt;4.2319775&lt;/D&gt;&lt;D xsi:type="xsd:double"&gt;2.8803945&lt;/D&gt;&lt;D xsi:type="xsd:double"&gt;-3.2234132&lt;/D&gt;&lt;D xsi:type="xsd:double"&gt;1.4931083&lt;/D&gt;&lt;D xsi:type="xsd:double"&gt;-2.6782393&lt;/D&gt;&lt;D xsi:type="xsd:double"&gt;-1.2015462&lt;/D&gt;&lt;D xsi:type="xsd:double"&gt;1.3730884&lt;/D&gt;&lt;D xsi:type="xsd:double"&gt;-2.3219824&lt;/D&gt;&lt;D xsi:type="xsd:double"&gt;1.591289&lt;/D&gt;&lt;D xsi:type="xsd:double"&gt;-4.365402&lt;/D&gt;&lt;D xsi:type="xsd:double"&gt;3.0431032&lt;/D&gt;&lt;D xsi:type="xsd:double"&gt;7.7112436&lt;/D&gt;&lt;D xsi:type="xsd:double"&gt;-11.500382&lt;/D&gt;&lt;D xsi:type="xsd:double"&gt;-0.5893767&lt;/D&gt;&lt;D xsi:type="xsd:double"&gt;-7.2832823&lt;/D&gt;&lt;D xsi:type="xsd:double"&gt;11.036146&lt;/D&gt;&lt;D xsi:type="xsd:double"&gt;-2.9947937&lt;/D&gt;&lt;D xsi:type="xsd:double"&gt;-12.214762&lt;/D&gt;&lt;D xsi:type="xsd:double"&gt;16.207945&lt;/D&gt;&lt;D xsi:type="xsd:double"&gt;1.622808&lt;/D&gt;&lt;D xsi:type="xsd:double"&gt;2.697444&lt;/D&gt;&lt;D xsi:type="xsd:double"&gt;3.4674644&lt;/D&gt;&lt;D xsi:type="xsd:double"&gt;-7.9437313&lt;/D&gt;&lt;D xsi:type="xsd:double"&gt;4.494381&lt;/D&gt;&lt;D xsi:type="xsd:double"&gt;-1.1612952&lt;/D&gt;&lt;D xsi:type="xsd:double"&gt;-0.8588135&lt;/D&gt;&lt;D xsi:type="xsd:double"&gt;-0.2683401&lt;/D&gt;&lt;D xsi:type="xsd:double"&gt;-0.22421479&lt;/D&gt;&lt;D xsi:type="xsd:double"&gt;-0.89887977&lt;/D&gt;&lt;D xsi:type="xsd:double"&gt;-1.4512479&lt;/D&gt;&lt;D xsi:type="xsd:double"&gt;-1.6106784&lt;/D&gt;&lt;D xsi:type="xsd:double"&gt;6.6884995&lt;/D&gt;&lt;D xsi:type="xsd:double"&gt;5.8635473&lt;/D&gt;&lt;D xsi:type="xsd:double"&gt;-0.042265654&lt;/D&gt;&lt;D xsi:type="xsd:double"&gt;3.2135367&lt;/D&gt;&lt;D xsi:type="xsd:double"&gt;-0.24579763&lt;/D&gt;&lt;/FQL&gt;&lt;FQL&gt;&lt;Q&gt;CAGDPY@SE^EE_ACTUAL_ANNUAL(MED,0)&lt;/Q&gt;&lt;R&gt;1&lt;/R&gt;&lt;C&gt;1&lt;/C&gt;&lt;D xsi:type="xsd:double"&gt;6.76905401199225&lt;/D&gt;&lt;/FQL&gt;&lt;FQL&gt;&lt;Q&gt;SPY^FG_PRICE_MAVG(0,,,,200)&lt;/Q&gt;&lt;R&gt;1&lt;/R&gt;&lt;C&gt;1&lt;/C&gt;&lt;D xsi:type="xsd:double"&gt;464.34937&lt;/D&gt;&lt;/FQL&gt;&lt;FQL&gt;&lt;Q&gt;EWJ^FG_PRICE_MAVG(0,,,,60)&lt;/Q&gt;&lt;R&gt;1&lt;/R&gt;&lt;C&gt;1&lt;/C&gt;&lt;D xsi:type="xsd:double"&gt;68.674&lt;/D&gt;&lt;/FQL&gt;&lt;FQL&gt;&lt;Q&gt;EWU^FMA_ROE(NTMA,-20AY,NOW,FY,"PORTAGG","MEANR")&lt;/Q&gt;&lt;R&gt;20&lt;/R&gt;&lt;C&gt;1&lt;/C&gt;&lt;D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xsi:type="xsd:double"&gt;12.8710545012496&lt;/D&gt;&lt;D xsi:type="xsd:double"&gt;11.2050609808234&lt;/D&gt;&lt;D xsi:type="xsd:double"&gt;13.9227699470217&lt;/D&gt;&lt;D xsi:type="xsd:double"&gt;15.8587444123321&lt;/D&gt;&lt;D xsi:type="xsd:double"&gt;14.7205309398757&lt;/D&gt;&lt;/FQL&gt;&lt;FQL&gt;&lt;Q&gt;TRYMX10Y-FDS^FG_YIELD(-10AY,0,Y,,"YTM")&lt;/Q&gt;&lt;R&gt;10&lt;/R&gt;&lt;C&gt;1&lt;/C&gt;&lt;D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xsi:type="xsd:double"&gt;6.6087&lt;/D&gt;&lt;/FQL&gt;&lt;FQL&gt;&lt;Q&gt;USDAUD^STD(FG_PRICE_CHANGE(0,-1AY,AM))&lt;/Q&gt;&lt;R&gt;1&lt;/R&gt;&lt;C&gt;1&lt;/C&gt;&lt;D xsi:type="xsd:double"&gt;1.60515743132665&lt;/D&gt;&lt;/FQL&gt;&lt;FQL&gt;&lt;Q&gt;QQQ^FG_TOTAL_RETURNC(-10AY,0,AM)&lt;/Q&gt;&lt;R&gt;121&lt;/R&gt;&lt;C&gt;1&lt;/C&gt;&lt;D xsi:type="xsd:double"&gt;-6.556487&lt;/D&gt;&lt;D xsi:type="xsd:double"&gt;3.1981945&lt;/D&gt;&lt;D xsi:type="xsd:double"&gt;7.0161223&lt;/D&gt;&lt;D xsi:type="xsd:double"&gt;2.8375626&lt;/D&gt;&lt;D xsi:type="xsd:double"&gt;0.19943714&lt;/D&gt;&lt;D xsi:type="xsd:double"&gt;4.7454476&lt;/D&gt;&lt;D xsi:type="xsd:double"&gt;-5.3259077&lt;/D&gt;&lt;D xsi:type="xsd:double"&gt;8.301568&lt;/D&gt;&lt;D xsi:type="xsd:double"&gt;1.4861226&lt;/D&gt;&lt;D xsi:type="xsd:double"&gt;-0.7702172&lt;/D&gt;&lt;D xsi:type="xsd:double"&gt;2.1048546&lt;/D&gt;&lt;D xsi:type="xsd:double"&gt;0.31495094&lt;/D&gt;&lt;D xsi:type="xsd:double"&gt;2.7459621&lt;/D&gt;&lt;D xsi:type="xsd:double"&gt;0.48259497&lt;/D&gt;&lt;D xsi:type="xsd:double"&gt;1.2745976&lt;/D&gt;&lt;D xsi:type="xsd:double"&gt;-1.5969157&lt;/D&gt;&lt;D xsi:type="xsd:double"&gt;2.3130536&lt;/D&gt;&lt;D xsi:type="xsd:double"&gt;-4.1492643&lt;/D&gt;&lt;D xsi:type="xsd:double"&gt;1.1584044&lt;/D&gt;&lt;D xsi:type="xsd:double"&gt;6.2048197&lt;/D&gt;&lt;D xsi:type="xsd:double"&gt;-2.0770729&lt;/D&gt;&lt;D xsi:type="xsd:double"&gt;-5.537331&lt;/D&gt;&lt;D xsi:type="xsd:double"&gt;-7.4571075&lt;/D&gt;&lt;D xsi:type="xsd:double"&gt;10.2951765&lt;/D&gt;&lt;D xsi:type="xsd:double"&gt;2.2832513&lt;/D&gt;&lt;D xsi:type="xsd:double"&gt;-2.0626128&lt;/D&gt;&lt;D xsi:type="xsd:double"&gt;2.4257302&lt;/D&gt;&lt;D xsi:type="xsd:double"&gt;2.1007895&lt;/D&gt;&lt;D xsi:type="xsd:double"&gt;5.5801034&lt;/D&gt;&lt;D xsi:type="xsd:double"&gt;-2.424866&lt;/D&gt;&lt;D xsi:type="xsd:double"&gt;3.0927896&lt;/D&gt;&lt;D xsi:type="xsd:double"&gt;-1.4635742&lt;/D&gt;&lt;D xsi:type="xsd:double"&gt;3.1951666&lt;/D&gt;&lt;D xsi:type="xsd:double"&gt;3.1755924&lt;/D&gt;&lt;D xsi:type="xsd:double"&gt;3.619945&lt;/D&gt;&lt;D xsi:type="xsd:double"&gt;3.148067&lt;/D&gt;&lt;D xsi:type="xsd:double"&gt;0.25393963&lt;/D&gt;&lt;D xsi:type="xsd:double"&gt;5.2034974&lt;/D&gt;&lt;D xsi:type="xsd:double"&gt;1.222074&lt;/D&gt;&lt;D xsi:type="xsd:double"&gt;-0.392282&lt;/D&gt;&lt;D xsi:type="xsd:double"&gt;2.1934628&lt;/D&gt;&lt;D xsi:type="xsd:double"&gt;2.6530504&lt;/D&gt;&lt;D xsi:type="xsd:double"&gt;1.7103195&lt;/D&gt;&lt;D xsi:type="xsd:double"&gt;3.8097858&lt;/D&gt;&lt;D xsi:type="xsd:double"&gt;1.4445662&lt;/D&gt;&lt;D xsi:type="xsd:double"&gt;4.9577117&lt;/D&gt;&lt;D xsi:type="xsd:double"&gt;-4.403204&lt;/D&gt;&lt;D xsi:type="xsd:double"&gt;10.928893&lt;/D&gt;&lt;D xsi:type="xsd:double"&gt;-7.285017&lt;/D&gt;&lt;D xsi:type="xsd:double"&gt;5.727482&lt;/D&gt;&lt;D xsi:type="xsd:double"&gt;3.2160997&lt;/D&gt;&lt;D xsi:type="xsd:double"&gt;1.0795236&lt;/D&gt;&lt;D xsi:type="xsd:double"&gt;2.324009&lt;/D&gt;&lt;D xsi:type="xsd:double"&gt;1.4402747&lt;/D&gt;&lt;D xsi:type="xsd:double"&gt;-7.2170553&lt;/D&gt;&lt;D xsi:type="xsd:double"&gt;1.132071&lt;/D&gt;&lt;D xsi:type="xsd:double"&gt;-4.6117067&lt;/D&gt;&lt;D xsi:type="xsd:double"&gt;-1.4968574&lt;/D&gt;&lt;D xsi:type="xsd:double"&gt;4.7980547&lt;/D&gt;&lt;D xsi:type="xsd:double"&gt;3.7589073&lt;/D&gt;&lt;D xsi:type="xsd:double"&gt;6.087196&lt;/D&gt;&lt;D xsi:type="xsd:double"&gt;-0.016212463&lt;/D&gt;&lt;D xsi:type="xsd:double"&gt;-0.86486936&lt;/D&gt;&lt;D xsi:type="xsd:double"&gt;5.1499367&lt;/D&gt;&lt;D xsi:type="xsd:double"&gt;-3.0817986&lt;/D&gt;&lt;D xsi:type="xsd:double"&gt;3.185153&lt;/D&gt;&lt;D xsi:type="xsd:double"&gt;-0.48568845&lt;/D&gt;&lt;D xsi:type="xsd:double"&gt;5.154097&lt;/D&gt;&lt;D xsi:type="xsd:double"&gt;2.0003915&lt;/D&gt;&lt;D xsi:type="xsd:double"&gt;6.791854&lt;/D&gt;&lt;D xsi:type="xsd:double"&gt;6.217098&lt;/D&gt;&lt;D xsi:type="xsd:double"&gt;-15.857071&lt;/D&gt;&lt;D xsi:type="xsd:double"&gt;3.107965&lt;/D&gt;&lt;D xsi:type="xsd:double"&gt;12.949312&lt;/D&gt;&lt;D xsi:type="xsd:double"&gt;3.1515837&lt;/D&gt;&lt;D xsi:type="xsd:double"&gt;12.992001&lt;/D&gt;&lt;D xsi:type="xsd:double"&gt;0.46217442&lt;/D&gt;&lt;D xsi:type="xsd:double"&gt;1.9834876&lt;/D&gt;&lt;D xsi:type="xsd:double"&gt;5.795765&lt;/D&gt;&lt;D xsi:type="xsd:double"&gt;1.4175296&lt;/D&gt;&lt;D xsi:type="xsd:double"&gt;4.1724205&lt;/D&gt;&lt;D xsi:type="xsd:double"&gt;4.353595&lt;/D&gt;&lt;D xsi:type="xsd:double"&gt;6.411803&lt;/D&gt;&lt;D xsi:type="xsd:double"&gt;-4.943502&lt;/D&gt;&lt;D xsi:type="xsd:double"&gt;6.1273932&lt;/D&gt;&lt;D xsi:type="xsd:double"&gt;-3.5003364&lt;/D&gt;&lt;D xsi:type="xsd:double"&gt;4.8968673&lt;/D&gt;&lt;D xsi:type="xsd:double"&gt;5.915487&lt;/D&gt;&lt;D xsi:type="xsd:double"&gt;1.4403939&lt;/D&gt;&lt;D xsi:type="xsd:double"&gt;2.8344393&lt;/D&gt;&lt;D xsi:type="xsd:double"&gt;-4.725128&lt;/D&gt;&lt;D xsi:ty</t>
        </r>
      </text>
    </comment>
    <comment ref="A10" authorId="0" shapeId="0" xr:uid="{B7E76986-D646-4E6D-92B4-362A219A614A}">
      <text>
        <r>
          <rPr>
            <b/>
            <sz val="9"/>
            <color indexed="81"/>
            <rFont val="Tahoma"/>
            <charset val="1"/>
          </rPr>
          <t>pe="xsd:double"&gt;8.984625&lt;/D&gt;&lt;D xsi:type="xsd:double"&gt;1.8996954&lt;/D&gt;&lt;D xsi:type="xsd:double"&gt;-2.937609&lt;/D&gt;&lt;D xsi:type="xsd:double"&gt;-10.046137&lt;/D&gt;&lt;D xsi:type="xsd:double"&gt;-6.5291286&lt;/D&gt;&lt;D xsi:type="xsd:double"&gt;5.2134156&lt;/D&gt;&lt;D xsi:type="xsd:double"&gt;-14.388811&lt;/D&gt;&lt;D xsi:type="xsd:double"&gt;-1.0279596&lt;/D&gt;&lt;D xsi:type="xsd:double"&gt;0.25701523&lt;/D&gt;&lt;D xsi:type="xsd:double"&gt;12.122881&lt;/D&gt;&lt;D xsi:type="xsd:double"&gt;-5.2425327&lt;/D&gt;&lt;D xsi:type="xsd:double"&gt;-14.286322&lt;/D&gt;&lt;D xsi:type="xsd:double"&gt;9.594667&lt;/D&gt;&lt;D xsi:type="xsd:double"&gt;-2.0558357&lt;/D&gt;&lt;D xsi:type="xsd:double"&gt;-1.3528764&lt;/D&gt;&lt;D xsi:type="xsd:double"&gt;7.9805493&lt;/D&gt;&lt;D xsi:type="xsd:double"&gt;-3.7203968&lt;/D&gt;&lt;D xsi:type="xsd:double"&gt;9.62311&lt;/D&gt;&lt;D xsi:type="xsd:double"&gt;3.2834172&lt;/D&gt;&lt;D xsi:type="xsd:double"&gt;8.675659&lt;/D&gt;&lt;D xsi:type="xsd:double"&gt;3.9987922&lt;/D&gt;&lt;D xsi:type="xsd:double"&gt;-0.52422285&lt;/D&gt;&lt;D xsi:type="xsd:double"&gt;2.929771&lt;/D&gt;&lt;D xsi:type="xsd:double"&gt;-1.3830304&lt;/D&gt;&lt;D xsi:type="xsd:double"&gt;1.9314766&lt;/D&gt;&lt;D xsi:type="xsd:double"&gt;4.527068&lt;/D&gt;&lt;D xsi:type="xsd:double"&gt;3.756559&lt;/D&gt;&lt;D xsi:type="xsd:double"&gt;6.76682&lt;/D&gt;&lt;D xsi:type="xsd:double"&gt;0.07779598&lt;/D&gt;&lt;D xsi:type="xsd:double"&gt;1.9579291&lt;/D&gt;&lt;/FQL&gt;&lt;FQL&gt;&lt;Q&gt;EWL^FMA_DIV_YLD(NTMA,-10AY,0,AM,"PORTAGG","MEANR")&lt;/Q&gt;&lt;R&gt;121&lt;/R&gt;&lt;C&gt;1&lt;/C&gt;&lt;D xsi:type="xsd:double"&gt;3.25645073776186&lt;/D&gt;&lt;D xsi:type="xsd:double"&gt;3.20573738718015&lt;/D&gt;&lt;D xsi:type="xsd:double"&gt;3.20913940325759&lt;/D&gt;&lt;D xsi:type="xsd:double"&gt;3.36141895138386&lt;/D&gt;&lt;D xsi:type="xsd:double"&gt;3.42942384293439&lt;/D&gt;&lt;D xsi:type="xsd:double"&gt;3.28275675405744&lt;/D&gt;&lt;D xsi:type="xsd:double"&gt;3.50999395957838&lt;/D&gt;&lt;D xsi:type="xsd:double"&gt;3.29022813388774&lt;/D&gt;&lt;D xsi:type="xsd:double"&gt;3.27159136329315&lt;/D&gt;&lt;D xsi:type="xsd:double"&gt;3.29647717954121&lt;/D&gt;&lt;D xsi:type="xsd:double"&gt;3.3064586882823&lt;/D&gt;&lt;D xsi:type="xsd:double"&gt;3.18457671174765&lt;/D&gt;&lt;D xsi:type="xsd:double"&gt;3.02364388819327&lt;/D&gt;&lt;D xsi:type="xsd:double"&gt;3.11570799188276&lt;/D&gt;&lt;D xsi:type="xsd:double"&gt;3.15147902423242&lt;/D&gt;&lt;D xsi:type="xsd:double"&gt;3.18474821005041&lt;/D&gt;&lt;D xsi:type="xsd:double"&gt;3.1260975559978&lt;/D&gt;&lt;D xsi:type="xsd:double"&gt;3.35073926683314&lt;/D&gt;&lt;D xsi:type="xsd:double"&gt;3.34018456735464&lt;/D&gt;&lt;D xsi:type="xsd:double"&gt;3.26423234883833&lt;/D&gt;&lt;D xsi:type="xsd:double"&gt;3.38242276260618&lt;/D&gt;&lt;D xsi:type="xsd:double"&gt;3.51614648807459&lt;/D&gt;&lt;D xsi:type="xsd:double"&gt;3.7203992450258&lt;/D&gt;&lt;D xsi:type="xsd:double"&gt;3.46838611723425&lt;/D&gt;&lt;D xsi:type="xsd:double"&gt;3.56164380480201&lt;/D&gt;&lt;D xsi:type="xsd:double"&gt;3.53346536452848&lt;/D&gt;&lt;D xsi:type="xsd:double"&gt;3.54851094591252&lt;/D&gt;&lt;D xsi:type="xsd:double"&gt;3.52193031585186&lt;/D&gt;&lt;D xsi:type="xsd:double"&gt;3.41090464243024&lt;/D&gt;&lt;D xsi:type="xsd:double"&gt;3.4483318970418&lt;/D&gt;&lt;D xsi:type="xsd:double"&gt;3.52375364136037&lt;/D&gt;&lt;D xsi:type="xsd:double"&gt;3.63136955205799&lt;/D&gt;&lt;D xsi:type="xsd:double"&gt;3.59783374026028&lt;/D&gt;&lt;D xsi:type="xsd:double"&gt;3.48744955070643&lt;/D&gt;&lt;D xsi:type="xsd:double"&gt;3.41928802360108&lt;/D&gt;&lt;D xsi:type="xsd:double"&gt;3.34952494544337&lt;/D&gt;&lt;D xsi:type="xsd:double"&gt;3.42974005679905&lt;/D&gt;&lt;D xsi:type="xsd:double"&gt;3.31167510815375&lt;/D&gt;&lt;D xsi:type="xsd:double"&gt;3.35235274576484&lt;/D&gt;&lt;D xsi:type="xsd:double"&gt;3.32015340102662&lt;/D&gt;&lt;D xsi:type="xsd:double"&gt;3.33824926094887&lt;/D&gt;&lt;D xsi:type="xsd:double"&gt;3.28792797326389&lt;/D&gt;&lt;D xsi:type="xsd:double"&gt;3.23649001737837&lt;/D&gt;&lt;D xsi:type="xsd:double"&gt;3.28859251217393&lt;/D&gt;&lt;D xsi:type="xsd:double"&gt;3.24339272891985&lt;/D&gt;&lt;D xsi:type="xsd:double"&gt;3.17887785291999&lt;/D&gt;&lt;D xsi:type="xsd:double"&gt;3.46585499246936&lt;/D&gt;&lt;D xsi:type="xsd:double"&gt;3.41710619370605&lt;/D&gt;&lt;D xsi:type="xsd:double"&gt;3.50509980822064&lt;/D&gt;&lt;D xsi:type="xsd:double"&gt;3.42151360552011&lt;/D&gt;&lt;D xsi:type="xsd:double"&gt;3.54243139952615&lt;/D&gt;&lt;D xsi:type="xsd:double"&gt;3.52230253861212&lt;/D&gt;&lt;D xsi:type="xsd:double"&gt;3.42229033877822&lt;/D&gt;&lt;D xsi:type="xsd:double"&gt;3.44245796067306&lt;/D&gt;&lt;D xsi:type="xsd:double"&gt;3.63628464490984&lt;/D&gt;&lt;D xsi:type="xsd:double"&gt;3.49377293801998&lt;/D&gt;&lt;D xsi:type="xsd:double"&gt;3.64687563804013&lt;/D&gt;&lt;D xsi:type="xsd:double"&gt;3.53945959907157&lt;/D&gt;&lt;D xsi:type="xsd:double"&gt;3.44863266613664&lt;/D&gt;&lt;D xsi:type="xsd:double"&gt;3.37677642794637&lt;/D&gt;&lt;D xsi:type="xsd:double"&gt;3.26342900743091&lt;/D&gt;&lt;D xsi:type="xsd:double"&gt;3.34472369712065&lt;/D&gt;&lt;D xsi:type="xsd:double"&gt;3.24276941433371&lt;/D&gt;&lt;D xsi:type="xsd:double"&gt;3.24227311944791&lt;/D&gt;&lt;D xsi:type="xsd:double"&gt;3.26597630324671&lt;/D&gt;&lt;D xsi:type="xsd:double"&gt;3.17832935577873&lt;/D&gt;&lt;D xsi:type="xsd:double"&gt;3.21834761065463&lt;/D&gt;&lt;D xsi:type="xsd:double"&gt;3.13606648744439&lt;/D&gt;&lt;D xsi:type="xsd:double"&gt;3.11555240706046&lt;/D&gt;&lt;D xsi:type="xsd:double"&gt;3.03730209591307&lt;/D&gt;&lt;D xsi:type="xsd:double"&gt;2.93691965278268&lt;/D&gt;&lt;D xsi:type="xsd:double"&gt;3.51126070240072&lt;/D&gt;&lt;D xsi:type="xsd:double"&gt;3.40426873881295&lt;/D&gt;&lt;D xsi:type="xsd:double"&gt;3.25497586813558&lt;/D&gt;&lt;D xsi:type="xsd:double"&gt;3.14927955498111&lt;/D&gt;&lt;D xsi:type="xsd:double"&gt;3.01515028164076&lt;/D&gt;&lt;D xsi:type="xsd:double"&gt;2.96320764269307&lt;/D&gt;&lt;D xsi:type="xsd:double"&gt;2.89918818250058&lt;/D&gt;&lt;D xsi:type="xsd:double"&gt;2.92820217511433&lt;/D&gt;&lt;D xsi:type="xsd:double"&gt;2.88595452103352&lt;/D&gt;&lt;D xsi:type="xsd:double"&gt;2.91314693158768&lt;/D&gt;&lt;D xsi:type="xsd:double"&gt;2.81253769076978&lt;/D&gt;&lt;D xsi:type="xsd:double"&gt;2.81197636330235&lt;/D&gt;&lt;D xsi:type="xsd:double"&gt;2.83673878756903&lt;/D&gt;&lt;D xsi:type="xsd:double"&gt;2.73982619625331&lt;/D&gt;&lt;D xsi:type="xsd:double"&gt;2.79811476974512&lt;/D&gt;&lt;D xsi:type="xsd:double"&gt;2.62238803454712&lt;/D&gt;&lt;D xsi:type="xsd:double"&gt;2.62181296983851&lt;/D&gt;&lt;D xsi:type="xsd:double"&gt;2.56536114017582&lt;/D&gt;&lt;D xsi:type="xsd:double"&gt;2.63048266176908&lt;/D&gt;&lt;D xsi:type="xsd:double"&gt;2.74099051944376&lt;/D&gt;&lt;D xsi:type="xsd:double"&gt;2.58642559360421&lt;/D&gt;&lt;D xsi:type="xsd:double"&gt;2.58037771107837&lt;/D&gt;&lt;D xsi:type="xsd:double"&gt;2.59566494364373&lt;/D&gt;&lt;D xsi:type="xsd:double"&gt;2.74675653096951&lt;/D&gt;&lt;D xsi:type="xsd:double"&gt;2.9374052576004&lt;/D&gt;&lt;D xsi:type="xsd:double"&gt;2.73078246108816&lt;/D&gt;&lt;D xsi:type="xsd:double"&gt;3.00440997016962&lt;/D&gt;&lt;D xsi:type="xsd:double"&gt;3.12948282029368&lt;/D&gt;&lt;D xsi:type="xsd:double"&gt;3.1457206823454&lt;/D&gt;&lt;D xsi:type="xsd:double"&gt;3.0482406692266&lt;/D&gt;&lt;D xsi:type="xsd:double"&gt;3.17956822260662&lt;/D&gt;&lt;D xsi:type="xsd:double"&gt;3.46304179851524&lt;/D&gt;&lt;D xsi:type="xsd:double"&gt;3.09084637929833&lt;/D&gt;&lt;D xsi:type="xsd:double"&gt;3.12580928768783&lt;/D&gt;&lt;D xsi:type="xsd:double"&gt;3.08543201342941&lt;/D&gt;&lt;D xsi:type="xsd:double"&gt;3.09347390411903&lt;/D&gt;&lt;D xsi:type="xsd:double"&gt;3.2472078659382&lt;/D&gt;&lt;D xsi:type="xsd:double"&gt;3.12322919726034&lt;/D&gt;&lt;D xsi:type="xsd:double"&gt;3.06576245123308&lt;/D&gt;&lt;D xsi:type="xsd:double"&gt;3.17702424271992&lt;/D&gt;&lt;D xsi:type="xsd:double"&gt;3.23668859594048&lt;/D&gt;&lt;D xsi:type="xsd:double"&gt;3.21438808986146&lt;/D&gt;&lt;D xsi:type="xsd:double"&gt;3.29367558488424&lt;/D&gt;&lt;D xsi:type="xsd:double"&gt;3.32168327634649&lt;/D&gt;&lt;D xsi:type="xsd:double"&gt;3.49294969427173&lt;/D&gt;&lt;D xsi:type="xsd:double"&gt;3.31921359630495&lt;/D&gt;&lt;D xsi:type="xsd:double"&gt;3.30241877387652&lt;/D&gt;&lt;D xsi:type="xsd:double"&gt;3.39972313805923&lt;/D&gt;&lt;D xsi:type="xsd:double"&gt;3.240879334807&lt;/D&gt;&lt;D xsi:type="xsd:double"&gt;3.31166867094435&lt;/D&gt;&lt;/FQL&gt;&lt;FQL&gt;&lt;Q&gt;EWG^FMA_PE(NTMA,-10AY,0,AM,"PORTAGG","MEANR")&lt;/Q&gt;&lt;R&gt;121&lt;/R&gt;&lt;C&gt;1&lt;/C&gt;&lt;D xsi:type="xsd:double"&gt;12.7080869894138&lt;/D&gt;&lt;D xsi:type="xsd:double"&gt;12.9818036726908&lt;/D&gt;&lt;D xsi:type="xsd:double"&gt;13.3291179827119&lt;/D&gt;&lt;D xsi:type="xsd:double"&gt;12.842789239977&lt;/D&gt;&lt;D xsi:type="xsd:double"&gt;12.2608350206265&lt;/D&gt;&lt;D xsi:type="xsd:double"&gt;12.8097101702167&lt;/D&gt;&lt;D xsi:type="xsd:double"&gt;11.6096709554332&lt;/D&gt;&lt;D xsi:type="xsd:double"&gt;12.3510125423259&lt;/D&gt;&lt;D xsi:type="xsd:double"&gt;12.949184231844&lt;/D&gt;&lt;D xsi:type="xsd:double"&gt;12.6855910791261&lt;/D&gt;&lt;D xsi:type="xsd:double"&gt;14.0071864268729&lt;/D&gt;&lt;D xsi:type="xsd:double"&gt;15.3035799927152&lt;/D&gt;&lt;D xsi:type="xsd:double"&gt;15.90603691566&lt;/D&gt;&lt;D xsi:type="xsd:double"&gt;14.5938137322233&lt;/D&gt;&lt;D xsi:type="xsd:double"&gt;13.9054443079359&lt;/D&gt;&lt;D xsi:type="xsd:double"&gt;13.7483321944471&lt;/D&gt;&lt;D xsi:type="xsd:double"&gt;13.6326400157879&lt;/D&gt;&lt;D xsi:type="xsd:double"&gt;12.2720804956214&lt;/D&gt;&lt;D xsi:type="xsd:double"&gt;12.4114362948476&lt;/D&gt;&lt;D xsi:type="xsd:double"&gt;13.5167808945896&lt;/D&gt;&lt;D xsi:type="xsd:double"&gt;12.9023751221756&lt;/D&gt;&lt;D xsi:type="xsd:double"&gt;12.1618266601024&lt;/D&gt;&lt;D xsi:type="xsd:double"&gt;11.100026615974&lt;/D&gt;&lt;D xsi:type="xsd:double"&gt;12.5412986546212&lt;/D&gt;&lt;D xsi:type="xsd:double"&gt;12.3505982643843&lt;/D&gt;&lt;D xsi:type="xsd:double"&gt;12.5265451761279&lt;/D&gt;&lt;D xsi:type="xsd:double"&gt;12.1514418532897&lt;/D&gt;&lt;D xsi:type="xsd:double"&gt;12.1485847516313&lt;/D&gt;&lt;D xsi:type="xsd:double"&gt;13.2010690973247&lt;/D&gt;&lt;D xsi:type="xsd:double"&gt;12.9826707681633&lt;/D&gt;&lt;D xsi:type="xsd:double"&gt;12.9232060016651&lt;/D&gt;&lt;D xsi:type="xsd:double"&gt;12.8149234703325&lt;/D&gt;&lt;D xsi:type="xsd:double"&gt;13.3932021891696&lt;/D&gt;&lt;D xsi:type="xsd:double"&gt;13.7984669251419&lt;/D&gt;&lt;D xsi:type="xsd:double"&gt;13.6297623685621&lt;/D&gt;&lt;D xsi:type="xsd:double"&gt;13.8574938465021&lt;/D&gt;&lt;D xsi:type="xsd:double"&gt;13.8427464364956&lt;/D&gt;&lt;D xsi:type="xsd:double"&gt;14.011767657901&lt;/D&gt;&lt;D xsi:type="xsd:double"&gt;13.8798517892156&lt;/D&gt;&lt;D xsi:type="xsd:double"&gt;13.4055200915825&lt;/D&gt;&lt;D xsi:type="xsd:double"&gt;12.9152603873323&lt;/D&gt;&lt;D xsi:type="xsd:double"&gt;13.3220218438137&lt;/D&gt;&lt;D xsi:type="xsd:double"&gt;13.7964138199584&lt;/D&gt;&lt;D xsi:type="xsd:double"&gt;13.9711759856291&lt;/D&gt;&lt;D xsi:type="xsd:double"&gt;13.980524004807&lt;/D&gt;&lt;D xsi:type="xsd:double"&gt;13.9948531093446&lt;/D&gt;&lt;D xsi:type="xsd:double"&gt;12.8299170612557&lt;/D&gt;&lt;D xsi:type="xsd:double"&gt;13.0889529675841&lt;/D&gt;&lt;D xsi:type="xsd:double"&gt;12.9342811795088&lt;/D&gt;&lt;D xsi:type="xsd:double"&gt;13.4341788607517&lt;/D&gt;&lt;D xsi:type="xsd:double"&gt;13.2933333278259&lt;/D&gt;&lt;D xsi:type="xsd:double"&gt;12.8634241458736&lt;/D&gt;&lt;D xsi:type="xsd:double"&gt;12.8581373553285&lt;/D&gt;&lt;D xsi:type="xsd:double"&gt;12.4324186081555&lt;/D&gt;&lt;D xsi:type="xsd:double"&gt;11.8814087807551&lt;/D&gt;&lt;D xsi:type="xsd:double"&gt;11.8044807401602&lt;/D&gt;&lt;D xsi:type="xsd:double"&gt;11.1793499057058&lt;/D&gt;&lt;D xsi:type="xsd:double"&gt;11.3205128750578&lt;/D&gt;&lt;D xsi:type="xsd:double"&gt;11.6236316067155&lt;/D&gt;&lt;D xsi:type="xsd:double"&gt;12.1782239728969&lt;/D&gt;&lt;D xsi:type="xsd:double"&gt;12.5848991666603&lt;/D&gt;&lt;D xsi:type="xsd:double"&gt;12.5783091446634&lt;/D&gt;&lt;D xsi:type="xsd:double"&gt;12.4397800289799&lt;/D&gt;&lt;D xsi:type="xsd:double"&gt;12.8250601798765&lt;/D&gt;&lt;D xsi:type="xsd:double"&gt;12.3727481152197&lt;/D&gt;&lt;D xsi:type="xsd:double"&gt;13.0750316134367&lt;/D&gt;&lt;D xsi:type="xsd:double"&gt;13.1175008100439&lt;/D&gt;&lt;D xsi:type="xsd:double"&gt;13.8728768692879&lt;/D&gt;&lt;D xsi:type="xsd:double"&gt;13.9866212019194&lt;/D&gt;&lt;D xsi:type="xsd:double"&gt;14.3552463604081&lt;/D&gt;&lt;D xsi:type="xsd:double"&gt;14.4494952997756&lt;/D&gt;&lt;D xsi:type="xsd:double"&gt;11.2420323231631&lt;/D&gt;&lt;D xsi:type="xsd:double"&gt;13.5012910233363&lt;/D&gt;&lt;D xsi:type="xsd:double"&gt;15.2945283110361&lt;/D&gt;&lt;D xsi:type="xsd:double"&gt;17.3699323788362&lt;/D&gt;&lt;D xsi:type="xsd:double"&gt;18.3088966874919&lt;/D&gt;&lt;D xsi:type="xsd:double"&gt;18.0863135379725&lt;/D&gt;&lt;D xsi:type="xsd:double"&gt;17.7495474140123&lt;/D&gt;&lt;D xsi:type="xsd:double"&gt;16.9524946131353&lt;/D&gt;&lt;D xsi:type="xsd:double"&gt;16.1626974935709&lt;/D&gt;&lt;D xsi:type="xsd:double"&gt;15.7103252375938&lt;/D&gt;&lt;D xsi:type="xsd:double"&gt;16.1759947742144&lt;/D&gt;&lt;D xsi:type="xsd:double"&gt;15.873965354587&lt;/D&gt;&lt;D xsi:type="xsd:double"&gt;15.9797532998646&lt;/D&gt;&lt;D xsi:type="xsd:double"&gt;16.2407683184531&lt;/D&gt;&lt;D xsi:type="xsd:double"&gt;14.7275098968174&lt;/D&gt;&lt;D xsi:type="xsd:double"&gt;15.0181175056891&lt;/D&gt;&lt;D xsi:type="xsd:double"&gt;14.7021255947833&lt;/D&gt;&lt;D xsi:type="xsd:double"&gt;14.3061093032758&lt;/D&gt;&lt;D xsi:type="xsd:double"&gt;14.0267827001612&lt;/D&gt;&lt;D xsi:type="xsd:double"&gt;13.4696918437782&lt;/D&gt;&lt;D xsi:type="xsd:double"&gt;13.7916031509668&lt;/D&gt;&lt;D xsi:type="xsd:double"&gt;13.2988018746995&lt;/D&gt;&lt;D xsi:type="xsd:double"&gt;13.3637051163303&lt;/D&gt;&lt;D xsi:type="xsd:double"&gt;12.8247843396248&lt;/D&gt;&lt;D xsi:type="xsd:double"&gt;11.0768216830063&lt;/D&gt;&lt;D xsi:type="xsd:double"&gt;11.3944410273126&lt;/D&gt;&lt;D xsi:type="xsd:double"&gt;10.6817189736856&lt;/D&gt;&lt;D xsi:type="xsd:double"&gt;10.4899894503914&lt;/D&gt;&lt;D xsi:type="xsd:double"&gt;9.80143684537155&lt;/D&gt;&lt;D xsi:type="xsd:double"&gt;10.2843869331814&lt;/D&gt;&lt;D xsi:type="xsd:double"&gt;9.81140267603935&lt;/D&gt;&lt;D xsi:type="xsd:double"&gt;9.04783161802704&lt;/D&gt;&lt;D xsi:type="xsd:double"&gt;10.7045186634338&lt;/D&gt;&lt;D xsi:type="xsd:double"&gt;10.7050565738744&lt;/D&gt;&lt;D xsi:type="xsd:double"&gt;11.3023587548117&lt;/D&gt;&lt;D xsi:type="xsd:double"&gt;11.6376743965391&lt;/D&gt;&lt;D xsi:type="xsd:double"&gt;11.4716974481646&lt;/D&gt;&lt;D xsi:type="xsd:double"&gt;11.3588256307445&lt;/D&gt;&lt;D xsi:type="xsd:double"&gt;11.0549086577935&lt;/D&gt;&lt;D xsi:type="xsd:double"&gt;10.7652139496237&lt;/D&gt;&lt;D xsi:type="xsd:double"&gt;10.5586118855319&lt;/D&gt;&lt;D xsi:type="xsd:double"&gt;10.6332864898923&lt;/D&gt;&lt;D xsi:type="xsd:double"&gt;10.5947165556053&lt;/D&gt;&lt;D xsi:type="xsd:double"&gt;10.3373563969331&lt;/D&gt;&lt;D xsi:type="xsd:double"&gt;10.2506047215065&lt;/D&gt;&lt;D xsi:type="xsd:double"&gt;11.2574249399136&lt;/D&gt;&lt;D xsi:type="xsd:double"&gt;11.0098027773176&lt;/D&gt;&lt;D xsi:type="xsd:double"&gt;11.5187082279242&lt;/D&gt;&lt;D xsi:type="xsd:double"&gt;12.0583449631651&lt;/D&gt;&lt;D xsi:type="xsd:double"&gt;12.2531156877155&lt;/D&gt;&lt;/FQL&gt;&lt;FQL&gt;&lt;Q&gt;WL-FDS^FG_PRICE_CHANGE(0,-1AM)&lt;/Q&gt;&lt;R&gt;1&lt;/R&gt;&lt;C&gt;1&lt;/C&gt;&lt;D xsi:type="xsd:double"&gt;1.7825311942959&lt;/D&gt;&lt;/FQL&gt;&lt;FQL&gt;&lt;Q&gt;NI-FDS^FG_PRICE_CHANGE(0,-1AM)&lt;/Q&gt;&lt;R&gt;1&lt;/R&gt;&lt;C&gt;1&lt;/C&gt;&lt;D xsi:type="xsd:double"&gt;-1.08877721943048&lt;/D&gt;&lt;/FQL&gt;&lt;FQL&gt;&lt;Q&gt;BRENT-FDS^FG_PRICE_CHANGE(0,-1AM)&lt;/Q&gt;&lt;R&gt;1&lt;/R&gt;&lt;C&gt;1&lt;/C&gt;&lt;D xsi:type="xsd:double"&gt;0&lt;/D&gt;&lt;/FQL&gt;&lt;FQL&gt;&lt;Q&gt;EWC^FG_PRICE_MAVG(0,,,,60)&lt;/Q&gt;&lt;R&gt;1&lt;/R&gt;&lt;C&gt;1&lt;/C&gt;&lt;D xsi:type="xsd:double"&gt;37.077168&lt;/D&gt;&lt;/FQL&gt;&lt;FQL&gt;&lt;Q&gt;PLATI-FDS^MAX(FG_PRICE(0,-5AY))&lt;/Q&gt;&lt;R&gt;1&lt;/R&gt;&lt;C&gt;1&lt;/C&gt;&lt;D xsi:type="xsd:double"&gt;1272.59&lt;/D&gt;&lt;/FQL&gt;&lt;FQL&gt;&lt;Q&gt;EWA^FMA_ROE(NTMA,-20AY,NOW,FY,"PORTAGG","MEANR")&lt;/Q&gt;&lt;R&gt;20&lt;/R&gt;&lt;C&gt;1&lt;/C&gt;&lt;D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xsi:type="xsd:double"&gt;14.6580605840091&lt;/D&gt;&lt;D xsi:type="xsd:double"&gt;13.2261379950135&lt;/D&gt;&lt;/FQL&gt;&lt;FQL&gt;&lt;Q&gt;SPY^FG_PRICE_MAVG(0,,,,60)&lt;/Q&gt;&lt;R&gt;1&lt;/R&gt;&lt;C&gt;1&lt;/C&gt;&lt;D xsi:type="xsd:double"&gt;505.0265&lt;/D&gt;&lt;/FQL&gt;&lt;FQL&gt;&lt;Q&gt;CAGDPY@GB^EE_ACTUAL_ANNUAL(MED,+1)&lt;/Q&gt;&lt;R&gt;1&lt;/R&gt;&lt;C&gt;1&lt;/C&gt;&lt;D xsi:type="xsd:double"&gt;-3&lt;/D&gt;&lt;/FQL&gt;&lt;FQL&gt;&lt;Q&gt;CC_GB^FG_COMPANY_NAME&lt;/Q&gt;&lt;R&gt;1&lt;/R&gt;&lt;C&gt;1&lt;/C&gt;&lt;D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xsi:type="xsd:double"&gt;2.78028565973016&lt;/D&gt;&lt;/FQL&gt;&lt;FQL&gt;&lt;Q&gt;USDCHF^STD(FG_PRICE_CHANGE(0,-1AY,AM))&lt;/Q&gt;&lt;R&gt;1&lt;/R&gt;&lt;C&gt;1&lt;/C&gt;&lt;D xsi:type="xsd:double"&gt;2.02451525778796&lt;/D&gt;&lt;/FQL&gt;&lt;FQL&gt;&lt;Q&gt;USDUSD^STD(FG_PRICE_CHANGE(0,-1AY,AM))&lt;/Q&gt;&lt;R&gt;1&lt;/R&gt;&lt;C&gt;1&lt;/C&gt;&lt;D xsi:type="xsd:double"&gt;0&lt;/D&gt;&lt;/FQL&gt;&lt;FQL&gt;&lt;Q&gt;USDEUR^STD(FG_PRICE_CHANGE(0,-1AY,AM))&lt;/Q&gt;&lt;R&gt;1&lt;/R&gt;&lt;C&gt;1&lt;/C&gt;&lt;D xsi:type="xsd:double"&gt;1.55531215144208&lt;/D&gt;&lt;/FQL&gt;&lt;FQL&gt;&lt;Q&gt;EWD^FMA_EPS(NTMA,-20AY,0,CY,,"PORTAGG","MEANR")&lt;/Q&gt;&lt;R&gt;20&lt;/R&gt;&lt;C&gt;1&lt;/C&gt;&lt;D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xsi:type="xsd:double"&gt;2.04500090501156&lt;/D&gt;&lt;D xsi:type="xsd:double"&gt;2.21381527791346&lt;/D&gt;&lt;D xsi:type="xsd:double"&gt;2.48981565223205&lt;/D&gt;&lt;D xsi:type="xsd:double"&gt;2.56419574346244&lt;/D&gt;&lt;D xsi:type="xsd:double"&gt;2.51009258700133&lt;/D&gt;&lt;/FQL&gt;&lt;FQL&gt;&lt;Q&gt;EWQ^P_PRICE_RETURNS_PR('52W',2,-10AY,0,AM)&lt;/Q&gt;&lt;R&gt;121&lt;/R&gt;&lt;C&gt;1&lt;/C&gt;&lt;D xsi:type="xsd:double"&gt;25.193607&lt;/D&gt;&lt;D xsi:type="xsd:double"&gt;23.2633&lt;/D&gt;&lt;D xsi:type="xsd:double"&gt;25.08558&lt;/D&gt;&lt;D xsi:type="xsd:double"&gt;18.745577&lt;/D&gt;&lt;D xsi:type="xsd:double"&gt;5.0943255&lt;/D&gt;&lt;D xsi:type="xsd:double"&gt;7.0653915&lt;/D&gt;&lt;D xsi:type="xsd:double"&gt;-8.188361&lt;/D&gt;&lt;D xsi:type="xsd:double"&gt;-5.2805543&lt;/D&gt;&lt;D xsi:type="xsd:double"&gt;-4.805541&lt;/D&gt;&lt;D xsi:type="xsd:double"&gt;-11.251509&lt;/D&gt;&lt;D xsi:type="xsd:double"&gt;-6.459981&lt;/D&gt;&lt;D xsi:type="xsd:double"&gt;-9.807986&lt;/D&gt;&lt;D xsi:type="xsd:double"&gt;-5.641806&lt;/D&gt;&lt;D xsi:type="xsd:double"&gt;-6.37899&lt;/D&gt;&lt;D xsi:type="xsd:double"&gt;-6.620753&lt;/D&gt;&lt;D xsi:type="xsd:double"&gt;-4.019189&lt;/D&gt;&lt;D xsi:type="xsd:double"&gt;3.474331&lt;/D&gt;&lt;D xsi:type="xsd:double"&gt;-6.918204&lt;/D&gt;&lt;D xsi:type="xsd:double"&gt;6.060374&lt;/D&gt;&lt;D xsi:type="xsd:double"&gt;2.6153088&lt;/D&gt;&lt;D xsi:type="xsd:double"&gt;-1.6541004&lt;/D&gt;&lt;D xsi:type="xsd:double"&gt;-2.603215&lt;/D&gt;&lt;D xsi:type="xsd:double"&gt;-13.221961&lt;/D&gt;&lt;D xsi:type="xsd:double"&gt;-2.125913&lt;/D&gt;&lt;D xsi:type="xsd:double"&gt;-9.346747&lt;/D&gt;&lt;D xsi:type="xsd:double"&gt;-8.539618&lt;/D&gt;&lt;D xsi:type="xsd:double"&gt;-10.406274&lt;/D&gt;&lt;D xsi:type="xsd:double"&gt;-11.550313&lt;/D&gt;&lt;D xsi:type="xsd:double"&gt;-8.04016&lt;/D&gt;&lt;D xsi:type="xsd:double"&gt;0.49573183&lt;/D&gt;&lt;D xsi:type="xsd:double"&gt;-4.6572866&lt;/D&gt;&lt;D xsi:type="xsd:double"&gt;-4.5268774&lt;/D&gt;&lt;D xsi:type="xsd:double"&gt;2.5731921&lt;/D&gt;&lt;D xsi:type="xsd:double"&gt;13.214552&lt;/D&gt;&lt;D xsi:type="xsd:double"&gt;16.234982&lt;/D&gt;&lt;D xsi:type="xsd:double"&gt;12.591446&lt;/D&gt;&lt;D xsi:type="xsd:double"&gt;14.082241&lt;/D&gt;&lt;D xsi:type="xsd:double"&gt;21.353043&lt;/D&gt;&lt;D xsi:type="xsd:double"&gt;22.35366&lt;/D&gt;&lt;D xsi:type="xsd:double"&gt;30.126667&lt;/D&gt;&lt;D xsi:type="xsd:double"&gt;23.501469&lt;/D&gt;&lt;D xsi:type="xsd:double"&gt;28.558815&lt;/D&gt;&lt;D xsi:type="xsd:double"&gt;33.824886&lt;/D&gt;&lt;D xsi:type="xsd:double"&gt;31.355953&lt;/D&gt;&lt;D xsi:type="xsd:double"&gt;30.584085&lt;/D&gt;&lt;D xsi:type="xsd:double"&gt;31.879091&lt;/D&gt;&lt;D xsi:type="xsd:double"&gt;25.613749&lt;/D&gt;&lt;D xsi:type="xsd:double"&gt;28.06828&lt;/D&gt;&lt;D xsi:type="xsd:double"&gt;24.515211&lt;/D&gt;&lt;D xsi:type="xsd:double"&gt;16.838657&lt;/D&gt;&lt;D xsi:type="xsd:double"&gt;12.908781&lt;/D&gt;&lt;D xsi:type="xsd:double"&gt;9.445488&lt;/D&gt;&lt;D xsi:type="xsd:double"&gt;6.2048435&lt;/D&gt;&lt;D xsi:type="xsd:double"&gt;2.3993373&lt;/D&gt;&lt;D xsi:type="xsd:double"&gt;-4.457903&lt;/D&gt;&lt;D xsi:type="xsd:double"&gt;-4.584712&lt;/D&gt;&lt;D xsi:type="xsd:double"&gt;-11.719054&lt;/D&gt;&lt;D xsi:type="xsd:double"&gt;-14.339071&lt;/D&gt;&lt;D xsi:type="xsd:double"&gt;-7.232845&lt;/D&gt;&lt;D xsi:type="xsd:double"&gt;-6.453043&lt;/D&gt;&lt;D xsi:type="xsd:double"&gt;-3.378588&lt;/D&gt;&lt;D xsi:type="xsd:double"&gt;-6.352818&lt;/D&gt;&lt;D xsi:type="xsd:double"&gt;-3.5615504&lt;/D&gt;&lt;D xsi:type="xsd:double"&gt;1.5186667&lt;/D&gt;&lt;D xsi:type="xsd:double"&gt;-3.6295772&lt;/D&gt;&lt;D xsi:type="xsd:double"&gt;2.1722078&lt;/D&gt;&lt;D xsi:type="xsd:double"&gt;7.264042&lt;/D&gt;&lt;D xsi:type="xsd:double"&gt;13.859547&lt;/D&gt;&lt;D xsi:type="xsd:double"&gt;21.401775&lt;/D&gt;&lt;D xsi:type="xsd:double"&gt;22.237814&lt;/D&gt;&lt;D xsi:type="xsd:double"&gt;19.67845&lt;/D&gt;&lt;D xsi:type="xsd:double"&gt;-11.173618&lt;/D&gt;&lt;D xsi:type="xsd:double"&gt;-16.645605&lt;/D&gt;&lt;D xsi:type="xsd:double"&gt;-17.190248&lt;/D&gt;&lt;D xsi:type="xsd:double"&gt;-11.07586&lt;/D&gt;&lt;D xsi:type="xsd:double"&gt;-7.963562&lt;/D&gt;&lt;D xsi:type="xsd:double"&gt;-0.09654164&lt;/D&gt;&lt;D xsi:type="xsd:double"&gt;-1.7392039&lt;/D&gt;&lt;D xsi:type="xsd:double"&gt;-0.4329145&lt;/D&gt;&lt;D xsi:type="xsd:double"&gt;0.99487305&lt;/D&gt;&lt;D xsi:type="xsd:double"&gt;5.1525354&lt;/D&gt;&lt;D xsi:type="xsd:double"&gt;5.411589&lt;/D&gt;&lt;D xsi:type="xsd:double"&gt;6.279528&lt;/D&gt;&lt;D xsi:type="xsd:double"&gt;41.965042&lt;/D&gt;&lt;D xsi:type="xsd:double"&gt;49.79892&lt;/D&gt;&lt;D xsi:type="xsd:double"&gt;57.025826&lt;/D&gt;&lt;D xsi:type="xsd:double"&gt;51.161755&lt;/D&gt;&lt;D xsi:type="xsd:double"&gt;39.72875&lt;/D&gt;&lt;D xsi:type="xsd:double"&gt;37.45166&lt;/D&gt;&lt;D xsi:type="xsd:double"&gt;34.803783&lt;/D&gt;&lt;D xsi:type="xsd:double"&gt;30.436575&lt;/D&gt;&lt;D xsi:type="xsd:double"&gt;27.589691&lt;/D&gt;&lt;D xsi:type="xsd:double"&gt;19.113613&lt;/D&gt;&lt;D xsi:type="xsd:double"&gt;20.773565&lt;/D&gt;&lt;D xsi:type="xsd:double"&gt;14.217067&lt;/D&gt;&lt;D xsi:type="xsd:double"&gt;-4.5960546&lt;/D&gt;&lt;D xsi:type="xsd:double"&gt;-1.6381562&lt;/D&gt;&lt;D xsi:type="xsd:double"&gt;-12.189781&lt;/D&gt;&lt;D xsi:type="xsd:double"&gt;-14.872372&lt;/D&gt;&lt;D xsi:type="xsd:double"&gt;-18.92851&lt;/D&gt;&lt;D xsi:type="xsd:double"&gt;-12.59026&lt;/D&gt;&lt;D xsi:type="xsd:double"&gt;-17.54331&lt;/D&gt;&lt;D xsi:type="xsd:double"&gt;-23.329317&lt;/D&gt;&lt;D xsi:type="xsd:double"&gt;-12.714994&lt;/D&gt;&lt;D xsi:type="xsd:double"&gt;-8.508194&lt;/D&gt;&lt;D xsi:type="xsd:double"&gt;-6.355542&lt;/D&gt;&lt;D xsi:type="xsd:double"&gt;-2.363956&lt;/D&gt;&lt;D xsi:type="xsd:double"&gt;13.574446&lt;/D&gt;&lt;D xsi:type="xsd:double"&gt;15.983009&lt;/D&gt;&lt;D xsi:type="xsd:double"&gt;26.966095&lt;/D&gt;&lt;D xsi:type="xsd:double"&gt;17.667925&lt;/D&gt;&lt;D xsi:type="xsd:double"&gt;34.251045&lt;/D&gt;&lt;D xsi:type="xsd:double"&gt;20.992172&lt;/D&gt;&lt;D xsi:type="xsd:double"&gt;26.08397&lt;/D&gt;&lt;D xsi:type="xsd:double"&gt;35.55459&lt;/D&gt;&lt;D xsi:type="xsd:double"&gt;13.845646&lt;/D&gt;&lt;D xsi:type="xsd:double"&gt;17.03124&lt;/D&gt;&lt;D xsi:type="xsd:double"&gt;10.364819&lt;/D&gt;&lt;D xsi:type="xsd:double"&gt;8.98918&lt;/D&gt;&lt;D xsi:type="xsd:double"&gt;16.893375&lt;/D&gt;&lt;D xsi:type="xsd:double"&gt;8.183325&lt;/D&gt;&lt;/FQL&gt;&lt;FQL&gt;&lt;Q&gt;EWA^FMA_PE(LTMA,-10AY,0,AM,"PORTAGG","MEANR")&lt;/Q&gt;&lt;R&gt;121&lt;/R&gt;&lt;C&gt;1&lt;/C&gt;&lt;D xsi:type="xsd:double"&gt;15.2986413278699&lt;/D&gt;&lt;D xsi:type="xsd:double"&gt;15.2140957094035&lt;/D&gt;&lt;D xsi:type="xsd:double"&gt;15.1811394463597&lt;/D&gt;&lt;D xsi:type="xsd:double"&gt;15.2998893822455&lt;/D&gt;&lt;D xsi:type="xsd:double"&gt;15.1949198025421&lt;/D&gt;&lt;D xsi:type="xsd:double"&gt;15.3017169657748&lt;/D&gt;&lt;D xsi:type="xsd:double"&gt;14.5620837773082&lt;/D&gt;&lt;D xsi:type="xsd:double"&gt;15.24846172731&lt;/D&gt;&lt;D xsi:type="xsd:double"&gt;14.1742908967176&lt;/D&gt;&lt;D xsi:type="xsd:double"&gt;14.9696334262436&lt;/D&gt;&lt;D xsi:type="xsd:double"&gt;15.6754765824677&lt;/D&gt;&lt;D xsi:type="xsd:double"&gt;16.1345332579748&lt;/D&gt;&lt;D xsi:type="xsd:double"&gt;16.3754703964034&lt;/D&gt;&lt;D xsi:type="xsd:double"&gt;16.1650131630608&lt;/D&gt;&lt;D xsi:type="xsd:double"&gt;15.9907021984802&lt;/D&gt;&lt;D xsi:type="xsd:double"&gt;15.8603446039008&lt;/D&gt;&lt;D xsi:type="xsd:double"&gt;15.8792735670211&lt;/D&gt;&lt;D xsi:type="xsd:double"&gt;15.2345937139231&lt;/D&gt;&lt;D xsi:type="xsd:double"&gt;15.7686341041972&lt;/D&gt;&lt;D xsi:type="xsd:double"&gt;15.2774215107408&lt;/D&gt;&lt;D xsi:type="xsd:double"&gt;15.1460539267285&lt;/D&gt;&lt;D xsi:type="xsd:double"&gt;14.8500195356016&lt;/D&gt;&lt;D xsi:type="xsd:double"&gt;14.7391598693672&lt;/D&gt;&lt;D xsi:type="xsd:double"&gt;15.1551611205159&lt;/D&gt;&lt;D xsi:type="xsd:double"&gt;15.0466853873834&lt;/D&gt;&lt;D xsi:type="xsd:double"&gt;15.669861508333&lt;/D&gt;&lt;D xsi:type="xsd:double"&gt;15.7523770220437&lt;/D&gt;&lt;D xsi:type="xsd:double"&gt;15.940670403655&lt;/D&gt;&lt;D xsi:type="xsd:double"&gt;16.5571943871816&lt;/D&gt;&lt;D xsi:type="xsd:double"&gt;16.3410469681811&lt;/D&gt;&lt;D xsi:type="xsd:double"&gt;16.9065211986465&lt;/D&gt;&lt;D xsi:type="xsd:double"&gt;16.9991673123515&lt;/D&gt;&lt;D xsi:type="xsd:double"&gt;17.4724396473507&lt;/D&gt;&lt;D xsi:type="xsd:double"&gt;18.0301362147398&lt;/D&gt;&lt;D xsi:type="xsd:double"&gt;17.7663985794786&lt;/D&gt;&lt;D xsi:type="xsd:double"&gt;17.486200019872&lt;/D&gt;&lt;D xsi:type="xsd:double"&gt;17.3513524062745&lt;/D&gt;&lt;D xsi:type="xsd:double"&gt;17.1620120437372&lt;/D&gt;&lt;D xsi:type="xsd:double"&gt;16.7711077057384&lt;/D&gt;&lt;D xsi:type="xsd:double"&gt;16.7429675272664&lt;/D&gt;&lt;D xsi:type="xsd:double"&gt;16.6679885377975&lt;/D&gt;&lt;D xsi:type="xsd:double"&gt;16.5487662926911&lt;/D&gt;&lt;D xsi:type="xsd:double"&gt;16.4303225697227&lt;/D&gt;&lt;D xsi:type="xsd:double"&gt;16.8909540358367&lt;/D&gt;&lt;D xsi:type="xsd:double"&gt;16.5907472768174&lt;/D&gt;&lt;D xsi:type="xsd:double"&gt;16.767378506704&lt;/D&gt;&lt;D xsi:type="xsd:double"&gt;16.1209237484529&lt;/D&gt;&lt;D xsi:type="xsd:double"&gt;16.502246099838&lt;/D&gt;&lt;D xsi:type="xsd:double"&gt;16.2881816121046&lt;/D&gt;&lt;D xsi:type="xsd:double"&gt;16.3708513830814&lt;/D&gt;&lt;D xsi:type="xsd:double"&gt;16.1602221608266&lt;/D&gt;&lt;D xsi:type="xsd:double"&gt;16.2547014388167&lt;/D&gt;&lt;D xsi:type="xsd:double"&gt;16.3409066884196&lt;/D&gt;&lt;D xsi:type="xsd:double"&gt;16.0171793677876&lt;/D&gt;&lt;D xsi:type="xsd:double"&gt;15.4013940276661&lt;/D&gt;&lt;D xsi:type="xsd:double"&gt;15.4997242575337&lt;/D&gt;&lt;D xsi:type="xsd:double"&gt;14.5697614113422&lt;/D&gt;&lt;D xsi:type="xsd:double"&gt;14.9955251256875&lt;/D&gt;&lt;D xsi:type="xsd:double"&gt;15.6424433502083&lt;/D&gt;&lt;D xsi:type="xsd:double"&gt;15.8749665663695&lt;/D&gt;&lt;D xsi:type="xsd:double"&gt;15.828333712241&lt;/D&gt;&lt;D xsi:type="xsd:double"&gt;15.8579948762101&lt;/D&gt;&lt;D xsi:type="xsd:double"&gt;16.1061937728592&lt;/D&gt;&lt;D xsi:type="xsd:double"&gt;16.2691059096899&lt;/D&gt;&lt;D xsi:type="xsd:double"&gt;16.2636799741993&lt;/D&gt;&lt;D xsi:type="xsd:double"&gt;16.6135642277557&lt;/D&gt;&lt;D xsi:type="xsd:double"&gt;16.8178855295161&lt;/D&gt;&lt;D xsi:type="xsd:double"&gt;17.5868738522244&lt;/D&gt;&lt;D xsi:type="xsd:double"&gt;17.6941479577353&lt;/D&gt;&lt;D xsi:type="xsd:double"&gt;18.3003286936778&lt;/D&gt;&lt;D xsi:type="xsd:double"&gt;18.575611366524&lt;/D&gt;&lt;D xsi:type="xsd:double"&gt;16.6201124533699&lt;/D&gt;&lt;D xsi:type="xsd:double"&gt;16.7400853802088&lt;/D&gt;&lt;D xsi:type="xsd:double"&gt;17.4191243146542&lt;/D&gt;&lt;D xsi:type="xsd:double"&gt;18.5059018452608&lt;/D&gt;&lt;D xsi:type="xsd:double"&gt;18.5377572839866&lt;/D&gt;&lt;D xsi:type="xsd:double"&gt;19.509748123914&lt;/D&gt;&lt;D xsi:type="xsd:double"&gt;19.2094278903286&lt;/D&gt;&lt;D xsi:type="xsd:double"&gt;19.9101742863037&lt;/D&gt;&lt;D xsi:type="xsd:double"&gt;21.3483145505741&lt;/D&gt;&lt;D xsi:type="xsd:double"&gt;22.528460991956&lt;/D&gt;&lt;D xsi:type="xsd:double"&gt;23.3412426842149&lt;/D&gt;&lt;D xsi:type="xsd:double"&gt;23.1005575326384&lt;/D&gt;&lt;D xsi:type="xsd:double"&gt;21.6503772072194&lt;/D&gt;&lt;D xsi:type="xsd:double"&gt;21.3121881870479&lt;/D&gt;&lt;D xsi:type="xsd:double"&gt;20.9293647412989&lt;/D&gt;&lt;D xsi:type="xsd:double"&gt;20.5733404174323&lt;/D&gt;&lt;D xsi:type="xsd:double"&gt;19.6245206930597&lt;/D&gt;&lt;D xsi:type="xsd:double"&gt;19.3209657799166&lt;/D&gt;&lt;D xsi:type="xsd:double"&gt;18.7883007718241&lt;/D&gt;&lt;D xsi:type="xsd:double"&gt;18.5564526313149&lt;/D&gt;&lt;D xsi:type="xsd:double"&gt;18.2466947039735&lt;/D&gt;&lt;D xsi:type="xsd:double"&gt;17.8301644683925&lt;/D&gt;&lt;D xsi:type="xsd:double"&gt;17.6378527331635&lt;/D&gt;&lt;D xsi:type="xsd:double"&gt;16.1147456180129&lt;/D&gt;&lt;D xsi:type="xsd:double"&gt;15.6568677021589&lt;/D&gt;&lt;D xsi:type="xsd:double"&gt;15.7076326352541&lt;/D&gt;&lt;D xsi:type="xsd:double"&gt;15.0978516046875&lt;/D&gt;&lt;D xsi:type="xsd:double"&gt;14.6351382944227&lt;/D&gt;&lt;D xsi:type="xsd:double"&gt;13.9968562838986&lt;/D&gt;&lt;D xsi:type="xsd:double"&gt;14.6563458012222&lt;/D&gt;&lt;D xsi:type="xsd:double"&gt;14.1354768250674&lt;/D&gt;&lt;D xsi:type="xsd:double"&gt;13.2906286691942&lt;/D&gt;&lt;D xsi:type="xsd:double"&gt;14.1967677109023&lt;/D&gt;&lt;D xsi:type="xsd:double"&gt;14.2912873799392&lt;/D&gt;&lt;D xsi:type="xsd:double"&gt;14.2042943159637&lt;/D&gt;&lt;D xsi:type="xsd:double"&gt;14.6603986014135&lt;/D&gt;&lt;D xsi:type="xsd:double"&gt;14.2048637400215&lt;/D&gt;&lt;D xsi:type="xsd:double"&gt;14.3203353452154&lt;/D&gt;&lt;D xsi:type="xsd:double"&gt;14.3647269390013&lt;/D&gt;&lt;D xsi:type="xsd:double"&gt;14.3828880541592&lt;/D&gt;&lt;D xsi:type="xsd:double"&gt;14.5334551886801&lt;/D&gt;&lt;D xsi:type="xsd:double"&gt;15.0102017999146&lt;/D&gt;&lt;D xsi:type="xsd:double"&gt;15.0363833781349&lt;/D&gt;&lt;D xsi:type="xsd:double"&gt;14.8181841687786&lt;/D&gt;&lt;D xsi:type="xsd:double"&gt;14.8443256761663&lt;/D&gt;&lt;D xsi:type="xsd:double"&gt;15.3932230374865&lt;/D&gt;&lt;D xsi:type="xsd:double"&gt;16.2482643190071&lt;/D&gt;&lt;D xsi:type="xsd:double"&gt;16.5067742369716&lt;/D&gt;&lt;D xsi:type="xsd:double"&gt;16.617612693337&lt;/D&gt;&lt;D xsi:type="xsd:double"&gt;16.6633293415034&lt;/D&gt;&lt;/FQL&gt;&lt;FQL&gt;&lt;Q&gt;CPALM-FDS^FG_PRICE_CHANGE(0,-1AM)&lt;/Q&gt;&lt;R&gt;1&lt;/R&gt;&lt;C&gt;1&lt;/C&gt;&lt;D xsi:type="xsd:double"&gt;7.34315589353611&lt;/D&gt;&lt;/FQL&gt;&lt;FQL&gt;&lt;Q&gt;TIOS-FDS^FG_PRICE_CHANGE(0,-1AM)&lt;/Q&gt;&lt;R&gt;1&lt;/R&gt;&lt;C&gt;1&lt;/C&gt;&lt;D xsi:type="xsd:double"&gt;-7.33628318584071&lt;/D&gt;&lt;/FQL&gt;&lt;FQL&gt;&lt;Q&gt;EWN^FG_PRICE_MAVG(0,,,,60)&lt;/Q&gt;&lt;R&gt;1&lt;/R&gt;&lt;C&gt;1&lt;/C&gt;&lt;D xsi:type="xsd:double"&gt;47.57975&lt;/D&gt;&lt;/FQL&gt;&lt;FQL&gt;&lt;Q&gt;TIOS-FDS^FG_PRICE_MAVG(0,,,,30)&lt;/Q&gt;&lt;R&gt;1&lt;/R&gt;&lt;C&gt;1&lt;/C&gt;&lt;D xsi:type="xsd:double"&gt;109.89867&lt;/D&gt;&lt;/FQL&gt;&lt;FQL&gt;&lt;Q&gt;QQQ^FG_COMPANY_NAME&lt;/Q&gt;&lt;R&gt;1&lt;/R&gt;&lt;C&gt;1&lt;/C&gt;&lt;D xsi:type="xsd:string"&gt;Invesco QQQ Trust Series I&lt;/D&gt;&lt;/FQL&gt;&lt;FQL&gt;&lt;Q&gt;NI-FDS^FG_PRICE(0)&lt;/Q&gt;&lt;R&gt;1&lt;/R&gt;&lt;C&gt;1&lt;/C&gt;&lt;D xsi:type="xsd:double"&gt;17715&lt;/D&gt;&lt;/FQL&gt;&lt;FQL&gt;&lt;Q&gt;EWC^FMA_DIV_YLD(NTMA,-10AY,0,AM,"PORTAGG","MEANR")&lt;/Q&gt;&lt;R&gt;121&lt;/R&gt;&lt;C&gt;1&lt;/C&gt;&lt;D xsi:type="xsd:double"&gt;2.94678755433533&lt;/D&gt;&lt;D xsi:type="xsd:double"&gt;2.8961472519003&lt;/D&gt;&lt;D xsi:type="xsd:double"&gt;2.84906435936215&lt;/D&gt;&lt;D xsi:type="xsd:double"&gt;2.80717271384625&lt;/D&gt;&lt;D xsi:type="xsd:double"&gt;2.80653905569787&lt;/D&gt;&lt;D xsi:type="xsd:double"&gt;2.76066052060937&lt;/D&gt;&lt;D xsi:type="xsd:double"&gt;3.03806498908146&lt;/D&gt;&lt;D xsi:type="xsd:double"&gt;2.93925382097613&lt;/D&gt;&lt;D xsi:type="xsd:double"&gt;3.09324637642975&lt;/D&gt;&lt;D xsi:type="xsd:double"&gt;2.99801577403161&lt;/D&gt;&lt;D xsi:type="xsd:double"&gt;2.86750868149039&lt;/D&gt;&lt;D xsi:type="xsd:double"&gt;2.94967590743087&lt;/D&gt;&lt;D xsi:type="xsd:double"&gt;2.82223793524456&lt;/D&gt;&lt;D xsi:type="xsd:double"&gt;2.86134963540995&lt;/D&gt;&lt;D xsi:type="xsd:double"&gt;2.93508337505854&lt;/D&gt;&lt;D xsi:type="xsd:double"&gt;3.04958986768268&lt;/D&gt;&lt;D xsi:type="xsd:double"&gt;3.07734746774373&lt;/D&gt;&lt;D xsi:type="xsd:double"&gt;3.25702790268895&lt;/D&gt;&lt;D xsi:type="xsd:double"&gt;3.15505015639616&lt;/D&gt;&lt;D xsi:type="xsd:double"&gt;3.31215830557563&lt;/D&gt;&lt;D xsi:type="xsd:double"&gt;3.4645427904955&lt;/D&gt;&lt;D xsi:type="xsd:double"&gt;3.567185841731&lt;/D&gt;&lt;D xsi:type="xsd:double"&gt;3.55264490961262&lt;/D&gt;&lt;D xsi:type="xsd:double"&gt;3.13247927740252&lt;/D&gt;&lt;D xsi:type="xsd:double"&gt;3.18071353395438&lt;/D&gt;&lt;D xsi:type="xsd:double"&gt;3.10042399759906&lt;/D&gt;&lt;D xsi:type="xsd:double"&gt;3.06615960829041&lt;/D&gt;&lt;D xsi:type="xsd:double"&gt;3.0261737322198&lt;/D&gt;&lt;D xsi:type="xsd:double"&gt;2.93621492598905&lt;/D&gt;&lt;D xsi:type="xsd:double"&gt;2.98454648841571&lt;/D&gt;&lt;D xsi:type="xsd:double"&gt;2.96567856493312&lt;/D&gt;&lt;D xsi:type="xsd:double"&gt;2.96792492493677&lt;/D&gt;&lt;D xsi:type="xsd:double"&gt;2.83367271891927&lt;/D&gt;&lt;D xsi:type="xsd:double"&gt;2.81356442475077&lt;/D&gt;&lt;D xsi:type="xsd:double"&gt;2.79808431904578&lt;/D&gt;&lt;D xsi:type="xsd:double"&gt;2.90463250433504&lt;/D&gt;&lt;D xsi:type="xsd:double"&gt;2.89756081141542&lt;/D&gt;&lt;D xsi:type="xsd:double"&gt;2.9496373738213&lt;/D&gt;&lt;D xsi:type="xsd:double"&gt;2.97693865529526&lt;/D&gt;&lt;D xsi:type="xsd:double"&gt;3.05024282723742&lt;/D&gt;&lt;D xsi:type="xsd:double"&gt;3.07048197542642&lt;/D&gt;&lt;D xsi:type="xsd:double"&gt;3.10469505389206&lt;/D&gt;&lt;D xsi:type="xsd:double"&gt;2.95275537175236&lt;/D&gt;&lt;D xsi:type="xsd:double"&gt;2.91112632064467&lt;/D&gt;&lt;D xsi:type="xsd:double"&gt;2.91009506508518&lt;/D&gt;&lt;D xsi:type="xsd:double"&gt;2.89893677001768&lt;/D&gt;&lt;D xsi:type="xsd:double"&gt;3.17889950624327&lt;/D&gt;&lt;D xsi:type="xsd:double"&gt;3.13244549703684&lt;/D&gt;&lt;D xsi:type="xsd:double"&gt;3.21961858273646&lt;/D&gt;&lt;D xsi:type="xsd:double"&gt;3.08208078040371&lt;/D&gt;&lt;D xsi:type="xsd:double"&gt;3.05898310784388&lt;/D&gt;&lt;D xsi:type="xsd:double"&gt;3.04997337169144&lt;/D&gt;&lt;D xsi:type="xsd:double"&gt;3.08437433543814&lt;/D&gt;&lt;D xsi:type="xsd:double"&gt;3.16484600225701&lt;/D&gt;&lt;D xsi:type="xsd:double"&gt;3.35222287185315&lt;/D&gt;&lt;D xsi:type="xsd:double"&gt;3.36301143524639&lt;/D&gt;&lt;D xsi:type="xsd:double"&gt;3.51745120489153&lt;/D&gt;&lt;D xsi:type="xsd:double"&gt;3.4558842174348&lt;/D&gt;&lt;D xsi:type="xsd:double"&gt;3.33836753101993&lt;/D&gt;&lt;D xsi:type="xsd:double"&gt;3.27113108113238&lt;/D&gt;&lt;D xsi:type="xsd:double"&gt;3.21745552901106&lt;/D&gt;&lt;D xsi:type="xsd:double"&gt;3.27174218037938&lt;/D&gt;&lt;D xsi:type="xsd:double"&gt;3.34125324973601&lt;/D&gt;&lt;D xsi:type="xsd:double"&gt;3.2969730841125&lt;/D&gt;&lt;D xsi:type="xsd:double"&gt;3.39060779978917&lt;/D&gt;&lt;D xsi:type="xsd:double"&gt;3.33926226332514&lt;/D&gt;&lt;D xsi:type="xsd:double"&gt;3.36744233887423&lt;/D&gt;&lt;D xsi:type="xsd:double"&gt;3.26669211278742&lt;/D&gt;&lt;D xsi:type="xsd:double"&gt;3.27338458375229&lt;/D&gt;&lt;D xsi:type="xsd:double"&gt;3.23733811628138&lt;/D&gt;&lt;D xsi:type="xsd:double"&gt;3.20516708364281&lt;/D&gt;&lt;D xsi:type="xsd:double"&gt;4.0797483726464&lt;/D&gt;&lt;D xsi:type="xsd:double"&gt;4.06022600286676&lt;/D&gt;&lt;D xsi:type="xsd:double"&gt;3.6974358517574&lt;/D&gt;&lt;D xsi:type="xsd:double"&gt;3.6553825423074&lt;/D&gt;&lt;D xsi:type="xsd:double"&gt;3.51201113872066&lt;/D&gt;&lt;D xsi:type="xsd:double"&gt;3.34428428336885&lt;/D&gt;&lt;D xsi:type="xsd:double"&gt;3.40981523896615&lt;/D&gt;&lt;D xsi:type="xsd:double"&gt;3.3603886836118&lt;/D&gt;&lt;D xsi:type="xsd:double"&gt;3.3063557193261&lt;/D&gt;&lt;D xsi:type="xsd:double"&gt;3.11411761245382&lt;/D&gt;&lt;D xsi:type="xsd:double"&gt;3.03220310685111&lt;/D&gt;&lt;D xsi:type="xsd:double"&gt;2.9435265984731&lt;/D&gt;&lt;D xsi:type="xsd:double"&gt;2.8430957626242&lt;/D&gt;&lt;D xsi:type="xsd:double"&gt;2.76472298616105&lt;/D&gt;&lt;D xsi:type="xsd:double"&gt;2.75146242279438&lt;/D&gt;&lt;D xsi:type="xsd:double"&gt;2.57534671046452&lt;/D&gt;&lt;D xsi:type="xsd:double"&gt;2.70442158023575&lt;/D&gt;&lt;D xsi:type="xsd:double"&gt;2.66980746913632&lt;/D&gt;&lt;D xsi:type="xsd:double"&gt;2.74572303630223&lt;/D&gt;&lt;D xsi:type="xsd:double"&gt;2.78703140537808&lt;/D&gt;&lt;D xsi:type="xsd:double"&gt;2.68097822114948&lt;/D&gt;&lt;D xsi:type="xsd:double"&gt;2.83914609760133&lt;/D&gt;&lt;D xsi:type="xsd:double"&gt;2.77185081815018&lt;/D&gt;&lt;D xsi:type="xsd:double"&gt;2.76645078205049&lt;/D&gt;&lt;D xsi:type="xsd:double"&gt;2.85013774417484&lt;/D&gt;&lt;D xsi:type="xsd:double"&gt;2.85394697884767&lt;/D&gt;&lt;D xsi:type="xsd:double"&gt;3.23161166324824&lt;/D&gt;&lt;D xsi:type="xsd:double"&gt;3.18696515705101&lt;/D&gt;&lt;D xsi:type="xsd:double"&gt;3.44512370067601&lt;/D&gt;&lt;D xsi:type="xsd:double"&gt;3.27275221431902&lt;/D&gt;&lt;D xsi:type="xsd:double"&gt;3.37802835544338&lt;/D&gt;&lt;D xsi:type="xsd:double"&gt;3.68529778351823&lt;/D&gt;&lt;D xsi:type="xsd:double"&gt;3.3239846603069&lt;/D&gt;&lt;D xsi:type="xsd:double"&gt;3.36797165354136&lt;/D&gt;&lt;D xsi:type="xsd:double"&gt;3.35629113046076&lt;/D&gt;&lt;D xsi:type="xsd:double"&gt;3.26675191029398&lt;/D&gt;&lt;D xsi:type="xsd:double"&gt;3.4178558997889&lt;/D&gt;&lt;D xsi:type="xsd:double"&gt;3.28491810282271&lt;/D&gt;&lt;D xsi:type="xsd:double"&gt;3.26237718044014&lt;/D&gt;&lt;D xsi:type="xsd:double"&gt;3.32182106116738&lt;/D&gt;&lt;D xsi:type="xsd:double"&gt;3.28971596489538&lt;/D&gt;&lt;D xsi:type="xsd:double"&gt;3.42131480981552&lt;/D&gt;&lt;D xsi:type="xsd:double"&gt;3.51128457536624&lt;/D&gt;&lt;D xsi:type="xsd:double"&gt;3.62002753388629&lt;/D&gt;&lt;D xsi:type="xsd:double"&gt;3.59801980680816&lt;/D&gt;&lt;D xsi:type="xsd:double"&gt;3.46729348036537&lt;/D&gt;&lt;D xsi:type="xsd:double"&gt;3.3583458460838&lt;/D&gt;&lt;D xsi:type="xsd:double"&gt;3.32557957702615&lt;/D&gt;&lt;D xsi:type="xsd:double"&gt;3.17314009039434&lt;/D&gt;&lt;D xsi:type="xsd:double"&gt;3.08338304124513&lt;/D&gt;&lt;/FQL&gt;&lt;FQL&gt;&lt;Q&gt;EWA^FG_PRICE_MAVG(0,,,,200)&lt;/Q&gt;&lt;R&gt;1&lt;/R&gt;&lt;C&gt;1&lt;/C&gt;&lt;D xsi:type="xsd:double"&gt;22.82045&lt;/D&gt;&lt;/FQL&gt;&lt;FQL&gt;&lt;Q&gt;USDSEK^FG_PRICE(0)&lt;/Q&gt;&lt;R&gt;1&lt;/R&gt;&lt;C&gt;1&lt;/C&gt;&lt;D xsi:type="xsd:double"&gt;10.7804&lt;/D&gt;&lt;/FQL&gt;&lt;FQL&gt;&lt;Q&gt;PASP-FDS^FG_PRICE_CHANGE(0,-1AY)&lt;/Q&gt;&lt;R&gt;1&lt;/R&gt;&lt;C&gt;1&lt;/C&gt;&lt;D xsi:type="xsd:double"&gt;-26.0899653979239&lt;/D&gt;&lt;/FQL&gt;&lt;FQL&gt;&lt;Q&gt;COPP-FDS^FG_PRICE_CHANGE(0,-1AY)&lt;/Q&gt;&lt;R&gt;1&lt;/R&gt;&lt;C&gt;1&lt;/C&gt;&lt;D xsi:type="xsd:double"&gt;5.6528761336812&lt;/D&gt;&lt;/FQL&gt;&lt;FQL&gt;&lt;Q&gt;EWQ^FG_PRICE_MAVG(0,,,,30)&lt;/Q&gt;&lt;R&gt;1&lt;/R&gt;&lt;C&gt;1&lt;/C&gt;&lt;D xsi:type="xsd:double"&gt;41.018665&lt;/D&gt;&lt;/FQL&gt;&lt;FQL&gt;&lt;Q&gt;ENZL^FMA_ROE(NTMA,-20AY,NOW,FY,"PORTAGG","MEANR")&lt;/Q&gt;&lt;R&gt;20&lt;/R&gt;&lt;C&gt;1&lt;/C&gt;&lt;D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</t>
        </r>
      </text>
    </comment>
    <comment ref="A11" authorId="0" shapeId="0" xr:uid="{F65D23A2-6A3D-4B7D-AF95-19C3324E4412}">
      <text>
        <r>
          <rPr>
            <b/>
            <sz val="9"/>
            <color indexed="81"/>
            <rFont val="Tahoma"/>
            <charset val="1"/>
          </rPr>
          <t>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xsi:type="xsd:double"&gt;7.5322638919869&lt;/D&gt;&lt;D xsi:type="xsd:double"&gt;6.44400181202057&lt;/D&gt;&lt;D xsi:type="xsd:double"&gt;7.7689690341127&lt;/D&gt;&lt;D xsi:type="xsd:double"&gt;6.57910753918315&lt;/D&gt;&lt;/FQL&gt;&lt;FQL&gt;&lt;Q&gt;CC_NZ^FG_COMPANY_NAME&lt;/Q&gt;&lt;R&gt;1&lt;/R&gt;&lt;C&gt;1&lt;/C&gt;&lt;D xsi:type="xsd:string"&gt;New Zealand&lt;/D&gt;&lt;/FQL&gt;&lt;FQL&gt;&lt;Q&gt;PASP-FDS^FG_PRICE_CHANGE(0,-6AM)&lt;/Q&gt;&lt;R&gt;1&lt;/R&gt;&lt;C&gt;1&lt;/C&gt;&lt;D xsi:type="xsd:double"&gt;-9.1063829787234&lt;/D&gt;&lt;/FQL&gt;&lt;FQL&gt;&lt;Q&gt;EWJ^FMA_EPS(NTMA,-20AY,0,CY,,"PORTAGG","MEANR")&lt;/Q&gt;&lt;R&gt;20&lt;/R&gt;&lt;C&gt;1&lt;/C&gt;&lt;D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xsi:type="xsd:double"&gt;4.07638230954429&lt;/D&gt;&lt;D xsi:type="xsd:double"&gt;3.67789541888801&lt;/D&gt;&lt;D xsi:type="xsd:double"&gt;4.61613856406357&lt;/D&gt;&lt;D xsi:type="xsd:double"&gt;4.46089542599279&lt;/D&gt;&lt;D xsi:type="xsd:double"&gt;4.56547558451216&lt;/D&gt;&lt;/FQL&gt;&lt;FQL&gt;&lt;Q&gt;EWN^FMA_PE(LTMA,-10AY,0,AM,"PORTAGG","MEANR")&lt;/Q&gt;&lt;R&gt;121&lt;/R&gt;&lt;C&gt;1&lt;/C&gt;&lt;D xsi:type="xsd:double"&gt;17.0392779419427&lt;/D&gt;&lt;D xsi:type="xsd:double"&gt;16.8531231483305&lt;/D&gt;&lt;D xsi:type="xsd:double"&gt;16.8838329487052&lt;/D&gt;&lt;D xsi:type="xsd:double"&gt;16.4947158935547&lt;/D&gt;&lt;D xsi:type="xsd:double"&gt;16.2153160854291&lt;/D&gt;&lt;D xsi:type="xsd:double"&gt;16.7601673258715&lt;/D&gt;&lt;D xsi:type="xsd:double"&gt;16.0456651431926&lt;/D&gt;&lt;D xsi:type="xsd:double"&gt;17.2339546988042&lt;/D&gt;&lt;D xsi:type="xsd:double"&gt;17.5278663939523&lt;/D&gt;&lt;D xsi:type="xsd:double"&gt;17.3169343985986&lt;/D&gt;&lt;D xsi:type="xsd:double"&gt;18.9427181268828&lt;/D&gt;&lt;D xsi:type="xsd:double"&gt;20.122531875868&lt;/D&gt;&lt;D xsi:type="xsd:double"&gt;20.0273441554243&lt;/D&gt;&lt;D xsi:type="xsd:double"&gt;19.5903588391333&lt;/D&gt;&lt;D xsi:type="xsd:double"&gt;19.2072746018086&lt;/D&gt;&lt;D xsi:type="xsd:double"&gt;18.9438543334915&lt;/D&gt;&lt;D xsi:type="xsd:double"&gt;18.80912887024&lt;/D&gt;&lt;D xsi:type="xsd:double"&gt;17.0888624814137&lt;/D&gt;&lt;D xsi:type="xsd:double"&gt;16.9663780479726&lt;/D&gt;&lt;D xsi:type="xsd:double"&gt;18.1862371013516&lt;/D&gt;&lt;D xsi:type="xsd:double"&gt;16.9058584507065&lt;/D&gt;&lt;D xsi:type="xsd:double"&gt;15.7327441666595&lt;/D&gt;&lt;D xsi:type="xsd:double"&gt;14.4969750345718&lt;/D&gt;&lt;D xsi:type="xsd:double"&gt;16.4239900373995&lt;/D&gt;&lt;D xsi:type="xsd:double"&gt;16.2808235893838&lt;/D&gt;&lt;D xsi:type="xsd:double"&gt;16.1713008237182&lt;/D&gt;&lt;D xsi:type="xsd:double"&gt;16.0153692848959&lt;/D&gt;&lt;D xsi:type="xsd:double"&gt;15.8841124285896&lt;/D&gt;&lt;D xsi:type="xsd:double"&gt;16.2430494838141&lt;/D&gt;&lt;D xsi:type="xsd:double"&gt;16.0420037505566&lt;/D&gt;&lt;D xsi:type="xsd:double"&gt;15.8577447224648&lt;/D&gt;&lt;D xsi:type="xsd:double"&gt;15.4974932696237&lt;/D&gt;&lt;D xsi:type="xsd:double"&gt;15.9210527944989&lt;/D&gt;&lt;D xsi:type="xsd:double"&gt;16.3842219226745&lt;/D&gt;&lt;D xsi:type="xsd:double"&gt;16.2040904439717&lt;/D&gt;&lt;D xsi:type="xsd:double"&gt;16.5042094847727&lt;/D&gt;&lt;D xsi:type="xsd:double"&gt;16.5588569356214&lt;/D&gt;&lt;D xsi:type="xsd:double"&gt;16.7229143922337&lt;/D&gt;&lt;D xsi:type="xsd:double"&gt;16.7603890824502&lt;/D&gt;&lt;D xsi:type="xsd:double"&gt;16.5451756953989&lt;/D&gt;&lt;D xsi:type="xsd:double"&gt;16.5481185923892&lt;/D&gt;&lt;D xsi:type="xsd:double"&gt;16.7249641423055&lt;/D&gt;&lt;D xsi:type="xsd:double"&gt;17.1808549962693&lt;/D&gt;&lt;D xsi:type="xsd:double"&gt;17.3375302328991&lt;/D&gt;&lt;D xsi:type="xsd:double"&gt;17.2870925779027&lt;/D&gt;&lt;D xsi:type="xsd:double"&gt;17.4813962463805&lt;/D&gt;&lt;D xsi:type="xsd:double"&gt;16.3813455423913&lt;/D&gt;&lt;D xsi:type="xsd:double"&gt;16.6808924860941&lt;/D&gt;&lt;D xsi:type="xsd:double"&gt;16.5914762865138&lt;/D&gt;&lt;D xsi:type="xsd:double"&gt;16.5893750068721&lt;/D&gt;&lt;D xsi:type="xsd:double"&gt;16.7345414788188&lt;/D&gt;&lt;D xsi:type="xsd:double"&gt;16.547377720712&lt;/D&gt;&lt;D xsi:type="xsd:double"&gt;16.6306357218737&lt;/D&gt;&lt;D xsi:type="xsd:double"&gt;16.2421255061107&lt;/D&gt;&lt;D xsi:type="xsd:double"&gt;15.517511500415&lt;/D&gt;&lt;D xsi:type="xsd:double"&gt;15.7089007227689&lt;/D&gt;&lt;D xsi:type="xsd:double"&gt;14.7844577910523&lt;/D&gt;&lt;D xsi:type="xsd:double"&gt;14.670371538714&lt;/D&gt;&lt;D xsi:type="xsd:double"&gt;15.5413373952729&lt;/D&gt;&lt;D xsi:type="xsd:double"&gt;16.1117373577366&lt;/D&gt;&lt;D xsi:type="xsd:double"&gt;16.2308030972538&lt;/D&gt;&lt;D xsi:type="xsd:double"&gt;16.1789465118486&lt;/D&gt;&lt;D xsi:type="xsd:double"&gt;16.2893950049025&lt;/D&gt;&lt;D xsi:type="xsd:double"&gt;16.4109119577671&lt;/D&gt;&lt;D xsi:type="xsd:double"&gt;16.1992289832813&lt;/D&gt;&lt;D xsi:type="xsd:double"&gt;16.9971883026791&lt;/D&gt;&lt;D xsi:type="xsd:double"&gt;17.2091381051932&lt;/D&gt;&lt;D xsi:type="xsd:double"&gt;17.8679689386259&lt;/D&gt;&lt;D xsi:type="xsd:double"&gt;18.3064450263523&lt;/D&gt;&lt;D xsi:type="xsd:double"&gt;18.7244527006548&lt;/D&gt;&lt;D xsi:type="xsd:double"&gt;19.8968857997093&lt;/D&gt;&lt;D xsi:type="xsd:double"&gt;17.0160415475133&lt;/D&gt;&lt;D xsi:type="xsd:double"&gt;17.2963780218408&lt;/D&gt;&lt;D xsi:type="xsd:double"&gt;18.0142139388991&lt;/D&gt;&lt;D xsi:type="xsd:double"&gt;18.9473201744028&lt;/D&gt;&lt;D xsi:type="xsd:double"&gt;20.06513744244&lt;/D&gt;&lt;D xsi:type="xsd:double"&gt;20.7399592380725&lt;/D&gt;&lt;D xsi:type="xsd:double"&gt;21.5243174134735&lt;/D&gt;&lt;D xsi:type="xsd:double"&gt;22.6340516801465&lt;/D&gt;&lt;D xsi:type="xsd:double"&gt;24.557785948184&lt;/D&gt;&lt;D xsi:type="xsd:double"&gt;25.980191260842&lt;/D&gt;&lt;D xsi:type="xsd:double"&gt;27.7458481428287&lt;/D&gt;&lt;D xsi:type="xsd:double"&gt;30.0091917088386&lt;/D&gt;&lt;D xsi:type="xsd:double"&gt;28.8179797267562&lt;/D&gt;&lt;D xsi:type="xsd:double"&gt;28.5639939177266&lt;/D&gt;&lt;D xsi:type="xsd:double"&gt;27.3893769552512&lt;/D&gt;&lt;D xsi:type="xsd:double"&gt;27.0731494389313&lt;/D&gt;&lt;D xsi:type="xsd:double"&gt;26.3643705945127&lt;/D&gt;&lt;D xsi:type="xsd:double"&gt;26.2181763049572&lt;/D&gt;&lt;D xsi:type="xsd:double"&gt;25.6665756710634&lt;/D&gt;&lt;D xsi:type="xsd:double"&gt;23.9119517404433&lt;/D&gt;&lt;D xsi:type="xsd:double"&gt;24.4672729144707&lt;/D&gt;&lt;D xsi:type="xsd:double"&gt;22.6955153680946&lt;/D&gt;&lt;D xsi:type="xsd:double"&gt;21.8745422549555&lt;/D&gt;&lt;D xsi:type="xsd:double"&gt;20.0096138729189&lt;/D&gt;&lt;D xsi:type="xsd:double"&gt;18.1623270327618&lt;/D&gt;&lt;D xsi:type="xsd:double"&gt;18.3953214995417&lt;/D&gt;&lt;D xsi:type="xsd:double"&gt;17.8609513131438&lt;/D&gt;&lt;D xsi:type="xsd:double"&gt;18.2945889483713&lt;/D&gt;&lt;D xsi:type="xsd:double"&gt;18.1747254257721&lt;/D&gt;&lt;D xsi:type="xsd:double"&gt;19.6501358353197&lt;/D&gt;&lt;D xsi:type="xsd:double"&gt;18.7326434357365&lt;/D&gt;&lt;D xsi:type="xsd:double"&gt;16.8200755508785&lt;/D&gt;&lt;D xsi:type="xsd:double"&gt;18.4667032164155&lt;/D&gt;&lt;D xsi:type="xsd:double"&gt;18.6015610131616&lt;/D&gt;&lt;D xsi:type="xsd:double"&gt;19.3057994940517&lt;/D&gt;&lt;D xsi:type="xsd:double"&gt;20.7077626003744&lt;/D&gt;&lt;D xsi:type="xsd:double"&gt;20.492173787794&lt;/D&gt;&lt;D xsi:type="xsd:double"&gt;20.1908834049241&lt;/D&gt;&lt;D xsi:type="xsd:double"&gt;19.6407566168724&lt;/D&gt;&lt;D xsi:type="xsd:double"&gt;19.3305978205485&lt;/D&gt;&lt;D xsi:type="xsd:double"&gt;19.0021997221519&lt;/D&gt;&lt;D xsi:type="xsd:double"&gt;18.3333591104983&lt;/D&gt;&lt;D xsi:type="xsd:double"&gt;17.3978245787433&lt;/D&gt;&lt;D xsi:type="xsd:double"&gt;16.6341125345478&lt;/D&gt;&lt;D xsi:type="xsd:double"&gt;16.1277450026703&lt;/D&gt;&lt;D xsi:type="xsd:double"&gt;16.6793913873641&lt;/D&gt;&lt;D xsi:type="xsd:double"&gt;16.3184271611693&lt;/D&gt;&lt;D xsi:type="xsd:double"&gt;17.9709955763608&lt;/D&gt;&lt;D xsi:type="xsd:double"&gt;18.4916241859817&lt;/D&gt;&lt;D xsi:type="xsd:double"&gt;18.438150114009&lt;/D&gt;&lt;/FQL&gt;&lt;FQL&gt;&lt;Q&gt;COPP-FDS^FG_PRICE_CHANGE(0,-3AM)&lt;/Q&gt;&lt;R&gt;1&lt;/R&gt;&lt;C&gt;1&lt;/C&gt;&lt;D xsi:type="xsd:double"&gt;12.5910234343969&lt;/D&gt;&lt;/FQL&gt;&lt;FQL&gt;&lt;Q&gt;EWL^FMA_ROE(NTMA,-20AY,NOW,FY,"PORTAGG","MEANR")&lt;/Q&gt;&lt;R&gt;20&lt;/R&gt;&lt;C&gt;1&lt;/C&gt;&lt;D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xsi:type="xsd:double"&gt;14.6677795152565&lt;/D&gt;&lt;D xsi:type="xsd:double"&gt;16.3837417700753&lt;/D&gt;&lt;D xsi:type="xsd:double"&gt;16.6906517335277&lt;/D&gt;&lt;D xsi:type="xsd:double"&gt;19.2996868123636&lt;/D&gt;&lt;/FQL&gt;&lt;FQL&gt;&lt;Q&gt;TRYIN10Y-FDS^FG_YIELD(-10AY,0,Y,,"YTM")&lt;/Q&gt;&lt;R&gt;10&lt;/R&gt;&lt;C&gt;1&lt;/C&gt;&lt;D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xsi:type="xsd:double"&gt;7.19&lt;/D&gt;&lt;/FQL&gt;&lt;FQL&gt;&lt;Q&gt;CAGDPY@JP^EE_ACTUAL_ANNUAL(MED,0)&lt;/Q&gt;&lt;R&gt;1&lt;/R&gt;&lt;C&gt;1&lt;/C&gt;&lt;D xsi:type="xsd:double"&gt;3.67564716252459&lt;/D&gt;&lt;/FQL&gt;&lt;FQL&gt;&lt;Q&gt;CAGDPY@GB^EE_ACTUAL_ANNUAL(MED,0)&lt;/Q&gt;&lt;R&gt;1&lt;/R&gt;&lt;C&gt;1&lt;/C&gt;&lt;D xsi:type="xsd:double"&gt;-3.3&lt;/D&gt;&lt;/FQL&gt;&lt;FQL&gt;&lt;Q&gt;CC_CH^FG_COMPANY_NAME&lt;/Q&gt;&lt;R&gt;1&lt;/R&gt;&lt;C&gt;1&lt;/C&gt;&lt;D xsi:type="xsd:string"&gt;Switzerland&lt;/D&gt;&lt;/FQL&gt;&lt;FQL&gt;&lt;Q&gt;USDSEK^FG_PRICE_CHANGE(0,-6AM)&lt;/Q&gt;&lt;R&gt;1&lt;/R&gt;&lt;C&gt;1&lt;/C&gt;&lt;D xsi:type="xsd:double"&gt;-0.9163499&lt;/D&gt;&lt;/FQL&gt;&lt;FQL&gt;&lt;Q&gt;USDEUR^FG_PRICE_CHANGE(0,-6AM)&lt;/Q&gt;&lt;R&gt;1&lt;/R&gt;&lt;C&gt;1&lt;/C&gt;&lt;D xsi:type="xsd:double"&gt;-0.76595545&lt;/D&gt;&lt;/FQL&gt;&lt;FQL&gt;&lt;Q&gt;EWU^FG_TOTAL_RETURNC(-10AY,0,AM)&lt;/Q&gt;&lt;R&gt;121&lt;/R&gt;&lt;C&gt;1&lt;/C&gt;&lt;D xsi:type="xsd:double"&gt;-1.0643423&lt;/D&gt;&lt;D xsi:type="xsd:double"&gt;5.9657693&lt;/D&gt;&lt;D xsi:type="xsd:double"&gt;0.46147108&lt;/D&gt;&lt;D xsi:type="xsd:double"&gt;-0.19018054&lt;/D&gt;&lt;D xsi:type="xsd:double"&gt;-2.9937208&lt;/D&gt;&lt;D xsi:type="xsd:double"&gt;-0.34843087&lt;/D&gt;&lt;D xsi:type="xsd:double"&gt;-8.241755&lt;/D&gt;&lt;D xsi:type="xsd:double"&gt;4.300487&lt;/D&gt;&lt;D xsi:type="xsd:double"&gt;-4.279751&lt;/D&gt;&lt;D xsi:type="xsd:double"&gt;-2.1963775&lt;/D&gt;&lt;D xsi:type="xsd:double"&gt;5.116546&lt;/D&gt;&lt;D xsi:type="xsd:double"&gt;-2.7582467&lt;/D&gt;&lt;D xsi:type="xsd:double"&gt;3.615129&lt;/D&gt;&lt;D xsi:type="xsd:double"&gt;6.092322&lt;/D&gt;&lt;D xsi:type="xsd:double"&gt;-2.6562095&lt;/D&gt;&lt;D xsi:type="xsd:double"&gt;-2.51711&lt;/D&gt;&lt;D xsi:type="xsd:double"&gt;0.21715164&lt;/D&gt;&lt;D xsi:type="xsd:double"&gt;-8.179837&lt;/D&gt;&lt;D xsi:type="xsd:double"&gt;3.7168145&lt;/D&gt;&lt;D xsi:type="xsd:double"&gt;-2.7303755&lt;/D&gt;&lt;D xsi:type="xsd:double"&gt;-5.380118&lt;/D&gt;&lt;D xsi:type="xsd:double"&gt;-5.0635576&lt;/D&gt;&lt;D xsi:type="xsd:double"&gt;-5.7104945&lt;/D&gt;&lt;D xsi:type="xsd:double"&gt;10.492956&lt;/D&gt;&lt;D xsi:type="xsd:double"&gt;-0.509876&lt;/D&gt;&lt;D xsi:type="xsd:double"&gt;1.3452888&lt;/D&gt;&lt;D xsi:type="xsd:double"&gt;-1.2010098&lt;/D&gt;&lt;D xsi:type="xsd:double"&gt;-0.4824996&lt;/D&gt;&lt;D xsi:type="xsd:double"&gt;3.9525628&lt;/D&gt;&lt;D xsi:type="xsd:double"&gt;0.19011497&lt;/D&gt;&lt;D xsi:type="xsd:double"&gt;-3.858322&lt;/D&gt;&lt;D xsi:type="xsd:double"&gt;-0.98683834&lt;/D&gt;&lt;D xsi:type="xsd:double"&gt;3.5880446&lt;/D&gt;&lt;D xsi:type="xsd:double"&gt;1.4497995&lt;/D&gt;&lt;D xsi:type="xsd:double"&gt;2.0192266&lt;/D&gt;&lt;D xsi:type="xsd:double"&gt;-0.5340874&lt;/D&gt;&lt;D xsi:type="xsd:double"&gt;3.4112453&lt;/D&gt;&lt;D xsi:type="xsd:double"&gt;3.5736084&lt;/D&gt;&lt;D xsi:type="xsd:double"&gt;0.82571507&lt;/D&gt;&lt;D xsi:type="xsd:double"&gt;-1.1959672&lt;/D&gt;&lt;D xsi:type="xsd:double"&gt;1.2711763&lt;/D&gt;&lt;D xsi:type="xsd:double"&gt;2.9886484&lt;/D&gt;&lt;D xsi:type="xsd:double"&gt;2.0313382&lt;/D&gt;&lt;D xsi:type="xsd:double"&gt;-1.4789522&lt;/D&gt;&lt;D xsi:type="xsd:double"&gt;1.5300155&lt;/D&gt;&lt;D xsi:type="xsd:double"&gt;5.9454083&lt;/D&gt;&lt;D xsi:type="xsd:double"&gt;-6.2619686&lt;/D&gt;&lt;D xsi:type="xsd:double"&gt;2.304554&lt;/D&gt;&lt;D xsi:type="xsd:double"&gt;2.6518345&lt;/D&gt;&lt;D xsi:type="xsd:double"&gt;2.1388888&lt;/D&gt;&lt;D xsi:type="xsd:double"&gt;-0.38074255&lt;/D&gt;&lt;D xsi:type="xsd:double"&gt;-3.2392502&lt;/D&gt;&lt;D xsi:type="xsd:double"&gt;-1.8775225&lt;/D&gt;&lt;D xsi:type="xsd:double"&gt;-2.826029&lt;/D&gt;&lt;D xsi:type="xsd:double"&gt;-2.3023248&lt;/D&gt;&lt;D xsi:type="xsd:double"&gt;0.4031062&lt;/D&gt;&lt;D xsi:type="xsd:double"&gt;-7.257569&lt;/D&gt;&lt;D xsi:type="xsd:double"&gt;4.0235996&lt;/D&gt;&lt;D xsi:type="xsd:double"&gt;3.0421972&lt;/D&gt;&lt;D xsi:type="xsd:double"&gt;3.396821&lt;/D&gt;&lt;D xsi:type="xsd:double"&gt;3.5922647&lt;/D&gt;&lt;D xsi:type="xsd:double"&gt;-2.1932483&lt;/D&gt;&lt;D xsi:type="xsd:double"&gt;-0.090903044&lt;/D&gt;&lt;D xsi:type="xsd:double"&gt;0.3886342&lt;/D&gt;&lt;D xsi:type="xsd:double"&gt;-6.755501&lt;/D&gt;&lt;D xsi:type="xsd:double"&gt;4.087734&lt;/D&gt;&lt;D xsi:type="xsd:double"&gt;1.021707&lt;/D&gt;&lt;D xsi:type="xsd:double"&gt;3.0341268&lt;/D&gt;&lt;D xsi:type="xsd:double"&gt;1.1963248&lt;/D&gt;&lt;D xsi:type="xsd:double"&gt;3.724742&lt;/D&gt;&lt;D xsi:type="xsd:double"&gt;-1.8138587&lt;/D&gt;&lt;D xsi:type="xsd:double"&gt;-22.471231&lt;/D&gt;&lt;D xsi:type="xsd:double"&gt;-2.382815&lt;/D&gt;&lt;D xsi:type="xsd:double"&gt;0.56022406&lt;/D&gt;&lt;D xsi:type="xsd:double"&gt;2.228415&lt;/D&gt;&lt;D xsi:type="xsd:double"&gt;2.9383779&lt;/D&gt;&lt;D xsi:type="xsd:double"&gt;2.9942393&lt;/D&gt;&lt;D xsi:type="xsd:double"&gt;-3.1308234&lt;/D&gt;&lt;D xsi:type="xsd:double"&gt;1.4621019&lt;/D&gt;&lt;D xsi:type="xsd:double"&gt;7.9256654&lt;/D&gt;&lt;D xsi:type="xsd:double"&gt;3.1974792&lt;/D&gt;&lt;D xsi:type="xsd:double"&gt;5.726075&lt;/D&gt;&lt;D xsi:type="xsd:double"&gt;-1.9218266&lt;/D&gt;&lt;D xsi:type="xsd:double"&gt;5.114579&lt;/D&gt;&lt;D xsi:type="xsd:double"&gt;1.4533997&lt;/D&gt;&lt;D xsi:type="xsd:double"&gt;4.048586&lt;/D&gt;&lt;D xsi:type="xsd:double"&gt;2.694106&lt;/D&gt;&lt;D xsi:type="xsd:double"&gt;-1.6893983&lt;/D&gt;&lt;D xsi:type="xsd:double"&gt;1.5676856&lt;/D&gt;&lt;D xsi:type="xsd:double"&gt;-2.8198183&lt;/D&gt;&lt;D xsi:type="xsd:double"&gt;0.12216568&lt;/D&gt;&lt;D xsi:type="xsd:double"&gt;2.3184896&lt;/D&gt;&lt;D xsi:type="xsd:double"&gt;-1.4311254&lt;/D&gt;&lt;D xsi:type="xsd:double"&gt;6.327176&lt;/D&gt;&lt;D xsi:type="xsd:double"&gt;0.7307768&lt;/D&gt;&lt;D xsi:type="xsd:double"&gt;-8.589667&lt;/D&gt;&lt;D xsi:type="xsd:double"&gt;7.4285746&lt;/D&gt;&lt;D xsi:type="xsd:double"&gt;-9.249413&lt;/D&gt;&lt;D xsi:type="xsd:double"&gt;2.399683&lt;/D&gt;&lt;D xsi:type="xsd:double"&gt;-5.60233&lt;/D&gt;&lt;D xsi:type="xsd:double"&gt;6.6895366&lt;/D&gt;&lt;D xsi:type="xsd:double"&gt;-5.7234764&lt;/D&gt;&lt;D xsi:type="xsd:double"&gt;-11.493855&lt;/D&gt;&lt;D xsi:type="xsd:double"&gt;15.105974&lt;/D&gt;&lt;D xsi:type="xsd:double"&gt;5.490458&lt;/D&gt;&lt;D xsi:type="xsd:double"&gt;3.0746102&lt;/D&gt;&lt;D xsi:type="xsd:double"&gt;1.1562467&lt;/D&gt;&lt;D xsi:type="xsd:double"&gt;-2.4714231&lt;/D&gt;&lt;D xsi:type="xsd:double"&gt;5.0047517&lt;/D&gt;&lt;D xsi:type="xsd:double"&gt;0.4524827&lt;/D&gt;&lt;D xsi:type="xsd:double"&gt;-1.5473723&lt;/D&gt;&lt;D xsi:type="xsd:double"&gt;-1.243782&lt;/D&gt;&lt;D xsi:type="xsd:double"&gt;2.3299694&lt;/D&gt;&lt;D xsi:type="xsd:double"&gt;-1.5384614&lt;/D&gt;&lt;D xsi:type="xsd:double"&gt;0.5312443&lt;/D&gt;&lt;D xsi:type="xsd:double"&gt;-3.5125792&lt;/D&gt;&lt;D xsi:type="xsd:double"&gt;4.896903&lt;/D&gt;&lt;D xsi:type="xsd:double"&gt;2.5849342&lt;/D&gt;&lt;D xsi:type="xsd:double"&gt;-1.2251198&lt;/D&gt;&lt;D xsi:type="xsd:double"&gt;3.5348772999999998&lt;/D&gt;&lt;D xsi:type="xsd:double"&gt;2.0964384&lt;/D&gt;&lt;/FQL&gt;&lt;FQL&gt;&lt;Q&gt;NI-FDS^FG_PRICE_MAVG(0,,,,30)&lt;/Q&gt;&lt;R&gt;1&lt;/R&gt;&lt;C&gt;1&lt;/C&gt;&lt;D xsi:type="xsd:double"&gt;17432.5&lt;/D&gt;&lt;/FQL&gt;&lt;FQL&gt;&lt;Q&gt;USDEUR^FG_PRICE_CHANGE(0,-3AM)&lt;/Q&gt;&lt;R&gt;1&lt;/R&gt;&lt;C&gt;1&lt;/C&gt;&lt;D xsi:type="xsd:double"&gt;2.251184&lt;/D&gt;&lt;/FQL&gt;&lt;FQL&gt;&lt;Q&gt;TRYEU10Y-FDS^FG_YIELD(-10AY,0,Y,,"YTM")&lt;/Q&gt;&lt;R&gt;10&lt;/R&gt;&lt;C&gt;1&lt;/C&gt;&lt;D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xsi:type="xsd:double"&gt;2.004&lt;/D&gt;&lt;/FQL&gt;&lt;FQL&gt;&lt;Q&gt;EWU^P_PRICE_RETURNS_PR('52W',2,-10AY,0,AM)&lt;/Q&gt;&lt;R&gt;121&lt;/R&gt;&lt;C&gt;1&lt;/C&gt;&lt;D xsi:type="xsd:double"&gt;13.930035&lt;/D&gt;&lt;D xsi:type="xsd:double"&gt;16.00603&lt;/D&gt;&lt;D xsi:type="xsd:double"&gt;20.175457&lt;/D&gt;&lt;D xsi:type="xsd:double"&gt;18.136002&lt;/D&gt;&lt;D xsi:type="xsd:double"&gt;11.484265&lt;/D&gt;&lt;D xsi:type="xsd:double"&gt;8.266079&lt;/D&gt;&lt;D xsi:type="xsd:double"&gt;0.6505251&lt;/D&gt;&lt;D xsi:type="xsd:double"&gt;0.4875183&lt;/D&gt;&lt;D xsi:type="xsd:double"&gt;-2.8967917&lt;/D&gt;&lt;D xsi:type="xsd:double"&gt;-8.599299&lt;/D&gt;&lt;D xsi:type="xsd:double"&gt;-3.4538388&lt;/D&gt;&lt;D xsi:type="xsd:double"&gt;-6.9343925&lt;/D&gt;&lt;D xsi:type="xsd:double"&gt;-3.382969&lt;/D&gt;&lt;D xsi:type="xsd:double"&gt;-2.4161458&lt;/D&gt;&lt;D xsi:type="xsd:double"&gt;-5.4445267&lt;/D&gt;&lt;D xsi:type="xsd:double"&gt;-7.693529&lt;/D&gt;&lt;D xsi:type="xsd:double"&gt;-4.5921803&lt;/D&gt;&lt;D xsi:type="xsd:double"&gt;-12.090075&lt;/D&gt;&lt;D xsi:type="xsd:double"&gt;-1.8617809&lt;/D&gt;&lt;D xsi:type="xsd:double"&gt;-7.3313417&lt;/D&gt;&lt;D xsi:type="xsd:double"&gt;-8.3966255&lt;/D&gt;&lt;D xsi:type="xsd:double"&gt;-11.082047&lt;/D&gt;&lt;D xsi:type="xsd:double"&gt;-20.240616&lt;/D&gt;&lt;D xsi:type="xsd:double"&gt;-9.371752&lt;/D&gt;&lt;D xsi:type="xsd:double"&gt;-12.979728&lt;/D&gt;&lt;D xsi:type="xsd:double"&gt;-16.873407&lt;/D&gt;&lt;D xsi:type="xsd:double"&gt;-15.454971&lt;/D&gt;&lt;D xsi:type="xsd:double"&gt;-13.869822&lt;/D&gt;&lt;D xsi:type="xsd:double"&gt;-10.65948&lt;/D&gt;&lt;D xsi:type="xsd:double"&gt;-1.9370139&lt;/D&gt;&lt;D xsi:type="xsd:double"&gt;-9.635496&lt;/D&gt;&lt;D xsi:type="xsd:double"&gt;-8.015739&lt;/D&gt;&lt;D xsi:type="xsd:double"&gt;-1.4296293&lt;/D&gt;&lt;D xsi:type="xsd:double"&gt;7.611561&lt;/D&gt;&lt;D xsi:type="xsd:double"&gt;14.896059&lt;/D&gt;&lt;D xsi:type="xsd:double"&gt;6.9957137&lt;/D&gt;&lt;D xsi:type="xsd:double"&gt;8.944452&lt;/D&gt;&lt;D xsi:type="xsd:double"&gt;11.339855&lt;/D&gt;&lt;D xsi:type="xsd:double"&gt;9.490776&lt;/D&gt;&lt;D xsi:type="xsd:double"&gt;12.809229&lt;/D&gt;&lt;D xsi:type="xsd:double"&gt;9.899402&lt;/D&gt;&lt;D xsi:type="xsd:double"&gt;12.969124&lt;/D&gt;&lt;D xsi:type="xsd:double"&gt;19.88964&lt;/D&gt;&lt;D xsi:type="xsd:double"&gt;18.155396&lt;/D&gt;&lt;D xsi:type="xsd:double"&gt;16.923714&lt;/D&gt;&lt;D xsi:type="xsd:double"&gt;22.105038&lt;/D&gt;&lt;D xsi:type="xsd:double"&gt;12.511563&lt;/D&gt;&lt;D xsi:type="xsd:double"&gt;15.981436&lt;/D&gt;&lt;D xsi:type="xsd:double"&gt;14.547873&lt;/D&gt;&lt;D xsi:type="xsd:double"&gt;12.961149&lt;/D&gt;&lt;D xsi:type="xsd:double"&gt;11.609483&lt;/D&gt;&lt;D xsi:type="xsd:double"&gt;9.301388&lt;/D&gt;&lt;D xsi:type="xsd:double"&gt;5.3990126&lt;/D&gt;&lt;D xsi:type="xsd:double"&gt;-0.07620454&lt;/D&gt;&lt;D xsi:type="xsd:double"&gt;-4.320365&lt;/D&gt;&lt;D xsi:type="xsd:double"&gt;-2.6892304&lt;/D&gt;&lt;D xsi:type="xsd:double"&gt;-10.932005&lt;/D&gt;&lt;D xsi:type="xsd:double"&gt;-12.547672&lt;/D&gt;&lt;D xsi:type="xsd:double"&gt;-3.8674057&lt;/D&gt;&lt;D xsi:type="xsd:double"&gt;-2.8410256&lt;/D&gt;&lt;D xsi:type="xsd:double"&gt;-1.9509196&lt;/D&gt;&lt;D xsi:type="xsd:double"&gt;-5.9817553&lt;/D&gt;&lt;D xsi:type="xsd:double"&gt;-5.836421&lt;/D&gt;&lt;D xsi:type="xsd:double"&gt;-2.305919&lt;/D&gt;&lt;D xsi:type="xsd:double"&gt;-8.615273&lt;/D&gt;&lt;D xsi:type="xsd:double"&gt;-0.55737495&lt;/D&gt;&lt;D xsi:type="xsd:double"&gt;2.826035&lt;/D&gt;&lt;D xsi:type="xsd:double"&gt;5.5205584&lt;/D&gt;&lt;D xsi:type="xsd:double"&gt;15.139222&lt;/D&gt;&lt;D xsi:type="xsd:double"&gt;14.845991&lt;/D&gt;&lt;D xsi:type="xsd:double"&gt;9.397864&lt;/D&gt;&lt;D xsi:type="xsd:double"&gt;-17.971539&lt;/D&gt;&lt;D xsi:type="xsd:double"&gt;-22.542137&lt;/D&gt;&lt;D xsi:type="xsd:double"&gt;-20.526773&lt;/D&gt;&lt;D xsi:type="xsd:double"&gt;-18.681854&lt;/D&gt;&lt;D xsi:type="xsd:double"&gt;-16.590618&lt;/D&gt;&lt;D xsi:type="xsd:double"&gt;-7.8978004&lt;/D&gt;&lt;D xsi:type="xsd:double"&gt;-14.285147&lt;/D&gt;&lt;D xsi:type="xsd:double"&gt;-10.074597&lt;/D&gt;&lt;D xsi:type="xsd:double"&gt;-9.824449&lt;/D&gt;&lt;D xsi:type="xsd:double"&gt;-8.041233&lt;/D&gt;&lt;D xsi:type="xsd:double"&gt;-6.266916&lt;/D&gt;&lt;D xsi:type="xsd:double"&gt;-6.369996&lt;/D&gt;&lt;D xsi:type="xsd:double"&gt;26.94485&lt;/D&gt;&lt;D xsi:type="xsd:double"&gt;31.933605&lt;/D&gt;&lt;D xsi:type="xsd:double"&gt;36.510277&lt;/D&gt;&lt;D xsi:type="xsd:double"&gt;37.132133&lt;/D&gt;&lt;D xsi:type="xsd:double"&gt;32.492935&lt;/D&gt;&lt;D xsi:type="xsd:double"&gt;29.153097&lt;/D&gt;&lt;D xsi:type="xsd:double"&gt;30.87703&lt;/D&gt;&lt;D xsi:type="xsd:double"&gt;27.856647&lt;/D&gt;&lt;D xsi:type="xsd:double"&gt;21.213972&lt;/D&gt;&lt;D xsi:type="xsd:double"&gt;14.4908905&lt;/D&gt;&lt;D xsi:type="xsd:double"&gt;16.435564&lt;/D&gt;&lt;D xsi:type="xsd:double"&gt;19.584667&lt;/D&gt;&lt;D xsi:type="xsd:double"&gt;3.9938807&lt;/D&gt;&lt;D xsi:type="xsd:double"&gt;10.118687&lt;/D&gt;&lt;D xsi:type="xsd:double"&gt;-3.955102&lt;/D&gt;&lt;D xsi:type="xsd:double"&gt;-3.6018848&lt;/D&gt;&lt;D xsi:type="xsd:double"&gt;-8.04224&lt;/D&gt;&lt;D xsi:type="xsd:double"&gt;-3.4049928&lt;/D&gt;&lt;D xsi:type="xsd:double"&gt;-6.233883&lt;/D&gt;&lt;D xsi:type="xsd:double"&gt;-17.163122&lt;/D&gt;&lt;D xsi:type="xsd:double"&gt;-6.810397&lt;/D&gt;&lt;D xsi:type="xsd:double"&gt;-0.14573336&lt;/D&gt;&lt;D xsi:type="xsd:double"&gt;-3.3174276&lt;/D&gt;&lt;D xsi:type="xsd:double"&gt;-3.357774&lt;/D&gt;&lt;D xsi:type="xsd:double"&gt;2.903378&lt;/D&gt;&lt;D xsi:type="xsd:double"&gt;1.2521982&lt;/D&gt;&lt;D xsi:type="xsd:double"&gt;12.076783&lt;/D&gt;&lt;D xsi:type="xsd:double"&gt;5.2681923&lt;/D&gt;&lt;D xsi:type="xsd:double"&gt;12.732088&lt;/D&gt;&lt;D xsi:type="xsd:double"&gt;8.125603&lt;/D&gt;&lt;D xsi:type="xsd:double"&gt;12.92541&lt;/D&gt;&lt;D xsi:type="xsd:double"&gt;28.268278&lt;/D&gt;&lt;D xsi:type="xsd:double"&gt;7.80946&lt;/D&gt;&lt;D xsi:type="xsd:double"&gt;6.915736&lt;/D&gt;&lt;D xsi:type="xsd:double"&gt;6.4078093&lt;/D&gt;&lt;D xsi:type="xsd:double"&gt;3.5190463&lt;/D&gt;&lt;D xsi:type="xsd:double"&gt;10.301674&lt;/D&gt;&lt;D xsi:type="xsd:double"&gt;7.2466493&lt;/D&gt;&lt;/FQL&gt;&lt;FQL&gt;&lt;Q&gt;W-FDS^MAX(FG_PRICE(0,-5AY))&lt;/Q&gt;&lt;R&gt;1&lt;/R&gt;&lt;C&gt;1&lt;/C&gt;&lt;D xsi:type="xsd:double"&gt;14.2525&lt;/D&gt;&lt;/FQL&gt;&lt;FQL&gt;&lt;Q&gt;EWI^FMA_PE(LTMA,-10AY,0,AM,"PORTAGG","MEANR")&lt;/Q&gt;&lt;R&gt;121&lt;/R&gt;&lt;C&gt;1&lt;/C&gt;&lt;D xsi:type="xsd:double"&gt;17.1575080944983&lt;/D&gt;&lt;D xsi:type="xsd:double"&gt;17.0669320017407&lt;/D&gt;&lt;D xsi:type="xsd:double"&gt;17.37275731574&lt;/D&gt;&lt;D xsi:type="xsd:double"&gt;17.0932738479799&lt;/D&gt;&lt;D xsi:type="xsd:double"&gt;16.7033651826421&lt;/D&gt;&lt;D xsi:type="xsd:double"&gt;17.9830045738979&lt;/D&gt;&lt;D xsi:type="xsd:double"&gt;16.6057970202461&lt;/D&gt;&lt;D xsi:type="xsd:double"&gt;17.2294615351006&lt;/D&gt;&lt;D xsi:type="xsd:double"&gt;18.2529943238869&lt;/D&gt;&lt;D xsi:type="xsd:double"&gt;17.9847340611129&lt;/D&gt;&lt;D xsi:type="xsd:double"&gt;32.0534942857612&lt;/D&gt;&lt;D xsi:type="xsd:double"&gt;44.2671378927617&lt;/D&gt;&lt;D xsi:type="xsd:double"&gt;41.630709008208&lt;/D&gt;&lt;D xsi:type="xsd:double"&gt;38.7064316763568&lt;/D&gt;&lt;D xsi:type="xsd:double"&gt;35.6603115385191&lt;/D&gt;&lt;D xsi:type="xsd:double"&gt;32.8268562504785&lt;/D&gt;&lt;D xsi:type="xsd:double"&gt;30.485346399749&lt;/D&gt;&lt;D xsi:type="xsd:double"&gt;26.8197849684988&lt;/D&gt;&lt;D xsi:type="xsd:double"&gt;24.7980715969217&lt;/D&gt;&lt;D xsi:type="xsd:double"&gt;22.5530256906716&lt;/D&gt;&lt;D xsi:type="xsd:double"&gt;19.3443437809919&lt;/D&gt;&lt;D xsi:type="xsd:double"&gt;16.8249210502295&lt;/D&gt;&lt;D xsi:type="xsd:double"&gt;13.9975632101423&lt;/D&gt;&lt;D xsi:type="xsd:double"&gt;15.491198863705&lt;/D&gt;&lt;D xsi:type="xsd:double"&gt;15.1872468823823&lt;/D&gt;&lt;D xsi:type="xsd:double"&gt;15.2188763923141&lt;/D&gt;&lt;D xsi:type="xsd:double"&gt;14.7941789169836&lt;/D&gt;&lt;D xsi:type="xsd:double"&gt;14.3551876580649&lt;/D&gt;&lt;D xsi:type="xsd:double"&gt;15.1500544707604&lt;/D&gt;&lt;D xsi:type="xsd:double"&gt;15.0932806233599&lt;/D&gt;&lt;D xsi:type="xsd:double"&gt;14.6147285756586&lt;/D&gt;&lt;D xsi:type="xsd:double"&gt;14.4928546227796&lt;/D&gt;&lt;D xsi:type="xsd:double"&gt;15.600308867887&lt;/D&gt;&lt;D xsi:type="xsd:double"&gt;28.0705914329345&lt;/D&gt;&lt;D xsi:type="xsd:double"&gt;20.2113008032908&lt;/D&gt;&lt;D xsi:type="xsd:double"&gt;83.6936885776985&lt;/D&gt;&lt;D xsi:type="xsd:double"&gt;76.1445083543372&lt;/D&gt;&lt;D xsi:type="xsd:double"&gt;69.3685409616605&lt;/D&gt;&lt;D xsi:type="xsd:double"&gt;62.4456491444949&lt;/D&gt;&lt;D xsi:type="xsd:double"&gt;54.9651922057747&lt;/D&gt;&lt;D xsi:type="xsd:double"&gt;47.6640328840124&lt;/D&gt;&lt;D xsi:type="xsd:double"&gt;40.6551742872961&lt;/D&gt;&lt;D xsi:type="xsd:double"&gt;33.9245521525938&lt;/D&gt;&lt;D xsi:type="xsd:double"&gt;27.0356986220154&lt;/D&gt;&lt;D xsi:type="xsd:double"&gt;20.2598566345016&lt;/D&gt;&lt;D xsi:type="xsd:double"&gt;15.8715529519577&lt;/D&gt;&lt;D xsi:type="xsd:double"&gt;14.2880606067901&lt;/D&gt;&lt;D xsi:type="xsd:double"&gt;14.213166354276&lt;/D&gt;&lt;D xsi:type="xsd:double"&gt;14.105870203086&lt;/D&gt;&lt;D xsi:type="xsd:double"&gt;14.1342325651946&lt;/D&gt;&lt;D xsi:type="xsd:double"&gt;13.5013598616347&lt;/D&gt;&lt;D xsi:type="xsd:double"&gt;13.221974672977&lt;/D&gt;&lt;D xsi:type="xsd:double"&gt;12.9147783640993&lt;/D&gt;&lt;D xsi:type="xsd:double"&gt;12.5224998590438&lt;/D&gt;&lt;D xsi:type="xsd:double"&gt;11.7041343931501&lt;/D&gt;&lt;D xsi:type="xsd:double"&gt;11.4554618129675&lt;/D&gt;&lt;D xsi:type="xsd:double"&gt;10.7283946613168&lt;/D&gt;&lt;D xsi:type="xsd:double"&gt;10.9245469207095&lt;/D&gt;&lt;D xsi:type="xsd:double"&gt;10.8969590323238&lt;/D&gt;&lt;D xsi:type="xsd:double"&gt;11.2747853136852&lt;/D&gt;&lt;D xsi:type="xsd:double"&gt;11.3344615174932&lt;/D&gt;&lt;D xsi:type="xsd:double"&gt;11.1527200179335&lt;/D&gt;&lt;D xsi:type="xsd:double"&gt;10.9842201088956&lt;/D&gt;&lt;D xsi:type="xsd:double"&gt;11.3540032008515&lt;/D&gt;&lt;D xsi:type="xsd:double"&gt;10.8206329945518&lt;/D&gt;&lt;D xsi:type="xsd:double"&gt;11.2737088570381&lt;/D&gt;&lt;D xsi:type="xsd:double"&gt;11.4178771454536&lt;/D&gt;&lt;D xsi:type="xsd:double"&gt;11.9643130468678&lt;/D&gt;&lt;D xsi:type="xsd:double"&gt;11.8678634970201&lt;/D&gt;&lt;D xsi:type="xsd:double"&gt;12.3495105864705&lt;/D&gt;&lt;D xsi:type="xsd:double"&gt;12.7138930251127&lt;/D&gt;&lt;D xsi:type="xsd:double"&gt;10.9819137612749&lt;/D&gt;&lt;D xsi:type="xsd:double"&gt;11.3594125527211&lt;/D&gt;&lt;D xsi:type="xsd:double"&gt;13.5039917164123&lt;/D&gt;&lt;D xsi:type="xsd:double"&gt;15.5136867638008&lt;/D&gt;&lt;D xsi:type="xsd:double"&gt;16.8457097275075&lt;/D&gt;&lt;D xsi:type="xsd:double"&gt;17.8451354807535&lt;/D&gt;&lt;D xsi:type="xsd:double"&gt;18.2445832226643&lt;/D&gt;&lt;D xsi:type="xsd:double"&gt;18.7647342688994&lt;/D&gt;&lt;D xsi:type="xsd:double"&gt;20.5573324271127&lt;/D&gt;&lt;D xsi:type="xsd:double"&gt;22.2710727259828&lt;/D&gt;&lt;D xsi:type="xsd:double"&gt;23.6152581957571&lt;/D&gt;&lt;D xsi:type="xsd:double"&gt;20.6554767037076&lt;/D&gt;&lt;D xsi:type="xsd:double"&gt;20.1495513516651&lt;/D&gt;&lt;D xsi:type="xsd:double"&gt;19.5983226751671&lt;/D&gt;&lt;D xsi:type="xsd:double"&gt;18.768233333425&lt;/D&gt;&lt;D xsi:type="xsd:double"&gt;18.4783752081425&lt;/D&gt;&lt;D xsi:type="xsd:double"&gt;17.703134076901&lt;/D&gt;&lt;D xsi:type="xsd:double"&gt;16.4175237255488&lt;/D&gt;&lt;D xsi:type="xsd:double"&gt;15.2641800257466&lt;/D&gt;&lt;D xsi:type="xsd:double"&gt;14.4441755308437&lt;/D&gt;&lt;D xsi:type="xsd:double"&gt;13.91922246715&lt;/D&gt;&lt;D xsi:type="xsd:double"&gt;12.3618843121288&lt;/D&gt;&lt;D xsi:type="xsd:double"&gt;12.2069172441674&lt;/D&gt;&lt;D xsi:type="xsd:double"&gt;11.7749939214889&lt;/D&gt;&lt;D xsi:type="xsd:double"&gt;10.4997690057126&lt;/D&gt;&lt;D xsi:type="xsd:double"&gt;10.5228216394677&lt;/D&gt;&lt;D xsi:type="xsd:double"&gt;10.2563673925551&lt;/D&gt;&lt;D xsi:type="xsd:double"&gt;9.67727762348045&lt;/D&gt;&lt;D xsi:type="xsd:double"&gt;9.26417747472071&lt;/D&gt;&lt;D xsi:type="xsd:double"&gt;8.89248816099702&lt;/D&gt;&lt;D xsi:type="xsd:double"&gt;8.47891126965454&lt;/D&gt;&lt;D xsi:type="xsd:double"&gt;7.9287247942919&lt;/D&gt;&lt;D xsi:type="xsd:double"&gt;8.46508007121735&lt;/D&gt;&lt;D xsi:type="xsd:double"&gt;7.71614793984135&lt;/D&gt;&lt;D xsi:type="xsd:double"&gt;7.93485220472972&lt;/D&gt;&lt;D xsi:type="xsd:double"&gt;8.26053351230494&lt;/D&gt;&lt;D xsi:type="xsd:double"&gt;8.29206594207187&lt;/D&gt;&lt;D xsi:type="xsd:double"&gt;8.36101445676483&lt;/D&gt;&lt;D xsi:type="xsd:double"&gt;8.27646216511997&lt;/D&gt;&lt;D xsi:type="xsd:double"&gt;8.44372267252691&lt;/D&gt;&lt;D xsi:type="xsd:double"&gt;8.56615293413867&lt;/D&gt;&lt;D xsi:type="xsd:double"&gt;8.24483947741719&lt;/D&gt;&lt;D xsi:type="xsd:double"&gt;8.37125967596516&lt;/D&gt;&lt;D xsi:type="xsd:double"&gt;8.24298651710843&lt;/D&gt;&lt;D xsi:type="xsd:double"&gt;8.10454041841566&lt;/D&gt;&lt;D xsi:type="xsd:double"&gt;8.80600755181348&lt;/D&gt;&lt;D xsi:type="xsd:double"&gt;8.88427027451915&lt;/D&gt;&lt;D xsi:type="xsd:double"&gt;9.0843759536886&lt;/D&gt;&lt;D xsi:type="xsd:double"&gt;9.37942399341125&lt;/D&gt;&lt;D xsi:type="xsd:double"&gt;9.46828484809891&lt;/D&gt;&lt;/FQL&gt;&lt;FQL&gt;&lt;Q&gt;USDEUR^FG_COMPANY_NAME&lt;/Q&gt;&lt;R&gt;1&lt;/R&gt;&lt;C&gt;1&lt;/C&gt;&lt;D xsi:type="xsd:string"&gt;Euro per U.S. Dollar&lt;/D&gt;&lt;/FQL&gt;&lt;FQL&gt;&lt;Q&gt;EWA^FG_PRICE(0)&lt;/Q&gt;&lt;R&gt;1&lt;/R&gt;&lt;C&gt;1&lt;/C&gt;&lt;D xsi:type="xsd:double"&gt;24.35&lt;/D&gt;&lt;/FQL&gt;&lt;FQL&gt;&lt;Q&gt;EWA^JULIAN(FMA_ROE(NTMA,-20AY,NOW,FY,"PORTAGG","MEANR").DATES)&lt;/Q&gt;&lt;R&gt;20&lt;/R&gt;&lt;C&gt;1&lt;/C&gt;&lt;D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xsi:type="xsd:long"&gt;45289&lt;/D&gt;&lt;/FQL&gt;&lt;FQL&gt;&lt;Q&gt;USDANG^STD(FG_PRICE_CHANGE(0,-3AY,M))&lt;/Q&gt;&lt;R&gt;1&lt;/R&gt;&lt;C&gt;1&lt;/C&gt;&lt;D xsi:type="xsd:double"&gt;0.0414043666666667&lt;/D&gt;&lt;/FQL&gt;&lt;FQL&gt;&lt;Q&gt;EWC^P_PRICE_RETURNS_PR('52W',2,-10AY,0,AM)&lt;/Q&gt;&lt;R&gt;121&lt;/R&gt;&lt;C&gt;1&lt;/C&gt;&lt;D xsi:type="xsd:double"&gt;7.8125&lt;/D&gt;&lt;D xsi:type="xsd:double"&gt;9.929026&lt;/D&gt;&lt;D xsi:type="xsd:double"&gt;16.926968&lt;/D&gt;&lt;D xsi:type="xsd:double"&gt;19.659496&lt;/D&gt;&lt;D xsi:type="xsd:double"&gt;17.686546&lt;/D&gt;&lt;D xsi:type="xsd:double"&gt;16.146778&lt;/D&gt;&lt;D xsi:type="xsd:double"&gt;4.855728&lt;/D&gt;&lt;D xsi:type="xsd:double"&gt;4.668963&lt;/D&gt;&lt;D xsi:type="xsd:double"&gt;0.11059046&lt;/D&gt;&lt;D xsi:type="xsd:double"&gt;-1.0877728&lt;/D&gt;&lt;D xsi:type="xsd:double"&gt;-1.7581522&lt;/D&gt;&lt;D xsi:type="xsd:double"&gt;-6.9610596&lt;/D&gt;&lt;D xsi:type="xsd:double"&gt;-3.016603&lt;/D&gt;&lt;D xsi:type="xsd:double"&gt;-3.0089676&lt;/D&gt;&lt;D xsi:type="xsd:double"&gt;-8.855396&lt;/D&gt;&lt;D xsi:type="xsd:double"&gt;-17.612808&lt;/D&gt;&lt;D xsi:type="xsd:double"&gt;-18.808758&lt;/D&gt;&lt;D xsi:type="xsd:double"&gt;-25.861835&lt;/D&gt;&lt;D xsi:type="xsd:double"&gt;-14.33844&lt;/D&gt;&lt;D xsi:type="xsd:double"&gt;-20.987488&lt;/D&gt;&lt;D xsi:type="xsd:double"&gt;-20.903772&lt;/D&gt;&lt;D xsi:type="xsd:double"&gt;-26.906717&lt;/D&gt;&lt;D xsi:type="xsd:double"&gt;-26.513784&lt;/D&gt;&lt;D xsi:type="xsd:double"&gt;-10.187304&lt;/D&gt;&lt;D xsi:type="xsd:double"&gt;-14.239872&lt;/D&gt;&lt;D xsi:type="xsd:double"&gt;-13.858307&lt;/D&gt;&lt;D xsi:type="xsd:double"&gt;-8.393568&lt;/D&gt;&lt;D xsi:type="xsd:double"&gt;-3.2511353&lt;/D&gt;&lt;D xsi:type="xsd:double"&gt;4.016149&lt;/D&gt;&lt;D xsi:type="xsd:double"&gt;9.925008&lt;/D&gt;&lt;D xsi:type="xsd:double"&gt;3.3929348&lt;/D&gt;&lt;D xsi:type="xsd:double"&gt;9.381807&lt;/D&gt;&lt;D xsi:type="xsd:double"&gt;24.650024&lt;/D&gt;&lt;D xsi:type="xsd:double"&gt;38.908733&lt;/D&gt;&lt;D xsi:type="xsd:double"&gt;40.505028&lt;/D&gt;&lt;D xsi:type="xsd:double"&gt;17.835342&lt;/D&gt;&lt;D xsi:type="xsd:double"&gt;16.178703&lt;/D&gt;&lt;D xsi:type="xsd:double"&gt;9.371471&lt;/D&gt;&lt;D xsi:type="xsd:double"&gt;5.9164166&lt;/D&gt;&lt;D xsi:type="xsd:double"&gt;10.9995365&lt;/D&gt;&lt;D xsi:type="xsd:double"&gt;7.314205&lt;/D&gt;&lt;D xsi:type="xsd:double"&gt;14.405513&lt;/D&gt;&lt;D xsi:type="xsd:double"&gt;18.225443&lt;/D&gt;&lt;D xsi:type="xsd:double"&gt;18.012608&lt;/D&gt;&lt;D xsi:type="xsd:double"&gt;10.223663&lt;/D&gt;&lt;D xsi:type="xsd:double"&gt;13.542151&lt;/D&gt;&lt;D xsi:type="xsd:double"&gt;2.7895808&lt;/D&gt;&lt;D xsi:type="xsd:double"&gt;7.9732656&lt;/D&gt;&lt;D xsi:type="xsd:double"&gt;5.662&lt;/D&gt;&lt;D xsi:type="xsd:double"&gt;13.323426&lt;/D&gt;&lt;D xsi:type="xsd:double"&gt;11.861563&lt;/D&gt;&lt;D xsi:type="xsd:double"&gt;9.072817&lt;/D&gt;&lt;D xsi:type="xsd:double"&gt;8.134068&lt;/D&gt;&lt;D xsi:type="xsd:double"&gt;1.475513&lt;/D&gt;&lt;D xsi:type="xsd:double"&gt;-5.411124&lt;/D&gt;&lt;D xsi:type="xsd:double"&gt;-7.0441065&lt;/D&gt;&lt;D xsi:type="xsd:double"&gt;-10.938305&lt;/D&gt;&lt;D xsi:type="xsd:double"&gt;-12.168371&lt;/D&gt;&lt;D xsi:type="xsd:double"&gt;-0.39099455&lt;/D&gt;&lt;D xsi:type="xsd:double"&gt;0.799191&lt;/D&gt;&lt;D xsi:type="xsd:double"&gt;3.3963203&lt;/D&gt;&lt;D xsi:type="xsd:double"&gt;-1.2591004&lt;/D&gt;&lt;D xsi:type="xsd:double"&gt;-0.4827261&lt;/D&gt;&lt;D xsi:type="xsd:double"&gt;3.5627246&lt;/D&gt;&lt;D xsi:type="xsd:double"&gt;-0.7489443&lt;/D&gt;&lt;D xsi:type="xsd:double"&gt;4.4464707&lt;/D&gt;&lt;D xsi:type="xsd:double"&gt;7.968235&lt;/D&gt;&lt;D xsi:type="xsd:double"&gt;12.789047&lt;/D&gt;&lt;D xsi:type="xsd:double"&gt;19.334911&lt;/D&gt;&lt;D xsi:type="xsd:double"&gt;19.079935&lt;/D&gt;&lt;D xsi:type="xsd:double"&gt;16.540718&lt;/D&gt;&lt;D xsi:type="xsd:double"&gt;-13.105022&lt;/D&gt;&lt;D xsi:type="xsd:double"&gt;-16.062647&lt;/D&gt;&lt;D xsi:type="xsd:double"&gt;-9.950769&lt;/D&gt;&lt;D xsi:type="xsd:double"&gt;-8.477634&lt;/D&gt;&lt;D xsi:type="xsd:double"&gt;-7.5025854&lt;/D&gt;&lt;D xsi:type="xsd:double"&gt;2.2095084&lt;/D&gt;&lt;D xsi:type="xsd:double"&gt;-0.98357797&lt;/D&gt;&lt;D xsi:type="xsd:double"&gt;4.028034&lt;/D&gt;&lt;D xsi:type="xsd:double"&gt;1.2423038&lt;/D&gt;&lt;D xsi:type="xsd:double"&gt;8.719599&lt;/D&gt;&lt;D xsi:type="xsd:double"&gt;8.302641&lt;/D&gt;&lt;D xsi:type="xsd:double"&gt;10.202301&lt;/D&gt;&lt;D xsi:type="xsd:double"&gt;49.737907&lt;/D&gt;&lt;D xsi:type="xsd:double"&gt;54.99711&lt;/D&gt;&lt;D xsi:type="xsd:double"&gt;51.870323&lt;/D&gt;&lt;D xsi:type="xsd:double"&gt;54.187214&lt;/D&gt;&lt;D xsi:type="xsd:double"&gt;46.55806&lt;/D&gt;&lt;D xsi:type="xsd:double"&gt;36.931564&lt;/D&gt;&lt;D xsi:type="xsd:double"&gt;36.46822&lt;/D&gt;&lt;D xsi:type="xsd:double"&gt;33.96888&lt;/D&gt;&lt;D xsi:type="xsd:double"&gt;38.048683&lt;/D&gt;&lt;D xsi:type="xsd:double"&gt;22.643148&lt;/D&gt;&lt;D xsi:type="xsd:double"&gt;24.623322&lt;/D&gt;&lt;D xsi:type="xsd:double"&gt;20.722507&lt;/D&gt;&lt;D xsi:type="xsd:double"&gt;14.490461&lt;/D&gt;&lt;D xsi:type="xsd:double"&gt;14.99548&lt;/D&gt;&lt;D xsi:type="xsd:double"&gt;-1.9816697&lt;/D&gt;&lt;D xsi:type="xsd:double"&gt;-2.3698807&lt;/D&gt;&lt;D xsi:type="xsd:double"&gt;-8.878523&lt;/D&gt;&lt;D xsi:type="xsd:double"&gt;-3.1326234&lt;/D&gt;&lt;D xsi:type="xsd:double"&gt;-5.0531683&lt;/D&gt;&lt;D xsi:type="xsd:double"&gt;-17.40532&lt;/D&gt;&lt;D xsi:type="xsd:double"&gt;-9.381306&lt;/D&gt;&lt;D xsi:type="xsd:double"&gt;-9.262556&lt;/D&gt;&lt;D xsi:type="xsd:double"&gt;-9.912252&lt;/D&gt;&lt;D xsi:type="xsd:double"&gt;-6.794584&lt;/D&gt;&lt;D xsi:type="xsd:double"&gt;-13.22946&lt;/D&gt;&lt;D xsi:type="xsd:double"&gt;-9.875506&lt;/D&gt;&lt;D xsi:type="xsd:double"&gt;1.4872789&lt;/D&gt;&lt;D xsi:type="xsd:double"&gt;-5.598557&lt;/D&gt;&lt;D xsi:type="xsd:double"&gt;6.1199784&lt;/D&gt;&lt;D xsi:type="xsd:double"&gt;-0.17054677&lt;/D&gt;&lt;D xsi:type="xsd:double"&gt;0.9576559&lt;/D&gt;&lt;D xsi:type="xsd:double"&gt;13.326157&lt;/D&gt;&lt;D xsi:type="xsd:double"&gt;-1.6509354&lt;/D&gt;&lt;D xsi:type="xsd:double"&gt;6.3604593&lt;/D&gt;&lt;D xsi:type="xsd:double"&gt;8.398354&lt;/D&gt;&lt;D xsi:type="xsd:double"&gt;6.067121&lt;/D&gt;&lt;D xsi:type="xsd:double"&gt;17.497206&lt;/D&gt;&lt;D xsi:type="xsd:double"&gt;10.811925&lt;/D&gt;&lt;/FQL&gt;&lt;FQL&gt;&lt;Q&gt;EWJ^FMA_ROE(NTMA,-20AY,NOW,FY,"PORTAGG","MEANR")&lt;/Q&gt;&lt;R&gt;20&lt;/R&gt;&lt;C&gt;1&lt;/C&gt;&lt;D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xsi:type="xsd:double"&gt;8.35596279001247&lt;/D&gt;&lt;D xsi:type="xsd:double"&gt;7.43859929051954&lt;/D&gt;&lt;D xsi:type="xsd:double"&gt;9.22076567875365&lt;/D&gt;&lt;D xsi:type="xsd:double"&gt;9.22544557635682&lt;/D&gt;&lt;D xsi:type="xsd:double"&gt;9.299010467763&lt;/D&gt;&lt;/FQL&gt;&lt;FQL&gt;&lt;Q&gt;TRYQA10Y-FDS^FG_YIELD(-10AY,0,Y,,"YTM")&lt;/Q&gt;&lt;R&gt;10&lt;/R&gt;&lt;C&gt;1&lt;/C&gt;&lt;D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xsi:type="xsd:long"&gt;45289&lt;/D&gt;&lt;/FQL&gt;&lt;FQL&gt;&lt;Q&gt;USDEUR^FG_PRICE(0)&lt;/Q&gt;&lt;R&gt;1&lt;/R&gt;&lt;C&gt;1&lt;/C&gt;&lt;D xsi:type="xsd:double"&gt;0.9340993&lt;/D&gt;&lt;/FQL&gt;&lt;FQL&gt;&lt;Q&gt;CAGDPY@SE^EE_ACTUAL_ANNUAL(MED,+1)&lt;/Q&gt;&lt;R&gt;1&lt;/R&gt;&lt;C&gt;1&lt;/C&gt;&lt;D xsi:type="xsd:double"&gt;5.4&lt;/D&gt;&lt;/FQL&gt;&lt;FQL&gt;&lt;Q&gt;USDJPY^STD(FG_PRICE_CHANGE(0,-3AY,M))&lt;/Q&gt;&lt;R&gt;1&lt;/R&gt;&lt;C&gt;1&lt;/C&gt;&lt;D xsi:type="xsd:double"&gt;3.01948152393537&lt;/D&gt;&lt;/FQL&gt;&lt;FQL&gt;&lt;Q&gt;USDNZD^STD(FG_PRICE_CHANGE(0,-3AY,M))&lt;/Q&gt;&lt;R&gt;1&lt;/R&gt;&lt;C&gt;1&lt;/C&gt;&lt;D xsi:type="xsd:double"&gt;3.49434304497674&lt;/D&gt;&lt;/FQL&gt;&lt;FQL&gt;&lt;Q&gt;DDR3512M-FDS^FG_PRICE_CHANGE(0,-3AM)&lt;/Q&gt;&lt;R&gt;1&lt;/R&gt;&lt;C&gt;1&lt;/C&gt;&lt;D xsi:type="xsd:double"&gt;-2.1369461596968&lt;/D&gt;&lt;/FQL&gt;&lt;FQL&gt;&lt;Q&gt;E</t>
        </r>
      </text>
    </comment>
    <comment ref="A12" authorId="0" shapeId="0" xr:uid="{23068A20-8D48-423F-ABA3-ABC649D6C9AA}">
      <text>
        <r>
          <rPr>
            <b/>
            <sz val="9"/>
            <color indexed="81"/>
            <rFont val="Tahoma"/>
            <charset val="1"/>
          </rPr>
          <t xml:space="preserve">NZL^FG_PRICE_MAVG(0,,,,200)&lt;/Q&gt;&lt;R&gt;1&lt;/R&gt;&lt;C&gt;1&lt;/C&gt;&lt;D xsi:type="xsd:double"&gt;45.993614&lt;/D&gt;&lt;/FQL&gt;&lt;FQL&gt;&lt;Q&gt;W-FDS^FG_PRICE_CHANGE(0,-1AM)&lt;/Q&gt;&lt;R&gt;1&lt;/R&gt;&lt;C&gt;1&lt;/C&gt;&lt;D xsi:type="xsd:double"&gt;2.65116279069768&lt;/D&gt;&lt;/FQL&gt;&lt;FQL&gt;&lt;Q&gt;CAGDPY@IT^EE_ACTUAL_ANNUAL(MED,+1)&lt;/Q&gt;&lt;R&gt;1&lt;/R&gt;&lt;C&gt;1&lt;/C&gt;&lt;D xsi:type="xsd:double"&gt;0.9&lt;/D&gt;&lt;/FQL&gt;&lt;FQL&gt;&lt;Q&gt;CAGDPY@JP^EE_ACTUAL_ANNUAL(MED,+1)&lt;/Q&gt;&lt;R&gt;1&lt;/R&gt;&lt;C&gt;1&lt;/C&gt;&lt;D xsi:type="xsd:double"&gt;3.45&lt;/D&gt;&lt;/FQL&gt;&lt;FQL&gt;&lt;Q&gt;CC_CA^FG_COMPANY_NAME&lt;/Q&gt;&lt;R&gt;1&lt;/R&gt;&lt;C&gt;1&lt;/C&gt;&lt;D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xsi:type="xsd:double"&gt;3.1489015&lt;/D&gt;&lt;/FQL&gt;&lt;FQL&gt;&lt;Q&gt;USDCHF^FG_PRICE_CHANGE(0,-1AY)&lt;/Q&gt;&lt;R&gt;1&lt;/R&gt;&lt;C&gt;1&lt;/C&gt;&lt;D xsi:type="xsd:double"&gt;0.8242488&lt;/D&gt;&lt;/FQL&gt;&lt;FQL&gt;&lt;Q&gt;USDEUR^FG_PRICE_CHANGE(0,-1AY)&lt;/Q&gt;&lt;R&gt;1&lt;/R&gt;&lt;C&gt;1&lt;/C&gt;&lt;D xsi:type="xsd:double"&gt;1.9335866&lt;/D&gt;&lt;/FQL&gt;&lt;FQL&gt;&lt;Q&gt;USDAUD^FG_PRICE_CHANGE(0,-1AY)&lt;/Q&gt;&lt;R&gt;1&lt;/R&gt;&lt;C&gt;1&lt;/C&gt;&lt;D xsi:type="xsd:double"&gt;2.0943642&lt;/D&gt;&lt;/FQL&gt;&lt;FQL&gt;&lt;Q&gt;QQQ^FMA_EPS(NTMA,-20AY,0,CY,,"PORTAGG","MEANR")&lt;/Q&gt;&lt;R&gt;20&lt;/R&gt;&lt;C&gt;1&lt;/C&gt;&lt;D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xsi:type="xsd:double"&gt;9.35231845695689&lt;/D&gt;&lt;D xsi:type="xsd:double"&gt;10.4260783076313&lt;/D&gt;&lt;D xsi:type="xsd:double"&gt;13.6402697494705&lt;/D&gt;&lt;D xsi:type="xsd:double"&gt;12.7503134568906&lt;/D&gt;&lt;D xsi:type="xsd:double"&gt;16.3242202004236&lt;/D&gt;&lt;/FQL&gt;&lt;FQL&gt;&lt;Q&gt;EWL^P_PRICE_RETURNS_PR('52W',2,-10AY,0,AM)&lt;/Q&gt;&lt;R&gt;121&lt;/R&gt;&lt;C&gt;1&lt;/C&gt;&lt;D xsi:type="xsd:double"&gt;16.01075&lt;/D&gt;&lt;D xsi:type="xsd:double"&gt;15.822554&lt;/D&gt;&lt;D xsi:type="xsd:double"&gt;20.553637&lt;/D&gt;&lt;D xsi:type="xsd:double"&gt;15.799856&lt;/D&gt;&lt;D xsi:type="xsd:double"&gt;8.89374&lt;/D&gt;&lt;D xsi:type="xsd:double"&gt;11.428034&lt;/D&gt;&lt;D xsi:type="xsd:double"&gt;1.9650459&lt;/D&gt;&lt;D xsi:type="xsd:double"&gt;3.9951086&lt;/D&gt;&lt;D xsi:type="xsd:double"&gt;4.613602&lt;/D&gt;&lt;D xsi:type="xsd:double"&gt;-1.1441171&lt;/D&gt;&lt;D xsi:type="xsd:double"&gt;0.2355814&lt;/D&gt;&lt;D xsi:type="xsd:double"&gt;-3.9962113&lt;/D&gt;&lt;D xsi:type="xsd:double"&gt;2.5365233&lt;/D&gt;&lt;D xsi:type="xsd:double"&gt;2.8552532&lt;/D&gt;&lt;D xsi:type="xsd:double"&gt;2.2981524&lt;/D&gt;&lt;D xsi:type="xsd:double"&gt;2.6904225&lt;/D&gt;&lt;D xsi:type="xsd:double"&gt;4.518211&lt;/D&gt;&lt;D xsi:type="xsd:double"&gt;-2.5500536&lt;/D&gt;&lt;D xsi:type="xsd:double"&gt;5.1244617&lt;/D&gt;&lt;D xsi:type="xsd:double"&gt;-1.5835702&lt;/D&gt;&lt;D xsi:type="xsd:double"&gt;-3.969562&lt;/D&gt;&lt;D xsi:type="xsd:double"&gt;-5.2607536&lt;/D&gt;&lt;D xsi:type="xsd:double"&gt;-12.768626&lt;/D&gt;&lt;D xsi:type="xsd:double"&gt;-4.804039&lt;/D&gt;&lt;D xsi:type="xsd:double"&gt;-11.090815&lt;/D&gt;&lt;D xsi:type="xsd:double"&gt;-11.854929&lt;/D&gt;&lt;D xsi:type="xsd:double"&gt;-11.972207&lt;/D&gt;&lt;D xsi:type="xsd:double"&gt;-10.623556&lt;/D&gt;&lt;D xsi:type="xsd:double"&gt;-5.4597797&lt;/D&gt;&lt;D xsi:type="xsd:double"&gt;-0.85659623&lt;/D&gt;&lt;D xsi:type="xsd:double"&gt;-3.744197&lt;/D&gt;&lt;D xsi:type="xsd:double"&gt;-4.046088&lt;/D&gt;&lt;D xsi:type="xsd:double"&gt;-3.3436477&lt;/D&gt;&lt;D xsi:type="xsd:double"&gt;6.346023&lt;/D&gt;&lt;D xsi:type="xsd:double"&gt;12.506151&lt;/D&gt;&lt;D xsi:type="xsd:double"&gt;10.660601&lt;/D&gt;&lt;D xsi:type="xsd:double"&gt;10.186553&lt;/D&gt;&lt;D xsi:type="xsd:double"&gt;15.379858&lt;/D&gt;&lt;D xsi:type="xsd:double"&gt;14.132822&lt;/D&gt;&lt;D xsi:type="xsd:double"&gt;17.393982&lt;/D&gt;&lt;D xsi:type="xsd:double"&gt;13.0772&lt;/D&gt;&lt;D xsi:type="xsd:double"&gt;17.080366&lt;/D&gt;&lt;D xsi:type="xsd:double"&gt;20.659674&lt;/D&gt;&lt;D xsi:type="xsd:double"&gt;18.835281&lt;/D&gt;&lt;D xsi:type="xsd:double"&gt;22.235203&lt;/D&gt;&lt;D xsi:type="xsd:double"&gt;22.153913&lt;/D&gt;&lt;D xsi:type="xsd:double"&gt;14.797651&lt;/D&gt;&lt;D xsi:type="xsd:double"&gt;14.363373&lt;/D&gt;&lt;D xsi:type="xsd:double"&gt;9.021664&lt;/D&gt;&lt;D xsi:type="xsd:double"&gt;3.8845658&lt;/D&gt;&lt;D xsi:type="xsd:double"&gt;0.6543875&lt;/D&gt;&lt;D xsi:type="xsd:double"&gt;-0.7183492&lt;/D&gt;&lt;D xsi:type="xsd:double"&gt;2.3272038&lt;/D&gt;&lt;D xsi:type="xsd:double"&gt;1.213789&lt;/D&gt;&lt;D xsi:type="xsd:double"&gt;-5.942708&lt;/D&gt;&lt;D xsi:type="xsd:double"&gt;-0.27011633&lt;/D&gt;&lt;D xsi:type="xsd:double"&gt;-5.2598715&lt;/D&gt;&lt;D xsi:type="xsd:double"&gt;-7.009506&lt;/D&gt;&lt;D xsi:type="xsd:double"&gt;-2.079177&lt;/D&gt;&lt;D xsi:type="xsd:double"&gt;0.6374717&lt;/D&gt;&lt;D xsi:type="xsd:double"&gt;6.852448&lt;/D&gt;&lt;D xsi:type="xsd:double"&gt;6.624639&lt;/D&gt;&lt;D xsi:type="xsd:double"&gt;13.054562&lt;/D&gt;&lt;D xsi:type="xsd:double"&gt;14.792479&lt;/D&gt;&lt;D xsi:type="xsd:double"&gt;10.281897&lt;/D&gt;&lt;D xsi:type="xsd:double"&gt;12.551045&lt;/D&gt;&lt;D xsi:type="xsd:double"&gt;17.872084&lt;/D&gt;&lt;D xsi:type="xsd:double"&gt;18.009663&lt;/D&gt;&lt;D xsi:type="xsd:double"&gt;24.145758&lt;/D&gt;&lt;D xsi:type="xsd:double"&gt;25.441265&lt;/D&gt;&lt;D xsi:type="xsd:double"&gt;29.442347&lt;/D&gt;&lt;D xsi:type="xsd:double"&gt;5.670166&lt;/D&gt;&lt;D xsi:type="xsd:double"&gt;3.6839724&lt;/D&gt;&lt;D xsi:type="xsd:double"&gt;6.7379713&lt;/D&gt;&lt;D xsi:type="xsd:double"&gt;4.3465137&lt;/D&gt;&lt;D xsi:type="xsd:double"&gt;9.878564&lt;/D&gt;&lt;D xsi:type="xsd:double"&gt;10.756075&lt;/D&gt;&lt;D xsi:type="xsd:double"&gt;13.111186&lt;/D&gt;&lt;D xsi:type="xsd:double"&gt;16.144062&lt;/D&gt;&lt;D xsi:type="xsd:double"&gt;12.022913&lt;/D&gt;&lt;D xsi:type="xsd:double"&gt;12.938011&lt;/D&gt;&lt;D xsi:type="xsd:double"&gt;13.838363&lt;/D&gt;&lt;D xsi:type="xsd:double"&gt;9.940422&lt;/D&gt;&lt;D xsi:type="xsd:double"&gt;26.02967&lt;/D&gt;&lt;D xsi:type="xsd:double"&gt;29.537224&lt;/D&gt;&lt;D xsi:type="xsd:double"&gt;26.731705&lt;/D&gt;&lt;D xsi:type="xsd:double"&gt;34.390842&lt;/D&gt;&lt;D xsi:type="xsd:double"&gt;26.042128&lt;/D&gt;&lt;D xsi:type="xsd:double"&gt;25.972153&lt;/D&gt;&lt;D xsi:type="xsd:double"&gt;20.48664&lt;/D&gt;&lt;D xsi:type="xsd:double"&gt;14.128304&lt;/D&gt;&lt;D xsi:type="xsd:double"&gt;21.506287&lt;/D&gt;&lt;D xsi:type="xsd:double"&gt;20.056057&lt;/D&gt;&lt;D xsi:type="xsd:double"&gt;15.785587&lt;/D&gt;&lt;D xsi:type="xsd:double"&gt;9.183205&lt;/D&gt;&lt;D xsi:type="xsd:double"&gt;4.0564775&lt;/D&gt;&lt;D xsi:type="xsd:double"&gt;9.99732&lt;/D&gt;&lt;D xsi:type="xsd:double"&gt;-5.653417&lt;/D&gt;&lt;D xsi:type="xsd:double"&gt;-15.38474&lt;/D&gt;&lt;D xsi:type="xsd:double"&gt;-14.690346&lt;/D&gt;&lt;D xsi:type="xsd:double"&gt;-11.324787&lt;/D&gt;&lt;D xsi:type="xsd:double"&gt;-14.36016&lt;/D&gt;&lt;D xsi:type="xsd:double"&gt;-20.218342&lt;/D&gt;&lt;D xsi:type="xsd:double"&gt;-12.918925&lt;/D&gt;&lt;D xsi:type="xsd:double"&gt;-14.3558445&lt;/D&gt;&lt;D xsi:type="xsd:double"&gt;-12.091726&lt;/D&gt;&lt;D xsi:type="xsd:double"&gt;-7.665944&lt;/D&gt;&lt;D xsi:type="xsd:double"&gt;-4.4069586&lt;/D&gt;&lt;D xsi:type="xsd:double"&gt;-5.195749&lt;/D&gt;&lt;D xsi:type="xsd:double"&gt;14.476132&lt;/D&gt;&lt;D xsi:type="xsd:double"&gt;11.12628&lt;/D&gt;&lt;D xsi:type="xsd:double"&gt;13.635826&lt;/D&gt;&lt;D xsi:type="xsd:double"&gt;8.5724945&lt;/D&gt;&lt;D xsi:type="xsd:double"&gt;11.176359&lt;/D&gt;&lt;D xsi:type="xsd:double"&gt;23.36285&lt;/D&gt;&lt;D xsi:type="xsd:double"&gt;4.774916&lt;/D&gt;&lt;D xsi:type="xsd:double"&gt;10.203707&lt;/D&gt;&lt;D xsi:type="xsd:double"&gt;10.093951&lt;/D&gt;&lt;D xsi:type="xsd:double"&gt;6.564498&lt;/D&gt;&lt;D xsi:type="xsd:double"&gt;15.631032&lt;/D&gt;&lt;D xsi:type="xsd:double"&gt;2.1126747&lt;/D&gt;&lt;/FQL&gt;&lt;FQL&gt;&lt;Q&gt;EWG^FG_TOTAL_RETURNC(-10AY,0,AM)&lt;/Q&gt;&lt;R&gt;121&lt;/R&gt;&lt;C&gt;1&lt;/C&gt;&lt;D xsi:type="xsd:double"&gt;-0.39075017&lt;/D&gt;&lt;D xsi:type="xsd:double"&gt;2.4190903&lt;/D&gt;&lt;D xsi:type="xsd:double"&gt;1.8512607&lt;/D&gt;&lt;D xsi:type="xsd:double"&gt;-2.3306668&lt;/D&gt;&lt;D xsi:type="xsd:double"&gt;-6.546646&lt;/D&gt;&lt;D xsi:type="xsd:double"&gt;1.7863393&lt;/D&gt;&lt;D xsi:type="xsd:double"&gt;-11.493463&lt;/D&gt;&lt;D xsi:type="xsd:double"&gt;5.637634&lt;/D&gt;&lt;D xsi:type="xsd:double"&gt;3.9381623&lt;/D&gt;&lt;D xsi:type="xsd:double"&gt;-5.276203&lt;/D&gt;&lt;D xsi:type="xsd:double"&gt;5.981314&lt;/D&gt;&lt;D xsi:type="xsd:double"&gt;2.3280382&lt;/D&gt;&lt;D xsi:type="xsd:double"&gt;5.308509&lt;/D&gt;&lt;D xsi:type="xsd:double"&gt;-1.7675936&lt;/D&gt;&lt;D xsi:type="xsd:double"&gt;-1.5328228&lt;/D&gt;&lt;D xsi:type="xsd:double"&gt;-0.5368054&lt;/D&gt;&lt;D xsi:type="xsd:double"&gt;-1.4191747&lt;/D&gt;&lt;D xsi:type="xsd:double"&gt;-7.0224705&lt;/D&gt;&lt;D xsi:type="xsd:double"&gt;-0.83081126&lt;/D&gt;&lt;D xsi:type="xsd:double"&gt;0.8758545&lt;/D&gt;&lt;D xsi:type="xsd:double"&gt;-2.680254&lt;/D&gt;&lt;D xsi:type="xsd:double"&gt;-5.042672&lt;/D&gt;&lt;D xsi:type="xsd:double"&gt;-6.5767946&lt;/D&gt;&lt;D xsi:type="xsd:double"&gt;9.794485&lt;/D&gt;&lt;D xsi:type="xsd:double"&gt;0&lt;/D&gt;&lt;D xsi:type="xsd:double"&gt;2.9868603&lt;/D&gt;&lt;D xsi:type="xsd:double"&gt;-2.7455568&lt;/D&gt;&lt;D xsi:type="xsd:double"&gt;-2.1315157&lt;/D&gt;&lt;D xsi:type="xsd:double"&gt;10.4003315&lt;/D&gt;&lt;D xsi:type="xsd:double"&gt;-1.7309248&lt;/D&gt;&lt;D xsi:type="xsd:double"&gt;-0.3835857&lt;/D&gt;&lt;D xsi:type="xsd:double"&gt;-1.8482864&lt;/D&gt;&lt;D xsi:type="xsd:double"&gt;2.3538709&lt;/D&gt;&lt;D xsi:type="xsd:double"&gt;3.8302183&lt;/D&gt;&lt;D xsi:type="xsd:double"&gt;0.8493304&lt;/D&gt;&lt;D xsi:type="xsd:double"&gt;2.7096272&lt;/D&gt;&lt;D xsi:type="xsd:double"&gt;1.0338664&lt;/D&gt;&lt;D xsi:type="xsd:double"&gt;6.7748785&lt;/D&gt;&lt;D xsi:type="xsd:double"&gt;3.3707857&lt;/D&gt;&lt;D xsi:type="xsd:double"&gt;-0.105792284&lt;/D&gt;&lt;D xsi:type="xsd:double"&gt;-0.81565976&lt;/D&gt;&lt;D xsi:type="xsd:double"&gt;5.065787&lt;/D&gt;&lt;D xsi:type="xsd:double"&gt;2.943015&lt;/D&gt;&lt;D xsi:type="xsd:double"&gt;-0.42579174&lt;/D&gt;&lt;D xsi:type="xsd:double"&gt;1.1606455&lt;/D&gt;&lt;D xsi:type="xsd:double"&gt;3.1582832&lt;/D&gt;&lt;D xsi:type="xsd:double"&gt;-5.868542&lt;/D&gt;&lt;D xsi:type="xsd:double"&gt;2.2132158&lt;/D&gt;&lt;D xsi:type="xsd:double"&gt;-0.7014334&lt;/D&gt;&lt;D xsi:type="xsd:double"&gt;1.8120408&lt;/D&gt;&lt;D xsi:type="xsd:double"&gt;-2.0814538&lt;/D&gt;&lt;D xsi:type="xsd:double"&gt;-4.4005513&lt;/D&gt;&lt;D xsi:type="xsd:double"&gt;-1.9141912&lt;/D&gt;&lt;D xsi:type="xsd:double"&gt;-1.2449503&lt;/D&gt;&lt;D xsi:type="xsd:double"&gt;-5.144805&lt;/D&gt;&lt;D xsi:type="xsd:double"&gt;-1.2931049&lt;/D&gt;&lt;D xsi:type="xsd:double"&gt;-6.804943&lt;/D&gt;&lt;D xsi:type="xsd:double"&gt;1.991415&lt;/D&gt;&lt;D xsi:type="xsd:double"&gt;-0.7274151&lt;/D&gt;&lt;D xsi:type="xsd:double"&gt;4.6278358&lt;/D&gt;&lt;D xsi:type="xsd:double"&gt;2.7644634&lt;/D&gt;&lt;D xsi:type="xsd:double"&gt;1.6499281&lt;/D&gt;&lt;D xsi:type="xsd:double"&gt;-0.84685683&lt;/D&gt;&lt;D xsi:type="xsd:double"&gt;1.0222793&lt;/D&gt;&lt;D xsi:type="xsd:double"&gt;-4.922181&lt;/D&gt;&lt;D xsi:type="xsd:double"&gt;3.6924243&lt;/D&gt;&lt;D xsi:type="xsd:double"&gt;0.18355846&lt;/D&gt;&lt;D xsi:type="xsd:double"&gt;6.009519&lt;/D&gt;&lt;D xsi:type="xsd:double"&gt;0.5184889&lt;/D&gt;&lt;D xsi:type="xsd:double"&gt;2.3383737&lt;/D&gt;&lt;D xsi:type="xsd:double"&gt;-0.9408653&lt;/D&gt;&lt;D xsi:type="xsd:double"&gt;-21.404339&lt;/D&gt;&lt;D xsi:type="xsd:double"&gt;-0.5610645&lt;/D&gt;&lt;D xsi:type="xsd:double"&gt;1.6492963&lt;/D&gt;&lt;D xsi:type="xsd:double"&gt;12.852263&lt;/D&gt;&lt;D xsi:type="xsd:double"&gt;7.274413&lt;/D&gt;&lt;D xsi:type="xsd:double"&gt;4.4903755&lt;/D&gt;&lt;D xsi:type="xsd:double"&gt;3.3765316&lt;/D&gt;&lt;D xsi:type="xsd:double"&gt;-0.3629148&lt;/D&gt;&lt;D xsi:type="xsd:double"&gt;-0.8609295&lt;/D&gt;&lt;D xsi:type="xsd:double"&gt;3.206408&lt;/D&gt;&lt;D xsi:type="xsd:double"&gt;6.077087&lt;/D&gt;&lt;D xsi:type="xsd:double"&gt;1.6064286&lt;/D&gt;&lt;D xsi:type="xsd:double"&gt;1.1857748&lt;/D&gt;&lt;D xsi:type="xsd:double"&gt;3.9663434&lt;/D&gt;&lt;D xsi:type="xsd:double"&gt;0.23121834&lt;/D&gt;&lt;D xsi:type="xsd:double"&gt;4.455662&lt;/D&gt;&lt;D xsi:type="xsd:double"&gt;-1.965189&lt;/D&gt;&lt;D xsi:type="xsd:double"&gt;-0.114536285&lt;/D&gt;&lt;D xsi:type="xsd:double"&gt;-1.1467934&lt;/D&gt;&lt;D xsi:type="xsd:double"&gt;-5.7424603&lt;/D&gt;&lt;D xsi:type="xsd:double"&gt;4.8615456&lt;/D&gt;&lt;D xsi:type="xsd:double"&gt;-4.107988&lt;/D&gt;&lt;D xsi:type="xsd:double"&gt;2.6553154&lt;/D&gt;&lt;D xsi:type="xsd:double"&gt;-5.0811768&lt;/D&gt;&lt;D xsi:type="xsd:double"&gt;-15.394365&lt;/D&gt;&lt;D xsi:type="xsd:double"&gt;2.358675&lt;/D&gt;&lt;D xsi:type="xsd:double"&gt;-7.681054&lt;/D&gt;&lt;D xsi:type="xsd:double"&gt;1.4173985&lt;/D&gt;&lt;D xsi:type="xsd:double"&gt;-11.35723&lt;/D&gt;&lt;D xsi:type="xsd:double"&gt;8.995914&lt;/D&gt;&lt;D xsi:type="xsd:double"&gt;-6.5443935&lt;/D&gt;&lt;D xsi:type="xsd:double"&gt;-11.864406&lt;/D&gt;&lt;D xsi:type="xsd:double"&gt;25.657892&lt;/D&gt;&lt;D xsi:type="xsd:double"&gt;1.7317772&lt;/D&gt;&lt;D xsi:type="xsd:double"&gt;8.151924&lt;/D&gt;&lt;D xsi:type="xsd:double"&gt;1.6843677&lt;/D&gt;&lt;D xsi:type="xsd:double"&gt;-1.6924798&lt;/D&gt;&lt;D xsi:type="xsd:double"&gt;4.9450517&lt;/D&gt;&lt;D xsi:type="xsd:double"&gt;1.082027&lt;/D&gt;&lt;D xsi:type="xsd:double"&gt;-1.511538&lt;/D&gt;&lt;D xsi:type="xsd:double"&gt;1.5489936&lt;/D&gt;&lt;D xsi:type="xsd:double"&gt;-0.28378963&lt;/D&gt;&lt;D xsi:type="xsd:double"&gt;-2.3834944&lt;/D&gt;&lt;D xsi:type="xsd:double"&gt;-3.6807597&lt;/D&gt;&lt;D xsi:type="xsd:double"&gt;-0.34052134&lt;/D&gt;&lt;D xsi:type="xsd:double"&gt;10.250568&lt;/D&gt;&lt;D xsi:type="xsd:double"&gt;0.521791&lt;/D&gt;&lt;D xsi:type="xsd:double"&gt;0.27406216&lt;/D&gt;&lt;D xsi:type="xsd:double"&gt;6.012988&lt;/D&gt;&lt;D xsi:type="xsd:double"&gt;-0.5800843&lt;/D&gt;&lt;/FQL&gt;&lt;FQL&gt;&lt;Q&gt;EWA^FMA_DIV_YLD(NTMA,-10AY,0,AM,"PORTAGG","MEANR")&lt;/Q&gt;&lt;R&gt;121&lt;/R&gt;&lt;C&gt;1&lt;/C&gt;&lt;D xsi:type="xsd:double"&gt;4.77716591856974&lt;/D&gt;&lt;D xsi:type="xsd:double"&gt;4.76981077376249&lt;/D&gt;&lt;D xsi:type="xsd:double"&gt;4.79420108670414&lt;/D&gt;&lt;D xsi:type="xsd:double"&gt;4.74636694716592&lt;/D&gt;&lt;D xsi:type="xsd:double"&gt;4.81023778721306&lt;/D&gt;&lt;D xsi:type="xsd:double"&gt;4.78393920230964&lt;/D&gt;&lt;D xsi:type="xsd:double"&gt;5.16716047928794&lt;/D&gt;&lt;D xsi:type="xsd:double"&gt;4.8570303764697&lt;/D&gt;&lt;D xsi:type="xsd:double"&gt;5.13106889031295&lt;/D&gt;&lt;D xsi:type="xsd:double"&gt;4.92127442003952&lt;/D&gt;&lt;D xsi:type="xsd:double"&gt;4.71378638369082&lt;/D&gt;&lt;D xsi:type="xsd:double"&gt;4.69792045491148&lt;/D&gt;&lt;D xsi:type="xsd:double"&gt;4.54105170690197&lt;/D&gt;&lt;D xsi:type="xsd:double"&gt;4.77671826492259&lt;/D&gt;&lt;D xsi:type="xsd:double"&gt;4.89937508530051&lt;/D&gt;&lt;D xsi:type="xsd:double"&gt;4.96635628879482&lt;/D&gt;&lt;D xsi:type="xsd:double"&gt;5.02349051502812&lt;/D&gt;&lt;D xsi:type="xsd:double"&gt;5.44583403731053&lt;/D&gt;&lt;D xsi:type="xsd:double"&gt;5.15528970427274&lt;/D&gt;&lt;D xsi:type="xsd:double"&gt;5.36187935007953&lt;/D&gt;&lt;D xsi:type="xsd:double"&gt;5.40701911427671&lt;/D&gt;&lt;D xsi:type="xsd:double"&gt;5.52458343305277&lt;/D&gt;&lt;D xsi:type="xsd:double"&gt;5.24910746642355&lt;/D&gt;&lt;D xsi:type="xsd:double"&gt;4.7275102218109&lt;/D&gt;&lt;D xsi:type="xsd:double"&gt;4.99510608473946&lt;/D&gt;&lt;D xsi:type="xsd:double"&gt;4.55362705095193&lt;/D&gt;&lt;D xsi:type="xsd:double"&gt;4.60917488292773&lt;/D&gt;&lt;D xsi:type="xsd:double"&gt;4.61161008700289&lt;/D&gt;&lt;D xsi:type="xsd:double"&gt;4.46995326970521&lt;/D&gt;&lt;D xsi:type="xsd:double"&gt;4.62050310787135&lt;/D&gt;&lt;D xsi:type="xsd:double"&gt;4.51042073142704&lt;/D&gt;&lt;D xsi:type="xsd:double"&gt;4.59867088536719&lt;/D&gt;&lt;D xsi:type="xsd:double"&gt;4.52908905740887&lt;/D&gt;&lt;D xsi:type="xsd:double"&gt;4.44806797739786&lt;/D&gt;&lt;D xsi:type="xsd:double"&gt;4.5227661126483&lt;/D&gt;&lt;D xsi:type="xsd:double"&gt;4.53558253191133&lt;/D&gt;&lt;D xsi:type="xsd:double"&gt;4.48252615377069&lt;/D&gt;&lt;D xsi:type="xsd:double"&gt;4.53909731751365&lt;/D&gt;&lt;D xsi:type="xsd:double"&gt;4.69411972917047&lt;/D&gt;&lt;D xsi:type="xsd:double"&gt;4.62393965906062&lt;/D&gt;&lt;D xsi:type="xsd:double"&gt;4.63807191236003&lt;/D&gt;&lt;D xsi:type="xsd:double"&gt;4.58904010727016&lt;/D&gt;&lt;D xsi:type="xsd:double"&gt;4.57672340987479&lt;/D&gt;&lt;D xsi:type="xsd:double"&gt;4.41404577305548&lt;/D&gt;&lt;D xsi:type="xsd:double"&gt;4.50260182161589&lt;/D&gt;&lt;D xsi:type="xsd:double"&gt;4.45685477449393&lt;/D&gt;&lt;D xsi:type="xsd:double"&gt;4.69933442738275&lt;/D&gt;&lt;D xsi:type="xsd:double"&gt;4.64656496734572&lt;/D&gt;&lt;D xsi:type="xsd:double"&gt;4.77738721147023&lt;/D&gt;&lt;D xsi:type="xsd:double"&gt;4.6041341656191&lt;/D&gt;&lt;D xsi:type="xsd:double"&gt;4.73069079443331&lt;/D&gt;&lt;D xsi:type="xsd:double"&gt;4.59918665742528&lt;/D&gt;&lt;D xsi:type="xsd:double"&gt;4.59308548319681&lt;/D&gt;&lt;D xsi:type="xsd:double"&gt;4.76674650553987&lt;/D&gt;&lt;D xsi:type="xsd:double"&gt;5.03906189083379&lt;/D&gt;&lt;D xsi:type="xsd:double"&gt;5.04993086166187&lt;/D&gt;&lt;D xsi:type="xsd:double"&gt;5.40846404558034&lt;/D&gt;&lt;D xsi:type="xsd:double"&gt;5.19983738357043&lt;/D&gt;&lt;D xsi:type="xsd:double"&gt;4.97323047227149&lt;/D&gt;&lt;D xsi:type="xsd:double"&gt;4.96420855196339&lt;/D&gt;&lt;D xsi:type="xsd:double"&gt;4.94890425670875&lt;/D&gt;&lt;D xsi:type="xsd:double"&gt;4.84504176839794&lt;/D&gt;&lt;D xsi:type="xsd:double"&gt;4.68414031758931&lt;/D&gt;&lt;D xsi:type="xsd:double"&gt;4.61424231982604&lt;/D&gt;&lt;D xsi:type="xsd:double"&gt;4.66313952740549&lt;/D&gt;&lt;D xsi:type="xsd:double"&gt;4.50584066024935&lt;/D&gt;&lt;D xsi:type="xsd:double"&gt;4.48307177315998&lt;/D&gt;&lt;D xsi:type="xsd:double"&gt;4.31375028759361&lt;/D&gt;&lt;D xsi:type="xsd:double"&gt;4.29487699853497&lt;/D&gt;&lt;D xsi:type="xsd:double"&gt;4.18574384545519&lt;/D&gt;&lt;D xsi:type="xsd:double"&gt;4.13220794811035&lt;/D&gt;&lt;D xsi:type="xsd:double"&gt;5.01478390117166&lt;/D&gt;&lt;D xsi:type="xsd:double"&gt;4.62239158745415&lt;/D&gt;&lt;D xsi:type="xsd:double"&gt;3.8292020740375&lt;/D&gt;&lt;D xsi:type="xsd:double"&gt;3.38900696948186&lt;/D&gt;&lt;D xsi:type="xsd:double"&gt;3.48245516335955&lt;/D&gt;&lt;D xsi:type="xsd:double"&gt;3.32794580852528&lt;/D&gt;&lt;D xsi:type="xsd:double"&gt;3.61444189221331&lt;/D&gt;&lt;D xsi:type="xsd:double"&gt;3.55089826648606&lt;/D&gt;&lt;D xsi:type="xsd:double"&gt;3.49270498207296&lt;/D&gt;&lt;D xsi:type="xsd:double"&gt;3.53310169428925&lt;/D&gt;&lt;D xsi:type="xsd:double"&gt;3.52813078623354&lt;/D&gt;&lt;D xsi:type="xsd:double"&gt;3.58779597924577&lt;/D&gt;&lt;D xsi:type="xsd:double"&gt;3.9128882420033&lt;/D&gt;&lt;D xsi:type="xsd:double"&gt;3.87995382583436&lt;/D&gt;&lt;D xsi:type="xsd:double"&gt;3.87916549123229&lt;/D&gt;&lt;D xsi:type="xsd:double"&gt;3.88196959154853&lt;/D&gt;&lt;D xsi:type="xsd:double"&gt;4.12660363312406&lt;/D&gt;&lt;D xsi:type="xsd:double"&gt;4.02153557632288&lt;/D&gt;&lt;D xsi:type="xsd:double"&gt;4.08612980080773&lt;/D&gt;&lt;D xsi:type="xsd:double"&gt;4.06089465900215&lt;/D&gt;&lt;D xsi:type="xsd:double"&gt;4.00712592130471&lt;/D&gt;&lt;D xsi:type="xsd:double"&gt;3.96358462703229&lt;/D&gt;&lt;D xsi:type="xsd:double"&gt;3.90160546835952&lt;/D&gt;&lt;D xsi:type="xsd:double"&gt;4.26377505883025&lt;/D&gt;&lt;D xsi:type="xsd:double"&gt;4.37534610690502&lt;/D&gt;&lt;D xsi:type="xsd:double"&gt;4.33220264263915&lt;/D&gt;&lt;D xsi:type="xsd:double"&gt;4.7527076468554&lt;/D&gt;&lt;D xsi:type="xsd:double"&gt;4.93217703429246&lt;/D&gt;&lt;D xsi:type="xsd:double"&gt;5.20492692498333&lt;/D&gt;&lt;D xsi:type="xsd:double"&gt;4.70950624377569&lt;/D&gt;&lt;D xsi:type="xsd:double"&gt;4.84058991028999&lt;/D&gt;&lt;D xsi:type="xsd:double"&gt;5.13446996661561&lt;/D&gt;&lt;D xsi:type="xsd:double"&gt;4.62663861339013&lt;/D&gt;&lt;D xsi:type="xsd:double"&gt;4.46801868135344&lt;/D&gt;&lt;D xsi:type="xsd:double"&gt;4.5117653580227&lt;/D&gt;&lt;D xsi:type="xsd:double"&gt;4.33437063625187&lt;/D&gt;&lt;D xsi:type="xsd:double"&gt;4.5871971192561&lt;/D&gt;&lt;D xsi:type="xsd:double"&gt;4.44747952784217&lt;/D&gt;&lt;D xsi:type="xsd:double"&gt;4.42701886445057&lt;/D&gt;&lt;D xsi:type="xsd:double"&gt;4.42272102375968&lt;/D&gt;&lt;D xsi:type="xsd:double"&gt;4.35553343813767&lt;/D&gt;&lt;D xsi:type="xsd:double"&gt;4.17803667592156&lt;/D&gt;&lt;D xsi:type="xsd:double"&gt;4.19681219976734&lt;/D&gt;&lt;D xsi:type="xsd:double"&gt;4.32053769564974&lt;/D&gt;&lt;D xsi:type="xsd:double"&gt;4.40617627294354&lt;/D&gt;&lt;D xsi:type="xsd:double"&gt;4.23641263830747&lt;/D&gt;&lt;D xsi:type="xsd:double"&gt;4.05729971344813&lt;/D&gt;&lt;D xsi:type="xsd:double"&gt;3.98663989765335&lt;/D&gt;&lt;D xsi:type="xsd:double"&gt;3.97103287146887&lt;/D&gt;&lt;D xsi:type="xsd:double"&gt;3.92771703358335&lt;/D&gt;&lt;/FQL&gt;&lt;FQL&gt;&lt;Q&gt;DDR3512M-FDS^FG_PRICE(0)/MAX(FG_PRICE(0,-1AY))&lt;/Q&gt;&lt;R&gt;1&lt;/R&gt;&lt;C&gt;1&lt;/C&gt;&lt;D xsi:type="xsd:double"&gt;0.873941820879339&lt;/D&gt;&lt;/FQL&gt;&lt;FQL&gt;&lt;Q&gt;PASP-FDS^FG_PRICE(0)/MAX(FG_PRICE(0,-1AY))&lt;/Q&gt;&lt;R&gt;1&lt;/R&gt;&lt;C&gt;1&lt;/C&gt;&lt;D xsi:type="xsd:double"&gt;0.651219512195122&lt;/D&gt;&lt;/FQL&gt;&lt;FQL&gt;&lt;Q&gt;PLATI-FDS^FG_PRICE(0)/MAX(FG_PRICE(0,-1AY))&lt;/Q&gt;&lt;R&gt;1&lt;/R&gt;&lt;C&gt;1&lt;/C&gt;&lt;D xsi:type="xsd:double"&gt;0.86431718061674&lt;/D&gt;&lt;/FQL&gt;&lt;FQL&gt;&lt;Q&gt;W-FDS^FG_PRICE(0)/MAX(FG_PRICE(0,-1AY))&lt;/Q&gt;&lt;R&gt;1&lt;/R&gt;&lt;C&gt;1&lt;/C&gt;&lt;D xsi:type="xsd:double"&gt;0.725748109174614&lt;/D&gt;&lt;/FQL&gt;&lt;FQL&gt;&lt;Q&gt;COPP-FDS^FG_PRICE(0)/MAX(FG_PRICE(0,-1AY))&lt;/Q&gt;&lt;R&gt;1&lt;/R&gt;&lt;C&gt;1&lt;/C&gt;&lt;D xsi:type="xsd:double"&gt;0.992067195520299&lt;/D&gt;&lt;/FQL&gt;&lt;FQL&gt;&lt;Q&gt;EWQ^FG_PRICE_MAVG(0,,,,60)&lt;/Q&gt;&lt;R&gt;1&lt;/R&gt;&lt;C&gt;1&lt;/C&gt;&lt;D xsi:type="xsd:double"&gt;39.956&lt;/D&gt;&lt;/FQL&gt;&lt;FQL&gt;&lt;Q&gt;EWL^FG_PRICE_MAVG(0,,,,60)&lt;/Q&gt;&lt;R&gt;1&lt;/R&gt;&lt;C&gt;1&lt;/C&gt;&lt;D xsi:type="xsd:double"&gt;47.213165&lt;/D&gt;&lt;/FQL&gt;&lt;FQL&gt;&lt;Q&gt;EWA^FG_PRICE_MAVG(0,,,,60)&lt;/Q&gt;&lt;R&gt;1&lt;/R&gt;&lt;C&gt;1&lt;/C&gt;&lt;D xsi:type="xsd:double"&gt;23.981667&lt;/D&gt;&lt;/FQL&gt;&lt;FQL&gt;&lt;Q&gt;CAGDPY@NL^EE_ACTUAL_ANNUAL(MED,+1)&lt;/Q&gt;&lt;R&gt;1&lt;/R&gt;&lt;C&gt;1&lt;/C&gt;&lt;D xsi:type="xsd:double"&gt;7.6&lt;/D&gt;&lt;/FQL&gt;&lt;FQL&gt;&lt;Q&gt;CAGDPY@CA^EE_ACTUAL_ANNUAL(MED,+1)&lt;/Q&gt;&lt;R&gt;1&lt;/R&gt;&lt;C&gt;1&lt;/C&gt;&lt;D xsi:type="xsd:double"&gt;-0.6&lt;/D&gt;&lt;/FQL&gt;&lt;FQL&gt;&lt;Q&gt;USDITL^STD(FG_PRICE_CHANGE(0,-1AY,AM))&lt;/Q&gt;&lt;R&gt;1&lt;/R&gt;&lt;C&gt;1&lt;/C&gt;&lt;D xsi:type="xsd:double"&gt;1.55530916735727&lt;/D&gt;&lt;/FQL&gt;&lt;FQL&gt;&lt;Q&gt;USDANG^STD(FG_PRICE_CHANGE(0,-1AY,AM))&lt;/Q&gt;&lt;R&gt;1&lt;/R&gt;&lt;C&gt;1&lt;/C&gt;&lt;D xsi:type="xsd:double"&gt;0&lt;/D&gt;&lt;/FQL&gt;&lt;FQL&gt;&lt;Q&gt;USDGBP^STD(FG_PRICE_CHANGE(0,-1AY,AM))&lt;/Q&gt;&lt;R&gt;1&lt;/R&gt;&lt;C&gt;1&lt;/C&gt;&lt;D xsi:type="xsd:double"&gt;1.78816945693637&lt;/D&gt;&lt;/FQL&gt;&lt;FQL&gt;&lt;Q&gt;USDJPY^STD(FG_PRICE_CHANGE(0,-1AY,AM))&lt;/Q&gt;&lt;R&gt;1&lt;/R&gt;&lt;C&gt;1&lt;/C&gt;&lt;D xsi:type="xsd:double"&gt;2.14685740386646&lt;/D&gt;&lt;/FQL&gt;&lt;FQL&gt;&lt;Q&gt;USDCAD^STD(FG_PRICE_CHANGE(0,-1AY,AM))&lt;/Q&gt;&lt;R&gt;1&lt;/R&gt;&lt;C&gt;1&lt;/C&gt;&lt;D xsi:type="xsd:double"&gt;1.29432856306186&lt;/D&gt;&lt;/FQL&gt;&lt;FQL&gt;&lt;Q&gt;USDNZD^STD(FG_PRICE_CHANGE(0,-1AY,AM))&lt;/Q&gt;&lt;R&gt;1&lt;/R&gt;&lt;C&gt;1&lt;/C&gt;&lt;D xsi:type="xsd:double"&gt;2.23716144863632&lt;/D&gt;&lt;/FQL&gt;&lt;FQL&gt;&lt;Q&gt;EWG^FMA_EPS(NTMA,-20AY,0,CY,,"PORTAGG","MEANR")&lt;/Q&gt;&lt;R&gt;20&lt;/R&gt;&lt;C&gt;1&lt;/C&gt;&lt;D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xsi:type="xsd:double"&gt;1.97990608176048&lt;/D&gt;&lt;D xsi:type="xsd:double"&gt;2.44949512523756&lt;/D&gt;&lt;D xsi:type="xsd:double"&gt;2.36388795150729&lt;/D&gt;&lt;D xsi:type="xsd:double"&gt;2.65680492825543&lt;/D&gt;&lt;/FQL&gt;&lt;FQL&gt;&lt;Q&gt;EWA^P_PRICE_RETURNS_PR('52W',2,-10AY,0,AM)&lt;/Q&gt;&lt;R&gt;121&lt;/R&gt;&lt;C&gt;1&lt;/C&gt;&lt;D xsi:type="xsd:double"&gt;0.15112162&lt;/D&gt;&lt;D xsi:type="xsd:double"&gt;1.9170642&lt;/D&gt;&lt;D xsi:type="xsd:double"&gt;19.826544&lt;/D&gt;&lt;D xsi:type="xsd:double"&gt;17.63792&lt;/D&gt;&lt;D xsi:type="xsd:double"&gt;13.693047&lt;/D&gt;&lt;D xsi:type="xsd:double"&gt;7.489419&lt;/D&gt;&lt;D xsi:type="xsd:double"&gt;-5.645293&lt;/D&gt;&lt;D xsi:type="xsd:double"&gt;-1.5341043&lt;/D&gt;&lt;D xsi:type="xsd:double"&gt;-2.5672615&lt;/D&gt;&lt;D xsi:type="xsd:double"&gt;-2.1942973&lt;/D&gt;&lt;D xsi:type="xsd:double"&gt;-2.7247965&lt;/D&gt;&lt;D xsi:type="xsd:double"&gt;-5.541599&lt;/D&gt;&lt;D xsi:type="xsd:double"&gt;-6.5098467&lt;/D&gt;&lt;D xsi:type="xsd:double"&gt;-11.0704&lt;/D&gt;&lt;D xsi:type="xsd:double"&gt;-12.748587&lt;/D&gt;&lt;D xsi:type="xsd:double"&gt;-16.6708&lt;/D&gt;&lt;D xsi:type="xsd:double"&gt;-18.959003&lt;/D&gt;&lt;D xsi:type="xsd:double"&gt;-25.985998&lt;/D&gt;&lt;D xsi:type="xsd:double"&gt;-12.988639&lt;/D&gt;&lt;D xsi:type="xsd:double"&gt;-22.606373&lt;/D&gt;&lt;D xsi:type="xsd:double"&gt;-15.239411&lt;/D&gt;&lt;D xsi:type="xsd:double"&gt;-20.358742&lt;/D&gt;&lt;D xsi:type="xsd:double"&gt;-22.143162&lt;/D&gt;&lt;D xsi:type="xsd:double"&gt;-7.325971&lt;/D&gt;&lt;D xsi:type="xsd:double"&gt;-16.801292&lt;/D&gt;&lt;D xsi:type="xsd:double"&gt;-7.759893&lt;/D&gt;&lt;D xsi:type="xsd:double"&gt;-6.8883896&lt;/D&gt;&lt;D xsi:type="xsd:double"&gt;0.27142763&lt;/D&gt;&lt;D xsi:type="xsd:double"&gt;10.314751&lt;/D&gt;&lt;D xsi:type="xsd:double"&gt;12.747455&lt;/D&gt;&lt;D xsi:type="xsd:double"&gt;9.292698&lt;/D&gt;&lt;D xsi:type="xsd:double"&gt;16.130245&lt;/D&gt;&lt;D xsi:type="xsd:double"&gt;18.542385&lt;/D&gt;&lt;D xsi:type="xsd:double"&gt;31.11036&lt;/D&gt;&lt;D xsi:type="xsd:double"&gt;35.59195&lt;/D&gt;&lt;D xsi:type="xsd:double"&gt;19.151974&lt;/D&gt;&lt;D xsi:type="xsd:double"&gt;26.175367&lt;/D&gt;&lt;D xsi:type="xsd:double"&gt;15.318453&lt;/D&gt;&lt;D xsi:type="xsd:double"&gt;12.69828&lt;/D&gt;&lt;D xsi:type="xsd:double"&gt;13.732791&lt;/D&gt;&lt;D xsi:type="xsd:double"&gt;10.600698&lt;/D&gt;&lt;D xsi:type="xsd:double"&gt;22.128057&lt;/D&gt;&lt;D xsi:type="xsd:double"&gt;14.512324&lt;/D&gt;&lt;D xsi:type="xsd:double"&gt;18.655968&lt;/D&gt;&lt;D xsi:type="xsd:double"&gt;12.6710415&lt;/D&gt;&lt;D xsi:type="xsd:double"&gt;15.0254135&lt;/D&gt;&lt;D xsi:type="xsd:double"&gt;7.4350357&lt;/D&gt;&lt;D xsi:type="xsd:double"&gt;11.661029&lt;/D&gt;&lt;D xsi:type="xsd:double"&gt;3.600669&lt;/D&gt;&lt;D xsi:type="xsd:double"&gt;9.507608&lt;/D&gt;&lt;D xsi:type="xsd:double"&gt;11.705875&lt;/D&gt;&lt;D xsi:type="xsd:double"&gt;8.823168&lt;/D&gt;&lt;D xsi:type="xsd:double"&gt;5.8793545&lt;/D&gt;&lt;D xsi:type="xsd:double"&gt;-1.6172767&lt;/D&gt;&lt;D xsi:type="xsd:double"&gt;-4.785424&lt;/D&gt;&lt;D xsi:type="xsd:double"&gt;-4.4157386&lt;/D&gt;&lt;D xsi:type="xsd:double"&gt;-7.079649&lt;/D&gt;&lt;D xsi:type="xsd:double"&gt;-9.088654&lt;/D&gt;&lt;D xsi:type="xsd:double"&gt;-0.8111477&lt;/D&gt;&lt;D xsi:type="xsd:double"&gt;-2.5586486&lt;/D&gt;&lt;D xsi:type="xsd:double"&gt;2.7582288&lt;/D&gt;&lt;D xsi:type="xsd:double"&gt;0.47593117&lt;/D&gt;&lt;D xsi:type="xsd:double"&gt;3.911972&lt;/D&gt;&lt;D xsi:type="xsd:double"&gt;6.4053535&lt;/D&gt;&lt;D xsi:type="xsd:double"&gt;-0.3267944&lt;/D&gt;&lt;D xsi:type="xsd:double"&gt;9.55125&lt;/D&gt;&lt;D xsi:type="xsd:double"&gt;14.5713215&lt;/D&gt;&lt;D xsi:type="xsd:double"&gt;14.479518&lt;/D&gt;&lt;D xsi:type="xsd:double"&gt;19.359838&lt;/D&gt;&lt;D xsi:type="xsd:double"&gt;17.679083&lt;/D&gt;&lt;D xsi:type="xsd:double"&gt;14.682078&lt;/D&gt;&lt;D xsi:type="xsd:double"&gt;-15.277982&lt;/D&gt;&lt;D xsi:type="xsd:double"&gt;-19.717138&lt;/D&gt;&lt;D xsi:type="xsd:double"&gt;-18.641794&lt;/D&gt;&lt;D xsi:type="xsd:double"&gt;-13.110601&lt;/D&gt;&lt;D xsi:type="xsd:double"&gt;-9.692097&lt;/D&gt;&lt;D xsi:type="xsd:double"&gt;-0.6310284&lt;/D&gt;&lt;D xsi:type="xsd:double"&gt;-6.8860054&lt;/D&gt;&lt;D xsi:type="xsd:double"&gt;-0.68635345&lt;/D&gt;&lt;D xsi:type="xsd:double"&gt;0.9348631&lt;/D&gt;&lt;D xsi:type="xsd:double"&gt;8.06129&lt;/D&gt;&lt;D xsi:type="xsd:double"&gt;9.375596&lt;/D&gt;&lt;D xsi:type="xsd:double"&gt;12.519765&lt;/D&gt;&lt;D xsi:type="xsd:double"&gt;47.653915&lt;/D&gt;&lt;D xsi:type="xsd:double"&gt;57.05415&lt;/D&gt;&lt;D xsi:type="xsd:double"&gt;60.420834&lt;/D&gt;&lt;D xsi:type="xsd:double"&gt;48.581196&lt;/D&gt;&lt;D xsi:type="xsd:double"&gt;37.603317&lt;/D&gt;&lt;D xsi:type="xsd:double"&gt;31.398916&lt;/D&gt;&lt;D xsi:type="xsd:double"&gt;32.238533&lt;/D&gt;&lt;D xsi:type="xsd:double"&gt;25.190199&lt;/D&gt;&lt;D xsi:type="xsd:double"&gt;18.327332&lt;/D&gt;&lt;D xsi:type="xsd:double"&gt;8.16834&lt;/D&gt;&lt;D xsi:type="xsd:double"&gt;6.4661384&lt;/D&gt;&lt;D xsi:type="xsd:double"&gt;-0.9399712&lt;/D&gt;&lt;D xsi:type="xsd:double"&gt;1.7098308&lt;/D&gt;&lt;D xsi:type="xsd:double"&gt;8.136309&lt;/D&gt;&lt;D xsi:type="xsd:double"&gt;-8.185357&lt;/D&gt;&lt;D xsi:type="xsd:double"&gt;-11.347616&lt;/D&gt;&lt;D xsi:type="xsd:double"&gt;-15.003735&lt;/D&gt;&lt;D xsi:type="xsd:double"&gt;-7.0118246&lt;/D&gt;&lt;D xsi:type="xsd:double"&gt;-7.991868&lt;/D&gt;&lt;D xsi:type="xsd:double"&gt;-17.646105&lt;/D&gt;&lt;D xsi:type="xsd:double"&gt;-5.5944977&lt;/D&gt;&lt;D xsi:type="xsd:double"&gt;-1.625973&lt;/D&gt;&lt;D xsi:type="xsd:double"&gt;-0.7124424&lt;/D&gt;&lt;D xsi:type="xsd:double"&gt;6.340921&lt;/D&gt;&lt;D xsi:type="xsd:double"&gt;-5.046499&lt;/D&gt;&lt;D xsi:type="xsd:double"&gt;-6.899953&lt;/D&gt;&lt;D xsi:type="xsd:double"&gt;3.9765954&lt;/D&gt;&lt;D xsi:type="xsd:double"&gt;0.85567236&lt;/D&gt;&lt;D xsi:type="xsd:double"&gt;11.540306&lt;/D&gt;&lt;D xsi:type="xsd:double"&gt;0.22882223&lt;/D&gt;&lt;D xsi:type="xsd:double"&gt;2.39439&lt;/D&gt;&lt;D xsi:type="xsd:double"&gt;14.949155&lt;/D&gt;&lt;D xsi:type="xsd:double"&gt;-0.6279826&lt;/D&gt;&lt;D xsi:type="xsd:double"&gt;2.1749258&lt;/D&gt;&lt;D xsi:type="xsd:double"&gt;5.324936&lt;/D&gt;&lt;D xsi:type="xsd:double"&gt;1.2912035&lt;/D&gt;&lt;D xsi:type="xsd:double"&gt;14.084614&lt;/D&gt;&lt;D xsi:type="xsd:double"&gt;8.909392&lt;/D&gt;&lt;/FQL&gt;&lt;FQL&gt;&lt;Q&gt;ENZL^JULIAN(FG_TOTAL_RETURNC(-10AY,0,AM).DATES)&lt;/Q&gt;&lt;R&gt;121&lt;/R&gt;&lt;C&gt;1&lt;/C&gt;&lt;D xsi:type="xsd:long"&gt;41740&lt;/D&gt;&lt;D xsi:type="xsd:long"&gt;41768&lt;/D&gt;&lt;D xsi:type="xsd:long"&gt;41801&lt;/D&gt;&lt;D xsi:type="xsd:long"&gt;41831&lt;/D&gt;&lt;D xsi:type="xsd:long"&gt;41862&lt;/D&gt;&lt;D xsi:type="xsd:long"&gt;41893&lt;/D&gt;&lt;D xsi:type="xsd:long"&gt;41922&lt;/D&gt;&lt;D xsi:type="xsd:long"&gt;41954&lt;/D&gt;&lt;D xsi:type="xsd:long"&gt;41984&lt;/D&gt;&lt;D xsi:type="xsd:long"&gt;42013&lt;/D&gt;&lt;D xsi:type="xsd:long"&gt;42046&lt;/D&gt;&lt;D xsi:type="xsd:long"&gt;42074&lt;/D&gt;&lt;D xsi:type="xsd:long"&gt;42104&lt;/D&gt;&lt;D xsi:type="xsd:long"&gt;42135&lt;/D&gt;&lt;D xsi:type="xsd:long"&gt;42166&lt;/D&gt;&lt;D xsi:type="xsd:long"&gt;42195&lt;/D&gt;&lt;D xsi:type="xsd:long"&gt;42227&lt;/D&gt;&lt;D xsi:type="xsd:long"&gt;42258&lt;/D&gt;&lt;D xsi:type="xsd:long"&gt;42286&lt;/D&gt;&lt;D xsi:type="xsd:long"&gt;42319&lt;/D&gt;&lt;D xsi:type="xsd:long"&gt;42349&lt;/D&gt;&lt;D xsi:type="xsd:long"&gt;42380&lt;/D&gt;&lt;D xsi:type="xsd:long"&gt;42411&lt;/D&gt;&lt;D xsi:type="xsd:long"&gt;42440&lt;/D&gt;&lt;D xsi:type="xsd:long"&gt;42471&lt;/D&gt;&lt;D xsi:type="xsd:long"&gt;42501&lt;/D&gt;&lt;D xsi:type="xsd:long"&gt;42531&lt;/D&gt;&lt;D xsi:type="xsd:long"&gt;42562&lt;/D&gt;&lt;D xsi:type="xsd:long"&gt;42593&lt;/D&gt;&lt;D xsi:type="xsd:long"&gt;42622&lt;/D&gt;&lt;D xsi:type="xsd:long"&gt;42654&lt;/D&gt;&lt;D xsi:type="xsd:long"&gt;42685&lt;/D&gt;&lt;D xsi:type="xsd:long"&gt;42713&lt;/D&gt;&lt;D xsi:type="xsd:long"&gt;42746&lt;/D&gt;&lt;D xsi:type="xsd:long"&gt;42776&lt;/D&gt;&lt;D xsi:type="xsd:long"&gt;42804&lt;/D&gt;&lt;D xsi:type="xsd:long"&gt;42836&lt;/D&gt;&lt;D xsi:type="xsd:long"&gt;42866&lt;/D&gt;&lt;D xsi:type="xsd:long"&gt;42895&lt;/D&gt;&lt;D xsi:type="xsd:long"&gt;42927&lt;/D&gt;&lt;D xsi:type="xsd:long"&gt;42958&lt;/D&gt;&lt;D xsi:type="xsd:long"&gt;42989&lt;/D&gt;&lt;D xsi:type="xsd:long"&gt;43019&lt;/D&gt;&lt;D xsi:type="xsd:long"&gt;43049&lt;/D&gt;&lt;D xsi:type="xsd:long"&gt;43080&lt;/D&gt;&lt;D xsi:type="xsd:long"&gt;43111&lt;/D&gt;&lt;D xsi:type="xsd:long"&gt;43140&lt;/D&gt;&lt;D xsi:type="xsd:long"&gt;43168&lt;/D&gt;&lt;D xsi:type="xsd:long"&gt;43201&lt;/D&gt;&lt;D xsi:type="xsd:long"&gt;43231&lt;/D&gt;&lt;D xsi:type="xsd:long"&gt;43262&lt;/D&gt;&lt;D xsi:type="xsd:long"&gt;43292&lt;/D&gt;&lt;D xsi:type="xsd:long"&gt;43322&lt;/D&gt;&lt;D xsi:type="xsd:long"&gt;43354&lt;/D&gt;&lt;D xsi:type="xsd:long"&gt;43384&lt;/D&gt;&lt;D xsi:type="xsd:long"&gt;43413&lt;/D&gt;&lt;D xsi:type="xsd:long"&gt;43445&lt;/D&gt;&lt;D xsi:type="xsd:long"&gt;43476&lt;/D&gt;&lt;D xsi:type="xsd:long"&gt;43507&lt;/D&gt;&lt;D xsi:type="xsd:long"&gt;43535&lt;/D&gt;&lt;D xsi:type="xsd:long"&gt;43566&lt;/D&gt;&lt;D xsi:type="xsd:long"&gt;43595&lt;/D&gt;&lt;D xsi:type="xsd:long"&gt;43627&lt;/D&gt;&lt;D xsi:type="xsd:long"&gt;43657&lt;/D&gt;&lt;D xsi:type="xsd:long"&gt;43686&lt;/D&gt;&lt;D xsi:type="xsd:long"&gt;43719&lt;/D&gt;&lt;D xsi:type="xsd:long"&gt;43749&lt;/D&gt;&lt;D xsi:type="xsd:long"&gt;43780&lt;/D&gt;&lt;D xsi:type="xsd:long"&gt;43810&lt;/D&gt;&lt;D xsi:type="xsd:long"&gt;43840&lt;/D&gt;&lt;D xsi:type="xsd:long"&gt;43872&lt;/D&gt;&lt;D xsi:type="xsd:long"&gt;43901&lt;/D&gt;&lt;D xsi:type="xsd:long"&gt;43930&lt;/D&gt;&lt;D xsi:type="xsd:long"&gt;43962&lt;/D&gt;&lt;D xsi:type="xsd:long"&gt;43993&lt;/D&gt;&lt;D xsi:type="xsd:long"&gt;44022&lt;/D&gt;&lt;D xsi:type="xsd:long"&gt;44054&lt;/D&gt;&lt;D xsi:type="xsd:long"&gt;44085&lt;/D&gt;&lt;D xsi:type="xsd:long"&gt;44113&lt;/D&gt;&lt;D xsi:type="xsd:long"&gt;44146&lt;/D&gt;&lt;D xsi:type="xsd:long"&gt;44176&lt;/D&gt;&lt;D xsi:type="xsd:long"&gt;44207&lt;/D&gt;&lt;D xsi:type="xsd:long"&gt;44238&lt;/D&gt;&lt;D xsi:type="xsd:long"&gt;44266&lt;/D&gt;&lt;D xsi:type="xsd:long"&gt;44295&lt;/D&gt;&lt;D xsi:type="xsd:long"&gt;44327&lt;/D&gt;&lt;D xsi:type="xsd:long"&gt;44358&lt;/D&gt;&lt;D xsi:type="xsd:long"&gt;44386&lt;/D&gt;&lt;D xsi:type="xsd:long"&gt;44419&lt;/D&gt;&lt;D xsi:type="xsd:long"&gt;44449&lt;/D&gt;&lt;D xsi:type="xsd:long"&gt;44480&lt;/D&gt;&lt;D xsi:type="xsd:long"&gt;44511&lt;/D&gt;&lt;D xsi:type="xsd:long"&gt;44540&lt;/D&gt;&lt;D xsi:type="xsd:long"&gt;44572&lt;/D&gt;&lt;D xsi:type="xsd:long"&gt;44603&lt;/D&gt;&lt;D xsi:type="xsd:long"&gt;44631&lt;/D&gt;&lt;D xsi:type="xsd:long"&gt;44662&lt;/D&gt;&lt;D xsi:type="xsd:long"&gt;44692&lt;/D&gt;&lt;D xsi:type="xsd:long"&gt;44722&lt;/D&gt;&lt;D xsi:type="xsd:long"&gt;44753&lt;/D&gt;&lt;D xsi:type="xsd:long"&gt;44784&lt;/D&gt;&lt;D xsi:type="xsd:long"&gt;44813&lt;/D&gt;&lt;D xsi:type="xsd:long"&gt;44845&lt;/D&gt;&lt;D xsi:type="xsd:long"&gt;44876&lt;/D&gt;&lt;D xsi:type="xsd:long"&gt;44904&lt;/D&gt;&lt;D xsi:type="xsd:long"&gt;44937&lt;/D&gt;&lt;D xsi:type="xsd:long"&gt;44967&lt;/D&gt;&lt;D xsi:type="xsd:long"&gt;44995&lt;/D&gt;&lt;D xsi:type="xsd:long"&gt;45027&lt;/D&gt;&lt;D xsi:type="xsd:long"&gt;45057&lt;/D&gt;&lt;D xsi:type="xsd:long"&gt;45086&lt;/D&gt;&lt;D xsi:type="xsd:long"&gt;45118&lt;/D&gt;&lt;D xsi:type="xsd:long"&gt;45149&lt;/D&gt;&lt;D xsi:type="xsd:long"&gt;45180&lt;/D&gt;&lt;D xsi:type="xsd:long"&gt;45210&lt;/D&gt;&lt;D xsi:type="xsd:long"&gt;45240&lt;/D&gt;&lt;D xsi:type="xsd:long"&gt;45271&lt;/D&gt;&lt;D xsi:type="xsd:long"&gt;45302&lt;/D&gt;&lt;D xsi:type="xsd:long"&gt;45331&lt;/D&gt;&lt;D xsi:type="xsd:long"&gt;45362&lt;/D&gt;&lt;D xsi:type="xsd:long"&gt;45393&lt;/D&gt;&lt;/FQL&gt;&lt;FQL&gt;&lt;Q&gt;EWD^FMA_PE(NTMA,-10AY,0,AM,"PORTAGG","MEANR")&lt;/Q&gt;&lt;R&gt;121&lt;/R&gt;&lt;C&gt;1&lt;/C&gt;&lt;D xsi:type="xsd:double"&gt;15.5658038164023&lt;/D&gt;&lt;D xsi:type="xsd:double"&gt;15.6068609554671&lt;/D&gt;&lt;D xsi:type="xsd:double"&gt;15.8207176062864&lt;/D&gt;&lt;D xsi:type="xsd:double"&gt;15.2762404082585&lt;/D&gt;&lt;D xsi:type="xsd:double"&gt;15.1200427613996&lt;/D&gt;&lt;D xsi:type="xsd:double"&gt;14.6136591927724&lt;/D&gt;&lt;D xsi:type="xsd:double"&gt;13.5743584972697&lt;/D&gt;&lt;D xsi:type="xsd:double"&gt;15.4067685165563&lt;/D&gt;&lt;D xsi:type="xsd:double"&gt;15.5779463083836&lt;/D&gt;&lt;D xsi:type="xsd:double"&gt;15.4187242794354&lt;/D&gt;&lt;D xsi:type="xsd:double"&gt;16.2988734378509&lt;/D&gt;&lt;D xsi:type="xsd:double"&gt;17.0957167471031&lt;/D&gt;&lt;D xsi:type="xsd:double"&gt;17.1031650844149&lt;/D&gt;&lt;D xsi:type="xsd:double"&gt;15.4598936020367&lt;/D&gt;&lt;D xsi:type="xsd:double"&gt;15.9964864332882&lt;/D&gt;&lt;D xsi:type="xsd:double"&gt;15.9021586170153&lt;/D&gt;&lt;D xsi:type="xsd:double"&gt;16.142034083653&lt;/D&gt;&lt;D xsi:type="xsd:double"&gt;14.8109783630453&lt;/D&gt;&lt;D xsi:type="xsd:double"&gt;15.0764009710019&lt;/D&gt;&lt;D xsi:type="xsd:double"&gt;15.5271813130198&lt;/D&gt;&lt;D xsi:type="xsd:double"&gt;14.4552181498819&lt;/D&gt;&lt;D xsi:type="xsd:double"&gt;14.0184570305259&lt;/D&gt;&lt;D xsi:type="xsd:double"&gt;13.764219185379&lt;/D&gt;&lt;D xsi:type="xsd:double"&gt;15.6747655272162&lt;/D&gt;&lt;D xsi:type="xsd:double"&gt;15.1315496732091&lt;/D&gt;&lt;D xsi:type="xsd:double"&gt;14.8737740233594&lt;/D&gt;&lt;D xsi:type="xsd:double"&gt;14.415651769368&lt;/D&gt;&lt;D xsi:type="xsd:double"&gt;14.8307833686945&lt;/D&gt;&lt;D xsi:type="xsd:double"&gt;15.5708713496777&lt;/D&gt;&lt;D xsi:type="xsd:double"&gt;15.4947158805012&lt;/D&gt;&lt;D xsi:type="xsd:double"&gt;15.9130016960997&lt;/D&gt;&lt;D xsi:type="xsd:double"&gt;15.9534793962779&lt;/D&gt;&lt;D xsi:type="xsd:double"&gt;16.6507371174598&lt;/D&gt;&lt;D xsi:type="xsd:double"&gt;16.3918109863325&lt;/D&gt;&lt;D xsi:type="xsd:double"&gt;16.0535738459264&lt;/D&gt;&lt;D xsi:type="xsd:double"&gt;16.8527444954059&lt;/D&gt;&lt;D xsi:type="xsd:double"&gt;16.9113182155193&lt;/D&gt;&lt;D xsi:type="xsd:double"&gt;17.105246351462&lt;/D&gt;&lt;D xsi:type="xsd:double"&gt;16.9129138384542&lt;/D&gt;&lt;D xsi:type="xsd:double"&gt;16.573929261824&lt;/D&gt;&lt;D xsi:type="xsd:double"&gt;15.7500476247099&lt;/D&gt;&lt;D xsi:type="xsd:double"&gt;16.0972210170825&lt;/D&gt;&lt;D xsi:type="xsd:double"&gt;16.7057657375322&lt;/D&gt;&lt;D xsi:type="xsd:double"&gt;16.8997188487636&lt;/D&gt;&lt;D xsi:type="xsd:double"&gt;16.5182405886505&lt;/D&gt;&lt;D xsi:type="xsd:double"&gt;16.6587682546577&lt;/D&gt;&lt;D xsi:type="xsd:double"&gt;15.5817227402787&lt;/D&gt;&lt;D xsi:type="xsd:double"&gt;16.3812019920089&lt;/D&gt;&lt;D xsi:type="xsd:double"&gt;15.4164827083674&lt;/D&gt;&lt;D xsi:type="xsd:double"&gt;16.0129220680866&lt;/D&gt;&lt;D xsi:type="xsd:double"&gt;15.5197271687816&lt;/D&gt;&lt;D xsi:type="xsd:double"&gt;15.1730816867006&lt;/D&gt;&lt;D xsi:type="xsd:double"&gt;15.5691015985699&lt;/D&gt;&lt;D xsi:type="xsd:double"&gt;15.489517546686&lt;/D&gt;&lt;D xsi:type="xsd:double"&gt;14.6686032437439&lt;/D&gt;&lt;D xsi:type="xsd:double"&gt;14.3961772472307&lt;/D&gt;&lt;D xsi:type="xsd:double"&gt;13.710364692444&lt;/D&gt;&lt;D xsi:type="xsd:double"&gt;13.9631171629353&lt;/D&gt;&lt;D xsi:type="xsd:double"&gt;14.5966803943034&lt;/D&gt;&lt;D xsi:type="xsd:double"&gt;14.7599378286887&lt;/D&gt;&lt;D xsi:type="xsd:double"&gt;15.1414181357009&lt;/D&gt;&lt;D xsi:type="xsd:double"&gt;14.9813018503785&lt;/D&gt;&lt;D xsi:type="xsd:double"&gt;14.7684706626125&lt;/D&gt;&lt;D xsi:type="xsd:double"&gt;14.9889145726322&lt;/D&gt;&lt;D xsi:type="xsd:double"&gt;13.6686927960819&lt;/D&gt;&lt;D xsi:type="xsd:double"&gt;14.5292705554928&lt;/D&gt;&lt;D xsi:type="xsd:double"&gt;15.0667745220517&lt;/D&gt;&lt;D xsi:type="xsd:double"&gt;15.9028424033512&lt;/D&gt;&lt;D xsi:type="xsd:double"&gt;15.7709771107635&lt;/D&gt;&lt;D xsi:type="xsd:double"&gt;16.26520039507&lt;/D&gt;&lt;D xsi:type="xsd:double"&gt;16.9995791634309&lt;/D&gt;&lt;D xsi:type="xsd:double"&gt;13.5133720539388&lt;/D&gt;&lt;D xsi:type="xsd:double"&gt;15.6659802455603&lt;/D&gt;&lt;D xsi:type="xsd:double"&gt;18.0469239044059&lt;/D&gt;&lt;D xsi:type="xsd:double"&gt;18.4383958401492&lt;/D&gt;&lt;D xsi:type="xsd:double"&gt;19.5183379021331&lt;/D&gt;&lt;D xsi:type="xsd:double"&gt;18.9233006916378&lt;/D&gt;&lt;D xsi:type="xsd:double"&gt;18.2625242158232&lt;/D&gt;&lt;D xsi:type="xsd:double"&gt;18.3315300423344&lt;/D&gt;&lt;D xsi:type="xsd:double"&gt;17.1433051827298&lt;/D&gt;&lt;D xsi:type="xsd:double"&gt;17.1705697655128&lt;/D&gt;&lt;D xsi:type="xsd:double"&gt;18.638234351235&lt;/D&gt;&lt;D xsi:type="xsd:double"&gt;18.7232978226884&lt;/D&gt;&lt;D xsi:type="xsd:double"&gt;20.0929393550776&lt;/D&gt;&lt;D xsi:type="xsd:double"&gt;20.6082986765868&lt;/D&gt;&lt;D xsi:type="xsd:double"&gt;17.745147048646&lt;/D&gt;&lt;D xsi:type="xsd:double"&gt;18.6957574952047&lt;/D&gt;&lt;D xsi:type="xsd:double"&gt;18.8861156467799&lt;/D&gt;&lt;D xsi:type="xsd:double"&gt;18.7052740996941&lt;/D&gt;&lt;D xsi:type="xsd:double"&gt;18.4744851288652&lt;/D&gt;&lt;D xsi:type="xsd:double"&gt;17.6308297371889&lt;/D&gt;&lt;D xsi:type="xsd:double"&gt;18.7555549968734&lt;/D&gt;&lt;D xsi:type="xsd:double"&gt;18.9960499882376&lt;/D&gt;&lt;D xsi:type="xsd:double"&gt;17.7119673528988&lt;/D&gt;&lt;D xsi:type="xsd:double"&gt;16.4303174139123&lt;/D&gt;&lt;D xsi:type="xsd:double"&gt;14.7317379487327&lt;/D&gt;&lt;D xsi:type="xsd:double"&gt;14.9717300381636&lt;/D&gt;&lt;D xsi:type="xsd:double"&gt;15.6339949636196&lt;/D&gt;&lt;D xsi:type="xsd:double"&gt;15.1911907353676&lt;/D&gt;&lt;D xsi:type="xsd:double"&gt;14.5484426304508&lt;/D&gt;&lt;D </t>
        </r>
      </text>
    </comment>
    <comment ref="A13" authorId="0" shapeId="0" xr:uid="{CF860423-F246-4DCD-A15B-17CD166C5C13}">
      <text>
        <r>
          <rPr>
            <b/>
            <sz val="9"/>
            <color indexed="81"/>
            <rFont val="Tahoma"/>
            <charset val="1"/>
          </rPr>
          <t>xsi:type="xsd:double"&gt;15.0684263547257&lt;/D&gt;&lt;D xsi:type="xsd:double"&gt;14.0987324932938&lt;/D&gt;&lt;D xsi:type="xsd:double"&gt;12.9401290765759&lt;/D&gt;&lt;D xsi:type="xsd:double"&gt;13.2401360851908&lt;/D&gt;&lt;D xsi:type="xsd:double"&gt;13.276182285261&lt;/D&gt;&lt;D xsi:type="xsd:double"&gt;13.6234290761236&lt;/D&gt;&lt;D xsi:type="xsd:double"&gt;13.9506559932525&lt;/D&gt;&lt;D xsi:type="xsd:double"&gt;13.6977549415334&lt;/D&gt;&lt;D xsi:type="xsd:double"&gt;13.6474612597885&lt;/D&gt;&lt;D xsi:type="xsd:double"&gt;13.4646344189516&lt;/D&gt;&lt;D xsi:type="xsd:double"&gt;13.7103783019087&lt;/D&gt;&lt;D xsi:type="xsd:double"&gt;13.2801497005054&lt;/D&gt;&lt;D xsi:type="xsd:double"&gt;13.0920975768471&lt;/D&gt;&lt;D xsi:type="xsd:double"&gt;13.0245249250898&lt;/D&gt;&lt;D xsi:type="xsd:double"&gt;13.1373924304804&lt;/D&gt;&lt;D xsi:type="xsd:double"&gt;12.7984855886097&lt;/D&gt;&lt;D xsi:type="xsd:double"&gt;15.2494607714009&lt;/D&gt;&lt;D xsi:type="xsd:double"&gt;15.2362730753801&lt;/D&gt;&lt;D xsi:type="xsd:double"&gt;15.6974883796243&lt;/D&gt;&lt;D xsi:type="xsd:double"&gt;16.4581442392995&lt;/D&gt;&lt;D xsi:type="xsd:double"&gt;16.386712583917&lt;/D&gt;&lt;/FQL&gt;&lt;FQL&gt;&lt;Q&gt;EWQ^FMA_PE(LTMA,-10AY,0,AM,"PORTAGG","MEANR")&lt;/Q&gt;&lt;R&gt;121&lt;/R&gt;&lt;C&gt;1&lt;/C&gt;&lt;D xsi:type="xsd:double"&gt;15.8067203263592&lt;/D&gt;&lt;D xsi:type="xsd:double"&gt;15.8082287657263&lt;/D&gt;&lt;D xsi:type="xsd:double"&gt;15.8821554350856&lt;/D&gt;&lt;D xsi:type="xsd:double"&gt;15.4514760346479&lt;/D&gt;&lt;D xsi:type="xsd:double"&gt;15.1330105158836&lt;/D&gt;&lt;D xsi:type="xsd:double"&gt;15.5159009265747&lt;/D&gt;&lt;D xsi:type="xsd:double"&gt;14.5261243865285&lt;/D&gt;&lt;D xsi:type="xsd:double"&gt;14.9742342718932&lt;/D&gt;&lt;D xsi:type="xsd:double"&gt;14.9872964885129&lt;/D&gt;&lt;D xsi:type="xsd:double"&gt;14.7245678776234&lt;/D&gt;&lt;D xsi:type="xsd:double"&gt;16.4329592574129&lt;/D&gt;&lt;D xsi:type="xsd:double"&gt;17.5418240954451&lt;/D&gt;&lt;D xsi:type="xsd:double"&gt;17.7251653235171&lt;/D&gt;&lt;D xsi:type="xsd:double"&gt;17.4498741259813&lt;/D&gt;&lt;D xsi:type="xsd:double"&gt;17.3187269773629&lt;/D&gt;&lt;D xsi:type="xsd:double"&gt;17.0925287416513&lt;/D&gt;&lt;D xsi:type="xsd:double"&gt;17.1244216746713&lt;/D&gt;&lt;D xsi:type="xsd:double"&gt;15.8479709675718&lt;/D&gt;&lt;D xsi:type="xsd:double"&gt;16.0780701715542&lt;/D&gt;&lt;D xsi:type="xsd:double"&gt;16.5108847763979&lt;/D&gt;&lt;D xsi:type="xsd:double"&gt;15.2843130643889&lt;/D&gt;&lt;D xsi:type="xsd:double"&gt;14.3891069867754&lt;/D&gt;&lt;D xsi:type="xsd:double"&gt;13.6404128596657&lt;/D&gt;&lt;D xsi:type="xsd:double"&gt;15.2184878228901&lt;/D&gt;&lt;D xsi:type="xsd:double"&gt;15.0776518722822&lt;/D&gt;&lt;D xsi:type="xsd:double"&gt;15.0629603303781&lt;/D&gt;&lt;D xsi:type="xsd:double"&gt;14.9770349644531&lt;/D&gt;&lt;D xsi:type="xsd:double"&gt;14.8191965720716&lt;/D&gt;&lt;D xsi:type="xsd:double"&gt;15.1077149950153&lt;/D&gt;&lt;D xsi:type="xsd:double"&gt;15.0337553651864&lt;/D&gt;&lt;D xsi:type="xsd:double"&gt;14.8985534941708&lt;/D&gt;&lt;D xsi:type="xsd:double"&gt;14.7815856200756&lt;/D&gt;&lt;D xsi:type="xsd:double"&gt;15.4907924628096&lt;/D&gt;&lt;D xsi:type="xsd:double"&gt;15.8582063995181&lt;/D&gt;&lt;D xsi:type="xsd:double"&gt;15.447801357946&lt;/D&gt;&lt;D xsi:type="xsd:double"&gt;15.6137152627227&lt;/D&gt;&lt;D xsi:type="xsd:double"&gt;15.6397135602209&lt;/D&gt;&lt;D xsi:type="xsd:double"&gt;15.8354416668715&lt;/D&gt;&lt;D xsi:type="xsd:double"&gt;15.7555517255321&lt;/D&gt;&lt;D xsi:type="xsd:double"&gt;15.5563081379224&lt;/D&gt;&lt;D xsi:type="xsd:double"&gt;15.3988447690825&lt;/D&gt;&lt;D xsi:type="xsd:double"&gt;15.653298168875&lt;/D&gt;&lt;D xsi:type="xsd:double"&gt;16.0638360008686&lt;/D&gt;&lt;D xsi:type="xsd:double"&gt;15.992135723025&lt;/D&gt;&lt;D xsi:type="xsd:double"&gt;16.1804111481899&lt;/D&gt;&lt;D xsi:type="xsd:double"&gt;16.4497768912918&lt;/D&gt;&lt;D xsi:type="xsd:double"&gt;15.3835866010904&lt;/D&gt;&lt;D xsi:type="xsd:double"&gt;15.5902164776156&lt;/D&gt;&lt;D xsi:type="xsd:double"&gt;15.5034994149709&lt;/D&gt;&lt;D xsi:type="xsd:double"&gt;15.612696251901&lt;/D&gt;&lt;D xsi:type="xsd:double"&gt;15.380133954723&lt;/D&gt;&lt;D xsi:type="xsd:double"&gt;15.2006382883166&lt;/D&gt;&lt;D xsi:type="xsd:double"&gt;15.0933105345294&lt;/D&gt;&lt;D xsi:type="xsd:double"&gt;14.7746452896738&lt;/D&gt;&lt;D xsi:type="xsd:double"&gt;14.2431302010058&lt;/D&gt;&lt;D xsi:type="xsd:double"&gt;14.1703250775406&lt;/D&gt;&lt;D xsi:type="xsd:double"&gt;13.2370960996699&lt;/D&gt;&lt;D xsi:type="xsd:double"&gt;13.1270548197616&lt;/D&gt;&lt;D xsi:type="xsd:double"&gt;13.8282054704152&lt;/D&gt;&lt;D xsi:type="xsd:double"&gt;14.5448016591283&lt;/D&gt;&lt;D xsi:type="xsd:double"&gt;14.6201328160308&lt;/D&gt;&lt;D xsi:type="xsd:double"&gt;14.4692526783722&lt;/D&gt;&lt;D xsi:type="xsd:double"&gt;14.5313092826097&lt;/D&gt;&lt;D xsi:type="xsd:double"&gt;14.741440195185&lt;/D&gt;&lt;D xsi:type="xsd:double"&gt;14.5334875072987&lt;/D&gt;&lt;D xsi:type="xsd:double"&gt;15.0166746648552&lt;/D&gt;&lt;D xsi:type="xsd:double"&gt;15.2320561803319&lt;/D&gt;&lt;D xsi:type="xsd:double"&gt;15.9625644818169&lt;/D&gt;&lt;D xsi:type="xsd:double"&gt;16.0801336828261&lt;/D&gt;&lt;D xsi:type="xsd:double"&gt;16.6367851138734&lt;/D&gt;&lt;D xsi:type="xsd:double"&gt;16.5969583057692&lt;/D&gt;&lt;D xsi:type="xsd:double"&gt;14.3654198905203&lt;/D&gt;&lt;D xsi:type="xsd:double"&gt;14.9613602640288&lt;/D&gt;&lt;D xsi:type="xsd:double"&gt;16.1007186056221&lt;/D&gt;&lt;D xsi:type="xsd:double"&gt;17.5768477259394&lt;/D&gt;&lt;D xsi:type="xsd:double"&gt;19.3073467481435&lt;/D&gt;&lt;D xsi:type="xsd:double"&gt;22.06958545855&lt;/D&gt;&lt;D xsi:type="xsd:double"&gt;23.2315444036001&lt;/D&gt;&lt;D xsi:type="xsd:double"&gt;23.9537962733344&lt;/D&gt;&lt;D xsi:type="xsd:double"&gt;26.8929029760197&lt;/D&gt;&lt;D xsi:type="xsd:double"&gt;27.8722009419203&lt;/D&gt;&lt;D xsi:type="xsd:double"&gt;29.0832523021432&lt;/D&gt;&lt;D xsi:type="xsd:double"&gt;27.3507534109813&lt;/D&gt;&lt;D xsi:type="xsd:double"&gt;26.8528021384945&lt;/D&gt;&lt;D xsi:type="xsd:double"&gt;26.1102498416752&lt;/D&gt;&lt;D xsi:type="xsd:double"&gt;25.0180472223245&lt;/D&gt;&lt;D xsi:type="xsd:double"&gt;24.4090888568476&lt;/D&gt;&lt;D xsi:type="xsd:double"&gt;23.2890689043141&lt;/D&gt;&lt;D xsi:type="xsd:double"&gt;22.0168513969839&lt;/D&gt;&lt;D xsi:type="xsd:double"&gt;20.6914437259467&lt;/D&gt;&lt;D xsi:type="xsd:double"&gt;19.2114175013443&lt;/D&gt;&lt;D xsi:type="xsd:double"&gt;18.6696324138164&lt;/D&gt;&lt;D xsi:type="xsd:double"&gt;17.5085436102424&lt;/D&gt;&lt;D xsi:type="xsd:double"&gt;17.1510847978366&lt;/D&gt;&lt;D xsi:type="xsd:double"&gt;16.1183624060622&lt;/D&gt;&lt;D xsi:type="xsd:double"&gt;15.2607374139873&lt;/D&gt;&lt;D xsi:type="xsd:double"&gt;15.0992546172268&lt;/D&gt;&lt;D xsi:type="xsd:double"&gt;14.4888256791489&lt;/D&gt;&lt;D xsi:type="xsd:double"&gt;14.0424657057897&lt;/D&gt;&lt;D xsi:type="xsd:double"&gt;13.3517844967486&lt;/D&gt;&lt;D xsi:type="xsd:double"&gt;13.2760881456446&lt;/D&gt;&lt;D xsi:type="xsd:double"&gt;12.5201862487638&lt;/D&gt;&lt;D xsi:type="xsd:double"&gt;11.4027123345581&lt;/D&gt;&lt;D xsi:type="xsd:double"&gt;12.2315514673363&lt;/D&gt;&lt;D xsi:type="xsd:double"&gt;12.0529206772783&lt;/D&gt;&lt;D xsi:type="xsd:double"&gt;12.3708240964532&lt;/D&gt;&lt;D xsi:type="xsd:double"&gt;12.6108655419037&lt;/D&gt;&lt;D xsi:type="xsd:double"&gt;12.9104189633583&lt;/D&gt;&lt;D xsi:type="xsd:double"&gt;13.069496736973&lt;/D&gt;&lt;D xsi:type="xsd:double"&gt;13.1331812668909&lt;/D&gt;&lt;D xsi:type="xsd:double"&gt;13.0898704392758&lt;/D&gt;&lt;D xsi:type="xsd:double"&gt;13.1539783347842&lt;/D&gt;&lt;D xsi:type="xsd:double"&gt;13.3328973846059&lt;/D&gt;&lt;D xsi:type="xsd:double"&gt;13.2429731120189&lt;/D&gt;&lt;D xsi:type="xsd:double"&gt;12.9830527842669&lt;/D&gt;&lt;D xsi:type="xsd:double"&gt;12.8844608268988&lt;/D&gt;&lt;D xsi:type="xsd:double"&gt;13.9161178881762&lt;/D&gt;&lt;D xsi:type="xsd:double"&gt;13.9102211422056&lt;/D&gt;&lt;D xsi:type="xsd:double"&gt;14.6912316938565&lt;/D&gt;&lt;D xsi:type="xsd:double"&gt;15.4928782427401&lt;/D&gt;&lt;D xsi:type="xsd:double"&gt;15.4881017835175&lt;/D&gt;&lt;/FQL&gt;&lt;FQL&gt;&lt;Q&gt;DDR3512M-FDS^FG_PRICE_CHANGE(0,-1AM)&lt;/Q&gt;&lt;R&gt;1&lt;/R&gt;&lt;C&gt;1&lt;/C&gt;&lt;D xsi:type="xsd:double"&gt;0.903696030159051&lt;/D&gt;&lt;/FQL&gt;&lt;FQL&gt;&lt;Q&gt;PASP-FDS^FG_PRICE_CHANGE(0,-1AM)&lt;/Q&gt;&lt;R&gt;1&lt;/R&gt;&lt;C&gt;1&lt;/C&gt;&lt;D xsi:type="xsd:double"&gt;1.71428571428571&lt;/D&gt;&lt;/FQL&gt;&lt;FQL&gt;&lt;Q&gt;PLATI-FDS^FG_PRICE_CHANGE(0,-1AM)&lt;/Q&gt;&lt;R&gt;1&lt;/R&gt;&lt;C&gt;1&lt;/C&gt;&lt;D xsi:type="xsd:double"&gt;4.9197860962567&lt;/D&gt;&lt;/FQL&gt;&lt;FQL&gt;&lt;Q&gt;TRYVN10Y-FDS^FG_YIELD(-10AY,0,Y,,"YTM")&lt;/Q&gt;&lt;R&gt;10&lt;/R&gt;&lt;C&gt;1&lt;/C&gt;&lt;D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xsi:type="xsd:double"&gt;2.9473283&lt;/D&gt;&lt;/FQL&gt;&lt;FQL&gt;&lt;Q&gt;EWI^FMA_DIV_YLD(NTMA,-10AY,0,AM,"PORTAGG","MEANR")&lt;/Q&gt;&lt;R&gt;121&lt;/R&gt;&lt;C&gt;1&lt;/C&gt;&lt;D xsi:type="xsd:double"&gt;3.46195219844704&lt;/D&gt;&lt;D xsi:type="xsd:double"&gt;3.48484039049091&lt;/D&gt;&lt;D xsi:type="xsd:double"&gt;3.38364223734382&lt;/D&gt;&lt;D xsi:type="xsd:double"&gt;3.50256229449532&lt;/D&gt;&lt;D xsi:type="xsd:double"&gt;3.76100974459839&lt;/D&gt;&lt;D xsi:type="xsd:double"&gt;3.50867566499921&lt;/D&gt;&lt;D xsi:type="xsd:double"&gt;3.97519122118323&lt;/D&gt;&lt;D xsi:type="xsd:double"&gt;3.96500096243937&lt;/D&gt;&lt;D xsi:type="xsd:double"&gt;3.99531393602561&lt;/D&gt;&lt;D xsi:type="xsd:double"&gt;4.27218270378016&lt;/D&gt;&lt;D xsi:type="xsd:double"&gt;3.73714986584717&lt;/D&gt;&lt;D xsi:type="xsd:double"&gt;3.39361964990979&lt;/D&gt;&lt;D xsi:type="xsd:double"&gt;3.08211052344215&lt;/D&gt;&lt;D xsi:type="xsd:double"&gt;3.17529418561015&lt;/D&gt;&lt;D xsi:type="xsd:double"&gt;3.25948103308547&lt;/D&gt;&lt;D xsi:type="xsd:double"&gt;3.27861299320685&lt;/D&gt;&lt;D xsi:type="xsd:double"&gt;3.10047477499865&lt;/D&gt;&lt;D xsi:type="xsd:double"&gt;3.41146122623376&lt;/D&gt;&lt;D xsi:type="xsd:double"&gt;3.55995799370087&lt;/D&gt;&lt;D xsi:type="xsd:double"&gt;3.59009917998346&lt;/D&gt;&lt;D xsi:type="xsd:double"&gt;3.86957175168544&lt;/D&gt;&lt;D xsi:type="xsd:double"&gt;4.16618055213125&lt;/D&gt;&lt;D xsi:type="xsd:double"&gt;5.08168473647802&lt;/D&gt;&lt;D xsi:type="xsd:double"&gt;4.17694949415063&lt;/D&gt;&lt;D xsi:type="xsd:double"&gt;4.53000704125564&lt;/D&gt;&lt;D xsi:type="xsd:double"&gt;4.54673457015378&lt;/D&gt;&lt;D xsi:type="xsd:double"&gt;4.78788731735719&lt;/D&gt;&lt;D xsi:type="xsd:double"&gt;4.95816910205306&lt;/D&gt;&lt;D xsi:type="xsd:double"&gt;4.69444623522132&lt;/D&gt;&lt;D xsi:type="xsd:double"&gt;4.71948698640769&lt;/D&gt;&lt;D xsi:type="xsd:double"&gt;4.96865928423915&lt;/D&gt;&lt;D xsi:type="xsd:double"&gt;4.78241754393465&lt;/D&gt;&lt;D xsi:type="xsd:double"&gt;4.53550667294587&lt;/D&gt;&lt;D xsi:type="xsd:double"&gt;4.30591893685429&lt;/D&gt;&lt;D xsi:type="xsd:double"&gt;4.44599975976405&lt;/D&gt;&lt;D xsi:type="xsd:double"&gt;4.06750207002043&lt;/D&gt;&lt;D xsi:type="xsd:double"&gt;3.98330615193518&lt;/D&gt;&lt;D xsi:type="xsd:double"&gt;3.77460950413415&lt;/D&gt;&lt;D xsi:type="xsd:double"&gt;3.75897859432636&lt;/D&gt;&lt;D xsi:type="xsd:double"&gt;3.81447013713593&lt;/D&gt;&lt;D xsi:type="xsd:double"&gt;3.83046937246452&lt;/D&gt;&lt;D xsi:type="xsd:double"&gt;3.73479012407187&lt;/D&gt;&lt;D xsi:type="xsd:double"&gt;3.78124180585251&lt;/D&gt;&lt;D xsi:type="xsd:double"&gt;3.82206993493439&lt;/D&gt;&lt;D xsi:type="xsd:double"&gt;3.83021663243235&lt;/D&gt;&lt;D xsi:type="xsd:double"&gt;3.77688907453437&lt;/D&gt;&lt;D xsi:type="xsd:double"&gt;4.0296985547953&lt;/D&gt;&lt;D xsi:type="xsd:double"&gt;4.00243749414389&lt;/D&gt;&lt;D xsi:type="xsd:double"&gt;4.0058427649528&lt;/D&gt;&lt;D xsi:type="xsd:double"&gt;3.89538532686457&lt;/D&gt;&lt;D xsi:type="xsd:double"&gt;4.3751583803581&lt;/D&gt;&lt;D xsi:type="xsd:double"&gt;4.49157151742712&lt;/D&gt;&lt;D xsi:type="xsd:double"&gt;4.5769263603456&lt;/D&gt;&lt;D xsi:type="xsd:double"&gt;4.64571448812626&lt;/D&gt;&lt;D xsi:type="xsd:double"&gt;5.01240557759704&lt;/D&gt;&lt;D xsi:type="xsd:double"&gt;5.07712974022427&lt;/D&gt;&lt;D xsi:type="xsd:double"&gt;5.36064786589972&lt;/D&gt;&lt;D xsi:type="xsd:double"&gt;5.17574795645191&lt;/D&gt;&lt;D xsi:type="xsd:double"&gt;5.05567952268158&lt;/D&gt;&lt;D xsi:type="xsd:double"&gt;4.80552436506738&lt;/D&gt;&lt;D xsi:type="xsd:double"&gt;4.63862358887392&lt;/D&gt;&lt;D xsi:type="xsd:double"&gt;4.86556204899233&lt;/D&gt;&lt;D xsi:type="xsd:double"&gt;4.97485594177417&lt;/D&gt;&lt;D xsi:type="xsd:double"&gt;4.62791958293277&lt;/D&gt;&lt;D xsi:type="xsd:double"&gt;5.09412920189894&lt;/D&gt;&lt;D xsi:type="xsd:double"&gt;4.76957636127331&lt;/D&gt;&lt;D xsi:type="xsd:double"&gt;4.7333996357681&lt;/D&gt;&lt;D xsi:type="xsd:double"&gt;4.5375116113783&lt;/D&gt;&lt;D xsi:type="xsd:double"&gt;4.57583085406024&lt;/D&gt;&lt;D xsi:type="xsd:double"&gt;4.42752191483507&lt;/D&gt;&lt;D xsi:type="xsd:double"&gt;4.44898149167586&lt;/D&gt;&lt;D xsi:type="xsd:double"&gt;6.07553002107541&lt;/D&gt;&lt;D xsi:type="xsd:double"&gt;5.87672825081317&lt;/D&gt;&lt;D xsi:type="xsd:double"&gt;5.02906068230253&lt;/D&gt;&lt;D xsi:type="xsd:double"&gt;4.39776882412816&lt;/D&gt;&lt;D xsi:type="xsd:double"&gt;4.31542851825517&lt;/D&gt;&lt;D xsi:type="xsd:double"&gt;3.89400499923041&lt;/D&gt;&lt;D xsi:type="xsd:double"&gt;4.02482703489546&lt;/D&gt;&lt;D xsi:type="xsd:double"&gt;4.11721819137055&lt;/D&gt;&lt;D xsi:type="xsd:double"&gt;3.9837175960642&lt;/D&gt;&lt;D xsi:type="xsd:double"&gt;3.9945362949049&lt;/D&gt;&lt;D xsi:type="xsd:double"&gt;3.89127337530589&lt;/D&gt;&lt;D xsi:type="xsd:double"&gt;3.92170587177807&lt;/D&gt;&lt;D xsi:type="xsd:double"&gt;4.0701118391927&lt;/D&gt;&lt;D xsi:type="xsd:double"&gt;4.06191685254827&lt;/D&gt;&lt;D xsi:type="xsd:double"&gt;4.22257974919112&lt;/D&gt;&lt;D xsi:type="xsd:double"&gt;4.03764201616479&lt;/D&gt;&lt;D xsi:type="xsd:double"&gt;4.19602155604014&lt;/D&gt;&lt;D xsi:type="xsd:double"&gt;4.25863124992048&lt;/D&gt;&lt;D xsi:type="xsd:double"&gt;4.50177636052082&lt;/D&gt;&lt;D xsi:type="xsd:double"&gt;4.48191805079678&lt;/D&gt;&lt;D xsi:type="xsd:double"&gt;4.31844762971948&lt;/D&gt;&lt;D xsi:type="xsd:double"&gt;4.6461787413316&lt;/D&gt;&lt;D xsi:type="xsd:double"&gt;4.59632376301831&lt;/D&gt;&lt;D xsi:type="xsd:double"&gt;4.79913352155837&lt;/D&gt;&lt;D xsi:type="xsd:double"&gt;5.46323114399036&lt;/D&gt;&lt;D xsi:type="xsd:double"&gt;5.05428039019065&lt;/D&gt;&lt;D xsi:type="xsd:double"&gt;5.22122821831669&lt;/D&gt;&lt;D xsi:type="xsd:double"&gt;5.64574914330444&lt;/D&gt;&lt;D xsi:type="xsd:double"&gt;5.87745185781511&lt;/D&gt;&lt;D xsi:type="xsd:double"&gt;5.71324678684767&lt;/D&gt;&lt;D xsi:type="xsd:double"&gt;5.64700883993288&lt;/D&gt;&lt;D xsi:type="xsd:double"&gt;6.20209425822692&lt;/D&gt;&lt;D xsi:type="xsd:double"&gt;5.40669456173364&lt;/D&gt;&lt;D xsi:type="xsd:double"&gt;5.78300982870231&lt;/D&gt;&lt;D xsi:type="xsd:double"&gt;5.47233589346091&lt;/D&gt;&lt;D xsi:type="xsd:double"&gt;5.43309386819878&lt;/D&gt;&lt;D xsi:type="xsd:double"&gt;5.36210540883119&lt;/D&gt;&lt;D xsi:type="xsd:double"&gt;5.3563814853148&lt;/D&gt;&lt;D xsi:type="xsd:double"&gt;5.55641636431235&lt;/D&gt;&lt;D xsi:type="xsd:double"&gt;5.44352507918498&lt;/D&gt;&lt;D xsi:type="xsd:double"&gt;5.34419973749123&lt;/D&gt;&lt;D xsi:type="xsd:double"&gt;5.53065548535623&lt;/D&gt;&lt;D xsi:type="xsd:double"&gt;5.41277414681384&lt;/D&gt;&lt;D xsi:type="xsd:double"&gt;5.53241411791793&lt;/D&gt;&lt;D xsi:type="xsd:double"&gt;5.65643669854102&lt;/D&gt;&lt;D xsi:type="xsd:double"&gt;5.37287706150491&lt;/D&gt;&lt;D xsi:type="xsd:double"&gt;5.48262286890946&lt;/D&gt;&lt;D xsi:type="xsd:double"&gt;5.51298909926196&lt;/D&gt;&lt;D xsi:type="xsd:double"&gt;5.23237733281111&lt;/D&gt;&lt;D xsi:type="xsd:double"&gt;5.18309239944631&lt;/D&gt;&lt;/FQL&gt;&lt;FQL&gt;&lt;Q&gt;CAGDPY@NL^EE_ACTUAL_ANNUAL(MED,0)&lt;/Q&gt;&lt;R&gt;1&lt;/R&gt;&lt;C&gt;1&lt;/C&gt;&lt;D xsi:type="xsd:double"&gt;10.0892019550425&lt;/D&gt;&lt;/FQL&gt;&lt;FQL&gt;&lt;Q&gt;EWI^FMA_ROE(NTMA,-20AY,NOW,FY,"PORTAGG","MEANR")&lt;/Q&gt;&lt;R&gt;20&lt;/R&gt;&lt;C&gt;1&lt;/C&gt;&lt;D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xsi:type="xsd:double"&gt;13.3572177464321&lt;/D&gt;&lt;/FQL&gt;&lt;FQL&gt;&lt;Q&gt;EWC^FMA_EPS(NTMA,-20AY,0,CY,,"PORTAGG","MEANR")&lt;/Q&gt;&lt;R&gt;20&lt;/R&gt;&lt;C&gt;1&lt;/C&gt;&lt;D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xsi:type="xsd:double"&gt;2.68263358415049&lt;/D&gt;&lt;/FQL&gt;&lt;FQL&gt;&lt;Q&gt;ENZL^P_PRICE_RETURNS_PR('52W',2,-10AY,0,AM)&lt;/Q&gt;&lt;R&gt;121&lt;/R&gt;&lt;C&gt;1&lt;/C&gt;&lt;D xsi:type="xsd:double"&gt;15.5653715&lt;/D&gt;&lt;D xsi:type="xsd:double"&gt;13.666117&lt;/D&gt;&lt;D xsi:type="xsd:double"&gt;26.935303&lt;/D&gt;&lt;D xsi:type="xsd:double"&gt;25.300968&lt;/D&gt;&lt;D xsi:type="xsd:double"&gt;17.058409&lt;/D&gt;&lt;D xsi:type="xsd:double"&gt;15.349663&lt;/D&gt;&lt;D xsi:type="xsd:double"&gt;2.547872&lt;/D&gt;&lt;D xsi:type="xsd:double"&gt;6.076777&lt;/D&gt;&lt;D xsi:type="xsd:double"&gt;12.242329&lt;/D&gt;&lt;D xsi:type="xsd:double"&gt;10.722601&lt;/D&gt;&lt;D xsi:type="xsd:double"&gt;7.0911765&lt;/D&gt;&lt;D xsi:type="xsd:double"&gt;-1.1847258&lt;/D&gt;&lt;D xsi:type="xsd:double"&gt;0.3360629&lt;/D&gt;&lt;D xsi:type="xsd:double"&gt;-3.7117898&lt;/D&gt;&lt;D xsi:type="xsd:double"&gt;-5.841744&lt;/D&gt;&lt;D xsi:type="xsd:double"&gt;-13.872492&lt;/D&gt;&lt;D xsi:type="xsd:double"&gt;-10.203433&lt;/D&gt;&lt;D xsi:type="xsd:double"&gt;-16.481596&lt;/D&gt;&lt;D xsi:type="xsd:double"&gt;-7.4837565&lt;/D&gt;&lt;D xsi:type="xsd:double"&gt;-8.42886&lt;/D&gt;&lt;D xsi:type="xsd:double"&gt;-5.984229&lt;/D&gt;&lt;D xsi:type="xsd:double"&gt;-9.317965&lt;/D&gt;&lt;D xsi:type="xsd:double"&gt;-7.302785&lt;/D&gt;&lt;D xsi:type="xsd:double"&gt;4.0916443&lt;/D&gt;&lt;D xsi:type="xsd:double"&gt;4.617095&lt;/D&gt;&lt;D xsi:type="xsd:double"&gt;11.699152&lt;/D&gt;&lt;D xsi:type="xsd:double"&gt;16.518938&lt;/D&gt;&lt;D xsi:type="xsd:double"&gt;33.803986&lt;/D&gt;&lt;D xsi:type="xsd:double"&gt;41.82111&lt;/D&gt;&lt;D xsi:type="xsd:double"&gt;53.034653&lt;/D&gt;&lt;D xsi:type="xsd:double"&gt;32.81857&lt;/D&gt;&lt;D xsi:type="xsd:double"&gt;20.130657&lt;/D&gt;&lt;D xsi:type="xsd:double"&gt;20.644928&lt;/D&gt;&lt;D xsi:type="xsd:double"&gt;24.906254&lt;/D&gt;&lt;D xsi:type="xsd:double"&gt;28.007317&lt;/D&gt;&lt;D xsi:type="xsd:double"&gt;14.201117&lt;/D&gt;&lt;D xsi:type="xsd:double"&gt;8.664953&lt;/D&gt;&lt;D xsi:type="xsd:double"&gt;8.968914&lt;/D&gt;&lt;D xsi:type="xsd:double"&gt;7.805431&lt;/D&gt;&lt;D xsi:type="xsd:double"&gt;7.3199987&lt;/D&gt;&lt;D xsi:type="xsd:double"&gt;5.658245&lt;/D&gt;&lt;D xsi:type="xsd:double"&gt;4.391265&lt;/D&gt;&lt;D xsi:type="xsd:double"&gt;13.387108&lt;/D&gt;&lt;D xsi:type="xsd:double"&gt;13.542867&lt;/D&gt;&lt;D xsi:type="xsd:double"&gt;15.320468&lt;/D&gt;&lt;D xsi:type="xsd:double"&gt;19.137383&lt;/D&gt;&lt;D xsi:type="xsd:double"&gt;12.236047&lt;/D&gt;&lt;D xsi:type="xsd:double"&gt;25.490284&lt;/D&gt;&lt;D xsi:type="xsd:double"&gt;23.643816&lt;/D&gt;&lt;D xsi:type="xsd:double"&gt;16.628874&lt;/D&gt;&lt;D xsi:type="xsd:double"&gt;16.583992&lt;/D&gt;&lt;D xsi:type="xsd:double"&gt;10.061466&lt;/D&gt;&lt;D xsi:type="xsd:double"&gt;4.527855&lt;/D&gt;&lt;D xsi:type="xsd:double"&gt;4.778564&lt;/D&gt;&lt;D xsi:type="xsd:double"&gt;-0.92815757&lt;/D&gt;&lt;D xsi:type="xsd:double"&gt;8.789754&lt;/D&gt;&lt;D xsi:type="xsd:double"&gt;5.837798&lt;/D&gt;&lt;D xsi:type="xsd:double"&gt;3.4255147&lt;/D&gt;&lt;D xsi:type="xsd:double"&gt;7.9009414&lt;/D&gt;&lt;D xsi:type="xsd:double"&gt;4.7439814&lt;/D&gt;&lt;D xsi:type="xsd:double"&gt;5.800104&lt;/D&gt;&lt;D xsi:type="xsd:double"&gt;11.012769&lt;/D&gt;&lt;D xsi:type="xsd:double"&gt;5.043137&lt;/D&gt;&lt;D xsi:type="xsd:double"&gt;16.030956&lt;/D&gt;&lt;D xsi:type="xsd:double"&gt;18.065548&lt;/D&gt;&lt;D xsi:type="xsd:double"&gt;16.723263&lt;/D&gt;&lt;D xsi:type="xsd:double"&gt;21.851086&lt;/D&gt;&lt;D xsi:type="xsd:double"&gt;15.259563&lt;/D&gt;&lt;D xsi:type="xsd:double"&gt;23.37563&lt;/D&gt;&lt;D xsi:type="xsd:double"&gt;25.2195&lt;/D&gt;&lt;D xsi:type="xsd:double"&gt;20.862103&lt;/D&gt;&lt;D xsi:type="xsd:double"&gt;5.411029&lt;/D&gt;&lt;D xsi:type="xsd:double"&gt;-5.511469&lt;/D&gt;&lt;D xsi:type="xsd:double"&gt;-0.83503723&lt;/D&gt;&lt;D xsi:type="xsd:double"&gt;5.9719086&lt;/D&gt;&lt;D xsi:type="xsd:double"&gt;8.900285&lt;/D&gt;&lt;D xsi:type="xsd:double"&gt;11.406958&lt;/D&gt;&lt;D xsi:type="xsd:double"&gt;11.142933&lt;/D&gt;&lt;D xsi:type="xsd:double"&gt;20.517624&lt;/D&gt;&lt;D xsi:type="xsd:double"&gt;26.618172&lt;/D&gt;&lt;D xsi:type="xsd:double"&gt;22.654093&lt;/D&gt;&lt;D xsi:type="xsd:double"&gt;21.711123&lt;/D&gt;&lt;D xsi:type="xsd:double"&gt;19.059776&lt;/D&gt;&lt;D xsi:type="xsd:double"&gt;26.797152&lt;/D&gt;&lt;D xsi:type="xsd:double"&gt;38.204967&lt;/D&gt;&lt;D xsi:type="xsd:double"&gt;31.661642&lt;/D&gt;&lt;D xsi:type="xsd:double"&gt;21.244324&lt;/D&gt;&lt;D xsi:type="xsd:double"&gt;10.75486&lt;/D&gt;&lt;D xsi:type="xsd:double"&gt;8.526659&lt;/D&gt;&lt;D xsi:type="xsd:double"&gt;10.965765&lt;/D&gt;&lt;D xsi:type="xsd:double"&gt;2.2033572&lt;/D&gt;&lt;D xsi:type="xsd:double"&gt;-2.8266966&lt;/D&gt;&lt;D xsi:type="xsd:double"&gt;-10.822701&lt;/D&gt;&lt;D xsi:type="xsd:double"&gt;-13.511526&lt;/D&gt;&lt;D xsi:type="xsd:double"&gt;-17.338526&lt;/D&gt;&lt;D xsi:type="xsd:double"&gt;-13.08403&lt;/D&gt;&lt;D xsi:type="xsd:double"&gt;-12.960106&lt;/D&gt;&lt;D xsi:type="xsd:double"&gt;-25.857342&lt;/D&gt;&lt;D xsi:type="xsd:double"&gt;-24.37467&lt;/D&gt;&lt;D xsi:type="xsd:double"&gt;-26.098484&lt;/D&gt;&lt;D xsi:type="xsd:double"&gt;-17.142273&lt;/D&gt;&lt;D xsi:type="xsd:double"&gt;-22.73389&lt;/D&gt;&lt;D xsi:type="xsd:double"&gt;-32.247997&lt;/D&gt;&lt;D xsi:type="xsd:double"&gt;-24.119658&lt;/D&gt;&lt;D xsi:type="xsd:double"&gt;-13.236737&lt;/D&gt;&lt;D xsi:type="xsd:double"&gt;-12.364185&lt;/D&gt;&lt;D xsi:type="xsd:double"&gt;-4.388708&lt;/D&gt;&lt;D xsi:type="xsd:double"&gt;-11.30147&lt;/D&gt;&lt;D xsi:type="xsd:double"&gt;-5.922973&lt;/D&gt;&lt;D xsi:type="xsd:double"&gt;10.498512&lt;/D&gt;&lt;D xsi:type="xsd:double"&gt;3.7522197&lt;/D&gt;&lt;D xsi:type="xsd:double"&gt;11.5965605&lt;/D&gt;&lt;D xsi:type="xsd:double"&gt;-3.9346159&lt;/D&gt;&lt;D xsi:type="xsd:double"&gt;-5.7162046&lt;/D&gt;&lt;D xsi:type="xsd:double"&gt;12.7841835&lt;/D&gt;&lt;D xsi:type="xsd:double"&gt;-1.287657&lt;/D&gt;&lt;D xsi:type="xsd:double"&gt;-4.629821&lt;/D&gt;&lt;D xsi:type="xsd:double"&gt;-0.93510747&lt;/D&gt;&lt;D xsi:type="xsd:double"&gt;-6.625718&lt;/D&gt;&lt;D xsi:type="xsd:double"&gt;-0.81038475&lt;/D&gt;&lt;D xsi:type="xsd:double"&gt;-5.731559&lt;/D&gt;&lt;/FQL&gt;&lt;FQL&gt;&lt;Q&gt;TRYTW10Y-FDS^FG_YIELD(-10AY,0,Y,,"YTM")&lt;/Q&gt;&lt;R&gt;10&lt;/R&gt;&lt;C&gt;1&lt;/C&gt;&lt;D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xsi:type="xsd:double"&gt;1.211&lt;/D&gt;&lt;/FQL&gt;&lt;FQL&gt;&lt;Q&gt;USDITL^FG_PRICE_CHANGE(0,-6AM)&lt;/Q&gt;&lt;R&gt;1&lt;/R&gt;&lt;C&gt;1&lt;/C&gt;&lt;D xsi:type="xsd:double"&gt;-0.76595545&lt;/D&gt;&lt;/FQL&gt;&lt;FQL&gt;&lt;Q&gt;EWI^FG_PRICE_MAVG(0,,,,30)&lt;/Q&gt;&lt;R&gt;1&lt;/R&gt;&lt;C&gt;1&lt;/C&gt;&lt;D xsi:type="xsd:double"&gt;37.04767&lt;/D&gt;&lt;/FQL&gt;&lt;FQL&gt;&lt;Q&gt;EWJ^FG_PRICE_MAVG(0,,,,30)&lt;/Q&gt;&lt;R&gt;1&lt;/R&gt;&lt;C&gt;1&lt;/C&gt;&lt;D xsi:type="xsd:double"&gt;70.443&lt;/D&gt;&lt;/FQL&gt;&lt;FQL&gt;&lt;Q&gt;USDANG^FG_PRICE_CHANGE(0,-6AM)&lt;/Q&gt;&lt;R&gt;1&lt;/R&gt;&lt;C&gt;1&lt;/C&gt;&lt;D xsi:type="xsd:double"&gt;0&lt;/D&gt;&lt;/FQL&gt;&lt;FQL&gt;&lt;Q&gt;DDR3512M-FDS^FG_PRICE_MAVG(0,,,,30)&lt;/Q&gt;&lt;R&gt;1&lt;/R&gt;&lt;C&gt;1&lt;/C&gt;&lt;D xsi:type="xsd:double"&gt;0.96390307&lt;/D&gt;&lt;/FQL&gt;&lt;FQL&gt;&lt;Q&gt;ENZL^FG_PRICE_MAVG(0,,,,30)&lt;/Q&gt;&lt;R&gt;1&lt;/R&gt;&lt;C&gt;1&lt;/C&gt;&lt;D xsi:type="xsd:double"&gt;45.440926&lt;/D&gt;&lt;/FQL&gt;&lt;FQL&gt;&lt;Q&gt;CAGDPY@CA^EE_ACTUAL_ANNUAL(MED,0)&lt;/Q&gt;&lt;R&gt;1&lt;/R&gt;&lt;C&gt;1&lt;/C&gt;&lt;D xsi:type="xsd:double"&gt;-0.614727995236974&lt;/D&gt;&lt;/FQL&gt;&lt;FQL&gt;&lt;Q&gt;EWN^FMA_PE(NTMA,-10AY,0,AM,"PORTAGG","MEANR")&lt;/Q&gt;&lt;R&gt;121&lt;/R&gt;&lt;C&gt;1&lt;/C&gt;&lt;D xsi:type="xsd:double"&gt;14.0088382201861&lt;/D&gt;&lt;D xsi:type="xsd:double"&gt;14.0882596556167&lt;/D&gt;&lt;D xsi:type="xsd:double"&gt;14.58460750439&lt;/D&gt;&lt;D xsi:type="xsd:double"&gt;14.0701072000707&lt;/D&gt;&lt;D xsi:type="xsd:double"&gt;13.8123919566065&lt;/D&gt;&lt;D xsi:type="xsd:double"&gt;14.6303597529757&lt;/D&gt;&lt;D xsi:type="xsd:double"&gt;13.8188359071062&lt;/D&gt;&lt;D xsi:type="xsd:double"&gt;14.7337717604417&lt;/D&gt;&lt;D xsi:type="xsd:double"&gt;14.8608766344374&lt;/D&gt;&lt;D xsi:type="xsd:double"&gt;14.594353983902&lt;/D&gt;&lt;D xsi:type="xsd:double"&gt;15.8929376378321&lt;/D&gt;&lt;D xsi:type="xsd:double"&gt;17.451439233474&lt;/D&gt;&lt;D xsi:type="xsd:double"&gt;17.7990555385529&lt;/D&gt;&lt;D xsi:type="xsd:double"&gt;16.9943713502452&lt;/D&gt;&lt;D xsi:type="xsd:double"&gt;16.606450956847&lt;/D&gt;&lt;D xsi:type="xsd:double"&gt;16.4491634238409&lt;/D&gt;&lt;D xsi:type="xsd:double"&gt;16.6293813476083&lt;/D&gt;&lt;D xsi:type="xsd:double"&gt;14.559729005272&lt;/D&gt;&lt;D xsi:type="xsd:double"&gt;14.8640677897835&lt;/D&gt;&lt;D xsi:type="xsd:double"&gt;16.3260533006591&lt;/D&gt;&lt;D xsi:type="xsd:double"&gt;15.2061614074946&lt;/D&gt;&lt;D xsi:type="xsd:double"&gt;14.4109493562195&lt;/D&gt;&lt;D xsi:type="xsd:double"&gt;13.3741320426759&lt;/D&gt;&lt;D xsi:type="xsd:double"&gt;15.303880693061&lt;/D&gt;&lt;D xsi:type="xsd:double"&gt;14.9787486349474&lt;/D&gt;&lt;D xsi:type="xsd:double"&gt;14.8056168158084&lt;/D&gt;&lt;D xsi:type="xsd:double"&gt;14.5259455610511&lt;/D&gt;&lt;D xsi:type="xsd:double"&gt;14.3420045489848&lt;/D&gt;&lt;D xsi:type="xsd:double"&gt;15.0544011370519&lt;/D&gt;&lt;D xsi:type="xsd:double"&gt;14.8742964634283&lt;/D&gt;&lt;D xsi:type="xsd:double"&gt;14.7992529254784&lt;/D&gt;&lt;D xsi:type="xsd:double"&gt;14.4101590514397&lt;/D&gt;&lt;D xsi:type="xsd:double"&gt;14.7895848907391&lt;/D&gt;&lt;D xsi:type="xsd:double"&gt;15.008732219788&lt;/D&gt;&lt;D xsi:type="xsd:double"&gt;15.2732373653177&lt;/D&gt;&lt;D xsi:type="xsd:double"&gt;16.0658307955633&lt;/D&gt;&lt;D xsi:type="xsd:double"&gt;16.1836035031578&lt;/D&gt;&lt;D xsi:type="xsd:double"&gt;16.4634258965304&lt;/D&gt;&lt;D xsi:type="xsd:double"&gt;16.3278039027341&lt;/D&gt;&lt;D xsi:type="xsd:double"&gt;15.7466602926556&lt;/D&gt;&lt;D xsi:type="xsd:double"&gt;15.70057747508&lt;/D&gt;&lt;D xsi:type="xsd:double"&gt;15.788375649841&lt;/D&gt;&lt;D xsi:type="xsd:double"&gt;16.136728738471&lt;/D&gt;&lt;D xsi:type="xsd:double"&gt;16.1161194546651&lt;/D&gt;&lt;D xsi:type="xsd:double"&gt;16.049551834763&lt;/D&gt;&lt;D xsi:type="xsd:double"&gt;16.1948503328805&lt;/D&gt;&lt;D xsi:type="xsd:double"&gt;15.1646814553608&lt;/D&gt;&lt;D xsi:type="xsd:double"&gt;15.7741675501155&lt;/D&gt;&lt;D xsi:type="xsd:double"&gt;15.5797520988146&lt;/D&gt;&lt;D xsi:type="xsd:double"&gt;15.7079210668555&lt;/D&gt;&lt;D xsi:type="xsd:double"&gt;16.0251839708322&lt;/D&gt;&lt;D xsi:type="xsd:double"&gt;15.5216592746206&lt;/D&gt;&lt;D xsi:type="xsd:double"&gt;15.640740861733&lt;/D&gt;&lt;D xsi:type="xsd:double"&gt;14.9369146363776&lt;/D&gt;&lt;D xsi:type="xsd:double"&gt;14.0371414103715&lt;/D&gt;&lt;D xsi:type="xsd:double"&gt;14.3697220663431&lt;/D&gt;&lt;D xsi:type="xsd:double"&gt;13.5306330965405&lt;/D&gt;&lt;D xsi:type="xsd:double"&gt;13.4132960063511&lt;/D&gt;&lt;D xsi:type="xsd:double"&gt;14.4961052650769&lt;/D&gt;&lt;D xsi:type="xsd:double"&gt;14.8414978724862&lt;/D&gt;&lt;D xsi:type="xsd:double"&gt;15.467297042716&lt;/D&gt;&lt;D xsi:type="xsd:double"&gt;15.2539616935744&lt;/D&gt;&lt;D xsi:type="xsd:double"&gt;15.373177048038&lt;/D&gt;&lt;D xsi:type="xsd:double"&gt;15.4887705573481&lt;/D&gt;&lt;D xsi:type="xsd:double"&gt;15.0337846425899&lt;/D&gt;&lt;D xsi:type="xsd:double"&gt;15.9743150607535&lt;/D&gt;&lt;D xsi:type="xsd:double"&gt;16.2028146754409&lt;/D&gt;&lt;D xsi:type="xsd:double"&gt;16.666884114175&lt;/D&gt;&lt;D xsi:type="xsd:double"&gt;16.8139386319092&lt;/D&gt;&lt;D xsi:type="xsd:double"&gt;17.162064365413&lt;/D&gt;&lt;D xsi:type="xsd:double"&gt;18.0183318273075&lt;/D&gt;&lt;D xsi:type="xsd:double"&gt;14.2445133943651&lt;/D&gt;&lt;D xsi:type="xsd:double"&gt;15.8300239798781&lt;/D&gt;&lt;D xsi:type="xsd:double"&gt;17.534548504571&lt;/D&gt;&lt;D xsi:type="xsd:double"&gt;18.82755537987&lt;/D&gt;&lt;D xsi:type="xsd:double"&gt;20.1078837400162&lt;/D&gt;&lt;D xsi:type="xsd:double"&gt;19.9348590344421&lt;/D&gt;&lt;D xsi:type="xsd:double"&gt;19.5586880296773&lt;/D&gt;&lt;D xsi:type="xsd:double"&gt;19.8932719844796&lt;/D&gt;&lt;D xsi:type="xsd:double"&gt;20.6195401665&lt;/D&gt;&lt;D xsi:type="xsd:double"&gt;20.201165814405&lt;/D&gt;&lt;D xsi:type="xsd:double"&gt;21.0269090254183&lt;/D&gt;&lt;D xsi:type="xsd:double"&gt;22.4660991111799&lt;/D&gt;&lt;D xsi:type="xsd:double"&gt;21.9352286901822&lt;/D&gt;&lt;D xsi:type="xsd:double"&gt;22.8845723949405&lt;/D&gt;&lt;D xsi:type="xsd:double"&gt;21.0642742453996&lt;/D&gt;&lt;D xsi:type="xsd:double"&gt;21.6370786330331&lt;/D&gt;&lt;D xsi:type="xsd:double"&gt;21.0945242080681&lt;/D&gt;&lt;D xsi:type="xsd:double"&gt;21.799261229106&lt;/D&gt;&lt;D xsi:type="xsd:double"&gt;21.7374728854113&lt;/D&gt;&lt;D xsi:type="xsd:double"&gt;20.1715551336622&lt;/D&gt;&lt;D xsi:type="xsd:double"&gt;21.4237227329462&lt;/D&gt;&lt;D xsi:type="xsd:double"&gt;20.2110600110374&lt;/D&gt;&lt;D xsi:type="xsd:double"&gt;19.8679149972653&lt;/D&gt;&lt;D xsi:type="xsd:double"&gt;18.4049098023489&lt;/D&gt;&lt;D xsi:type="xsd:double"&gt;16.6233333865882&lt;/D&gt;&lt;D xsi:type="xsd:double"&gt;17.6100592804848&lt;/D&gt;&lt;D xsi:type="xsd:double"&gt;15.9935375002484&lt;/D&gt;&lt;D xsi:type="xsd:double"&gt;16.6065289036108&lt;/D&gt;&lt;D xsi:type="xsd:double"&gt;16.0860377768088&lt;/D&gt;&lt;D xsi:type="xsd:double"&gt;17.8139713612225&lt;/D&gt;&lt;D xsi:type="xsd:double"&gt;16.2211275314436&lt;/D&gt;&lt;D xsi:type="xsd:double"&gt;14.0476674222637&lt;/D&gt;&lt;D xsi:type="xsd:double"&gt;16.2938652813396&lt;/D&gt;&lt;D xsi:type="xsd:double"&gt;16.3428476031047&lt;/D&gt;&lt;D xsi:type="xsd:double"&gt;16.8283508435208&lt;/D&gt;&lt;D xsi:type="xsd:double"&gt;16.8701209528937&lt;/D&gt;&lt;D xsi:type="xsd:double"&gt;16.1868115056901&lt;/D&gt;&lt;D xsi:type="xsd:double"&gt;16.3313313359673&lt;/D&gt;&lt;D xsi:type="xsd:double"&gt;15.6083389361486&lt;/D&gt;&lt;D xsi:type="xsd:double"&gt;15.6427384838048&lt;/D&gt;&lt;D xsi:type="xsd:double"&gt;15.6326495240105&lt;/D&gt;&lt;D xsi:type="xsd:double"&gt;15.2821924075992&lt;/D&gt;&lt;D xsi:type="xsd:double"&gt;14.2719125343793&lt;/D&gt;&lt;D xsi:type="xsd:double"&gt;13.7148069562917&lt;/D&gt;&lt;D xsi:type="xsd:double"&gt;14.0587137574942&lt;/D&gt;&lt;D xsi:type="xsd:double"&gt;14.956333301324&lt;/D&gt;&lt;D xsi:type="xsd:double"&gt;14.6911366573905&lt;/D&gt;&lt;D xsi:type="xsd:double"&gt;16.2838412785539&lt;/D&gt;&lt;D xsi:type="xsd:double"&gt;16.0419850282135&lt;/D&gt;&lt;D xsi:type="xsd:double"&gt;16.3270051243778&lt;/D&gt;&lt;/FQL&gt;&lt;FQL&gt;&lt;Q&gt;SPY^FG_PRICE_MAVG(0,,,,30)&lt;/Q&gt;&lt;R&gt;1&lt;/R&gt;&lt;C&gt;1&lt;/C&gt;&lt;D xsi:type="xsd:double"&gt;516.1617&lt;/D&gt;&lt;/FQL&gt;&lt;FQL&gt;&lt;Q&gt;SPY^FMA_PE(LTMA,-10AY,0,AM,"PORTAGG","MEANR")&lt;/Q&gt;&lt;R&gt;121&lt;/R&gt;&lt;C&gt;1&lt;/C&gt;&lt;D xsi:type="xsd:double"&gt;16.1727794295926&lt;/D&gt;&lt;D xsi:type="xsd:double"&gt;16.2035090824088&lt;/D&gt;&lt;D xsi:type="xsd:double"&gt;16.343954694482&lt;/D&gt;&lt;D xsi:type="xsd:double"&gt;16.4061713621471&lt;/D&gt;&lt;D xsi:type="xsd:double"&gt;16.1807746576799&lt;/D&gt;&lt;D xsi:type="xsd:double"&gt;16.5236381699875&lt;/D&gt;&lt;D xsi:type="xsd:double"&gt;15.9764469536286&lt;/D&gt;&lt;D xsi:type="xsd:double"&gt;16.8888765564313&lt;/D&gt;&lt;D xsi:type="xsd:double"&gt;16.9290794505669&lt;/D&gt;&lt;D xsi:type="xsd:double"&gt;17.1803597250845&lt;/D&gt;&lt;D xsi:type="xsd:double"&gt;17.3109513399542&lt;/D&gt;&lt;D xsi:type="xsd:double"&gt;17.4823461897328&lt;/D&gt;&lt;D xsi:type="xsd:double"&gt;17.5603626447011&lt;/D&gt;&lt;D xsi:type="xsd:double"&gt;17.531065808012&lt;/D&gt;&lt;D xsi:type="xsd:double"&gt;17.5135167855186&lt;/D&gt;&lt;D xsi:type="xsd:double"&gt;17.3775374761632&lt;/D&gt;&lt;D xsi:type="xsd:double"&gt;17.4340284254423&lt;/D&gt;&lt;D xsi:type="xsd:double"&gt;16.7380542891142&lt;/D&gt;&lt;D xsi:type="xsd:double"&gt;17.0854389424927&lt;/D&gt;&lt;D xsi:type="xsd:double"&gt;17.3914755813826&lt;/D&gt;&lt;D xsi:type="xsd:double"&gt;16.8741555215366&lt;/D&gt;&lt;D xsi:type="xsd:double"&gt;16.1465991548736&lt;/D&gt;&lt;D xsi:type="xsd:double"&gt;16.2966838906097&lt;/D&gt;&lt;D xsi:type="xsd:double"&gt;16.18819342752&lt;/D&gt;&lt;D xsi:type="xsd:double"&gt;16.4452153070474&lt;/D&gt;&lt;D xsi:type="xsd:double"&gt;16.565182572191&lt;/D&gt;&lt;D xsi:type="xsd:double"&gt;16.7903390909585&lt;/D&gt;&lt;D xsi:type="xsd:double"&gt;17.1258275828842&lt;/D&gt;&lt;D xsi:type="xsd:double"&gt;17.5262633419947&lt;/D&gt;&lt;D xsi:type="xsd:double"&gt;17.3883673167525&lt;/D&gt;&lt;D xsi:type="xsd:double"&gt;17.6135263679888&lt;/D&gt;&lt;D xsi:type="xsd:double"&gt;17.9034217539695&lt;/D&gt;&lt;D xsi:type="xsd:double"&gt;18.7907440942411&lt;/D&gt;&lt;D xsi:type="xsd:double"&gt;19.0646140969249&lt;/D&gt;&lt;D xsi:type="xsd:double"&gt;19.1890335371885&lt;/D&gt;&lt;D xsi:type="xsd:double"&gt;19.4612423775783&lt;/D&gt;&lt;D xsi:type="xsd:double"&gt;19.2714227972503&lt;/D&gt;&lt;D xsi:type="xsd:double"&gt;19.1986653927497&lt;/D&gt;&lt;D xsi:type="xsd:double"&gt;19.1942620012913&lt;/D&gt;&lt;D xsi:type="xsd:double"&gt;19.0599517066698&lt;/D&gt;&lt;D xsi:type="xsd:double"&gt;18.996217932583&lt;/D&gt;&lt;D xsi:type="xsd:double"&gt;19.1373269003786&lt;/D&gt;&lt;D xsi:type="xsd:double"&gt;19.5692697307587&lt;/D&gt;&lt;D xsi:type="xsd:double"&gt;19.5975181931334&lt;/D&gt;&lt;D xsi:type="xsd:double"&gt;20.1302296888281&lt;/D&gt;&lt;D xsi:type="xsd:double"&gt;20.8654453988026&lt;/D&gt;&lt;D xsi:type="xsd:double"&gt;19.2822126347187&lt;/D&gt;&lt;D xsi:type="xsd:double"&gt;19.8054180333876&lt;/D&gt;&lt;D xsi:type="xsd:double"&gt;19.3070416948025&lt;/D&gt;&lt;D xsi:type="xsd:double"&gt;19.1192241658292&lt;/D&gt;&lt;D xsi:type="xsd:double"&gt;18.9711617715758&lt;/D&gt;&lt;D xsi:type="xsd:double"&gt;18.6844319844708&lt;/D&gt;&lt;D xsi:type="xsd:double"&gt;18.5812645833458&lt;/D&gt;&lt;D xsi:type="xsd:double"&gt;18.5639016032075&lt;/D&gt;&lt;D xsi:type="xsd:double"&gt;17.6375108501461&lt;/D&gt;&lt;D xsi:type="xsd:double"&gt;17.5514468335417&lt;/D&gt;&lt;D xsi:type="xsd:double"&gt;16.4556637048479&lt;/D&gt;&lt;D xsi:type="xsd:double"&gt;16.0581802784709&lt;/D&gt;&lt;D xsi:type="xsd:double"&gt;16.6736315159351&lt;/D&gt;&lt;D xsi:type="xsd:double"&gt;17.0877504521642&lt;/D&gt;&lt;D xsi:type="xsd:double"&gt;17.2276721585691&lt;/D&gt;&lt;D xsi:type="xsd:double"&gt;17.2016816321988&lt;/D&gt;&lt;D xsi:type="xsd:double"&gt;17.2169221662895&lt;/D&gt;&lt;D xsi:type="xsd:double"&gt;17.6495708552483&lt;/D&gt;&lt;D xsi:type="xsd:double"&gt;17.4840374581791&lt;/D&gt;&lt;D xsi:type="xsd:double"&gt;17.8870852617056&lt;/D&gt;&lt;D xsi:type="xsd:double"&gt;17.9461249575146&lt;/D&gt;&lt;D xsi:type="xsd:double"&gt;18.6695571741902&lt;/D&gt;&lt;D xsi:type="xsd:double"&gt;19.1984548631282&lt;/D&gt;&lt;D xsi:type="xsd:double"&gt;20.0999020237715&lt;/D&gt;&lt;D xsi:type="xsd:double"&gt;20.4319526127823&lt;/D&gt;&lt;D xsi:type="xsd:double"&gt;17.6860624555286&lt;/D&gt;&lt;D xsi:type="xsd:double"&gt;18.3116544995475&lt;/D&gt;&lt;D xsi:type="xsd:double"&gt;19.748146899061&lt;/D&gt;&lt;D xsi:type="xsd:double"&gt;20.5303673771272&lt;/D&gt;&lt;D xsi:type="xsd:double"&gt;21.8130951835429&lt;/D&gt;&lt;D xsi:type="xsd:double"&gt;22.5549814014031&lt;/D&gt;&lt;D xsi:type="xsd:double"&gt;23.0923839359232&lt;/D&gt;&lt;D xsi:type="xsd:double"&gt;24.371161205587&lt;/D&gt;&lt;D xsi:type="xsd:double"&gt;24.7908331212253&lt;/D&gt;&lt;D xsi:type="xsd:double"&gt;25.8258469480777&lt;/D&gt;&lt;D xsi:type="xsd:double"&gt;27.5628806289509&lt;/D&gt;&lt;D xsi:type="xsd:double"&gt;27.3361221294422&lt;/D&gt;&lt;D xsi:type="xsd:double"&gt;26.2525728026415&lt;/D&gt;&lt;D xsi:type="xsd:double"&gt;26.1129764430459&lt;/D&gt;&lt;D xsi:type="xsd:double"&gt;25.3365661850013&lt;/D&gt;&lt;D xsi:type="xsd:double"&gt;25.023548408849&lt;/D&gt;&lt;D xsi:type="xsd:double"&gt;24.9021452294617&lt;/D&gt;&lt;D xsi:type="xsd:double"&gt;24.1055644411158&lt;/D&gt;&lt;D xsi:type="xsd:double"&gt;23.6900634966802&lt;/D&gt;&lt;D xsi:type="xsd:double"&gt;22.955650389657&lt;/D&gt;&lt;D xsi:type="xsd:double"&gt;23.3115567931384&lt;/D&gt;&lt;D xsi:type="xsd:double"&gt;23.1802019597879&lt;/D&gt;&lt;D xsi:type="xsd:double"&gt;22.9245456952582&lt;/D&gt;&lt;D xsi:type="xsd:double"&gt;21.0826183158321&lt;/D&gt;&lt;D xsi:type="xsd:double"&gt;20.5214742007733&lt;/D&gt;&lt;D xsi:type="xsd:double"&gt;20.5424551735943&lt;/D&gt;&lt;D xsi:type="xsd:double"&gt;19.6272623893336&lt;/D&gt;&lt;D xsi:type="xsd:double"&gt;19.2123501261129&lt;/D&gt;&lt;D xsi:type="xsd:double"&gt;18.7899257335129&lt;/D&gt;&lt;D xsi:type="xsd:double"&gt;19.5329921542895&lt;/D&gt;&lt;D xsi:type="xsd:double"&gt;18.9356519714546&lt;/D&gt;&lt;D xsi:type="xsd:double"&gt;17.1917956371974&lt;/D&gt;&lt;D xsi:type="xsd:double"&gt;18.4770823687168&lt;/D&gt;&lt;D xsi:type="xsd:double"&gt;18.0145144002438&lt;/D&gt;&lt;D xsi:type="xsd:double"&gt;18.0300198316623&lt;/D&gt;&lt;D xsi:type="xsd:double"&gt;18.6044523246192&lt;/D&gt;&lt;D xsi:type="xsd:double"&gt;17.9728956256079&lt;/D&gt;&lt;D xsi:type="xsd:double"&gt;18.2690411243435&lt;/D&gt;&lt;D xsi:type="xsd:double"&gt;18.3237497528764&lt;/D&gt;&lt;D xsi:type="xsd:double"&gt;18.6843392573971&lt;/D&gt;&lt;D xsi:type="xsd:double"&gt;19.2299592026609&lt;/D&gt;&lt;D xsi:type="xsd:double"&gt;19.3824664664103&lt;/D&gt;&lt;D xsi:type="xsd:double"&gt;19.5808962061933&lt;/D&gt;&lt;D xsi:type="xsd:double"&gt;19.441548543614&lt;/D&gt;&lt;D xsi:type="xsd:double"&gt;19.7588035117041&lt;/D&gt;&lt;D xsi:type="xsd:double"&gt;20.797579348046&lt;/D&gt;&lt;D xsi:type="xsd:double"&gt;21.7749254795506&lt;/D&gt;&lt;D xsi:type="xsd:double"&gt;22.6193465106014&lt;/D&gt;&lt;D xsi:type="xsd:double"&gt;22.7454012299142&lt;/D&gt;&lt;D xsi:type="xsd:double"&gt;22.6804732607922&lt;/D&gt;&lt;/FQL&gt;&lt;FQL&gt;&lt;Q&gt;PASP-FDS^FG_PRICE_MAVG(0,,,,30)&lt;/Q&gt;&lt;R&gt;1&lt;/R&gt;&lt;C&gt;1&lt;/C&gt;&lt;D xsi:type="xsd:double"&gt;1029.8334&lt;/D&gt;&lt;/FQL&gt;&lt;FQL&gt;&lt;Q&gt;USDGBP^FG_PRICE_CHANGE(0,-6AM)&lt;/Q&gt;&lt;R&gt;1&lt;/R&gt;&lt;C&gt;1&lt;/C&gt;&lt;D xsi:type="xsd:double"&gt;-1.6614139&lt;/D&gt;&lt;/FQL&gt;&lt;FQL&gt;&lt;Q&gt;PLATI-FDS^FG_PRICE_MAVG(0,,,,30)&lt;/Q&gt;&lt;R&gt;1&lt;/R&gt;&lt;C&gt;1&lt;/C&gt;&lt;D xsi:type="xsd:double"&gt;924.9&lt;/D&gt;&lt;/FQL&gt;&lt;FQL&gt;&lt;Q&gt;FXI^FG_TOTAL_RETURNC(0,-12AM)&lt;/Q&gt;&lt;R&gt;1&lt;/R&gt;&lt;C&gt;1&lt;/C&gt;&lt;D xsi:type="xsd:double"&gt;-12.710589&lt;/D&gt;&lt;/FQL&gt;&lt;FQL&gt;&lt;Q&gt;USDJPY^FG_PRICE_CHANGE(0,-6AM)&lt;/Q&gt;&lt;R&gt;1&lt;/R&gt;&lt;C&gt;1&lt;/C&gt;&lt;D xsi:type="xsd:double"&gt;2.775824&lt;/D&gt;&lt;/FQL&gt;&lt;FQL&gt;&lt;Q&gt;W-FDS^FG_PRICE_MAVG(0,,,,30)&lt;/Q&gt;&lt;R&gt;1&lt;/R&gt;&lt;C&gt;1&lt;/C&gt;&lt;D xsi:type="xsd:double"&gt;5.4774165&lt;/D&gt;&lt;/FQL&gt;&lt;FQL&gt;&lt;Q&gt;USDCAD^FG_PRICE_CHANGE(0,-6AM)&lt;/Q&gt;&lt;R&gt;1&lt;/R&gt;&lt;C&gt;1&lt;/C&gt;&lt;D xsi:type="xsd:double"&gt;0.94189644&lt;/D&gt;&lt;/FQL&gt;&lt;FQL&gt;&lt;Q&gt;COPP-FDS^FG_PRICE_MAVG(0,,,,30)&lt;/Q&gt;&lt;R&gt;1&lt;/R&gt;&lt;C&gt;1&lt;/C&gt;&lt;D xsi:type="xsd:double"&gt;4.0418334&lt;/D&gt;&lt;/FQL&gt;&lt;FQL&gt;&lt;Q&gt;USDNZD^FG_PRICE_CHANGE(0,-6AM)&lt;/Q&gt;&lt;R&gt;1&lt;/R&gt;&lt;C&gt;1&lt;/C&gt;&lt;D xsi:type="xsd:double"&gt;0.90384483&lt;/D&gt;&lt;/FQL&gt;&lt;FQL&gt;&lt;Q&gt;FXI^P_PRICE(0)/P_PRICE_LOW_PR(0,,,,,,"PRICE","INTRA","52W")-1&lt;/Q&gt;&lt;R&gt;1&lt;/R&gt;&lt;C</t>
        </r>
      </text>
    </comment>
    <comment ref="A14" authorId="0" shapeId="0" xr:uid="{81401173-BDC5-4CF7-91FD-8F6EAB9CBE72}">
      <text>
        <r>
          <rPr>
            <b/>
            <sz val="9"/>
            <color indexed="81"/>
            <rFont val="Tahoma"/>
            <charset val="1"/>
          </rPr>
          <t>&gt;1&lt;/C&gt;&lt;D xsi:type="xsd:double"&gt;0.18408442&lt;/D&gt;&lt;/FQL&gt;&lt;FQL&gt;&lt;Q&gt;FXI^P_PRICE(0)/P_PRICE_HIGH_PR(0,,,,,,"PRICE","INTRA","52W")&lt;/Q&gt;&lt;R&gt;1&lt;/R&gt;&lt;C&gt;1&lt;/C&gt;&lt;D xsi:type="xsd:double"&gt;0.80877537&lt;/D&gt;&lt;/FQL&gt;&lt;FQL&gt;&lt;Q&gt;FXI^FG_TOTAL_RETURNC(0,-3AM)&lt;/Q&gt;&lt;R&gt;1&lt;/R&gt;&lt;C&gt;1&lt;/C&gt;&lt;D xsi:type="xsd:double"&gt;8.190977&lt;/D&gt;&lt;/FQL&gt;&lt;FQL&gt;&lt;Q&gt;FXI^PERCENT_CHANGE(FMA_EPS(+1,0,,,,"PORTAGG","MEAN"),FMA_EPS(+1,-3AM,,,,"PORTAGG","MEAN"))&lt;/Q&gt;&lt;R&gt;1&lt;/R&gt;&lt;C&gt;1&lt;/C&gt;&lt;D xsi:type="xsd:double"&gt;-1.75480169122212&lt;/D&gt;&lt;/FQL&gt;&lt;FQL&gt;&lt;Q&gt;FXI^FMA_PCT_ABOVE_MAVG(200,0,,,,"PORTAGG")&lt;/Q&gt;&lt;R&gt;1&lt;/R&gt;&lt;C&gt;1&lt;/C&gt;&lt;D xsi:type="xsd:double"&gt;50.9803921568627&lt;/D&gt;&lt;/FQL&gt;&lt;FQL&gt;&lt;Q&gt;FXI^FG_TOTAL_RETURNC(0,-6AM)&lt;/Q&gt;&lt;R&gt;1&lt;/R&gt;&lt;C&gt;1&lt;/C&gt;&lt;D xsi:type="xsd:double"&gt;-6.6117706&lt;/D&gt;&lt;/FQL&gt;&lt;FQL&gt;&lt;Q&gt;FXI^PERCENT_CHANGE(FMA_EPS(+1,0,,,,"PORTAGG","MEAN"),FMA_EPS(+1,-1AM,,,,"PORTAGG","MEAN"))&lt;/Q&gt;&lt;R&gt;1&lt;/R&gt;&lt;C&gt;1&lt;/C&gt;&lt;D xsi:type="xsd:double"&gt;-1.59514281102572&lt;/D&gt;&lt;/FQL&gt;&lt;FQL&gt;&lt;Q&gt;FXI^FG_TOTAL_RETURNC(0,-1AM)&lt;/Q&gt;&lt;R&gt;1&lt;/R&gt;&lt;C&gt;1&lt;/C&gt;&lt;D xsi:type="xsd:double"&gt;2.7454257&lt;/D&gt;&lt;/FQL&gt;&lt;FQL&gt;&lt;Q&gt;SPY^FG_TOTAL_RETURNC(0,-12AM)&lt;/Q&gt;&lt;R&gt;1&lt;/R&gt;&lt;C&gt;1&lt;/C&gt;&lt;D xsi:type="xsd:double"&gt;28.269505&lt;/D&gt;&lt;/FQL&gt;&lt;FQL&gt;&lt;Q&gt;SPY^P_PRICE(0)/P_PRICE_LOW_PR(0,,,,,,"PRICE","INTRA","52W")-1&lt;/Q&gt;&lt;R&gt;1&lt;/R&gt;&lt;C&gt;1&lt;/C&gt;&lt;D xsi:type="xsd:double"&gt;0.28300393&lt;/D&gt;&lt;/FQL&gt;&lt;FQL&gt;&lt;Q&gt;SPY^P_PRICE(0)/P_PRICE_HIGH_PR(0,,,,,,"PRICE","INTRA","52W")&lt;/Q&gt;&lt;R&gt;1&lt;/R&gt;&lt;C&gt;1&lt;/C&gt;&lt;D xsi:type="xsd:double"&gt;0.9874002&lt;/D&gt;&lt;/FQL&gt;&lt;FQL&gt;&lt;Q&gt;SPY^FG_TOTAL_RETURNC(0,-6AM)&lt;/Q&gt;&lt;R&gt;1&lt;/R&gt;&lt;C&gt;1&lt;/C&gt;&lt;D xsi:type="xsd:double"&gt;19.575262&lt;/D&gt;&lt;/FQL&gt;&lt;FQL&gt;&lt;Q&gt;SPY^FG_TOTAL_RETURNC(0,-3AM)&lt;/Q&gt;&lt;R&gt;1&lt;/R&gt;&lt;C&gt;1&lt;/C&gt;&lt;D xsi:type="xsd:double"&gt;9.083748&lt;/D&gt;&lt;/FQL&gt;&lt;FQL&gt;&lt;Q&gt;SPY^PERCENT_CHANGE(FMA_EPS(+1,0,,,,"PORTAGG","MEAN"),FMA_EPS(+1,-1AM,,,,"PORTAGG","MEAN"))&lt;/Q&gt;&lt;R&gt;1&lt;/R&gt;&lt;C&gt;1&lt;/C&gt;&lt;D xsi:type="xsd:double"&gt;-0.325097488744788&lt;/D&gt;&lt;/FQL&gt;&lt;FQL&gt;&lt;Q&gt;SPY^FMA_PCT_ABOVE_MAVG(200,0,,,,"PORTAGG")&lt;/Q&gt;&lt;R&gt;1&lt;/R&gt;&lt;C&gt;1&lt;/C&gt;&lt;D xsi:type="xsd:double"&gt;79.4411177644711&lt;/D&gt;&lt;/FQL&gt;&lt;FQL&gt;&lt;Q&gt;SPY^FG_TOTAL_RETURNC(0,-1AM)&lt;/Q&gt;&lt;R&gt;1&lt;/R&gt;&lt;C&gt;1&lt;/C&gt;&lt;D xsi:type="xsd:double"&gt;1.6312957&lt;/D&gt;&lt;/FQL&gt;&lt;FQL&gt;&lt;Q&gt;EWJ^FG_TOTAL_RETURNC(0,-12AM)&lt;/Q&gt;&lt;R&gt;1&lt;/R&gt;&lt;C&gt;1&lt;/C&gt;&lt;D xsi:type="xsd:double"&gt;23.492706&lt;/D&gt;&lt;/FQL&gt;&lt;FQL&gt;&lt;Q&gt;SPY^PERCENT_CHANGE(FMA_EPS(+1,0,,,,"PORTAGG","MEAN"),FMA_EPS(+1,-3AM,,,,"PORTAGG","MEAN"))&lt;/Q&gt;&lt;R&gt;1&lt;/R&gt;&lt;C&gt;1&lt;/C&gt;&lt;D xsi:type="xsd:double"&gt;0.0936639645252715&lt;/D&gt;&lt;/FQL&gt;&lt;FQL&gt;&lt;Q&gt;EWJ^P_PRICE(0)/P_PRICE_LOW_PR(0,,,,,,"PRICE","INTRA","52W")-1&lt;/Q&gt;&lt;R&gt;1&lt;/R&gt;&lt;C&gt;1&lt;/C&gt;&lt;D xsi:type="xsd:double"&gt;0.22360134&lt;/D&gt;&lt;/FQL&gt;&lt;FQL&gt;&lt;Q&gt;EWJ^P_PRICE(0)/P_PRICE_HIGH_PR(0,,,,,,"PRICE","INTRA","52W")&lt;/Q&gt;&lt;R&gt;1&lt;/R&gt;&lt;C&gt;1&lt;/C&gt;&lt;D xsi:type="xsd:double"&gt;0.9712065&lt;/D&gt;&lt;/FQL&gt;&lt;FQL&gt;&lt;Q&gt;EWJ^FG_TOTAL_RETURNC(0,-6AM)&lt;/Q&gt;&lt;R&gt;1&lt;/R&gt;&lt;C&gt;1&lt;/C&gt;&lt;D xsi:type="xsd:double"&gt;17.940353&lt;/D&gt;&lt;/FQL&gt;&lt;FQL&gt;&lt;Q&gt;EWJ^FG_TOTAL_RETURNC(0,-1AM)&lt;/Q&gt;&lt;R&gt;1&lt;/R&gt;&lt;C&gt;1&lt;/C&gt;&lt;D xsi:type="xsd:double"&gt;0.56034327&lt;/D&gt;&lt;/FQL&gt;&lt;FQL&gt;&lt;Q&gt;EWJ^PERCENT_CHANGE(FMA_EPS(+1,0,,,,"PORTAGG","MEAN"),FMA_EPS(+1,-3AM,,,,"PORTAGG","MEAN"))&lt;/Q&gt;&lt;R&gt;1&lt;/R&gt;&lt;C&gt;1&lt;/C&gt;&lt;D xsi:type="xsd:double"&gt;-1.08767646282891&lt;/D&gt;&lt;/FQL&gt;&lt;FQL&gt;&lt;Q&gt;EWJ^PERCENT_CHANGE(FMA_EPS(+1,0,,,,"PORTAGG","MEAN"),FMA_EPS(+1,-1AM,,,,"PORTAGG","MEAN"))&lt;/Q&gt;&lt;R&gt;1&lt;/R&gt;&lt;C&gt;1&lt;/C&gt;&lt;D xsi:type="xsd:double"&gt;-0.947198750452977&lt;/D&gt;&lt;/FQL&gt;&lt;FQL&gt;&lt;Q&gt;EWJ^FG_TOTAL_RETURNC(0,-3AM)&lt;/Q&gt;&lt;R&gt;1&lt;/R&gt;&lt;C&gt;1&lt;/C&gt;&lt;D xsi:type="xsd:double"&gt;6.367779&lt;/D&gt;&lt;/FQL&gt;&lt;FQL&gt;&lt;Q&gt;EWJ^FMA_PCT_ABOVE_MAVG(200,0,,,,"PORTAGG")&lt;/Q&gt;&lt;R&gt;1&lt;/R&gt;&lt;C&gt;1&lt;/C&gt;&lt;D xsi:type="xsd:double"&gt;70.3196347031963&lt;/D&gt;&lt;/FQL&gt;&lt;FQL&gt;&lt;Q&gt;URTH^FG_TOTAL_RETURNC(0,-12AM)&lt;/Q&gt;&lt;R&gt;1&lt;/R&gt;&lt;C&gt;1&lt;/C&gt;&lt;D xsi:type="xsd:double"&gt;23.639286&lt;/D&gt;&lt;/FQL&gt;&lt;FQL&gt;&lt;Q&gt;URTH^P_PRICE(0)/P_PRICE_LOW_PR(0,,,,,,"PRICE","INTRA","52W")-1&lt;/Q&gt;&lt;R&gt;1&lt;/R&gt;&lt;C&gt;1&lt;/C&gt;&lt;D xsi:type="xsd:double"&gt;0.24864864&lt;/D&gt;&lt;/FQL&gt;&lt;FQL&gt;&lt;Q&gt;URTH^P_PRICE(0)/P_PRICE_HIGH_PR(0,,,,,,"PRICE","INTRA","52W")&lt;/Q&gt;&lt;R&gt;1&lt;/R&gt;&lt;C&gt;1&lt;/C&gt;&lt;D xsi:type="xsd:double"&gt;0.98643154&lt;/D&gt;&lt;/FQL&gt;&lt;FQL&gt;&lt;Q&gt;URTH^FG_TOTAL_RETURNC(0,-6AM)&lt;/Q&gt;&lt;R&gt;1&lt;/R&gt;&lt;C&gt;1&lt;/C&gt;&lt;D xsi:type="xsd:double"&gt;18.06276&lt;/D&gt;&lt;/FQL&gt;&lt;FQL&gt;&lt;Q&gt;URTH^PERCENT_CHANGE(FMA_EPS(+1,0,,,,"PORTAGG","MEAN"),FMA_EPS(+1,-3AM,,,,"PORTAGG","MEAN"))&lt;/Q&gt;&lt;R&gt;1&lt;/R&gt;&lt;C&gt;1&lt;/C&gt;&lt;D xsi:type="xsd:double"&gt;-0.937781972032755&lt;/D&gt;&lt;/FQL&gt;&lt;FQL&gt;&lt;Q&gt;URTH^PERCENT_CHANGE(FMA_EPS(+1,0,,,,"PORTAGG","MEAN"),FMA_EPS(+1,-1AM,,,,"PORTAGG","MEAN"))&lt;/Q&gt;&lt;R&gt;1&lt;/R&gt;&lt;C&gt;1&lt;/C&gt;&lt;D xsi:type="xsd:double"&gt;-0.260757208529545&lt;/D&gt;&lt;/FQL&gt;&lt;FQL&gt;&lt;Q&gt;VWO^FG_TOTAL_RETURNC(0,-12AM)&lt;/Q&gt;&lt;R&gt;1&lt;/R&gt;&lt;C&gt;1&lt;/C&gt;&lt;D xsi:type="xsd:double"&gt;8.030712&lt;/D&gt;&lt;/FQL&gt;&lt;FQL&gt;&lt;Q&gt;URTH^FG_TOTAL_RETURNC(0,-3AM)&lt;/Q&gt;&lt;R&gt;1&lt;/R&gt;&lt;C&gt;1&lt;/C&gt;&lt;D xsi:type="xsd:double"&gt;7.830143&lt;/D&gt;&lt;/FQL&gt;&lt;FQL&gt;&lt;Q&gt;URTH^FG_TOTAL_RETURNC(0,-1AM)&lt;/Q&gt;&lt;R&gt;1&lt;/R&gt;&lt;C&gt;1&lt;/C&gt;&lt;D xsi:type="xsd:double"&gt;1.0940909&lt;/D&gt;&lt;/FQL&gt;&lt;FQL&gt;&lt;Q&gt;URTH^FMA_PCT_ABOVE_MAVG(200,0,,,,"PORTAGG")&lt;/Q&gt;&lt;R&gt;1&lt;/R&gt;&lt;C&gt;1&lt;/C&gt;&lt;D xsi:type="xsd:double"&gt;72.1311475409836&lt;/D&gt;&lt;/FQL&gt;&lt;FQL&gt;&lt;Q&gt;VWO^P_PRICE(0)/P_PRICE_LOW_PR(0,,,,,,"PRICE","INTRA","52W")-1&lt;/Q&gt;&lt;R&gt;1&lt;/R&gt;&lt;C&gt;1&lt;/C&gt;&lt;D xsi:type="xsd:double"&gt;0.13255894&lt;/D&gt;&lt;/FQL&gt;&lt;FQL&gt;&lt;Q&gt;VWO^P_PRICE(0)/P_PRICE_HIGH_PR(0,,,,,,"PRICE","INTRA","52W")&lt;/Q&gt;&lt;R&gt;1&lt;/R&gt;&lt;C&gt;1&lt;/C&gt;&lt;D xsi:type="xsd:double"&gt;0.9842227&lt;/D&gt;&lt;/FQL&gt;&lt;FQL&gt;&lt;Q&gt;VWO^FG_TOTAL_RETURNC(0,-1AM)&lt;/Q&gt;&lt;R&gt;1&lt;/R&gt;&lt;C&gt;1&lt;/C&gt;&lt;D xsi:type="xsd:double"&gt;1.4073491&lt;/D&gt;&lt;/FQL&gt;&lt;FQL&gt;&lt;Q&gt;VWO^FG_TOTAL_RETURNC(0,-6AM)&lt;/Q&gt;&lt;R&gt;1&lt;/R&gt;&lt;C&gt;1&lt;/C&gt;&lt;D xsi:type="xsd:double"&gt;9.527183&lt;/D&gt;&lt;/FQL&gt;&lt;FQL&gt;&lt;Q&gt;VWO^FMA_PCT_ABOVE_MAVG(200,0,,,,"PORTAGG")&lt;/Q&gt;&lt;R&gt;1&lt;/R&gt;&lt;C&gt;1&lt;/C&gt;&lt;D xsi:type="xsd:double"&gt;40.492804186655&lt;/D&gt;&lt;/FQL&gt;&lt;FQL&gt;&lt;Q&gt;VWO^FG_TOTAL_RETURNC(0,-3AM)&lt;/Q&gt;&lt;R&gt;1&lt;/R&gt;&lt;C&gt;1&lt;/C&gt;&lt;D xsi:type="xsd:double"&gt;5.567515&lt;/D&gt;&lt;/FQL&gt;&lt;FQL&gt;&lt;Q&gt;VWO^PERCENT_CHANGE(FMA_EPS(+1,0,,,,"PORTAGG","MEAN"),FMA_EPS(+1,-1AM,,,,"PORTAGG","MEAN"))&lt;/Q&gt;&lt;R&gt;1&lt;/R&gt;&lt;C&gt;1&lt;/C&gt;&lt;D xsi:type="xsd:double"&gt;-13.3546419634439&lt;/D&gt;&lt;/FQL&gt;&lt;FQL&gt;&lt;Q&gt;VGK^FG_TOTAL_RETURNC(0,-12AM)&lt;/Q&gt;&lt;R&gt;1&lt;/R&gt;&lt;C&gt;1&lt;/C&gt;&lt;D xsi:type="xsd:double"&gt;10.9211445&lt;/D&gt;&lt;/FQL&gt;&lt;FQL&gt;&lt;Q&gt;VWO^PERCENT_CHANGE(FMA_EPS(+1,0,,,,"PORTAGG","MEAN"),FMA_EPS(+1,-3AM,,,,"PORTAGG","MEAN"))&lt;/Q&gt;&lt;R&gt;1&lt;/R&gt;&lt;C&gt;1&lt;/C&gt;&lt;D xsi:type="xsd:double"&gt;-16.6687869576306&lt;/D&gt;&lt;/FQL&gt;&lt;FQL&gt;&lt;Q&gt;VGK^P_PRICE(0)/P_PRICE_LOW_PR(0,,,,,,"PRICE","INTRA","52W")-1&lt;/Q&gt;&lt;R&gt;1&lt;/R&gt;&lt;C&gt;1&lt;/C&gt;&lt;D xsi:type="xsd:double"&gt;0.2025063&lt;/D&gt;&lt;/FQL&gt;&lt;FQL&gt;&lt;Q&gt;VGK^P_PRICE(0)/P_PRICE_HIGH_PR(0,,,,,,"PRICE","INTRA","52W")&lt;/Q&gt;&lt;R&gt;1&lt;/R&gt;&lt;C&gt;1&lt;/C&gt;&lt;D xsi:type="xsd:double"&gt;0.9768368&lt;/D&gt;&lt;/FQL&gt;&lt;FQL&gt;&lt;Q&gt;VGK^FG_TOTAL_RETURNC(0,-6AM)&lt;/Q&gt;&lt;R&gt;1&lt;/R&gt;&lt;C&gt;1&lt;/C&gt;&lt;D xsi:type="xsd:double"&gt;14.065636&lt;/D&gt;&lt;/FQL&gt;&lt;FQL&gt;&lt;Q&gt;VGK^FG_TOTAL_RETURNC(0,-3AM)&lt;/Q&gt;&lt;R&gt;1&lt;/R&gt;&lt;C&gt;1&lt;/C&gt;&lt;D xsi:type="xsd:double"&gt;4.9459815&lt;/D&gt;&lt;/FQL&gt;&lt;FQL&gt;&lt;Q&gt;VGK^PERCENT_CHANGE(FMA_EPS(+1,0,,,,"PORTAGG","MEAN"),FMA_EPS(+1,-1AM,,,,"PORTAGG","MEAN"))&lt;/Q&gt;&lt;R&gt;1&lt;/R&gt;&lt;C&gt;1&lt;/C&gt;&lt;D xsi:type="xsd:double"&gt;-4.99956575890268&lt;/D&gt;&lt;/FQL&gt;&lt;FQL&gt;&lt;Q&gt;EWI^FG_TOTAL_RETURNC(0,-12AM)&lt;/Q&gt;&lt;R&gt;1&lt;/R&gt;&lt;C&gt;1&lt;/C&gt;&lt;D xsi:type="xsd:double"&gt;21.576107&lt;/D&gt;&lt;/FQL&gt;&lt;FQL&gt;&lt;Q&gt;VGK^PERCENT_CHANGE(FMA_EPS(+1,0,,,,"PORTAGG","MEAN"),FMA_EPS(+1,-3AM,,,,"PORTAGG","MEAN"))&lt;/Q&gt;&lt;R&gt;1&lt;/R&gt;&lt;C&gt;1&lt;/C&gt;&lt;D xsi:type="xsd:double"&gt;-8.71991333419369&lt;/D&gt;&lt;/FQL&gt;&lt;FQL&gt;&lt;Q&gt;VGK^FG_TOTAL_RETURNC(0,-1AM)&lt;/Q&gt;&lt;R&gt;1&lt;/R&gt;&lt;C&gt;1&lt;/C&gt;&lt;D xsi:type="xsd:double"&gt;-0.40727854&lt;/D&gt;&lt;/FQL&gt;&lt;FQL&gt;&lt;Q&gt;VGK^FMA_PCT_ABOVE_MAVG(200,0,,,,"PORTAGG")&lt;/Q&gt;&lt;R&gt;1&lt;/R&gt;&lt;C&gt;1&lt;/C&gt;&lt;D xsi:type="xsd:double"&gt;58.4313725490196&lt;/D&gt;&lt;/FQL&gt;&lt;FQL&gt;&lt;Q&gt;EWI^P_PRICE(0)/P_PRICE_LOW_PR(0,,,,,,"PRICE","INTRA","52W")-1&lt;/Q&gt;&lt;R&gt;1&lt;/R&gt;&lt;C&gt;1&lt;/C&gt;&lt;D xsi:type="xsd:double"&gt;0.2572807&lt;/D&gt;&lt;/FQL&gt;&lt;FQL&gt;&lt;Q&gt;EWI^P_PRICE(0)/P_PRICE_HIGH_PR(0,,,,,,"PRICE","INTRA","52W")&lt;/Q&gt;&lt;R&gt;1&lt;/R&gt;&lt;C&gt;1&lt;/C&gt;&lt;D xsi:type="xsd:double"&gt;0.9610116&lt;/D&gt;&lt;/FQL&gt;&lt;FQL&gt;&lt;Q&gt;EWI^PERCENT_CHANGE(FMA_EPS(+1,0,,,,"PORTAGG","MEAN"),FMA_EPS(+1,-3AM,,,,"PORTAGG","MEAN"))&lt;/Q&gt;&lt;R&gt;1&lt;/R&gt;&lt;C&gt;1&lt;/C&gt;&lt;D xsi:type="xsd:double"&gt;0.627739201699844&lt;/D&gt;&lt;/FQL&gt;&lt;FQL&gt;&lt;Q&gt;EWI^FG_TOTAL_RETURNC(0,-6AM)&lt;/Q&gt;&lt;R&gt;1&lt;/R&gt;&lt;C&gt;1&lt;/C&gt;&lt;D xsi:type="xsd:double"&gt;20.365692&lt;/D&gt;&lt;/FQL&gt;&lt;FQL&gt;&lt;Q&gt;EWI^FMA_PCT_ABOVE_MAVG(200,0,,,,"PORTAGG")&lt;/Q&gt;&lt;R&gt;1&lt;/R&gt;&lt;C&gt;1&lt;/C&gt;&lt;D xsi:type="xsd:double"&gt;68&lt;/D&gt;&lt;/FQL&gt;&lt;FQL&gt;&lt;Q&gt;EWI^FG_TOTAL_RETURNC(0,-1AM)&lt;/Q&gt;&lt;R&gt;1&lt;/R&gt;&lt;C&gt;1&lt;/C&gt;&lt;D xsi:type="xsd:double"&gt;-0.3823042&lt;/D&gt;&lt;/FQL&gt;&lt;FQL&gt;&lt;Q&gt;EWD^FG_TOTAL_RETURNC(0,-12AM)&lt;/Q&gt;&lt;R&gt;1&lt;/R&gt;&lt;C&gt;1&lt;/C&gt;&lt;D xsi:type="xsd:double"&gt;14.28504&lt;/D&gt;&lt;/FQL&gt;&lt;FQL&gt;&lt;Q&gt;EWI^FG_TOTAL_RETURNC(0,-3AM)&lt;/Q&gt;&lt;R&gt;1&lt;/R&gt;&lt;C&gt;1&lt;/C&gt;&lt;D xsi:type="xsd:double"&gt;8.120918&lt;/D&gt;&lt;/FQL&gt;&lt;FQL&gt;&lt;Q&gt;EWI^PERCENT_CHANGE(FMA_EPS(+1,0,,,,"PORTAGG","MEAN"),FMA_EPS(+1,-1AM,,,,"PORTAGG","MEAN"))&lt;/Q&gt;&lt;R&gt;1&lt;/R&gt;&lt;C&gt;1&lt;/C&gt;&lt;D xsi:type="xsd:double"&gt;-0.954523017914648&lt;/D&gt;&lt;/FQL&gt;&lt;FQL&gt;&lt;Q&gt;EWD^P_PRICE(0)/P_PRICE_LOW_PR(0,,,,,,"PRICE","INTRA","52W")-1&lt;/Q&gt;&lt;R&gt;1&lt;/R&gt;&lt;C&gt;1&lt;/C&gt;&lt;D xsi:type="xsd:double"&gt;0.28922927&lt;/D&gt;&lt;/FQL&gt;&lt;FQL&gt;&lt;Q&gt;EWD^P_PRICE(0)/P_PRICE_HIGH_PR(0,,,,,,"PRICE","INTRA","52W")&lt;/Q&gt;&lt;R&gt;1&lt;/R&gt;&lt;C&gt;1&lt;/C&gt;&lt;D xsi:type="xsd:double"&gt;0.9518768&lt;/D&gt;&lt;/FQL&gt;&lt;FQL&gt;&lt;Q&gt;EWD^FG_TOTAL_RETURNC(0,-3AM)&lt;/Q&gt;&lt;R&gt;1&lt;/R&gt;&lt;C&gt;1&lt;/C&gt;&lt;D xsi:type="xsd:double"&gt;4.8224688&lt;/D&gt;&lt;/FQL&gt;&lt;FQL&gt;&lt;Q&gt;EWD^FG_TOTAL_RETURNC(0,-1AM)&lt;/Q&gt;&lt;R&gt;1&lt;/R&gt;&lt;C&gt;1&lt;/C&gt;&lt;D xsi:type="xsd:double"&gt;-2.5375664&lt;/D&gt;&lt;/FQL&gt;&lt;FQL&gt;&lt;Q&gt;EWD^PERCENT_CHANGE(FMA_EPS(+1,0,,,,"PORTAGG","MEAN"),FMA_EPS(+1,-3AM,,,,"PORTAGG","MEAN"))&lt;/Q&gt;&lt;R&gt;1&lt;/R&gt;&lt;C&gt;1&lt;/C&gt;&lt;D xsi:type="xsd:double"&gt;-2.16001717903764&lt;/D&gt;&lt;/FQL&gt;&lt;FQL&gt;&lt;Q&gt;EWD^PERCENT_CHANGE(FMA_EPS(+1,0,,,,"PORTAGG","MEAN"),FMA_EPS(+1,-1AM,,,,"PORTAGG","MEAN"))&lt;/Q&gt;&lt;R&gt;1&lt;/R&gt;&lt;C&gt;1&lt;/C&gt;&lt;D xsi:type="xsd:double"&gt;-0.168242374134381&lt;/D&gt;&lt;/FQL&gt;&lt;FQL&gt;&lt;Q&gt;EWD^FMA_PCT_ABOVE_MAVG(200,0,,,,"PORTAGG")&lt;/Q&gt;&lt;R&gt;1&lt;/R&gt;&lt;C&gt;1&lt;/C&gt;&lt;D xsi:type="xsd:double"&gt;93.0232558139535&lt;/D&gt;&lt;/FQL&gt;&lt;FQL&gt;&lt;Q&gt;EWN^FG_TOTAL_RETURNC(0,-12AM)&lt;/Q&gt;&lt;R&gt;1&lt;/R&gt;&lt;C&gt;1&lt;/C&gt;&lt;D xsi:type="xsd:double"&gt;19.446861&lt;/D&gt;&lt;/FQL&gt;&lt;FQL&gt;&lt;Q&gt;EWD^FG_TOTAL_RETURNC(0,-6AM)&lt;/Q&gt;&lt;R&gt;1&lt;/R&gt;&lt;C&gt;1&lt;/C&gt;&lt;D xsi:type="xsd:double"&gt;20.109356&lt;/D&gt;&lt;/FQL&gt;&lt;FQL&gt;&lt;Q&gt;EWN^P_PRICE(0)/P_PRICE_LOW_PR(0,,,,,,"PRICE","INTRA","52W")-1&lt;/Q&gt;&lt;R&gt;1&lt;/R&gt;&lt;C&gt;1&lt;/C&gt;&lt;D xsi:type="xsd:double"&gt;0.3642876&lt;/D&gt;&lt;/FQL&gt;&lt;FQL&gt;&lt;Q&gt;EWN^P_PRICE(0)/P_PRICE_HIGH_PR(0,,,,,,"PRICE","INTRA","52W")&lt;/Q&gt;&lt;R&gt;1&lt;/R&gt;&lt;C&gt;1&lt;/C&gt;&lt;D xsi:type="xsd:double"&gt;0.98429424&lt;/D&gt;&lt;/FQL&gt;&lt;FQL&gt;&lt;Q&gt;EWN^FG_TOTAL_RETURNC(0,-6AM)&lt;/Q&gt;&lt;R&gt;1&lt;/R&gt;&lt;C&gt;1&lt;/C&gt;&lt;D xsi:type="xsd:double"&gt;29.098166&lt;/D&gt;&lt;/FQL&gt;&lt;FQL&gt;&lt;Q&gt;EWN^PERCENT_CHANGE(FMA_EPS(+1,0,,,,"PORTAGG","MEAN"),FMA_EPS(+1,-3AM,,,,"PORTAGG","MEAN"))&lt;/Q&gt;&lt;R&gt;1&lt;/R&gt;&lt;C&gt;1&lt;/C&gt;&lt;D xsi:type="xsd:double"&gt;-0.828032863949818&lt;/D&gt;&lt;/FQL&gt;&lt;FQL&gt;&lt;Q&gt;EWN^FG_TOTAL_RETURNC(0,-3AM)&lt;/Q&gt;&lt;R&gt;1&lt;/R&gt;&lt;C&gt;1&lt;/C&gt;&lt;D xsi:type="xsd:double"&gt;13.581097&lt;/D&gt;&lt;/FQL&gt;&lt;FQL&gt;&lt;Q&gt;EWN^FG_TOTAL_RETURNC(0,-1AM)&lt;/Q&gt;&lt;R&gt;1&lt;/R&gt;&lt;C&gt;1&lt;/C&gt;&lt;D xsi:type="xsd:double"&gt;2.145648&lt;/D&gt;&lt;/FQL&gt;&lt;FQL&gt;&lt;Q&gt;EWN^FMA_PCT_ABOVE_MAVG(200,0,,,,"PORTAGG")&lt;/Q&gt;&lt;R&gt;1&lt;/R&gt;&lt;C&gt;1&lt;/C&gt;&lt;D xsi:type="xsd:double"&gt;66.6666666666667&lt;/D&gt;&lt;/FQL&gt;&lt;FQL&gt;&lt;Q&gt;EWN^PERCENT_CHANGE(FMA_EPS(+1,0,,,,"PORTAGG","MEAN"),FMA_EPS(+1,-1AM,,,,"PORTAGG","MEAN"))&lt;/Q&gt;&lt;R&gt;1&lt;/R&gt;&lt;C&gt;1&lt;/C&gt;&lt;D xsi:type="xsd:double"&gt;-0.0158664821344338&lt;/D&gt;&lt;/FQL&gt;&lt;FQL&gt;&lt;Q&gt;EWQ^FG_TOTAL_RETURNC(0,-12AM)&lt;/Q&gt;&lt;R&gt;1&lt;/R&gt;&lt;C&gt;1&lt;/C&gt;&lt;D xsi:type="xsd:double"&gt;8.183325&lt;/D&gt;&lt;/FQL&gt;&lt;FQL&gt;&lt;Q&gt;EWQ^P_PRICE(0)/P_PRICE_LOW_PR(0,,,,,,"PRICE","INTRA","52W")-1&lt;/Q&gt;&lt;R&gt;1&lt;/R&gt;&lt;C&gt;1&lt;/C&gt;&lt;D xsi:type="xsd:double"&gt;0.19875216&lt;/D&gt;&lt;/FQL&gt;&lt;FQL&gt;&lt;Q&gt;EWQ^P_PRICE(0)/P_PRICE_HIGH_PR(0,,,,,,"PRICE","INTRA","52W")&lt;/Q&gt;&lt;R&gt;1&lt;/R&gt;&lt;C&gt;1&lt;/C&gt;&lt;D xsi:type="xsd:double"&gt;0.96358204&lt;/D&gt;&lt;/FQL&gt;&lt;FQL&gt;&lt;Q&gt;EWQ^FG_TOTAL_RETURNC(0,-6AM)&lt;/Q&gt;&lt;R&gt;1&lt;/R&gt;&lt;C&gt;1&lt;/C&gt;&lt;D xsi:type="xsd:double"&gt;13.602233&lt;/D&gt;&lt;/FQL&gt;&lt;FQL&gt;&lt;Q&gt;EWQ^FG_TOTAL_RETURNC(0,-3AM)&lt;/Q&gt;&lt;R&gt;1&lt;/R&gt;&lt;C&gt;1&lt;/C&gt;&lt;D xsi:type="xsd:double"&gt;5.3524733&lt;/D&gt;&lt;/FQL&gt;&lt;FQL&gt;&lt;Q&gt;EWQ^PERCENT_CHANGE(FMA_EPS(+1,0,,,,"PORTAGG","MEAN"),FMA_EPS(+1,-1AM,,,,"PORTAGG","MEAN"))&lt;/Q&gt;&lt;R&gt;1&lt;/R&gt;&lt;C&gt;1&lt;/C&gt;&lt;D xsi:type="xsd:double"&gt;-1.51076521853484&lt;/D&gt;&lt;/FQL&gt;&lt;FQL&gt;&lt;Q&gt;EWQ^PERCENT_CHANGE(FMA_EPS(+1,0,,,,"PORTAGG","MEAN"),FMA_EPS(+1,-3AM,,,,"PORTAGG","MEAN"))&lt;/Q&gt;&lt;R&gt;1&lt;/R&gt;&lt;C&gt;1&lt;/C&gt;&lt;D xsi:type="xsd:double"&gt;-5.20062620746165&lt;/D&gt;&lt;/FQL&gt;&lt;FQL&gt;&lt;Q&gt;EWQ^FG_TOTAL_RETURNC(0,-1AM)&lt;/Q&gt;&lt;R&gt;1&lt;/R&gt;&lt;C&gt;1&lt;/C&gt;&lt;D xsi:type="xsd:double"&gt;-1.633352&lt;/D&gt;&lt;/FQL&gt;&lt;FQL&gt;&lt;Q&gt;EWQ^FMA_PCT_ABOVE_MAVG(200,0,,,,"PORTAGG")&lt;/Q&gt;&lt;R&gt;1&lt;/R&gt;&lt;C&gt;1&lt;/C&gt;&lt;D xsi:type="xsd:double"&gt;71.4285714285714&lt;/D&gt;&lt;/FQL&gt;&lt;FQL&gt;&lt;Q&gt;QQQ^FG_TOTAL_RETURNC(0,-12AM)&lt;/Q&gt;&lt;R&gt;1&lt;/R&gt;&lt;C&gt;1&lt;/C&gt;&lt;D xsi:type="xsd:double"&gt;41.954376&lt;/D&gt;&lt;/FQL&gt;&lt;FQL&gt;&lt;Q&gt;QQQ^P_PRICE(0)/P_PRICE_LOW_PR(0,,,,,,"PRICE","INTRA","52W")-1&lt;/Q&gt;&lt;R&gt;1&lt;/R&gt;&lt;C&gt;1&lt;/C&gt;&lt;D xsi:type="xsd:double"&gt;0.4371873&lt;/D&gt;&lt;/FQL&gt;&lt;FQL&gt;&lt;Q&gt;QQQ^P_PRICE(0)/P_PRICE_HIGH_PR(0,,,,,,"PRICE","INTRA","52W")&lt;/Q&gt;&lt;R&gt;1&lt;/R&gt;&lt;C&gt;1&lt;/C&gt;&lt;D xsi:type="xsd:double"&gt;0.9911648&lt;/D&gt;&lt;/FQL&gt;&lt;FQL&gt;&lt;Q&gt;QQQ^FG_TOTAL_RETURNC(0,-6AM)&lt;/Q&gt;&lt;R&gt;1&lt;/R&gt;&lt;C&gt;1&lt;/C&gt;&lt;D xsi:type="xsd:double"&gt;20.433605&lt;/D&gt;&lt;/FQL&gt;&lt;FQL&gt;&lt;Q&gt;QQQ^PERCENT_CHANGE(FMA_EPS(+1,0,,,,"PORTAGG","MEAN"),FMA_EPS(+1,-3AM,,,,"PORTAGG","MEAN"))&lt;/Q&gt;&lt;R&gt;1&lt;/R&gt;&lt;C&gt;1&lt;/C&gt;&lt;D xsi:type="xsd:double"&gt;0.147287241886962&lt;/D&gt;&lt;/FQL&gt;&lt;FQL&gt;&lt;Q&gt;QQQ^FG_TOTAL_RETURNC(0,-3AM)&lt;/Q&gt;&lt;R&gt;1&lt;/R&gt;&lt;C&gt;1&lt;/C&gt;&lt;D xsi:type="xsd:double"&gt;8.941925&lt;/D&gt;&lt;/FQL&gt;&lt;FQL&gt;&lt;Q&gt;QQQ^FG_TOTAL_RETURNC(0,-1AM)&lt;/Q&gt;&lt;R&gt;1&lt;/R&gt;&lt;C&gt;1&lt;/C&gt;&lt;D xsi:type="xsd:double"&gt;1.9579291&lt;/D&gt;&lt;/FQL&gt;&lt;FQL&gt;&lt;Q&gt;EWU^FG_TOTAL_RETURNC(0,-12AM)&lt;/Q&gt;&lt;R&gt;1&lt;/R&gt;&lt;C&gt;1&lt;/C&gt;&lt;D xsi:type="xsd:double"&gt;7.2466493&lt;/D&gt;&lt;/FQL&gt;&lt;FQL&gt;&lt;Q&gt;QQQ^PERCENT_CHANGE(FMA_EPS(+1,0,,,,"PORTAGG","MEAN"),FMA_EPS(+1,-1AM,,,,"PORTAGG","MEAN"))&lt;/Q&gt;&lt;R&gt;1&lt;/R&gt;&lt;C&gt;1&lt;/C&gt;&lt;D xsi:type="xsd:double"&gt;-0.184278646972279&lt;/D&gt;&lt;/FQL&gt;&lt;FQL&gt;&lt;Q&gt;QQQ^FMA_PCT_ABOVE_MAVG(200,0,,,,"PORTAGG")&lt;/Q&gt;&lt;R&gt;1&lt;/R&gt;&lt;C&gt;1&lt;/C&gt;&lt;D xsi:type="xsd:double"&gt;68.6274509803922&lt;/D&gt;&lt;/FQL&gt;&lt;FQL&gt;&lt;Q&gt;EWU^P_PRICE(0)/P_PRICE_LOW_PR(0,,,,,,"PRICE","INTRA","52W")-1&lt;/Q&gt;&lt;R&gt;1&lt;/R&gt;&lt;C&gt;1&lt;/C&gt;&lt;D xsi:type="xsd:double"&gt;0.13105512&lt;/D&gt;&lt;/FQL&gt;&lt;FQL&gt;&lt;Q&gt;EWU^P_PRICE(0)/P_PRICE_HIGH_PR(0,,,,,,"PRICE","INTRA","52W")&lt;/Q&gt;&lt;R&gt;1&lt;/R&gt;&lt;C&gt;1&lt;/C&gt;&lt;D xsi:type="xsd:double"&gt;0.98738045&lt;/D&gt;&lt;/FQL&gt;&lt;FQL&gt;&lt;Q&gt;EWU^FG_TOTAL_RETURNC(0,-6AM)&lt;/Q&gt;&lt;R&gt;1&lt;/R&gt;&lt;C&gt;1&lt;/C&gt;&lt;D xsi:type="xsd:double"&gt;8.407855&lt;/D&gt;&lt;/FQL&gt;&lt;FQL&gt;&lt;Q&gt;EWU^FG_TOTAL_RETURNC(0,-1AM)&lt;/Q&gt;&lt;R&gt;1&lt;/R&gt;&lt;C&gt;1&lt;/C&gt;&lt;D xsi:type="xsd:double"&gt;2.0964384&lt;/D&gt;&lt;/FQL&gt;&lt;FQL&gt;&lt;Q&gt;EWU^PERCENT_CHANGE(FMA_EPS(+1,0,,,,"PORTAGG","MEAN"),FMA_EPS(+1,-3AM,,,,"PORTAGG","MEAN"))&lt;/Q&gt;&lt;R&gt;1&lt;/R&gt;&lt;C&gt;1&lt;/C&gt;&lt;D xsi:type="xsd:double"&gt;-2.57322950582551&lt;/D&gt;&lt;/FQL&gt;&lt;FQL&gt;&lt;Q&gt;EWU^PERCENT_CHANGE(FMA_EPS(+1,0,,,,"PORTAGG","MEAN"),FMA_EPS(+1,-1AM,,,,"PORTAGG","MEAN"))&lt;/Q&gt;&lt;R&gt;1&lt;/R&gt;&lt;C&gt;1&lt;/C&gt;&lt;D xsi:type="xsd:double"&gt;-0.344785726730581&lt;/D&gt;&lt;/FQL&gt;&lt;FQL&gt;&lt;Q&gt;EWL^FG_TOTAL_RETURNC(0,-12AM)&lt;/Q&gt;&lt;R&gt;1&lt;/R&gt;&lt;C&gt;1&lt;/C&gt;&lt;D xsi:type="xsd:double"&gt;2.1126747&lt;/D&gt;&lt;/FQL&gt;&lt;FQL&gt;&lt;Q&gt;EWU^FG_TOTAL_RETURNC(0,-3AM)&lt;/Q&gt;&lt;R&gt;1&lt;/R&gt;&lt;C&gt;1&lt;/C&gt;&lt;D xsi:type="xsd:double"&gt;4.41041&lt;/D&gt;&lt;/FQL&gt;&lt;FQL&gt;&lt;Q&gt;EWU^FMA_PCT_ABOVE_MAVG(200,0,,,,"PORTAGG")&lt;/Q&gt;&lt;R&gt;1&lt;/R&gt;&lt;C&gt;1&lt;/C&gt;&lt;D xsi:type="xsd:double"&gt;59.5238095238095&lt;/D&gt;&lt;/FQL&gt;&lt;FQL&gt;&lt;Q&gt;EWL^P_PRICE(0)/P_PRICE_LOW_PR(0,,,,,,"PRICE","INTRA","52W")-1&lt;/Q&gt;&lt;R&gt;1&lt;/R&gt;&lt;C&gt;1&lt;/C&gt;&lt;D xsi:type="xsd:double"&gt;0.11480141&lt;/D&gt;&lt;/FQL&gt;&lt;FQL&gt;&lt;Q&gt;EWL^P_PRICE(0)/P_PRICE_HIGH_PR(0,,,,,,"PRICE","INTRA","52W")&lt;/Q&gt;&lt;R&gt;1&lt;/R&gt;&lt;C&gt;1&lt;/C&gt;&lt;D xsi:type="xsd:double"&gt;0.94656175&lt;/D&gt;&lt;/FQL&gt;&lt;FQL&gt;&lt;Q&gt;EWL^FG_TOTAL_RETURNC(0,-6AM)&lt;/Q&gt;&lt;R&gt;1&lt;/R&gt;&lt;C&gt;1&lt;/C&gt;&lt;D xsi:type="xsd:double"&gt;3.786683&lt;/D&gt;&lt;/FQL&gt;&lt;FQL&gt;&lt;Q&gt;EWL^PERCENT_CHANGE(FMA_EPS(+1,0,,,,"PORTAGG","MEAN"),FMA_EPS(+1,-1AM,,,,"PORTAGG","MEAN"))&lt;/Q&gt;&lt;R&gt;1&lt;/R&gt;&lt;C&gt;1&lt;/C&gt;&lt;D xsi:type="xsd:double"&gt;-2.37438240619764&lt;/D&gt;&lt;/FQL&gt;&lt;FQL&gt;&lt;Q&gt;EWL^FMA_PCT_ABOVE_MAVG(200,0,,,,"PORTAGG")&lt;/Q&gt;&lt;R&gt;1&lt;/R&gt;&lt;C&gt;1&lt;/C&gt;&lt;D xsi:type="xsd:double"&gt;60&lt;/D&gt;&lt;/FQL&gt;&lt;FQL&gt;&lt;Q&gt;EWL^FG_TOTAL_RETURNC(0,-3AM)&lt;/Q&gt;&lt;R&gt;1&lt;/R&gt;&lt;C&gt;1&lt;/C&gt;&lt;D xsi:type="xsd:double"&gt;-2.8727174&lt;/D&gt;&lt;/FQL&gt;&lt;FQL&gt;&lt;Q&gt;EWL^FG_TOTAL_RETURNC(0,-1AM)&lt;/Q&gt;&lt;R&gt;1&lt;/R&gt;&lt;C&gt;1&lt;/C&gt;&lt;D xsi:type="xsd:double"&gt;-4.416013&lt;/D&gt;&lt;/FQL&gt;&lt;FQL&gt;&lt;Q&gt;EWL^PERCENT_CHANGE(FMA_EPS(+1,0,,,,"PORTAGG","MEAN"),FMA_EPS(+1,-3AM,,,,"PORTAGG","MEAN"))&lt;/Q&gt;&lt;R&gt;1&lt;/R&gt;&lt;C&gt;1&lt;/C&gt;&lt;D xsi:type="xsd:double"&gt;-7.28561374276059&lt;/D&gt;&lt;/FQL&gt;&lt;FQL&gt;&lt;Q&gt;EWG^FG_TOTAL_RETURNC(0,-12AM)&lt;/Q&gt;&lt;R&gt;1&lt;/R&gt;&lt;C&gt;1&lt;/C&gt;&lt;D xsi:type="xsd:double"&gt;10.641408&lt;/D&gt;&lt;/FQL&gt;&lt;FQL&gt;&lt;Q&gt;EWG^P_PRICE(0)/P_PRICE_LOW_PR(0,,,,,,"PRICE","INTRA","52W")-1&lt;/Q&gt;&lt;R&gt;1&lt;/R&gt;&lt;C&gt;1&lt;/C&gt;&lt;D xsi:type="xsd:double"&gt;0.24873507&lt;/D&gt;&lt;/FQL&gt;&lt;FQL&gt;&lt;Q&gt;EWG^P_PRICE(0)/P_PRICE_HIGH_PR(0,,,,,,"PRICE","INTRA","52W")&lt;/Q&gt;&lt;R&gt;1&lt;/R&gt;&lt;C&gt;1&lt;/C&gt;&lt;D xsi:type="xsd:double"&gt;0.9649672&lt;/D&gt;&lt;/FQL&gt;&lt;FQL&gt;&lt;Q&gt;EWG^FG_TOTAL_RETURNC(0,-6AM)&lt;/Q&gt;&lt;R&gt;1&lt;/R&gt;&lt;C&gt;1&lt;/C&gt;&lt;D xsi:type="xsd:double"&gt;16.729523&lt;/D&gt;&lt;/FQL&gt;&lt;FQL&gt;&lt;Q&gt;EWC^FG_TOTAL_RETURNC(0,-12AM)&lt;/Q&gt;&lt;R&gt;1&lt;/R&gt;&lt;C&gt;1&lt;/C&gt;&lt;D xsi:type="xsd:double"&gt;10.811925&lt;/D&gt;&lt;/FQL&gt;&lt;FQL&gt;&lt;Q&gt;EWG^FG_TOTAL_RETURNC(0,-3AM)&lt;/Q&gt;&lt;R&gt;1&lt;/R&gt;&lt;C&gt;1&lt;/C&gt;&lt;D xsi:type="xsd:double"&gt;5.686879&lt;/D&gt;&lt;/FQL&gt;&lt;FQL&gt;&lt;Q&gt;EWG^FG_TOTAL_RETURNC(0,-1AM)&lt;/Q&gt;&lt;R&gt;1&lt;/R&gt;&lt;C&gt;1&lt;/C&gt;&lt;D xsi:type="xsd:double"&gt;-0.5800843&lt;/D&gt;&lt;/FQL&gt;&lt;FQL&gt;&lt;Q&gt;EWG^PERCENT_CHANGE(FMA_EPS(+1,0,,,,"PORTAGG","MEAN"),FMA_EPS(+1,-1AM,,,,"PORTAGG","MEAN"))&lt;/Q&gt;&lt;R&gt;1&lt;/R&gt;&lt;C&gt;1&lt;/C&gt;&lt;D xsi:type="xsd:double"&gt;-0.775641207553587&lt;/D&gt;&lt;/FQL&gt;&lt;FQL&gt;&lt;Q&gt;EWG^FMA_PCT_ABOVE_MAVG(200,0,,,,"PORTAGG")&lt;/Q&gt;&lt;R&gt;1&lt;/R&gt;&lt;C&gt;1&lt;/C&gt;&lt;D xsi:type="xsd:double"&gt;77.1929824561403&lt;/D&gt;&lt;/FQL&gt;&lt;FQL&gt;&lt;Q&gt;EWG^PERCENT_CHANGE(FMA_EPS(+1,0,,,,"PORTAGG","MEAN"),FMA_EPS(+1,-3AM,,,,"PORTAGG","MEAN"))&lt;/Q&gt;&lt;R&gt;1&lt;/R&gt;&lt;C&gt;1&lt;/C&gt;&lt;D xsi:type="xsd:double"&gt;-5.50294788434813&lt;/D&gt;&lt;/FQL&gt;&lt;FQL&gt;&lt;Q&gt;EWC^P_PRICE(0)/P_PRICE_LOW_PR(0,,,,,,"PRICE","INTRA","52W")-1&lt;/Q&gt;&lt;R&gt;1&lt;/R&gt;&lt;C&gt;1&lt;/C&gt;&lt;D xsi:type="xsd:double"&gt;0.20216489&lt;/D&gt;&lt;/FQL&gt;&lt;FQL&gt;&lt;Q&gt;EWC^P_PRICE(0)/P_PRICE_HIGH_PR(0,,,,,,"PRICE","INTRA","52W")&lt;/Q&gt;&lt;R&gt;1&lt;/R&gt;&lt;C&gt;1&lt;/C&gt;&lt;D xsi:type="xsd:double"&gt;0.9777317&lt;/D&gt;&lt;/FQL&gt;&lt;FQL&gt;&lt;Q&gt;EWC^FG_TOTAL_RETURNC(0,-6AM)&lt;/Q&gt;&lt;R&gt;1&lt;/R&gt;&lt;C&gt;1&lt;/C&gt;&lt;D xsi:type="xsd:double"&gt;13.709116&lt;/D&gt;&lt;/FQL&gt;&lt;FQL&gt;&lt;Q&gt;EWC^FG_TOTAL_RETURNC(0,-3AM)&lt;/Q&gt;&lt;R&gt;1&lt;/R&gt;&lt;C&gt;1&lt;/C&gt;&lt;D xsi:type="xsd:double"&gt;4.136789&lt;/D&gt;&lt;/FQL&gt;&lt;FQL&gt;&lt;Q&gt;EWC^FG_TOTAL_RETURNC(0,-1AM)&lt;/Q&gt;&lt;R&gt;1&lt;/R&gt;&lt;C&gt;1&lt;/C&gt;&lt;D xsi:type="xsd:double"&gt;0.10603666&lt;/D&gt;&lt;/FQL&gt;&lt;FQL&gt;&lt;Q&gt;EWC^PERCENT_CHANGE(FMA_EPS(+1,0,,,,"PORTAGG","MEAN"),FMA_EPS(+1,-1AM,,,,"PORTAGG","MEAN"))&lt;/Q&gt;&lt;R&gt;1&lt;/R&gt;&lt;C&gt;1&lt;/C&gt;&lt;D xsi:type="xsd:double"&gt;-0.599504310790107&lt;/D&gt;&lt;/FQL&gt;&lt;FQL&gt;&lt;Q&gt;EWC^FMA_PCT_ABOVE_MAVG(200,0,,,,"PORTAGG")&lt;/Q&gt;&lt;R&gt;1&lt;/R&gt;&lt;C&gt;1&lt;/C&gt;&lt;D xsi:type="xsd:double"&gt;71.5909090909091&lt;/D&gt;&lt;/FQL&gt;&lt;FQL&gt;&lt;Q&gt;EWC^PERCENT_CHANGE(FMA_EPS(+1,0,,,,"PORTAGG","MEAN"),FMA_EPS(+1,-3AM,,,,"PORTAGG","MEAN"))&lt;/Q&gt;&lt;R&gt;1&lt;/R&gt;&lt;C&gt;1&lt;/C&gt;&lt;D xsi:type="xsd:double"&gt;-4.51069415269957&lt;/D&gt;&lt;/FQL&gt;&lt;FQL&gt;&lt;Q&gt;EWA^FG_TOTAL_RETURNC(0,-12AM)&lt;/Q&gt;&lt;R&gt;1&lt;/R&gt;&lt;C&gt;1&lt;/C&gt;&lt;D xsi:type="xsd:double"&gt;8.909392&lt;/D&gt;&lt;/FQL&gt;&lt;FQL&gt;&lt;Q&gt;EWA^P_PRICE(0)/P_PRICE_LOW_PR(0,,,,,,"PRICE","INTRA","52W")-1&lt;/Q&gt;&lt;R&gt;1&lt;/R&gt;&lt;C&gt;1&lt;/C&gt;&lt;D xsi:type="xsd:double"&gt;0.19012713&lt;/D&gt;&lt;/FQL&gt;&lt;FQL&gt;&lt;Q&gt;EWA^P_PRICE(0)/P_PRICE_HIGH_PR(0,,,,,,"PRICE","INTRA","52W")&lt;/Q&gt;&lt;R&gt;1&lt;/R&gt;&lt;C&gt;1&lt;/C&gt;&lt;D xsi:type="xsd:double"&gt;0.97244406&lt;/D&gt;&lt;/FQL&gt;&lt;FQL&gt;&lt;Q&gt;EWA^FG_TOTAL_RETURNC(0,-6AM)&lt;/Q&gt;&lt;R&gt;1&lt;/R&gt;&lt;C&gt;1&lt;/C&gt;&lt;D xsi:type="xsd:double"&gt;14.365828&lt;/D&gt;&lt;/FQL&gt;&lt;FQL&gt;&lt;Q&gt;EWA^FG_TOTAL_RETURNC(0,-3AM)&lt;/Q&gt;&lt;R&gt;1&lt;/R&gt;&lt;C&gt;1&lt;/C&gt;&lt;D xsi:type="xsd:double"&gt;2.9163122&lt;/D&gt;&lt;/FQL&gt;&lt;FQL&gt;&lt;Q&gt;EWA^PERCENT_CHANGE(FMA_EPS(+1,0,,,,"PORTAGG","MEAN"),FMA_EPS(+1,-3AM,,,,"PORTAGG","MEAN"))&lt;/Q&gt;&lt;R&gt;1&lt;/R&gt;&lt;C&gt;1&lt;/C&gt;&lt;D xsi:type="xsd:double"&gt;0.419455780801446&lt;/D&gt;&lt;/FQL&gt;&lt;FQL&gt;&lt;Q&gt;EWA^FG_TOTAL_RETURNC(0,-1AM)&lt;/Q&gt;&lt;R&gt;1&lt;/R&gt;&lt;C&gt;1&lt;/C&gt;&lt;D xsi:type="xsd:double"&gt;-0.24579763&lt;/D&gt;&lt;/FQL&gt;&lt;FQL&gt;&lt;Q&gt;EWA^PERCENT_CHANGE(FMA_EPS(+1,0,,,,"PORTAGG","MEAN"),FMA_EPS(+1,-1AM,,,,"PORTAGG","MEAN"))&lt;/Q&gt;&lt;R&gt;1&lt;/R&gt;&lt;C&gt;1&lt;/C&gt;&lt;D xsi:type="xsd:double"&gt;0.2245738994731&lt;/D&gt;&lt;/FQL&gt;&lt;FQL&gt;&lt;Q&gt;ENZL^FG_TOTAL_RETURNC(0,-12AM)&lt;/Q&gt;&lt;R&gt;1&lt;/R&gt;&lt;C&gt;1&lt;/C&gt;&lt;D xsi:type="xsd:double"&gt;-5.731559&lt;/D&gt;&lt;/FQL&gt;&lt;FQL&gt;&lt;Q&gt;EWA^FMA_PCT_ABOVE_MAVG(200,0,,,,"PORTAGG")&lt;/Q&gt;&lt;R&gt;1&lt;/R&gt;&lt;C&gt;1&lt;/C&gt;&lt;D xsi:type="xsd:double"&gt;79.6610169491525&lt;/D&gt;&lt;/FQL&gt;&lt;FQL&gt;&lt;Q&gt;ENZL^P_PRICE(0)/P_PRICE_LOW_PR(0,,,,,,"PRICE","INTRA","52W")-1&lt;/Q&gt;&lt;R&gt;1&lt;/R&gt;&lt;C&gt;1&lt;/C&gt;&lt;D xsi:type="xsd:double"&gt;0.105286&lt;/D&gt;&lt;/FQL&gt;&lt;FQL&gt;&lt;Q&gt;ENZL^P_PRICE(0)/P_PRICE_HIGH_PR(0,,,,,,"PRICE","INTRA","52W")&lt;/Q&gt;&lt;R&gt;1&lt;/R&gt;&lt;C&gt;1&lt;/C&gt;&lt;D xsi:type="xsd:double"&gt;0.88401556&lt;/D&gt;&lt;/FQL&gt;&lt;FQL&gt;&lt;Q&gt;URTH^SIZE(FG_CONSTITUENTS)&lt;/Q&gt;&lt;R&gt;1&lt;/R&gt;&lt;C&gt;1&lt;/C&gt;&lt;D xsi:type="xsd:long"&gt;1469&lt;/D&gt;&lt;/FQL&gt;&lt;FQL&gt;&lt;Q&gt;EWN^FMA_COS_DOWN("EPS","1M",+1,0,,,"PORTAGG","MEANR")&lt;/Q&gt;&lt;R&gt;1&lt;/R&gt;&lt;C&gt;1&lt;/C&gt;&lt;D xsi:type="xsd:double"&gt;22&lt;/D&gt;&lt;/FQL&gt;&lt;FQL&gt;&lt;Q&gt;EWL^FMA_COS_UP("EPS","1M",+1,0,,,"PORTAGG","MEANR")&lt;/Q&gt;&lt;R&gt;1&lt;/R&gt;&lt;C&gt;1&lt;/C&gt;&lt;D xsi:type="xsd:double"&gt;23&lt;/D&gt;&lt;/FQL&gt;&lt;FQL&gt;&lt;Q&gt;EWQ^FMA_RBICS_REV_CURRENT(30, LOC, "PORTAGG")&lt;/Q&gt;&lt;R&gt;1&lt;/R&gt;&lt;C&gt;1&lt;/C&gt;&lt;D xsi:type="xsd:double"&gt;10.7938787406678&lt;/D&gt;&lt;/FQL&gt;&lt;FQL&gt;&lt;Q&gt;EWU^FG_ROE(0)&lt;/Q&gt;&lt;R&gt;1&lt;/R&gt;&lt;C&gt;1&lt;/C&gt;&lt;D xsi:type="xsd:double"&gt;17.0820852069596&lt;/D&gt;&lt;/FQL&gt;&lt;FQL&gt;&lt;Q&gt;TRYDE10Y-FDS^FG_YIELD_NAME&lt;/Q&gt;&lt;R&gt;1&lt;/R&gt;&lt;C&gt;1&lt;/C&gt;&lt;D xsi:type="xsd:string"&gt;Germany Benchmark Bond - 10 Year&lt;/D&gt;&lt;/FQL&gt;&lt;FQL&gt;&lt;Q&gt;REFFFUND-FDS^(SUBARRAY(NOT_NA(NO_REPEAT_F(FG_YIELD(NOW,-10AY,D))),0,1)-SUBARRAY(NOT_NA(NO_REPEAT_F(FG_YIELD(NOW,-10AY,D))),1,1))*100&lt;/Q&gt;&lt;R&gt;1&lt;/R&gt;&lt;C&gt;1&lt;/C&gt;&lt;D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xsi:type="xsd:double"&gt;25&lt;/D&gt;&lt;/FQL&gt;&lt;FQL&gt;&lt;Q&gt;REFCATARG-FDS^FG_YIELD(NOW,,,0)&lt;/Q&gt;&lt;R&gt;1&lt;/R&gt;&lt;C&gt;1&lt;/C&gt;&lt;D xsi:type="xsd:double"&gt;5&lt;/D&gt;&lt;/FQL&gt;&lt;FQL&gt;&lt;Q&gt;TRYUS10Y-FDS^PCTCHG(FG_YIELD(0,,,,"YTM"),FG_YIELD(-3AM,,,,"YTM"))&lt;/Q&gt;&lt;R&gt;1&lt;/R&gt;&lt;C&gt;1&lt;/C&gt;&lt;D xsi:type="xsd:double"&gt;14.883131&lt;/D&gt;&lt;/FQL&gt;&lt;FQL&gt;&lt;Q&gt;TRYNZ10Y-FDS^PCTCHG(FG_YIELD(0,,,,"YTM"),FG_YIELD(-3AM,,,,"YTM"))&lt;/Q&gt;&lt;R&gt;1&lt;/R&gt;&lt;C&gt;1&lt;/C&gt;&lt;D xsi:type="xsd:double"&gt;2.3022413&lt;/D&gt;&lt;/FQL&gt;&lt;FQL&gt;&lt;Q&gt;TRYGB10Y-FDS^FG_YIELD(0,,,,"YTM")&lt;/Q&gt;&lt;R&gt;1&lt;/R&gt;&lt;C&gt;1&lt;/C&gt;&lt;D xsi:type="xsd:double"&gt;4.228&lt;/D&gt;&lt;/FQL&gt;&lt;FQL&gt;&lt;Q&gt;CC_SE^IMF_IFS_RCPI_Q(0)&lt;/Q&gt;&lt;R&gt;0&lt;/R&gt;&lt;C&gt;0&lt;/C&gt;&lt;/FQL&gt;&lt;FQL&gt;&lt;Q&gt;VWO^FG_PE(0)&lt;/Q&gt;&lt;R&gt;1&lt;/R&gt;&lt;C&gt;1&lt;/C&gt;&lt;D xsi:type="xsd:double"&gt;13.8554143646629&lt;/D&gt;&lt;/FQL&gt;&lt;FQL&gt;&lt;Q&gt;EWD^FMA_EVAL_EBIT(LTMA,NOW,NOW,M,"PORTAGG","MEANR")&lt;/Q&gt;&lt;R&gt;1&lt;/R&gt;&lt;C&gt;1&lt;/C&gt;&lt;D xsi:type="xsd:double"&gt;15.9521965032378&lt;/D&gt;&lt;/FQL&gt;&lt;FQL&gt;&lt;Q&gt;EWQ^FG_FCF_YIELD_NTM(0)&lt;/Q&gt;&lt;R&gt;1&lt;/R&gt;&lt;C&gt;1&lt;/C&gt;&lt;D xsi:type="xsd:double"&gt;5.55652700386764&lt;/D&gt;&lt;/FQL&gt;&lt;FQL&gt;&lt;Q&gt;QQQ^FMA_PE(NTMA,0,,,"PORTAGG","MEANR")&lt;/Q&gt;&lt;R&gt;1&lt;/R&gt;&lt;C&gt;1&lt;/C&gt;&lt;D xsi:type="xsd:double"&gt;25.7118384170649&lt;/D&gt;&lt;/FQL&gt;&lt;FQL&gt;&lt;Q&gt;EWL^JULIAN(FMA_DIV_YLD(NTMA,NOW,NOW,M,"PORTAGG","MEANR").DATES)&lt;/Q&gt;&lt;R&gt;1&lt;/R&gt;&lt;C&gt;1&lt;/C&gt;&lt;D xsi:type="xsd:long"&gt;45379&lt;/D&gt;&lt;/FQL&gt;&lt;FQL&gt;&lt;Q&gt;EWC^FMA_EVAL_EBITDA(NTMA,0,,,"PORTAGG","MEANR")&lt;/Q&gt;&lt;R&gt;1&lt;/R&gt;&lt;C&gt;1&lt;/C&gt;&lt;D xsi:type="xsd:double"&gt;10.0102525361387&lt;/D&gt;&lt;/FQL&gt;&lt;FQL&gt;&lt;Q&gt;ENZL^FMA_DIV_YLD(NTMA,NOW,NOW,M,"PORTAGG","MEANR")&lt;/Q&gt;&lt;R&gt;1&lt;/R&gt;&lt;C&gt;1&lt;/C&gt;&lt;D xsi:type="xsd:double"&gt;2.74326885778498&lt;/D&gt;&lt;/FQL&gt;&lt;FQL&gt;&lt;Q&gt;TRYUS10Y-FDS^FG_YIELD_NAME&lt;/Q&gt;&lt;R&gt;1&lt;/R&gt;&lt;C&gt;1&lt;/C&gt;&lt;D xsi:type="xsd:string"&gt;US Benchmark Bond - 10 Year&lt;/D&gt;&lt;/FQL&gt;&lt;FQL&gt;&lt;Q&gt;EWL^FG_ROE(0)&lt;/Q&gt;&lt;R&gt;1&lt;/R&gt;&lt;C&gt;1&lt;/C&gt;&lt;D xsi:type="xsd:double"&gt;24.1775001424279&lt;/D&gt;&lt;/FQL&gt;&lt;FQL&gt;&lt;Q&gt;REFEUREFI-FDS^(SUBARRAY(NOT_NA(NO_REPEAT_F(FG_YIELD(NOW,-10AY,D))),0,1)-SUBARRAY(NOT_NA(NO_REPEAT_F(FG_YIELD(NOW,-10AY,D))),1,1))*100&lt;/Q&gt;&lt;R&gt;1&lt;/R&gt;&lt;C&gt;1&lt;/C&gt;&lt;D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xsi:type="xsd:double"&gt;25&lt;/D&gt;&lt;/FQL&gt;&lt;FQL&gt;&lt;Q&gt;REFFFUND-FDS^FG_YIELD(NOW,,,0)&lt;/Q&gt;&lt;R&gt;1&lt;/R&gt;&lt;C&gt;1&lt;/C&gt;&lt;D xsi:type="xsd:double"&gt;5.5&lt;/D&gt;&lt;/FQL&gt;&lt;FQL&gt;&lt;Q&gt;TRYUS10Y-FDS^PCTCHG(FG_YIELD(0,,,,"YTM"),FG_YIELD(-1AM,,,,"YTM"))&lt;/Q&gt;&lt;R&gt;1&lt;/R&gt;&lt;C&gt;1&lt;/C&gt;&lt;D xsi:type="xsd:double"&gt;11.555257&lt;/D&gt;&lt;/FQL&gt;&lt;FQL&gt;&lt;Q&gt;EWD^FMA_EVAL_EBITDA(NTMA,0,,,"PORTAGG","MEANR")&lt;/Q&gt;&lt;R&gt;1&lt;/R&gt;&lt;C&gt;1&lt;/C&gt;&lt;D xsi:type="xsd:double"&gt;11.228502708926&lt;/D&gt;&lt;/FQL&gt;&lt;FQL&gt;&lt;Q&gt;QQQ^FMA_PE(LTM,0,,,"PORTAGG","MEANR")&lt;/Q&gt;&lt;R&gt;1&lt;/R&gt;&lt;C&gt;1&lt;/C&gt;&lt;D xsi:type="xsd:double"&gt;34.0453916066228&lt;/D&gt;&lt;/FQL&gt;&lt;FQL&gt;&lt;Q&gt;EWJ^FMA_EVAL_EBIT(LTMA,NOW,NOW,M,"PORTAGG","MEANR")&lt;/Q&gt;&lt;R&gt;1&lt;/R&gt;&lt;C&gt;1&lt;/C&gt;&lt;D xsi:type="xsd:double"&gt;18.1571800711343&lt;/D&gt;&lt;/FQL&gt;&lt;FQL&gt;&lt;Q&gt;EWC^FG_FCF_YIELD_NTM(0)&lt;/Q&gt;&lt;R&gt;1&lt;/R&gt;&lt;C&gt;1&lt;/C&gt;&lt;D xsi:type="xsd:double"&gt;5.02523114724307&lt;/D&gt;&lt;/FQL&gt;&lt;FQL&gt;&lt;Q&gt;ENZL^FMA_PE(NTMA,0,,,"PORTAGG","MEANR")&lt;/Q&gt;&lt;R&gt;1&lt;/R&gt;&lt;C&gt;1&lt;/C&gt;&lt;D xsi:type="xsd:double"&gt;24.8934857349399&lt;/D&gt;&lt;/FQL&gt;&lt;FQL&gt;&lt;Q&gt;TLT^P_PRICE(0)/P_PRICE_HIGH_PR(0,,,USD,,,"PRICE","INTRA","52W")&lt;/Q&gt;&lt;R&gt;1&lt;/R&gt;&lt;C&gt;1&lt;/C&gt;&lt;D xsi:type="xsd:double"&gt;0.8362976&lt;/D&gt;&lt;/FQL&gt;&lt;FQL&gt;&lt;Q&gt;UUP^P_PRICE(0)/P_PRICE_HIGH_PR(0,,,USD,,,"PRICE","INTRA","52W")&lt;/Q&gt;&lt;R&gt;1&lt;/R&gt;&lt;C&gt;1&lt;/C&gt;&lt;D xsi:type="xsd:double"&gt;0.9484502&lt;/D&gt;&lt;/FQL&gt;&lt;FQL&gt;&lt;Q&gt;TRYCA10Y-FDS^PCTCHG(FG_YIELD(0,,,,"YTM"),FG_YIELD(-1AM,,,,"YTM"))&lt;/Q&gt;&lt;R&gt;1&lt;/R&gt;&lt;C&gt;1&lt;/C&gt;&lt;D xsi:type="xsd:double"&gt;10.684588&lt;/D&gt;&lt;/FQL&gt;&lt;FQL&gt;&lt;Q&gt;ENZL^FG_TOTAL_RETURNC(0,-6AM)&lt;/Q&gt;&lt;R&gt;1&lt;/R&gt;&lt;C&gt;1&lt;/C&gt;&lt;D xsi:type="xsd:double"&gt;2.7835965&lt;/D&gt;&lt;/FQL&gt;&lt;FQL&gt;&lt;Q&gt;URTH^FMA_COS_DOWN("EPS","1M",+1,0,,,"PORTAGG","MEANR")&lt;/Q&gt;&lt;R&gt;1&lt;/R&gt;&lt;C&gt;1&lt;/C&gt;&lt;D xsi:type="xsd:double"&gt;551&lt;/D&gt;&lt;/FQL&gt;&lt;FQL&gt;&lt;Q&gt;EWN^FMA_COS_UP("EPS","1M",+1,0,,,"PORTAGG","MEANR")&lt;/Q&gt;&lt;R&gt;1&lt;/R&gt;&lt;C&gt;1&lt;/C&gt;&lt;D xsi:type="xsd:double"&gt;17&lt;/D&gt;&lt;/FQL&gt;&lt;FQL&gt;&lt;Q&gt;EWJ^SIZE(FG_CONSTITUENTS)&lt;/Q&gt;&lt;R&gt;1&lt;/R&gt;&lt;C&gt;1&lt;/C&gt;&lt;D xsi:type="xsd:long"&gt;219&lt;/D&gt;&lt;/FQL&gt;&lt;FQL&gt;&lt;Q&gt;SPY^FMA_RBICS_REV_CURRENT(30, LOC, "PORTAGG")&lt;/Q&gt;&lt;R&gt;1&lt;/R&gt;&lt;C&gt;1&lt;/C&gt;&lt;D xsi:type="xsd:double"&gt;12.5169610337793&lt;/D&gt;&lt;/FQL&gt;&lt;FQL&gt;&lt;Q&gt;TRYCA10Y-FDS^FG_YIELD_NAME&lt;/Q&gt;&lt;R&gt;1&lt;/R&gt;&lt;C&gt;1&lt;/C&gt;&lt;D xsi:type="xsd:string"&gt;Canada Benchmark Bond - 10 Year&lt;/D&gt;&lt;/FQL&gt;&lt;FQL&gt;&lt;Q&gt;REFCATARG-FDS^PROPER_NAME(0,,,"SECURITY","NAME")&lt;/Q&gt;&lt;R&gt;1&lt;/R&gt;&lt;C&gt;1&lt;/C&gt;&lt;D xsi:type="xsd:string"&gt;Canada Target Rate&lt;/D&gt;&lt;/FQL&gt;&lt;FQL&gt;&lt;Q&gt;TRYNZ10Y-FDS^PCTCHG(FG_YIELD(0,,,,"YTM"),FG_YIELD(-1AM,,,,"YTM"))&lt;/Q&gt;&lt;R&gt;1&lt;/R&gt;&lt;C&gt;1&lt;/C&gt;&lt;D xsi:type="xsd:double"&gt;4.7129974&lt;/D&gt;&lt;/FQL&gt;&lt;FQL&gt;&lt;Q&gt;TRYGB10Y-FDS^FG_YIELD_NAME&lt;/Q&gt;&lt;R&gt;1&lt;/R&gt;&lt;C&gt;1&lt;/C&gt;&lt;D xsi:type="xsd:string"&gt;United Kingdom Benchmark Bond - 10 Year&lt;/D&gt;&lt;/FQL&gt;&lt;FQL&gt;&lt;Q&gt;CC_SE^IMF_IFS_RCPI_Q(-1AM)&lt;/Q&gt;&lt;R&gt;1&lt;/R&gt;&lt;C&gt;1&lt;/C&gt;&lt;D xsi:type="xsd:double"&gt;5.550837&lt;/D&gt;&lt;/FQL&gt;&lt;FQL&gt;&lt;Q&gt;VWO^JULIAN(FMA_DIV_YLD(NTMA,NOW,NOW,M,"PORTAGG","MEANR").DATES)&lt;/Q&gt;&lt;R&gt;1&lt;/R&gt;&lt;C&gt;1&lt;/C&gt;&lt;D xsi:type="xsd:long"&gt;45351&lt;/D&gt;&lt;/FQL&gt;&lt;FQL&gt;&lt;Q&gt;EWQ^FMA_DIV_YLD(NTMA,NOW,NOW,M,"PORTAGG","MEANR")&lt;/Q&gt;&lt;R&gt;1&lt;/R&gt;&lt;C&gt;1&lt;/C&gt;&lt;D xsi:type="xsd:double"&gt;3.05390122394535&lt;/D&gt;&lt;/FQL&gt;&lt;FQL&gt;&lt;Q&gt;TRYAU10Y-FDS^FG_YIELD_NAME&lt;/Q&gt;&lt;R&gt;1&lt;/R&gt;&lt;C&gt;1&lt;/C&gt;&lt;D xsi:type="xsd:string"&gt;Australia Benchmark Bond - 10 Year&lt;/D&gt;&lt;/FQL&gt;&lt;FQL&gt;&lt;Q&gt;REFEUREFI-FDS^FG_YIELD(NOW,,,0)&lt;/Q&gt;&lt;R&gt;1&lt;/R&gt;&lt;C&gt;1&lt;/C&gt;&lt;D xsi:type="xsd:double"&gt;4.5&lt;/D&gt;&lt;/FQL&gt;&lt;FQL&gt;&lt;Q&gt;EWC^FMA_PE(NTMA,0,,,"PORTAGG","MEANR")&lt;/Q&gt;&lt;R&gt;1&lt;/R&gt;&lt;C&gt;1&lt;/C&gt;&lt;D xsi:type="xsd:double"&gt;14.6644513364516&lt;/D&gt;&lt;/FQL&gt;&lt;FQL&gt;&lt;Q&gt;UUP^FG_TOTAL_RETURNC(0,-3AM)&lt;/Q&gt;&lt;R&gt;1&lt;/R&gt;&lt;C&gt;1&lt;/C&gt;&lt;D xsi:type="xsd:double"&gt;4.3398976&lt;/D&gt;&lt;/FQL&gt;&lt;FQL&gt;&lt;Q&gt;EWI^SIZE(FG_CONSTITUENTS)&lt;/Q&gt;&lt;R&gt;1&lt;/R&gt;&lt;C&gt;1&lt;/C&gt;&lt;D xsi:type="xsd:long"&gt;26&lt;/D&gt;&lt;/FQL&gt;&lt;FQL&gt;&lt;Q&gt;REFEUREFI-FDS^PROPER_NAME(0,,,"SECURITY","NAME")&lt;/Q&gt;&lt;R&gt;1&lt;/R&gt;&lt;C&gt;1&lt;/C&gt;&lt;D xsi:type="xsd:string"&gt;Eurozone Main Refinancing Operations Minimum Bid Rate&lt;/D&gt;&lt;/FQL&gt;&lt;FQL&gt;&lt;Q&gt;ENZL^FG_TOTAL_RETURNC(0,-3AM)&lt;/Q&gt;&lt;R&gt;1&lt;/R&gt;&lt;C&gt;1&lt;/C&gt;&lt;D xsi:type="xsd:double"&gt;-5.20485&lt;/D&gt;&lt;/FQL&gt;&lt;FQL&gt;&lt;Q&gt;URTH^FMA_COS_UP("EPS","1M",+1,0,,,"PORTAGG","MEANR")&lt;/Q&gt;&lt;R&gt;1&lt;/R&gt;&lt;C&gt;1&lt;/C&gt;&lt;D xsi:type="xsd:double"&gt;556&lt;/D&gt;&lt;/FQL&gt;&lt;FQL&gt;&lt;Q&gt;EWQ^SIZE(FG_CONSTITUENTS)&lt;/Q&gt;&lt;R&gt;1&lt;/R&gt;&lt;C&gt;1&lt;/C&gt;&lt;D xsi:type="xsd:long"&gt;63&lt;/D&gt;&lt;/FQL&gt;&lt;FQL&gt;&lt;Q&gt;EWJ^FMA_COS_DOWN("EPS","1M",+1,0,,,"PORTAGG","MEANR")&lt;/Q&gt;&lt;R&gt;1&lt;/R&gt;&lt;C&gt;1&lt;/C&gt;&lt;D xsi:type="xsd:double"&gt;88&lt;/D&gt;&lt;/FQL&gt;&lt;FQL&gt;&lt;Q&gt;QQQ^FMA_RBICS_REV_CURRENT(30, LOC, "PORTAGG")&lt;/Q&gt;&lt;R&gt;1&lt;/R&gt;&lt;C&gt;1&lt;/C&gt;&lt;D xsi:type="xsd:double"&gt;0.861039068445166&lt;/D&gt;&lt;/FQL&gt;&lt;FQL&gt;&lt;Q&gt;EWJ^FG_ROE(0)&lt;/Q&gt;&lt;R&gt;1&lt;/R&gt;&lt;C&gt;1&lt;/C&gt;&lt;D xsi:type="xsd:double"&gt;9.81556235400031&lt;/D&gt;&lt;/FQL&gt;&lt;FQL&gt;&lt;Q&gt;REFFFUND-FDS^PROPER_NAME(0,,,"SECURITY","NAME")&lt;/Q&gt;&lt;R&gt;1&lt;/R&gt;&lt;C&gt;1&lt;/C&gt;&lt;D xsi:type="xsd:string"&gt;US Federal Funds Target Rate&lt;/D&gt;&lt;/FQL&gt;&lt;FQL&gt;&lt;Q&gt;REFAUCASH-FDS^(SUBARRAY(NOT_NA(NO_REPEAT_F(FG_YIELD(NOW,-10AY,D))),0,1)-SUBARRAY(NOT_NA(NO_REPEAT_F(FG_YIELD(NOW,-10AY,D))),1,1))*100&lt;/Q&gt;&lt;R&gt;1&lt;/R&gt;&lt;C&gt;1&lt;/C&gt;&lt;D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xsi:type="xsd:double"&gt;25&lt;/D&gt;&lt;/FQL&gt;&lt;FQL&gt;&lt;Q&gt;TRYUS10Y-FDS^FG_YIELD(0,,,,"YTM")&lt;/Q&gt;&lt;R&gt;1&lt;/R&gt;&lt;C&gt;1&lt;/C&gt;&lt;D xsi:type="xsd:double"&gt;4.5712&lt;/D&gt;&lt;/FQL&gt;&lt;FQL&gt;&lt;Q&gt;TRYCH10Y-FDS^FG_YIELD(0,,,,"YTM")&lt;/Q&gt;&lt;R&gt;1&lt;/R&gt;&lt;C&gt;1&lt;/C&gt;&lt;D xsi:type="xsd:double"&gt;0.751&lt;/D&gt;&lt;/FQL&gt;&lt;FQL&gt;&lt;Q&gt;CC_NL^IMF_IFS_RCPI_Q(-1AM)&lt;/Q&gt;&lt;R&gt;1&lt;/R&gt;&lt;C&gt;1&lt;/C&gt;&lt;D xsi:type="xsd:double"&gt;0.80520856&lt;/D&gt;&lt;/FQL&gt;&lt;FQL&gt;&lt;Q&gt;VGK^FMA_EVAL_EBIT(LTMA,NOW,NOW,M,"PORTAGG","MEANR")&lt;/Q&gt;&lt;R&gt;1&lt;/R&gt;&lt;C&gt;1&lt;/C&gt;&lt;D xsi:type="xsd:double"&gt;13.2144435144776&lt;/D&gt;&lt;/FQL&gt;&lt;FQL&gt;&lt;Q&gt;EWD^FG_FCF_YIELD_NTM(0)&lt;/Q&gt;&lt;R&gt;1&lt;/R&gt;&lt;C&gt;1&lt;/C&gt;&lt;D xsi:type="xsd:double"&gt;5.08591897190867&lt;/D&gt;&lt;/FQL&gt;&lt;FQL&gt;&lt;Q&gt;EWQ^FMA_PE(NTMA,0,,,"PORTAGG","MEANR")&lt;/Q&gt;&lt;R&gt;1&lt;/R&gt;&lt;C&gt;1&lt;/C&gt;&lt;D xsi:type="xsd:double"&gt;14.5812154551984&lt;/D&gt;&lt;/FQL&gt;&lt;FQL&gt;&lt;Q&gt;QQQ^JULIAN(FMA_DIV_YLD(NTMA,NOW,NOW,M,"PORTAGG","MEANR").DATES)&lt;/Q&gt;&lt;R&gt;1&lt;/R&gt;&lt;C&gt;1&lt;/C&gt;&lt;D xsi:type="xsd:long"&gt;45379&lt;/D&gt;&lt;/FQL&gt;&lt;FQL&gt;&lt;Q&gt;EWJ^FMA_EVAL_EBITDA(NTMA,0,,,"PORTAGG","MEANR")&lt;/Q&gt;&lt;R&gt;1&lt;/R&gt;&lt;C&gt;1&lt;/C&gt;&lt;D xsi:type="xsd:double"&gt;10.7213459490883&lt;/D&gt;&lt;/FQL&gt;&lt;FQL&gt;&lt;Q&gt;EWC^FMA_DIV_YLD(NTMA,NOW,NOW,M,"PORTAGG","MEANR")&lt;/Q&gt;&lt;R&gt;1&lt;/R&gt;&lt;C&gt;1&lt;/C&gt;&lt;D xsi:type="xsd:double"&gt;3.10692325273598&lt;/D&gt;&lt;/FQL&gt;&lt;FQL&gt;&lt;Q&gt;ENZL^FMA_PE(LTM,0,,,"PORTAGG","MEANR")&lt;/Q&gt;&lt;R&gt;1&lt;/R&gt;&lt;C&gt;1&lt;/C&gt;&lt;D xsi:type="xsd:double"&gt;29.459081999698&lt;/D&gt;&lt;/FQL&gt;&lt;FQL&gt;&lt;Q&gt;TLT^FG_TOTAL_RETURNC(0,-6AM)&lt;/Q&gt;&lt;R&gt;1&lt;/R&gt;&lt;C&gt;1&lt;/C&gt;&lt;D xsi:type="xsd:double"&gt;3.4860015&lt;/D&gt;&lt;/FQL&gt;&lt;FQL&gt;&lt;Q&gt;UUP^FG_TOTAL_RETURNC(0,-6AM)&lt;/Q&gt;&lt;R&gt;1&lt;/R&gt;&lt;C&gt;1&lt;/C&gt;&lt;D xsi:type="xsd:double"&gt;2.6183844&lt;/D&gt;&lt;/FQL&gt;&lt;FQL&gt;&lt;Q&gt;REFJPTON-FDS^PROPER_NAME(0,,,"SECURITY","NAME")&lt;/Q&gt;&lt;R&gt;1&lt;/R&gt;&lt;C&gt;1&lt;/C&gt;&lt;D xsi:type="xsd:string"&gt;Japan Policy Rate&lt;/D&gt;&lt;/FQL&gt;&lt;FQL&gt;&lt;Q&gt;TRYDE10Y-FDS^PCTCHG(FG_YIELD(0,,,,"YTM"),FG_YIELD(-1AM,,,,"YTM"))&lt;/Q&gt;&lt;R&gt;1&lt;/R&gt;&lt;C&gt;1&lt;/C&gt;&lt;D xsi:type="xsd:double"&gt;7.418655&lt;/D&gt;&lt;/FQL&gt;&lt;FQL&gt;&lt;Q&gt;EWN^FMA_PE(NTMA,0,,,"PORTAGG","MEANR")&lt;/Q&gt;&lt;R&gt;1&lt;/R&gt;&lt;C&gt;1&lt;/C&gt;&lt;D xsi:type="xsd:double"&gt;16.3270051243778&lt;/D&gt;&lt;/FQL&gt;&lt;FQL&gt;&lt;Q&gt;VGK^FMA_EVAL_EBITDA(NTMA,0,,,"PORTAGG","MEANR")&lt;/Q&gt;&lt;R&gt;1&lt;/R&gt;&lt;C&gt;1&lt;/C&gt;&lt;D xsi:type="xsd:double"&gt;9.07872241341598&lt;/D&gt;&lt;/FQL&gt;&lt;FQL&gt;&lt;Q&gt;EWD^FMA_DIV_YLD(NTMA,NOW,NOW,M,"PORTAGG","MEANR")&lt;/Q&gt;&lt;R&gt;1&lt;/R&gt;&lt;C&gt;1&lt;/C&gt;&lt;D xsi:type="xsd:double"&gt;3.22683009064656&lt;/D&gt;&lt;/FQL&gt;&lt;FQL&gt;&lt;Q&gt;EWQ^FMA_PE(LTM,0,,,"PORTAGG","MEANR")&lt;/Q&gt;&lt;R&gt;1&lt;/R&gt;&lt;C&gt;1&lt;/C&gt;&lt;D xsi:type="xsd:double"&gt;16.5599682362678&lt;/D&gt;&lt;/FQL&gt;&lt;FQL&gt;&lt;Q&gt;EWU^FMA_EVAL_EBIT(LTMA,NOW,NOW,M,"PORTAGG","MEANR")&lt;/Q&gt;&lt;R&gt;1&lt;/R&gt;&lt;C&gt;1&lt;/C&gt;&lt;D xsi:type="xsd:double"&gt;10.4872538454478&lt;/D&gt;&lt;/FQL&gt;&lt;FQL&gt;&lt;Q&gt;EWJ^FG_FCF_YIELD_NTM(0)&lt;/Q&gt;&lt;R&gt;1&lt;/R&gt;&lt;C&gt;1&lt;/C&gt;&lt;D xsi:type="xsd:double"&gt;4.0649598732757&lt;/D&gt;&lt;/FQL&gt;&lt;FQL&gt;&lt;Q&gt;ENZL^JULIAN(FMA_DIV_YLD(NTMA,NOW,NOW,M,"PORTAGG","MEANR").DATES)&lt;/Q&gt;&lt;R&gt;1&lt;/R&gt;&lt;C&gt;1&lt;/C&gt;&lt;D xsi:type="xsd:long"&gt;45379&lt;/D&gt;&lt;/FQL&gt;&lt;FQL&gt;&lt;Q&gt;ENZL^FG_TOTAL_RETURNC(0,-1AM)&lt;/Q&gt;&lt;R&gt;1&lt;/R&gt;&lt;C&gt;1&lt;/C&gt;&lt;D xsi:type="xsd:double"&gt;-1.4237642&lt;/D&gt;&lt;/FQL&gt;&lt;FQL&gt;&lt;Q&gt;VWO^SIZE(FG_CONSTITUENTS)&lt;/Q&gt;&lt;R&gt;1&lt;/R&gt;&lt;C&gt;1&lt;/C&gt;&lt;D xsi:type="xsd:long"&gt;4715&lt;/D&gt;&lt;/FQL&gt;&lt;FQL&gt;&lt;Q&gt;EWQ^FMA_COS_DOWN("EPS","1M",+1,0,,,"PORTAGG","MEANR")&lt;/Q&gt;&lt;R&gt;1&lt;/R&gt;&lt;C&gt;1&lt;/C&gt;&lt;D xsi:type="xsd:double"&gt;40&lt;/D&gt;&lt;/FQL&gt;&lt;FQL&gt;&lt;Q&gt;EWJ^FMA_COS_UP("EPS","1M",+1,0,,,"PORTAGG","MEANR")&lt;/Q&gt;&lt;R&gt;1&lt;/R&gt;&lt;C&gt;1&lt;/C&gt;&lt;D xsi:type="xsd:double"&gt;97&lt;/D&gt;&lt;/FQL&gt;&lt;FQL&gt;&lt;Q&gt;EWU^FMA_RBICS_REV_CURRENT(30, LOC, "PORTAGG")&lt;/Q&gt;&lt;R&gt;1&lt;/R&gt;&lt;C&gt;1&lt;/C&gt;&lt;D xsi:type="xsd:double"&gt;17.7139371648032&lt;/D&gt;&lt;/FQL&gt;&lt;FQL&gt;&lt;Q&gt;EWG^FG_ROE(0)&lt;/Q&gt;&lt;R&gt;1&lt;/R&gt;&lt;C&gt;1&lt;/C&gt;&lt;D xsi:type="xsd:double"&gt;12.5008036282918&lt;/D&gt;&lt;/FQL&gt;&lt;FQL&gt;&lt;Q&gt;TRYNZ10Y-FDS^FG_YIELD_NAME&lt;/Q&gt;&lt;R&gt;1&lt;/R&gt;&lt;C&gt;1&lt;/C&gt;&lt;D xsi:type="xsd:string"&gt;New Zealand Benchmark Bond - 10 Year&lt;/D&gt;&lt;/FQL&gt;&lt;FQL&gt;&lt;Q&gt;REFGBBANK-FDS^(SUBARRAY(NOT_NA(NO_REPEAT_F(FG_YIELD(NOW,-10AY,D))),0,1)-SUBARRAY(NOT_NA(NO_REPEAT_F(FG_YIELD(NOW,-10AY,D))),1,1))*100&lt;/Q&gt;&lt;R&gt;1&lt;/R&gt;&lt;C&gt;1&lt;/C&gt;&lt;D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xsi:type="xsd:double"&gt;25&lt;/D&gt;&lt;/FQL&gt;&lt;FQL&gt;&lt;Q&gt;REFAUCASH-FDS^FG_YIELD(NOW,,,0)&lt;/Q&gt;&lt;R&gt;1&lt;/R&gt;&lt;C&gt;1&lt;/C&gt;&lt;D xsi:type="xsd:double"&gt;4.35&lt;/D&gt;&lt;/FQL&gt;&lt;FQL&gt;&lt;Q&gt;TRYCH10Y-FDS^FG_YIELD_NAME&lt;/Q&gt;&lt;R&gt;1&lt;/R&gt;&lt;C&gt;1&lt;/C&gt;&lt;D xsi:type="xsd:string"&gt;Treasury - Switzerland Benchmark Bond 10Y&lt;/D&gt;&lt;/FQL&gt;&lt;FQL&gt;&lt;Q&gt;TLT^FG_TOTAL_RETURNC(0,-3AM)&lt;/Q&gt;&lt;R&gt;1&lt;/R&gt;&lt;C&gt;1&lt;/C&gt;&lt;D xsi:type="xsd:double"&gt;-6.2349796&lt;/D&gt;&lt;/FQL&gt;&lt;FQL&gt;&lt;Q&gt;USO^FG_TOTAL_RETURNC(0,-1AM)&lt;/Q&gt;&lt;R&gt;1&lt;/R&gt;&lt;C&gt;1&lt;/C&gt;&lt;D xsi:type="xsd:double"&gt;10.771524&lt;/D&gt;&lt;/FQL&gt;&lt;FQL&gt;&lt;Q&gt;FXI^FMA_COS_UP("EPS","1M",+1,0,,,"PORTAGG","MEANR")&lt;/Q&gt;&lt;R&gt;1&lt;/R&gt;&lt;C&gt;1&lt;/C&gt;&lt;D xsi:type="xsd:double"&gt;12&lt;/D&gt;&lt;/FQL&gt;&lt;FQL&gt;&lt;Q&gt;TRYJP10Y-FDS^PCTCHG(FG_YIELD(0,,,,"YTM"),FG_YIELD(-1AM,,,,"YTM"))&lt;/Q&gt;&lt;R&gt;1&lt;/R&gt;&lt;C&gt;1&lt;/C&gt;&lt;D xsi:type="xsd:double"&gt;13.1808605&lt;/D&gt;&lt;/FQL&gt;&lt;FQL&gt;&lt;Q&gt;EWI^FMA_EVAL_EBIT(LTMA,NOW,NOW,M,"PORTAGG","MEANR")&lt;/Q&gt;&lt;R&gt;1&lt;/R&gt;&lt;C&gt;1&lt;/C&gt;&lt;D xsi:type="xsd:double"&gt;11.1913165051424&lt;/D&gt;&lt;/FQL&gt;&lt;FQL&gt;&lt;Q&gt;SPY^FMA_PE(NTMA,0,,,"PORTAGG","MEANR")&lt;/Q&gt;&lt;R&gt;1&lt;/R&gt;&lt;C&gt;1&lt;/C&gt;&lt;D xsi:type="xsd:double"&gt;20.6841655478305&lt;/D&gt;&lt;/FQL&gt;&lt;FQL&gt;&lt;Q&gt;TRYJP10Y-FDS^FG_YIELD_NAME&lt;/Q&gt;&lt;R&gt;1&lt;/R&gt;&lt;C&gt;1&lt;/C&gt;&lt;D xsi:type="xsd:string"&gt;Japan Benchmark Bond - 10 Year&lt;/D&gt;&lt;/FQL&gt;&lt;FQL&gt;&lt;Q&gt;CC_IT^IMF_IFS_RCPI_Q(-1AM)&lt;/Q&gt;&lt;R&gt;1&lt;/R&gt;&lt;C&gt;1&lt;/C&gt;&lt;D xsi:type="xsd:double"&gt;0.98369783&lt;/D&gt;&lt;/FQL&gt;&lt;FQL&gt;&lt;Q&gt;EWL^FMA_PE(LTM,0,,,"PORTAGG","MEANR")&lt;/Q&gt;&lt;R&gt;1&lt;/R&gt;&lt;C&gt;1&lt;/C&gt;&lt;D xsi:type="xsd:double"&gt;15.0893767850437&lt;/D&gt;&lt;/FQL&gt;&lt;FQL&gt;&lt;Q&gt;ENZL^PERCENT_CHANGE(FMA_EPS(+1,0,,,,"PORTAGG","MEAN"),FMA_EPS(+1,-3AM,,,,"PORTAGG","MEAN"))&lt;/Q&gt;&lt;R&gt;1&lt;/R&gt;&lt;C&gt;1&lt;/C&gt;&lt;D xsi:type="xsd:double"&gt;-15.3610499928545&lt;/D&gt;&lt;/FQL&gt;&lt;FQL&gt;&lt;Q&gt;VWO^FMA_COS_DOWN("EPS","1M",+1,0,,,"PORTAGG","MEANR")&lt;/Q&gt;&lt;R&gt;1&lt;/R&gt;&lt;C&gt;1&lt;/C&gt;&lt;D xsi:type="xsd:double"&gt;1042&lt;/D&gt;&lt;/FQL&gt;&lt;FQL&gt;&lt;Q&gt;EWQ^FMA_COS_UP("EPS","1M",+1,0,,,"PORTAGG","MEANR")&lt;/Q&gt;&lt;R&gt;1&lt;/R&gt;&lt;C&gt;1&lt;/C&gt;&lt;D xsi:type="xsd:double"&gt;15&lt;/D&gt;&lt;/FQL&gt;&lt;FQL&gt;&lt;Q&gt;EWG^SIZE(FG_CONSTITUENTS)&lt;/Q&gt;&lt;R&gt;1&lt;/R&gt;&lt;C&gt;1&lt;/C&gt;&lt;D xsi:type="xsd:long"&gt;57&lt;/D&gt;&lt;/FQL&gt;&lt;FQL&gt;&lt;Q&gt;EWL^FMA_RBICS_REV_CURRENT(30, LOC, "PORTAGG")&lt;/Q&gt;&lt;R&gt;1&lt;/R&gt;&lt;C&gt;1&lt;/C&gt;&lt;D xsi:type="xsd:double"&gt;18.5381872854438&lt;/D&gt;&lt;/FQL&gt;&lt;FQL&gt;&lt;Q&gt;REFSEREPO-FDS^(SUBARRAY(NOT_NA(NO_REPEAT_F(FG_YIELD(NOW,-10AY,D))),0,1)-SUBARRAY(NOT_NA(NO_REPEAT_F(FG_YIELD(NOW,-10AY,D))),1,1))*100&lt;/Q&gt;&lt;R&gt;1&lt;/R&gt;&lt;C&gt;1&lt;/C&gt;&lt;D xsi:type="xsd:double"&gt;25&lt;/D&gt;&lt;/FQL&gt;&lt;FQL&gt;&lt;Q&gt;REFGBBANK-FDS^FG_YIELD(NOW,,,0)&lt;/Q&gt;&lt;R&gt;1&lt;/R&gt;&lt;C&gt;1&lt;/C&gt;&lt;D xsi:type="xsd:double"&gt;5.25&lt;/D&gt;&lt;/FQL&gt;&lt;FQL&gt;&lt;Q&gt;REFAUCASH-FDS^PROPER_NAME(0,,,"SECURITY","NAME")&lt;/Q&gt;&lt;R&gt;1&lt;/R&gt;&lt;C&gt;1&lt;/C&gt;&lt;D xsi:type="xsd:string"&gt;Australia Target Cash Rate&lt;/D&gt;&lt;/FQL&gt;&lt;FQL&gt;&lt;Q&gt;TRYGB10Y-FDS^PCTCHG(FG_YIELD(0,,,,"YTM"),FG_YIELD(-3AM,,,,"YTM"))&lt;/Q&gt;&lt;R&gt;1&lt;/R&gt;&lt;C&gt;1&lt;/C&gt;&lt;D xsi:type="xsd:double"&gt;10.883823&lt;/D&gt;&lt;/FQL&gt;&lt;FQL&gt;&lt;Q&gt;TRYIT10Y-FDS^FG_YIELD(0,,,,"YTM")&lt;/Q&gt;&lt;R&gt;1&lt;/R&gt;&lt;C&gt;1&lt;/C&gt;&lt;D xsi:type="xsd:double"&gt;3.838&lt;/D&gt;&lt;/FQL&gt;&lt;FQL&gt;&lt;Q&gt;TRYJP10Y-FDS^FG_YIELD(0,,,,"YTM")&lt;/Q&gt;&lt;R&gt;1&lt;/R&gt;&lt;C&gt;1&lt;/C&gt;&lt;D xsi:type="xsd:double"&gt;0.8561&lt;/D&gt;&lt;/FQL&gt;&lt;FQL&gt;&lt;Q&gt;CC_FR^IMF_IFS_RCPI_Q(0)&lt;/Q&gt;&lt;R&gt;0&lt;/R&gt;&lt;C&gt;0&lt;/C&gt;&lt;/FQL&gt;&lt;FQL&gt;&lt;Q&gt;VGK^FG_FCF_YIELD_NTM(0)&lt;/Q&gt;&lt;R&gt;1&lt;/R&gt;&lt;C&gt;1&lt;/C&gt;&lt;D xsi:type="xsd:double"&gt;5.02417491676842&lt;/D&gt;&lt;/FQL&gt;&lt;FQL&gt;&lt;Q&gt;EWD^FMA_PE(NTMA,0,,,"PORTAGG","MEANR")&lt;/Q&gt;&lt;R&gt;1&lt;/R&gt;&lt;C&gt;1&lt;/C&gt;&lt;D xsi:type="xsd:double"&gt;16.386712583917&lt;/D&gt;&lt;/FQL&gt;&lt;FQL&gt;&lt;Q&gt;EWQ^JULIAN(FMA_DIV_YLD(NTMA,NOW,NOW,M,"PORTAGG","MEANR").DATES)&lt;/Q&gt;&lt;R&gt;1&lt;/R&gt;&lt;C&gt;1&lt;/C&gt;&lt;D xsi:type="xsd:long"&gt;45379&lt;/D&gt;&lt;/FQL&gt;&lt;FQL&gt;&lt;Q&gt;EWU^FMA_EVAL_EBITDA(NTMA,0,,,"PORTAGG","MEANR")&lt;/Q&gt;&lt;R&gt;1&lt;/R&gt;&lt;C&gt;1&lt;/C&gt;&lt;D xsi:type="xsd:double"&gt;7.48118118824463&lt;/D&gt;&lt;/FQL&gt;&lt;FQL&gt;&lt;Q&gt;EWJ^FMA_DIV_YLD(NTMA,NOW,NOW,M,"PORTAGG","MEANR")&lt;/Q&gt;&lt;R&gt;1&lt;/R&gt;&lt;C&gt;1&lt;/C&gt;&lt;D xsi:type="xsd:double"&gt;2.15743515502353&lt;/D&gt;&lt;/FQL&gt;&lt;FQL&gt;&lt;Q&gt;EWC^FMA_PE(LTM,0,,,"PORTAGG","MEANR")&lt;/Q&gt;&lt;R&gt;1&lt;/R&gt;&lt;C&gt;1&lt;/C&gt;&lt;D xsi:type="xsd:double"&gt;16.9824055139388&lt;/D&gt;&lt;/FQL&gt;&lt;FQL&gt;&lt;Q&gt;TLT^FG_TOTAL_RETURNC(0,-1AM)&lt;/Q&gt;&lt;R&gt;1&lt;/R&gt;&lt;C&gt;1&lt;/C&gt;&lt;D xsi:type="xsd:double"&gt;-5.8181705&lt;/D&gt;&lt;/FQL&gt;&lt;FQL&gt;&lt;Q&gt;USO^FG_TOTAL_RETURNC(0,-6AM)&lt;/Q&gt;&lt;R&gt;1&lt;/R&gt;&lt;C&gt;1&lt;/C&gt;&lt;D xsi:type="xsd:double"&gt;7.770586&lt;/D&gt;&lt;/FQL&gt;&lt;FQL&gt;&lt;Q&gt;GLD^FG_TOTAL_RETURNC(0,-6AM)&lt;/Q&gt;&lt;R&gt;1&lt;/R&gt;&lt;C&gt;1&lt;/C&gt;&lt;D xsi:type="xsd:double"&gt;26.474487&lt;/D&gt;&lt;/FQL&gt;&lt;FQL&gt;&lt;Q&gt;REFCHMPR-FDS^FG_YIELD(NOW,,,0)&lt;/Q&gt;&lt;R&gt;1&lt;/R&gt;&lt;C&gt;1&lt;/C&gt;&lt;D xsi:type="xsd:double"&gt;1.5&lt;/D&gt;&lt;/FQL&gt;&lt;FQL&gt;&lt;Q&gt;TRYCH10Y-FDS^PCTCHG(FG_YIELD(0,,,,"YTM"),FG_YIELD(-1AM,,,,"YTM"))&lt;/Q&gt;&lt;R&gt;1&lt;/R&gt;&lt;C&gt;1&lt;/C&gt;&lt;D xsi:type="xsd:double"&gt;4.0166183&lt;/D&gt;&lt;/FQL&gt;&lt;FQL&gt;&lt;Q&gt;EWU^FMA_PE(NTMA,0,,,"PORTAGG","MEANR")&lt;/Q&gt;&lt;R&gt;1&lt;/R&gt;&lt;C&gt;1&lt;/C&gt;&lt;D xsi:type="xsd:double"&gt;11.522912625928&lt;/D&gt;&lt;/FQL&gt;&lt;FQL&gt;&lt;Q&gt;EWJ^JULIAN(FMA_DIV_YLD(NTMA,NOW,NOW,M,"PORTAGG","MEANR").DATES)&lt;/Q&gt;&lt;R&gt;1&lt;/R&gt;&lt;C&gt;1&lt;/C&gt;&lt;D xsi:type="xsd:lo</t>
        </r>
      </text>
    </comment>
    <comment ref="A15" authorId="0" shapeId="0" xr:uid="{5DFA68E3-F669-480A-838E-044E03810D4D}">
      <text>
        <r>
          <rPr>
            <b/>
            <sz val="9"/>
            <color indexed="81"/>
            <rFont val="Tahoma"/>
            <charset val="1"/>
          </rPr>
          <t>ng"&gt;45379&lt;/D&gt;&lt;/FQL&gt;&lt;FQL&gt;&lt;Q&gt;EWA^FMA_EVAL_EBITDA(NTMA,0,,,"PORTAGG","MEANR")&lt;/Q&gt;&lt;R&gt;1&lt;/R&gt;&lt;C&gt;1&lt;/C&gt;&lt;D xsi:type="xsd:double"&gt;8.65296902969722&lt;/D&gt;&lt;/FQL&gt;&lt;FQL&gt;&lt;Q&gt;EWL^FMA_DIV_YLD(NTMA,NOW,NOW,M,"PORTAGG","MEANR")&lt;/Q&gt;&lt;R&gt;1&lt;/R&gt;&lt;C&gt;1&lt;/C&gt;&lt;D xsi:type="xsd:double"&gt;3.26225183141211&lt;/D&gt;&lt;/FQL&gt;&lt;FQL&gt;&lt;Q&gt;VGK^P_PRICE(0)/P_PRICE_HIGH_PR(0,,,USD,,,"PRICE","INTRA","52W")&lt;/Q&gt;&lt;R&gt;1&lt;/R&gt;&lt;C&gt;1&lt;/C&gt;&lt;D xsi:type="xsd:double"&gt;0.9768368&lt;/D&gt;&lt;/FQL&gt;&lt;FQL&gt;&lt;Q&gt;QQQ^FG_ROE(0)&lt;/Q&gt;&lt;R&gt;1&lt;/R&gt;&lt;C&gt;1&lt;/C&gt;&lt;D xsi:type="xsd:double"&gt;21.5962758796928&lt;/D&gt;&lt;/FQL&gt;&lt;FQL&gt;&lt;Q&gt;REFCATARG-FDS^(SUBARRAY(NOT_NA(NO_REPEAT_F(FG_YIELD(NOW,-10AY,D))),0,1)-SUBARRAY(NOT_NA(NO_REPEAT_F(FG_YIELD(NOW,-10AY,D))),1,1))*100&lt;/Q&gt;&lt;R&gt;1&lt;/R&gt;&lt;C&gt;1&lt;/C&gt;&lt;D xsi:type="xsd:double"&gt;25&lt;/D&gt;&lt;/FQL&gt;&lt;FQL&gt;&lt;Q&gt;EWC^FG_ROE(0)&lt;/Q&gt;&lt;R&gt;1&lt;/R&gt;&lt;C&gt;1&lt;/C&gt;&lt;D xsi:type="xsd:double"&gt;11.253852862905&lt;/D&gt;&lt;/FQL&gt;&lt;FQL&gt;&lt;Q&gt;UUP^FG_TOTAL_RETURNC(0,-1AM)&lt;/Q&gt;&lt;R&gt;1&lt;/R&gt;&lt;C&gt;1&lt;/C&gt;&lt;D xsi:type="xsd:double"&gt;2.8766632&lt;/D&gt;&lt;/FQL&gt;&lt;FQL&gt;&lt;Q&gt;TRYSE10Y-FDS^FG_YIELD_NAME&lt;/Q&gt;&lt;R&gt;1&lt;/R&gt;&lt;C&gt;1&lt;/C&gt;&lt;D xsi:type="xsd:string"&gt;Sweden Benchmark Bond - 10 Year&lt;/D&gt;&lt;/FQL&gt;&lt;FQL&gt;&lt;Q&gt;CC_US^IMF_IFS_RCPI_Q(-1AM)&lt;/Q&gt;&lt;R&gt;1&lt;/R&gt;&lt;C&gt;1&lt;/C&gt;&lt;D xsi:type="xsd:double"&gt;3.2433991&lt;/D&gt;&lt;/FQL&gt;&lt;FQL&gt;&lt;Q&gt;EWN^FMA_EVAL_EBIT(LTMA,NOW,NOW,M,"PORTAGG","MEANR")&lt;/Q&gt;&lt;R&gt;1&lt;/R&gt;&lt;C&gt;1&lt;/C&gt;&lt;D xsi:type="xsd:double"&gt;22.3295542269844&lt;/D&gt;&lt;/FQL&gt;&lt;FQL&gt;&lt;Q&gt;ENZL^PERCENT_CHANGE(FMA_EPS(+1,0,,,,"PORTAGG","MEAN"),FMA_EPS(+1,-1AM,,,,"PORTAGG","MEAN"))&lt;/Q&gt;&lt;R&gt;1&lt;/R&gt;&lt;C&gt;1&lt;/C&gt;&lt;D xsi:type="xsd:double"&gt;-2.88087003896869&lt;/D&gt;&lt;/FQL&gt;&lt;FQL&gt;&lt;Q&gt;SPY^SIZE(FG_CONSTITUENTS)&lt;/Q&gt;&lt;R&gt;1&lt;/R&gt;&lt;C&gt;1&lt;/C&gt;&lt;D xsi:type="xsd:long"&gt;504&lt;/D&gt;&lt;/FQL&gt;&lt;FQL&gt;&lt;Q&gt;EWG^FMA_COS_DOWN("EPS","1M",+1,0,,,"PORTAGG","MEANR")&lt;/Q&gt;&lt;R&gt;1&lt;/R&gt;&lt;C&gt;1&lt;/C&gt;&lt;D xsi:type="xsd:double"&gt;26&lt;/D&gt;&lt;/FQL&gt;&lt;FQL&gt;&lt;Q&gt;EWA^FG_ROE(0)&lt;/Q&gt;&lt;R&gt;1&lt;/R&gt;&lt;C&gt;1&lt;/C&gt;&lt;D xsi:type="xsd:double"&gt;12.8748438940218&lt;/D&gt;&lt;/FQL&gt;&lt;FQL&gt;&lt;Q&gt;REFGBBANK-FDS^PROPER_NAME(0,,,"SECURITY","NAME")&lt;/Q&gt;&lt;R&gt;1&lt;/R&gt;&lt;C&gt;1&lt;/C&gt;&lt;D xsi:type="xsd:string"&gt;UK Bank Rate&lt;/D&gt;&lt;/FQL&gt;&lt;FQL&gt;&lt;Q&gt;REFNZOCR-FDS^(SUBARRAY(NOT_NA(NO_REPEAT_F(FG_YIELD(NOW,-10AY,D))),0,1)-SUBARRAY(NOT_NA(NO_REPEAT_F(FG_YIELD(NOW,-10AY,D))),1,1))*100&lt;/Q&gt;&lt;R&gt;1&lt;/R&gt;&lt;C&gt;1&lt;/C&gt;&lt;D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xsi:type="xsd:double"&gt;25&lt;/D&gt;&lt;/FQL&gt;&lt;FQL&gt;&lt;Q&gt;TRYGB10Y-FDS^PCTCHG(FG_YIELD(0,,,,"YTM"),FG_YIELD(-1AM,,,,"YTM"))&lt;/Q&gt;&lt;R&gt;1&lt;/R&gt;&lt;C&gt;1&lt;/C&gt;&lt;D xsi:type="xsd:double"&gt;3.805554&lt;/D&gt;&lt;/FQL&gt;&lt;FQL&gt;&lt;Q&gt;VGK^FMA_DIV_YLD(NTMA,NOW,NOW,M,"PORTAGG","MEANR")&lt;/Q&gt;&lt;R&gt;1&lt;/R&gt;&lt;C&gt;1&lt;/C&gt;&lt;D xsi:type="xsd:double"&gt;3.58611800939403&lt;/D&gt;&lt;/FQL&gt;&lt;FQL&gt;&lt;Q&gt;EWD^FMA_PE(LTM,0,,,"PORTAGG","MEANR")&lt;/Q&gt;&lt;R&gt;1&lt;/R&gt;&lt;C&gt;1&lt;/C&gt;&lt;D xsi:type="xsd:double"&gt;14.8117346132708&lt;/D&gt;&lt;/FQL&gt;&lt;FQL&gt;&lt;Q&gt;USO^P_PRICE(0)/P_PRICE_HIGH_PR(0,,,USD,,,"PRICE","INTRA","52W")&lt;/Q&gt;&lt;R&gt;1&lt;/R&gt;&lt;C&gt;1&lt;/C&gt;&lt;D xsi:type="xsd:double"&gt;0.97910917&lt;/D&gt;&lt;/FQL&gt;&lt;FQL&gt;&lt;Q&gt;SPY^FMA_EVAL_EBITDA(NTMA,0,,,"PORTAGG","MEANR")&lt;/Q&gt;&lt;R&gt;1&lt;/R&gt;&lt;C&gt;1&lt;/C&gt;&lt;D xsi:type="xsd:double"&gt;14.1495352392776&lt;/D&gt;&lt;/FQL&gt;&lt;FQL&gt;&lt;Q&gt;REFNZOCR-FDS^PROPER_NAME(0,,,"SECURITY","NAME")&lt;/Q&gt;&lt;R&gt;1&lt;/R&gt;&lt;C&gt;1&lt;/C&gt;&lt;D xsi:type="xsd:string"&gt;New Zealand Official Cash Rate&lt;/D&gt;&lt;/FQL&gt;&lt;FQL&gt;&lt;Q&gt;TRYNL10Y-FDS^FG_YIELD_NAME&lt;/Q&gt;&lt;R&gt;1&lt;/R&gt;&lt;C&gt;1&lt;/C&gt;&lt;D xsi:type="xsd:string"&gt;Netherlands Benchmark Bond - 10 Year&lt;/D&gt;&lt;/FQL&gt;&lt;FQL&gt;&lt;Q&gt;TRYIT10Y-FDS^PCTCHG(FG_YIELD(0,,,,"YTM"),FG_YIELD(-1AM,,,,"YTM"))&lt;/Q&gt;&lt;R&gt;1&lt;/R&gt;&lt;C&gt;1&lt;/C&gt;&lt;D xsi:type="xsd:double"&gt;5.817479&lt;/D&gt;&lt;/FQL&gt;&lt;FQL&gt;&lt;Q&gt;TRYSE10Y-FDS^PCTCHG(FG_YIELD(0,,,,"YTM"),FG_YIELD(-1AM,,,,"YTM"))&lt;/Q&gt;&lt;R&gt;1&lt;/R&gt;&lt;C&gt;1&lt;/C&gt;&lt;D xsi:type="xsd:double"&gt;11.164832&lt;/D&gt;&lt;/FQL&gt;&lt;FQL&gt;&lt;Q&gt;EWI^FG_FCF_YIELD_NTM(0)&lt;/Q&gt;&lt;R&gt;1&lt;/R&gt;&lt;C&gt;1&lt;/C&gt;&lt;D xsi:type="xsd:double"&gt;6.32992733111224&lt;/D&gt;&lt;/FQL&gt;&lt;FQL&gt;&lt;Q&gt;EWL^FMA_EVAL_EBITDA(NTMA,0,,,"PORTAGG","MEANR")&lt;/Q&gt;&lt;R&gt;1&lt;/R&gt;&lt;C&gt;1&lt;/C&gt;&lt;D xsi:type="xsd:double"&gt;12.789781394016&lt;/D&gt;&lt;/FQL&gt;&lt;FQL&gt;&lt;Q&gt;EWA^FMA_PE(LTM,0,,,"PORTAGG","MEANR")&lt;/Q&gt;&lt;R&gt;1&lt;/R&gt;&lt;C&gt;1&lt;/C&gt;&lt;D xsi:type="xsd:double"&gt;18.3757907846888&lt;/D&gt;&lt;/FQL&gt;&lt;FQL&gt;&lt;Q&gt;DBA^FG_TOTAL_RETURNC(0,-3AM)&lt;/Q&gt;&lt;R&gt;1&lt;/R&gt;&lt;C&gt;1&lt;/C&gt;&lt;D xsi:type="xsd:double"&gt;21.621632&lt;/D&gt;&lt;/FQL&gt;&lt;FQL&gt;&lt;Q&gt;TRYNL10Y-FDS^PCTCHG(FG_YIELD(0,,,,"YTM"),FG_YIELD(-1AM,,,,"YTM"))&lt;/Q&gt;&lt;R&gt;1&lt;/R&gt;&lt;C&gt;1&lt;/C&gt;&lt;D xsi:type="xsd:double"&gt;6.2548003&lt;/D&gt;&lt;/FQL&gt;&lt;FQL&gt;&lt;Q&gt;EWN^JULIAN(FMA_DIV_YLD(NTMA,NOW,NOW,M,"PORTAGG","MEANR").DATES)&lt;/Q&gt;&lt;R&gt;1&lt;/R&gt;&lt;C&gt;1&lt;/C&gt;&lt;D xsi:type="xsd:long"&gt;45379&lt;/D&gt;&lt;/FQL&gt;&lt;FQL&gt;&lt;Q&gt;VWO^FMA_COS_UP("EPS","1M",+1,0,,,"PORTAGG","MEANR")&lt;/Q&gt;&lt;R&gt;1&lt;/R&gt;&lt;C&gt;1&lt;/C&gt;&lt;D xsi:type="xsd:double"&gt;716&lt;/D&gt;&lt;/FQL&gt;&lt;FQL&gt;&lt;Q&gt;EWJ^FMA_RBICS_REV_CURRENT(30, LOC, "PORTAGG")&lt;/Q&gt;&lt;R&gt;1&lt;/R&gt;&lt;C&gt;1&lt;/C&gt;&lt;D xsi:type="xsd:double"&gt;17.7091909618778&lt;/D&gt;&lt;/FQL&gt;&lt;FQL&gt;&lt;Q&gt;REFSEREPO-FDS^FG_YIELD(NOW,,,0)&lt;/Q&gt;&lt;R&gt;1&lt;/R&gt;&lt;C&gt;1&lt;/C&gt;&lt;D xsi:type="xsd:double"&gt;4&lt;/D&gt;&lt;/FQL&gt;&lt;FQL&gt;&lt;Q&gt;TRYIT10Y-FDS^FG_YIELD_NAME&lt;/Q&gt;&lt;R&gt;1&lt;/R&gt;&lt;C&gt;1&lt;/C&gt;&lt;D xsi:type="xsd:string"&gt;Italy Benchmark Bond - 10 Year&lt;/D&gt;&lt;/FQL&gt;&lt;FQL&gt;&lt;Q&gt;CC_FR^IMF_IFS_RCPI_Q(-1AM)&lt;/Q&gt;&lt;R&gt;1&lt;/R&gt;&lt;C&gt;1&lt;/C&gt;&lt;D xsi:type="xsd:double"&gt;3.7187452&lt;/D&gt;&lt;/FQL&gt;&lt;FQL&gt;&lt;Q&gt;SPY^FMA_EVAL_EBIT(LTMA,NOW,NOW,M,"PORTAGG","MEANR")&lt;/Q&gt;&lt;R&gt;1&lt;/R&gt;&lt;C&gt;1&lt;/C&gt;&lt;D xsi:type="xsd:double"&gt;20.7430035264664&lt;/D&gt;&lt;/FQL&gt;&lt;FQL&gt;&lt;Q&gt;EWU^FG_FCF_YIELD_NTM(0)&lt;/Q&gt;&lt;R&gt;1&lt;/R&gt;&lt;C&gt;1&lt;/C&gt;&lt;D xsi:type="xsd:double"&gt;6.1835956183195&lt;/D&gt;&lt;/FQL&gt;&lt;FQL&gt;&lt;Q&gt;EWJ^FMA_PE(NTMA,0,,,"PORTAGG","MEANR")&lt;/Q&gt;&lt;R&gt;1&lt;/R&gt;&lt;C&gt;1&lt;/C&gt;&lt;D xsi:type="xsd:double"&gt;15.5870373517673&lt;/D&gt;&lt;/FQL&gt;&lt;FQL&gt;&lt;Q&gt;EWC^JULIAN(FMA_DIV_YLD(NTMA,NOW,NOW,M,"PORTAGG","MEANR").DATES)&lt;/Q&gt;&lt;R&gt;1&lt;/R&gt;&lt;C&gt;1&lt;/C&gt;&lt;D xsi:type="xsd:long"&gt;45379&lt;/D&gt;&lt;/FQL&gt;&lt;FQL&gt;&lt;Q&gt;GLD^P_PRICE(0)/P_PRICE_HIGH_PR(0,,,USD,,,"PRICE","INTRA","52W")&lt;/Q&gt;&lt;R&gt;1&lt;/R&gt;&lt;C&gt;1&lt;/C&gt;&lt;D xsi:type="xsd:double"&gt;0.9998181&lt;/D&gt;&lt;/FQL&gt;&lt;FQL&gt;&lt;Q&gt;SPY^FG_FCF_YIELD_NTM(0)&lt;/Q&gt;&lt;R&gt;1&lt;/R&gt;&lt;C&gt;1&lt;/C&gt;&lt;D xsi:type="xsd:double"&gt;4.14070875129409&lt;/D&gt;&lt;/FQL&gt;&lt;FQL&gt;&lt;Q&gt;GLD^FG_TOTAL_RETURNC(0,-3AM)&lt;/Q&gt;&lt;R&gt;1&lt;/R&gt;&lt;C&gt;1&lt;/C&gt;&lt;D xsi:type="xsd:double"&gt;16.9958&lt;/D&gt;&lt;/FQL&gt;&lt;FQL&gt;&lt;Q&gt;GLD^FG_TOTAL_RETURNC(0,-1AM)&lt;/Q&gt;&lt;R&gt;1&lt;/R&gt;&lt;C&gt;1&lt;/C&gt;&lt;D xsi:type="xsd:double"&gt;8.811879&lt;/D&gt;&lt;/FQL&gt;&lt;FQL&gt;&lt;Q&gt;ENZL^FMA_RBICS_REV_CURRENT(30, LOC, "PORTAGG")&lt;/Q&gt;&lt;R&gt;1&lt;/R&gt;&lt;C&gt;1&lt;/C&gt;&lt;D xsi:type="xsd:double"&gt;13.7517044499309&lt;/D&gt;&lt;/FQL&gt;&lt;FQL&gt;&lt;Q&gt;EWN^FG_FCF_YIELD_NTM(0)&lt;/Q&gt;&lt;R&gt;1&lt;/R&gt;&lt;C&gt;1&lt;/C&gt;&lt;D xsi:type="xsd:double"&gt;3.88385879580957&lt;/D&gt;&lt;/FQL&gt;&lt;FQL&gt;&lt;Q&gt;ENZL^FG_ROE(0)&lt;/Q&gt;&lt;R&gt;1&lt;/R&gt;&lt;C&gt;1&lt;/C&gt;&lt;D xsi:type="xsd:double"&gt;5.59792719698184&lt;/D&gt;&lt;/FQL&gt;&lt;FQL&gt;&lt;Q&gt;EWG^FMA_EVAL_EBITDA(NTMA,0,,,"PORTAGG","MEANR")&lt;/Q&gt;&lt;R&gt;1&lt;/R&gt;&lt;C&gt;1&lt;/C&gt;&lt;D xsi:type="xsd:double"&gt;8.45118266086962&lt;/D&gt;&lt;/FQL&gt;&lt;FQL&gt;&lt;Q&gt;ENZL^FMA_PCT_ABOVE_MAVG(200,0,,,,"PORTAGG")&lt;/Q&gt;&lt;R&gt;1&lt;/R&gt;&lt;C&gt;1&lt;/C&gt;&lt;D xsi:type="xsd:double"&gt;42.8571428571429&lt;/D&gt;&lt;/FQL&gt;&lt;FQL&gt;&lt;Q&gt;VGK^SIZE(FG_CONSTITUENTS)&lt;/Q&gt;&lt;R&gt;1&lt;/R&gt;&lt;C&gt;1&lt;/C&gt;&lt;D xsi:type="xsd:long"&gt;1296&lt;/D&gt;&lt;/FQL&gt;&lt;FQL&gt;&lt;Q&gt;SPY^FMA_COS_DOWN("EPS","1M",+1,0,,,"PORTAGG","MEANR")&lt;/Q&gt;&lt;R&gt;1&lt;/R&gt;&lt;C&gt;1&lt;/C&gt;&lt;D xsi:type="xsd:double"&gt;169&lt;/D&gt;&lt;/FQL&gt;&lt;FQL&gt;&lt;Q&gt;EWG^FMA_COS_UP("EPS","1M",+1,0,,,"PORTAGG","MEANR")&lt;/Q&gt;&lt;R&gt;1&lt;/R&gt;&lt;C&gt;1&lt;/C&gt;&lt;D xsi:type="xsd:double"&gt;26&lt;/D&gt;&lt;/FQL&gt;&lt;FQL&gt;&lt;Q&gt;EWG^FMA_RBICS_REV_CURRENT(30, LOC, "PORTAGG")&lt;/Q&gt;&lt;R&gt;1&lt;/R&gt;&lt;C&gt;1&lt;/C&gt;&lt;D xsi:type="xsd:double"&gt;22.665656730962&lt;/D&gt;&lt;/FQL&gt;&lt;FQL&gt;&lt;Q&gt;REFSEREPO-FDS^PROPER_NAME(0,,,"SECURITY","NAME")&lt;/Q&gt;&lt;R&gt;1&lt;/R&gt;&lt;C&gt;1&lt;/C&gt;&lt;D xsi:type="xsd:string"&gt;Sweden Repo Rate&lt;/D&gt;&lt;/FQL&gt;&lt;FQL&gt;&lt;Q&gt;REFCHMPR-FDS^(SUBARRAY(NOT_NA(NO_REPEAT_F(FG_YIELD(NOW,-10AY,D))),0,1)-SUBARRAY(NOT_NA(NO_REPEAT_F(FG_YIELD(NOW,-10AY,D))),1,1))*100&lt;/Q&gt;&lt;R&gt;1&lt;/R&gt;&lt;C&gt;1&lt;/C&gt;&lt;D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xsi:type="xsd:double"&gt;-25&lt;/D&gt;&lt;/FQL&gt;&lt;FQL&gt;&lt;Q&gt;REFNZOCR-FDS^FG_YIELD(NOW,,,0)&lt;/Q&gt;&lt;R&gt;1&lt;/R&gt;&lt;C&gt;1&lt;/C&gt;&lt;D xsi:type="xsd:double"&gt;5.5&lt;/D&gt;&lt;/FQL&gt;&lt;FQL&gt;&lt;Q&gt;TRYCH10Y-FDS^PCTCHG(FG_YIELD(0,,,,"YTM"),FG_YIELD(-3AM,,,,"YTM"))&lt;/Q&gt;&lt;R&gt;1&lt;/R&gt;&lt;C&gt;1&lt;/C&gt;&lt;D xsi:type="xsd:double"&gt;-13.876145&lt;/D&gt;&lt;/FQL&gt;&lt;FQL&gt;&lt;Q&gt;TRYSE10Y-FDS^FG_YIELD(0,,,,"YTM")&lt;/Q&gt;&lt;R&gt;1&lt;/R&gt;&lt;C&gt;1&lt;/C&gt;&lt;D xsi:type="xsd:double"&gt;2.529&lt;/D&gt;&lt;/FQL&gt;&lt;FQL&gt;&lt;Q&gt;TRYDE10Y-FDS^FG_YIELD(0,,,,"YTM")&lt;/Q&gt;&lt;R&gt;1&lt;/R&gt;&lt;C&gt;1&lt;/C&gt;&lt;D xsi:type="xsd:double"&gt;2.476&lt;/D&gt;&lt;/FQL&gt;&lt;FQL&gt;&lt;Q&gt;CC_US^IMF_IFS_RCPI_Q(0)&lt;/Q&gt;&lt;R&gt;0&lt;/R&gt;&lt;C&gt;0&lt;/C&gt;&lt;/FQL&gt;&lt;FQL&gt;&lt;Q&gt;VGK^FG_PE_NTM(0,,,90,0)&lt;/Q&gt;&lt;R&gt;1&lt;/R&gt;&lt;C&gt;1&lt;/C&gt;&lt;D xsi:type="xsd:double"&gt;14.0006113777981&lt;/D&gt;&lt;/FQL&gt;&lt;FQL&gt;&lt;Q&gt;EWD^JULIAN(FMA_DIV_YLD(NTMA,NOW,NOW,M,"PORTAGG","MEANR").DATES)&lt;/Q&gt;&lt;R&gt;1&lt;/R&gt;&lt;C&gt;1&lt;/C&gt;&lt;D xsi:type="xsd:long"&gt;45379&lt;/D&gt;&lt;/FQL&gt;&lt;FQL&gt;&lt;Q&gt;EWU^FMA_DIV_YLD(NTMA,NOW,NOW,M,"PORTAGG","MEANR")&lt;/Q&gt;&lt;R&gt;1&lt;/R&gt;&lt;C&gt;1&lt;/C&gt;&lt;D xsi:type="xsd:double"&gt;4.02267445589315&lt;/D&gt;&lt;/FQL&gt;&lt;FQL&gt;&lt;Q&gt;EWJ^FMA_PE(LTM,0,,,"PORTAGG","MEANR")&lt;/Q&gt;&lt;R&gt;1&lt;/R&gt;&lt;C&gt;1&lt;/C&gt;&lt;D xsi:type="xsd:double"&gt;16.1393539039534&lt;/D&gt;&lt;/FQL&gt;&lt;FQL&gt;&lt;Q&gt;EWA^FMA_EVAL_EBIT(LTMA,NOW,NOW,M,"PORTAGG","MEANR")&lt;/Q&gt;&lt;R&gt;1&lt;/R&gt;&lt;C&gt;1&lt;/C&gt;&lt;D xsi:type="xsd:double"&gt;12.4430506058536&lt;/D&gt;&lt;/FQL&gt;&lt;FQL&gt;&lt;Q&gt;VGK^FG_PE(0)&lt;/Q&gt;&lt;R&gt;1&lt;/R&gt;&lt;C&gt;1&lt;/C&gt;&lt;D xsi:type="xsd:double"&gt;12.7836580214099&lt;/D&gt;&lt;/FQL&gt;&lt;FQL&gt;&lt;Q&gt;USO^FG_TOTAL_RETURNC(0,-3AM)&lt;/Q&gt;&lt;R&gt;1&lt;/R&gt;&lt;C&gt;1&lt;/C&gt;&lt;D xsi:type="xsd:double"&gt;20.546936&lt;/D&gt;&lt;/FQL&gt;&lt;FQL&gt;&lt;Q&gt;DBA^P_PRICE(0)/P_PRICE_HIGH_PR(0,,,USD,,,"PRICE","INTRA","52W")&lt;/Q&gt;&lt;R&gt;1&lt;/R&gt;&lt;C&gt;1&lt;/C&gt;&lt;D xsi:type="xsd:double"&gt;0.9932992&lt;/D&gt;&lt;/FQL&gt;&lt;FQL&gt;&lt;Q&gt;TRYFR10Y-FDS^FG_YIELD_NAME&lt;/Q&gt;&lt;R&gt;1&lt;/R&gt;&lt;C&gt;1&lt;/C&gt;&lt;D xsi:type="xsd:string"&gt;France Benchmark Bond - 10 Year&lt;/D&gt;&lt;/FQL&gt;&lt;FQL&gt;&lt;Q&gt;FXI^SIZE(FG_CONSTITUENTS)&lt;/Q&gt;&lt;R&gt;1&lt;/R&gt;&lt;C&gt;1&lt;/C&gt;&lt;D xsi:type="xsd:long"&gt;51&lt;/D&gt;&lt;/FQL&gt;&lt;FQL&gt;&lt;Q&gt;VGK^FMA_COS_DOWN("EPS","1M",+1,0,,,"PORTAGG","MEANR")&lt;/Q&gt;&lt;R&gt;1&lt;/R&gt;&lt;C&gt;1&lt;/C&gt;&lt;D xsi:type="xsd:double"&gt;452&lt;/D&gt;&lt;/FQL&gt;&lt;FQL&gt;&lt;Q&gt;SPY^FMA_COS_UP("EPS","1M",+1,0,,,"PORTAGG","MEANR")&lt;/Q&gt;&lt;R&gt;1&lt;/R&gt;&lt;C&gt;1&lt;/C&gt;&lt;D xsi:type="xsd:double"&gt;182&lt;/D&gt;&lt;/FQL&gt;&lt;FQL&gt;&lt;Q&gt;EWC^SIZE(FG_CONSTITUENTS)&lt;/Q&gt;&lt;R&gt;1&lt;/R&gt;&lt;C&gt;1&lt;/C&gt;&lt;D xsi:type="xsd:long"&gt;88&lt;/D&gt;&lt;/FQL&gt;&lt;FQL&gt;&lt;Q&gt;EWC^FMA_RBICS_REV_CURRENT(30, LOC, "PORTAGG")&lt;/Q&gt;&lt;R&gt;1&lt;/R&gt;&lt;C&gt;1&lt;/C&gt;&lt;D xsi:type="xsd:double"&gt;40.9198307473676&lt;/D&gt;&lt;/FQL&gt;&lt;FQL&gt;&lt;Q&gt;TRYAU10Y-FDS^PCTCHG(FG_YIELD(0,,,,"YTM"),FG_YIELD(-1AM,,,,"YTM"))&lt;/Q&gt;&lt;R&gt;1&lt;/R&gt;&lt;C&gt;1&lt;/C&gt;&lt;D xsi:type="xsd:double"&gt;7.66701&lt;/D&gt;&lt;/FQL&gt;&lt;FQL&gt;&lt;Q&gt;VWO^FG_PE_NTM(0,,,90,0)&lt;/Q&gt;&lt;R&gt;1&lt;/R&gt;&lt;C&gt;1&lt;/C&gt;&lt;D xsi:type="xsd:double"&gt;14.2110017321838&lt;/D&gt;&lt;/FQL&gt;&lt;FQL&gt;&lt;Q&gt;SPY^FMA_DIV_YLD(NTMA,NOW,NOW,M,"PORTAGG","MEANR")&lt;/Q&gt;&lt;R&gt;1&lt;/R&gt;&lt;C&gt;1&lt;/C&gt;&lt;D xsi:type="xsd:double"&gt;1.42735403440696&lt;/D&gt;&lt;/FQL&gt;&lt;FQL&gt;&lt;Q&gt;QQQ^FMA_COS_DOWN("EPS","1M",+1,0,,,"PORTAGG","MEANR")&lt;/Q&gt;&lt;R&gt;1&lt;/R&gt;&lt;C&gt;1&lt;/C&gt;&lt;D xsi:type="xsd:double"&gt;32&lt;/D&gt;&lt;/FQL&gt;&lt;FQL&gt;&lt;Q&gt;REFJPTON-FDS^(SUBARRAY(NOT_NA(NO_REPEAT_F(FG_YIELD(NOW,-10AY,D))),0,1)-SUBARRAY(NOT_NA(NO_REPEAT_F(FG_YIELD(NOW,-10AY,D))),1,1))*100&lt;/Q&gt;&lt;R&gt;1&lt;/R&gt;&lt;C&gt;1&lt;/C&gt;&lt;D xsi:type="xsd:double"&gt;20&lt;/D&gt;&lt;/FQL&gt;&lt;FQL&gt;&lt;Q&gt;CC_GB^IMF_IFS_RCPI_Q(-1AM)&lt;/Q&gt;&lt;R&gt;1&lt;/R&gt;&lt;C&gt;1&lt;/C&gt;&lt;D xsi:type="xsd:double"&gt;4.3536315&lt;/D&gt;&lt;/FQL&gt;&lt;FQL&gt;&lt;Q&gt;EWA^FMA_DIV_YLD(NTMA,NOW,NOW,M,"PORTAGG","MEANR")&lt;/Q&gt;&lt;R&gt;1&lt;/R&gt;&lt;C&gt;1&lt;/C&gt;&lt;D xsi:type="xsd:double"&gt;3.89931195372357&lt;/D&gt;&lt;/FQL&gt;&lt;FQL&gt;&lt;Q&gt;EWJ^P_PRICE(0)/P_PRICE_HIGH_PR(0,,,USD,,,"PRICE","INTRA","52W")&lt;/Q&gt;&lt;R&gt;1&lt;/R&gt;&lt;C&gt;1&lt;/C&gt;&lt;D xsi:type="xsd:double"&gt;0.9712065&lt;/D&gt;&lt;/FQL&gt;&lt;FQL&gt;&lt;Q&gt;SPY^JULIAN(FMA_DIV_YLD(NTMA,NOW,NOW,M,"PORTAGG","MEANR").DATES)&lt;/Q&gt;&lt;R&gt;1&lt;/R&gt;&lt;C&gt;1&lt;/C&gt;&lt;D xsi:type="xsd:long"&gt;45379&lt;/D&gt;&lt;/FQL&gt;&lt;FQL&gt;&lt;Q&gt;ENZL^FMA_EVAL_EBIT(LTMA,NOW,NOW,M,"PORTAGG","MEANR")&lt;/Q&gt;&lt;R&gt;1&lt;/R&gt;&lt;C&gt;1&lt;/C&gt;&lt;D xsi:type="xsd:double"&gt;20.5144981216943&lt;/D&gt;&lt;/FQL&gt;&lt;FQL&gt;&lt;Q&gt;EWQ^FMA_EVAL_EBITDA(NTMA,0,,,"PORTAGG","MEANR")&lt;/Q&gt;&lt;R&gt;1&lt;/R&gt;&lt;C&gt;1&lt;/C&gt;&lt;D xsi:type="xsd:double"&gt;9.33365945472415&lt;/D&gt;&lt;/FQL&gt;&lt;FQL&gt;&lt;Q&gt;FXI^FMA_COS_DOWN("EPS","1M",+1,0,,,"PORTAGG","MEANR")&lt;/Q&gt;&lt;R&gt;1&lt;/R&gt;&lt;C&gt;1&lt;/C&gt;&lt;D xsi:type="xsd:double"&gt;35&lt;/D&gt;&lt;/FQL&gt;&lt;FQL&gt;&lt;Q&gt;VGK^FMA_COS_UP("EPS","1M",+1,0,,,"PORTAGG","MEANR")&lt;/Q&gt;&lt;R&gt;1&lt;/R&gt;&lt;C&gt;1&lt;/C&gt;&lt;D xsi:type="xsd:double"&gt;473&lt;/D&gt;&lt;/FQL&gt;&lt;FQL&gt;&lt;Q&gt;QQQ^SIZE(FG_CONSTITUENTS)&lt;/Q&gt;&lt;R&gt;1&lt;/R&gt;&lt;C&gt;1&lt;/C&gt;&lt;D xsi:type="xsd:long"&gt;102&lt;/D&gt;&lt;/FQL&gt;&lt;FQL&gt;&lt;Q&gt;EWC^FMA_COS_DOWN("EPS","1M",+1,0,,,"PORTAGG","MEANR")&lt;/Q&gt;&lt;R&gt;1&lt;/R&gt;&lt;C&gt;1&lt;/C&gt;&lt;D xsi:type="xsd:double"&gt;27&lt;/D&gt;&lt;/FQL&gt;&lt;FQL&gt;&lt;Q&gt;EWA^FMA_RBICS_REV_CURRENT(30, LOC, "PORTAGG")&lt;/Q&gt;&lt;R&gt;1&lt;/R&gt;&lt;C&gt;1&lt;/C&gt;&lt;D xsi:type="xsd:double"&gt;40.715109646395&lt;/D&gt;&lt;/FQL&gt;&lt;FQL&gt;&lt;Q&gt;REFCHMPR-FDS^PROPER_NAME(0,,,"SECURITY","NAME")&lt;/Q&gt;&lt;R&gt;1&lt;/R&gt;&lt;C&gt;1&lt;/C&gt;&lt;D xsi:type="xsd:string"&gt;Swiss Policy Rate - Sight Deposit Rate&lt;/D&gt;&lt;/FQL&gt;&lt;FQL&gt;&lt;Q&gt;TRYIT10Y-FDS^PCTCHG(FG_YIELD(0,,,,"YTM"),FG_YIELD(-3AM,,,,"YTM"))&lt;/Q&gt;&lt;R&gt;1&lt;/R&gt;&lt;C&gt;1&lt;/C&gt;&lt;D xsi:type="xsd:double"&gt;1.2664933&lt;/D&gt;&lt;/FQL&gt;&lt;FQL&gt;&lt;Q&gt;TRYJP10Y-FDS^PCTCHG(FG_YIELD(0,,,,"YTM"),FG_YIELD(-3AM,,,,"YTM"))&lt;/Q&gt;&lt;R&gt;1&lt;/R&gt;&lt;C&gt;1&lt;/C&gt;&lt;D xsi:type="xsd:double"&gt;40.852257&lt;/D&gt;&lt;/FQL&gt;&lt;FQL&gt;&lt;Q&gt;TRYNL10Y-FDS^FG_YIELD(0,,,,"YTM")&lt;/Q&gt;&lt;R&gt;1&lt;/R&gt;&lt;C&gt;1&lt;/C&gt;&lt;D xsi:type="xsd:double"&gt;2.769&lt;/D&gt;&lt;/FQL&gt;&lt;FQL&gt;&lt;Q&gt;TRYCA10Y-FDS^FG_YIELD(0,,,,"YTM")&lt;/Q&gt;&lt;R&gt;1&lt;/R&gt;&lt;C&gt;1&lt;/C&gt;&lt;D xsi:type="xsd:double"&gt;3.7138&lt;/D&gt;&lt;/FQL&gt;&lt;FQL&gt;&lt;Q&gt;CC_GB^IMF_IFS_RCPI_Q(0)&lt;/Q&gt;&lt;R&gt;0&lt;/R&gt;&lt;C&gt;0&lt;/C&gt;&lt;/FQL&gt;&lt;FQL&gt;&lt;Q&gt;VGK^JULIAN(FMA_DIV_YLD(NTMA,NOW,NOW,M,"PORTAGG","MEANR").DATES)&lt;/Q&gt;&lt;R&gt;1&lt;/R&gt;&lt;C&gt;1&lt;/C&gt;&lt;D xsi:type="xsd:long"&gt;45351&lt;/D&gt;&lt;/FQL&gt;&lt;FQL&gt;&lt;Q&gt;EWN^FMA_EVAL_EBITDA(NTMA,0,,,"PORTAGG","MEANR")&lt;/Q&gt;&lt;R&gt;1&lt;/R&gt;&lt;C&gt;1&lt;/C&gt;&lt;D xsi:type="xsd:double"&gt;12.6716010909774&lt;/D&gt;&lt;/FQL&gt;&lt;FQL&gt;&lt;Q&gt;EWU^FMA_PE(LTM,0,,,"PORTAGG","MEANR")&lt;/Q&gt;&lt;R&gt;1&lt;/R&gt;&lt;C&gt;1&lt;/C&gt;&lt;D xsi:type="xsd:double"&gt;10.6989492088747&lt;/D&gt;&lt;/FQL&gt;&lt;FQL&gt;&lt;Q&gt;EWG^FMA_EVAL_EBIT(LTMA,NOW,NOW,M,"PORTAGG","MEANR")&lt;/Q&gt;&lt;R&gt;1&lt;/R&gt;&lt;C&gt;1&lt;/C&gt;&lt;D xsi:type="xsd:double"&gt;13.3191447868824&lt;/D&gt;&lt;/FQL&gt;&lt;FQL&gt;&lt;Q&gt;EWA^FG_FCF_YIELD_NTM(0)&lt;/Q&gt;&lt;R&gt;1&lt;/R&gt;&lt;C&gt;1&lt;/C&gt;&lt;D xsi:type="xsd:double"&gt;4.86175249352671&lt;/D&gt;&lt;/FQL&gt;&lt;FQL&gt;&lt;Q&gt;EWC^FMA_COS_UP("EPS","1M",+1,0,,,"PORTAGG","MEANR")&lt;/Q&gt;&lt;R&gt;1&lt;/R&gt;&lt;C&gt;1&lt;/C&gt;&lt;D xsi:type="xsd:double"&gt;27&lt;/D&gt;&lt;/FQL&gt;&lt;FQL&gt;&lt;Q&gt;EWU^JULIAN(FMA_DIV_YLD(NTMA,NOW,NOW,M,"PORTAGG","MEANR").DATES)&lt;/Q&gt;&lt;R&gt;1&lt;/R&gt;&lt;C&gt;1&lt;/C&gt;&lt;D xsi:type="xsd:long"&gt;45379&lt;/D&gt;&lt;/FQL&gt;&lt;FQL&gt;&lt;Q&gt;SPY^P_PRICE(0)/P_PRICE_HIGH_PR(0,,,USD,,,"PRICE","INTRA","52W")&lt;/Q&gt;&lt;R&gt;1&lt;/R&gt;&lt;C&gt;1&lt;/C&gt;&lt;D xsi:type="xsd:double"&gt;0.9874002&lt;/D&gt;&lt;/FQL&gt;&lt;FQL&gt;&lt;Q&gt;EWG^FMA_DIV_YLD(NTMA,NOW,NOW,M,"PORTAGG","MEANR")&lt;/Q&gt;&lt;R&gt;1&lt;/R&gt;&lt;C&gt;1&lt;/C&gt;&lt;D xsi:type="xsd:double"&gt;3.24833813009107&lt;/D&gt;&lt;/FQL&gt;&lt;FQL&gt;&lt;Q&gt;EWG^FMA_PE(LTM,0,,,"PORTAGG","MEANR")&lt;/Q&gt;&lt;R&gt;1&lt;/R&gt;&lt;C&gt;1&lt;/C&gt;&lt;D xsi:type="xsd:double"&gt;12.7854238086315&lt;/D&gt;&lt;/FQL&gt;&lt;FQL&gt;&lt;Q&gt;QQQ^P_PRICE(0)/P_PRICE_HIGH_PR(0,,,USD,,,"PRICE","INTRA","52W")&lt;/Q&gt;&lt;R&gt;1&lt;/R&gt;&lt;C&gt;1&lt;/C&gt;&lt;D xsi:type="xsd:double"&gt;0.9911648&lt;/D&gt;&lt;/FQL&gt;&lt;FQL&gt;&lt;Q&gt;EWN^SIZE(FG_CONSTITUENTS)&lt;/Q&gt;&lt;R&gt;1&lt;/R&gt;&lt;C&gt;1&lt;/C&gt;&lt;D xsi:type="xsd:long"&gt;54&lt;/D&gt;&lt;/FQL&gt;&lt;FQL&gt;&lt;Q&gt;ENZL^FG_FCF_YIELD_NTM(0)&lt;/Q&gt;&lt;R&gt;1&lt;/R&gt;&lt;C&gt;1&lt;/C&gt;&lt;D xsi:type="xsd:double"&gt;0.0296005544804451&lt;/D&gt;&lt;/FQL&gt;&lt;FQL&gt;&lt;Q&gt;EWI^FMA_PE(NTMA,0,,,"PORTAGG","MEANR")&lt;/Q&gt;&lt;R&gt;1&lt;/R&gt;&lt;C&gt;1&lt;/C&gt;&lt;D xsi:type="xsd:double"&gt;9.68793366955095&lt;/D&gt;&lt;/FQL&gt;&lt;FQL&gt;&lt;Q&gt;EWI^JULIAN(FMA_DIV_YLD(NTMA,NOW,NOW,M,"PORTAGG","MEANR").DATES)&lt;/Q&gt;&lt;R&gt;1&lt;/R&gt;&lt;C&gt;1&lt;/C&gt;&lt;D xsi:type="xsd:long"&gt;45379&lt;/D&gt;&lt;/FQL&gt;&lt;FQL&gt;&lt;Q&gt;EWI^FMA_COS_UP("EPS","1M",+1,0,,,"PORTAGG","MEANR")&lt;/Q&gt;&lt;R&gt;1&lt;/R&gt;&lt;C&gt;1&lt;/C&gt;&lt;D xsi:type="xsd:double"&gt;12&lt;/D&gt;&lt;/FQL&gt;&lt;FQL&gt;&lt;Q&gt;EWU^SIZE(FG_CONSTITUENTS)&lt;/Q&gt;&lt;R&gt;1&lt;/R&gt;&lt;C&gt;1&lt;/C&gt;&lt;D xsi:type="xsd:long"&gt;85&lt;/D&gt;&lt;/FQL&gt;&lt;FQL&gt;&lt;Q&gt;EWA^FMA_COS_DOWN("EPS","1M",+1,0,,,"PORTAGG","MEANR")&lt;/Q&gt;&lt;R&gt;1&lt;/R&gt;&lt;C&gt;1&lt;/C&gt;&lt;D xsi:type="xsd:double"&gt;21&lt;/D&gt;&lt;/FQL&gt;&lt;FQL&gt;&lt;Q&gt;EWD^FG_ROE(0)&lt;/Q&gt;&lt;R&gt;1&lt;/R&gt;&lt;C&gt;1&lt;/C&gt;&lt;D xsi:type="xsd:double"&gt;16.1624094817968&lt;/D&gt;&lt;/FQL&gt;&lt;FQL&gt;&lt;Q&gt;VWO^FMA_EVAL_EBIT(LTMA,NOW,NOW,M,"PORTAGG","MEANR")&lt;/Q&gt;&lt;R&gt;1&lt;/R&gt;&lt;C&gt;1&lt;/C&gt;&lt;D xsi:type="xsd:double"&gt;14.3857817367811&lt;/D&gt;&lt;/FQL&gt;&lt;FQL&gt;&lt;Q&gt;EWI^FMA_COS_DOWN("EPS","1M",+1,0,,,"PORTAGG","MEANR")&lt;/Q&gt;&lt;R&gt;1&lt;/R&gt;&lt;C&gt;1&lt;/C&gt;&lt;D xsi:type="xsd:double"&gt;10&lt;/D&gt;&lt;/FQL&gt;&lt;FQL&gt;&lt;Q&gt;QQQ^FMA_COS_UP("EPS","1M",+1,0,,,"PORTAGG","MEANR")&lt;/Q&gt;&lt;R&gt;1&lt;/R&gt;&lt;C&gt;1&lt;/C&gt;&lt;D xsi:type="xsd:double"&gt;33&lt;/D&gt;&lt;/FQL&gt;&lt;FQL&gt;&lt;Q&gt;EWA^SIZE(FG_CONSTITUENTS)&lt;/Q&gt;&lt;R&gt;1&lt;/R&gt;&lt;C&gt;1&lt;/C&gt;&lt;D xsi:type="xsd:long"&gt;59&lt;/D&gt;&lt;/FQL&gt;&lt;FQL&gt;&lt;Q&gt;EWI^FG_ROE(0)&lt;/Q&gt;&lt;R&gt;1&lt;/R&gt;&lt;C&gt;1&lt;/C&gt;&lt;D xsi:type="xsd:double"&gt;13.1824464286887&lt;/D&gt;&lt;/FQL&gt;&lt;FQL&gt;&lt;Q&gt;REFJPTON-FDS^FG_YIELD(NOW,,,0)&lt;/Q&gt;&lt;R&gt;1&lt;/R&gt;&lt;C&gt;1&lt;/C&gt;&lt;D xsi:type="xsd:double"&gt;0.1&lt;/D&gt;&lt;/FQL&gt;&lt;FQL&gt;&lt;Q&gt;TRYSE10Y-FDS^PCTCHG(FG_YIELD(0,,,,"YTM"),FG_YIELD(-3AM,,,,"YTM"))&lt;/Q&gt;&lt;R&gt;1&lt;/R&gt;&lt;C&gt;1&lt;/C&gt;&lt;D xsi:type="xsd:double"&gt;13.002687&lt;/D&gt;&lt;/FQL&gt;&lt;FQL&gt;&lt;Q&gt;TRYDE10Y-FDS^PCTCHG(FG_YIELD(0,,,,"YTM"),FG_YIELD(-3AM,,,,"YTM"))&lt;/Q&gt;&lt;R&gt;1&lt;/R&gt;&lt;C&gt;1&lt;/C&gt;&lt;D xsi:type="xsd:double"&gt;13.525909&lt;/D&gt;&lt;/FQL&gt;&lt;FQL&gt;&lt;Q&gt;TRYFR10Y-FDS^FG_YIELD(0,,,,"YTM")&lt;/Q&gt;&lt;R&gt;1&lt;/R&gt;&lt;C&gt;1&lt;/C&gt;&lt;D xsi:type="xsd:double"&gt;2.974&lt;/D&gt;&lt;/FQL&gt;&lt;FQL&gt;&lt;Q&gt;TRYAU10Y-FDS^FG_YIELD(0,,,,"YTM")&lt;/Q&gt;&lt;R&gt;1&lt;/R&gt;&lt;C&gt;1&lt;/C&gt;&lt;D xsi:type="xsd:double"&gt;4.255&lt;/D&gt;&lt;/FQL&gt;&lt;FQL&gt;&lt;Q&gt;CC_CH^IMF_IFS_RCPI_Q(0)&lt;/Q&gt;&lt;R&gt;0&lt;/R&gt;&lt;C&gt;0&lt;/C&gt;&lt;/FQL&gt;&lt;FQL&gt;&lt;Q&gt;EWI^FMA_EVAL_EBITDA(NTMA,0,,,"PORTAGG","MEANR")&lt;/Q&gt;&lt;R&gt;1&lt;/R&gt;&lt;C&gt;1&lt;/C&gt;&lt;D xsi:type="xsd:double"&gt;7.25630703692296&lt;/D&gt;&lt;/FQL&gt;&lt;FQL&gt;&lt;Q&gt;EWN^FMA_DIV_YLD(NTMA,NOW,NOW,M,"PORTAGG","MEANR")&lt;/Q&gt;&lt;R&gt;1&lt;/R&gt;&lt;C&gt;1&lt;/C&gt;&lt;D xsi:type="xsd:double"&gt;2.51696007875019&lt;/D&gt;&lt;/FQL&gt;&lt;FQL&gt;&lt;Q&gt;SPY^FMA_PE(LTM,0,,,"PORTAGG","MEANR")&lt;/Q&gt;&lt;R&gt;1&lt;/R&gt;&lt;C&gt;1&lt;/C&gt;&lt;D xsi:type="xsd:double"&gt;25.7886250069034&lt;/D&gt;&lt;/FQL&gt;&lt;FQL&gt;&lt;Q&gt;EWL^FMA_EVAL_EBIT(LTMA,NOW,NOW,M,"PORTAGG","MEANR")&lt;/Q&gt;&lt;R&gt;1&lt;/R&gt;&lt;C&gt;1&lt;/C&gt;&lt;D xsi:type="xsd:double"&gt;16.6905634669713&lt;/D&gt;&lt;/FQL&gt;&lt;FQL&gt;&lt;Q&gt;EWG^FG_FCF_YIELD_NTM(0)&lt;/Q&gt;&lt;R&gt;1&lt;/R&gt;&lt;C&gt;1&lt;/C&gt;&lt;D xsi:type="xsd:double"&gt;5.98520697132315&lt;/D&gt;&lt;/FQL&gt;&lt;FQL&gt;&lt;Q&gt;EWA^FMA_PE(NTMA,0,,,"PORTAGG","MEANR")&lt;/Q&gt;&lt;R&gt;1&lt;/R&gt;&lt;C&gt;1&lt;/C&gt;&lt;D xsi:type="xsd:double"&gt;16.7046008353544&lt;/D&gt;&lt;/FQL&gt;&lt;FQL&gt;&lt;Q&gt;DBA^FG_TOTAL_RETURNC(0,-6AM)&lt;/Q&gt;&lt;R&gt;1&lt;/R&gt;&lt;C&gt;1&lt;/C&gt;&lt;D xsi:type="xsd:double"&gt;23.080074&lt;/D&gt;&lt;/FQL&gt;&lt;FQL&gt;&lt;Q&gt;EWD^SIZE(FG_CONSTITUENTS)&lt;/Q&gt;&lt;R&gt;1&lt;/R&gt;&lt;C&gt;1&lt;/C&gt;&lt;D xsi:type="xsd:long"&gt;44&lt;/D&gt;&lt;/FQL&gt;&lt;FQL&gt;&lt;Q&gt;EWU^FMA_COS_DOWN("EPS","1M",+1,0,,,"PORTAGG","MEANR")&lt;/Q&gt;&lt;R&gt;1&lt;/R&gt;&lt;C&gt;1&lt;/C&gt;&lt;D xsi:type="xsd:double"&gt;43&lt;/D&gt;&lt;/FQL&gt;&lt;FQL&gt;&lt;Q&gt;EWA^FMA_COS_UP("EPS","1M",+1,0,,,"PORTAGG","MEANR")&lt;/Q&gt;&lt;R&gt;1&lt;/R&gt;&lt;C&gt;1&lt;/C&gt;&lt;D xsi:type="xsd:double"&gt;21&lt;/D&gt;&lt;/FQL&gt;&lt;FQL&gt;&lt;Q&gt;EWN^FG_ROE(0)&lt;/Q&gt;&lt;R&gt;1&lt;/R&gt;&lt;C&gt;1&lt;/C&gt;&lt;D xsi:type="xsd:double"&gt;11.3917660539284&lt;/D&gt;&lt;/FQL&gt;&lt;FQL&gt;&lt;Q&gt;TRYNL10Y-FDS^PCTCHG(FG_YIELD(0,,,,"YTM"),FG_YIELD(-3AM,,,,"YTM"))&lt;/Q&gt;&lt;R&gt;1&lt;/R&gt;&lt;C&gt;1&lt;/C&gt;&lt;D xsi:type="xsd:double"&gt;11.428578&lt;/D&gt;&lt;/FQL&gt;&lt;FQL&gt;&lt;Q&gt;TRYCA10Y-FDS^PCTCHG(FG_YIELD(0,,,,"YTM"),FG_YIELD(-3AM,,,,"YTM"))&lt;/Q&gt;&lt;R&gt;1&lt;/R&gt;&lt;C&gt;1&lt;/C&gt;&lt;D xsi:type="xsd:double"&gt;14.871634&lt;/D&gt;&lt;/FQL&gt;&lt;FQL&gt;&lt;Q&gt;TRYNZ10Y-FDS^FG_YIELD(0,,,,"YTM")&lt;/Q&gt;&lt;R&gt;1&lt;/R&gt;&lt;C&gt;1&lt;/C&gt;&lt;D xsi:type="xsd:double"&gt;4.8124&lt;/D&gt;&lt;/FQL&gt;&lt;FQL&gt;&lt;Q&gt;VWO^FMA_EVAL_EBITDA(NTMA,0,,,"PORTAGG","MEANR")&lt;/Q&gt;&lt;R&gt;1&lt;/R&gt;&lt;C&gt;1&lt;/C&gt;&lt;D xsi:type="xsd:double"&gt;9.61439869839351&lt;/D&gt;&lt;/FQL&gt;&lt;FQL&gt;&lt;Q&gt;EWI^FMA_DIV_YLD(NTMA,NOW,NOW,M,"PORTAGG","MEANR")&lt;/Q&gt;&lt;R&gt;1&lt;/R&gt;&lt;C&gt;1&lt;/C&gt;&lt;D xsi:type="xsd:double"&gt;5.07522241707554&lt;/D&gt;&lt;/FQL&gt;&lt;FQL&gt;&lt;Q&gt;EWD^FMA_COS_DOWN("EPS","1M",+1,0,,,"PORTAGG","MEANR")&lt;/Q&gt;&lt;R&gt;1&lt;/R&gt;&lt;C&gt;1&lt;/C&gt;&lt;D xsi:type="xsd:double"&gt;11&lt;/D&gt;&lt;/FQL&gt;&lt;FQL&gt;&lt;Q&gt;EWU^FMA_COS_UP("EPS","1M",+1,0,,,"PORTAGG","MEANR")&lt;/Q&gt;&lt;R&gt;1&lt;/R&gt;&lt;C&gt;1&lt;/C&gt;&lt;D xsi:type="xsd:double"&gt;33&lt;/D&gt;&lt;/FQL&gt;&lt;FQL&gt;&lt;Q&gt;ENZL^SIZE(FG_CONSTITUENTS)&lt;/Q&gt;&lt;R&gt;1&lt;/R&gt;&lt;C&gt;1&lt;/C&gt;&lt;D xsi:type="xsd:long"&gt;14&lt;/D&gt;&lt;/FQL&gt;&lt;FQL&gt;&lt;Q&gt;EWI^FMA_RBICS_REV_CURRENT(30, LOC, "PORTAGG")&lt;/Q&gt;&lt;R&gt;1&lt;/R&gt;&lt;C&gt;1&lt;/C&gt;&lt;D xsi:type="xsd:double"&gt;34.5462492743982&lt;/D&gt;&lt;/FQL&gt;&lt;FQL&gt;&lt;Q&gt;VWO^P_PRICE(0)/P_PRICE_HIGH_PR(0,,,USD,,,"PRICE","INTRA","52W")&lt;/Q&gt;&lt;R&gt;1&lt;/R&gt;&lt;C&gt;1&lt;/C&gt;&lt;D xsi:type="xsd:double"&gt;0.9842227&lt;/D&gt;&lt;/FQL&gt;&lt;FQL&gt;&lt;Q&gt;EWN^FMA_PE(LTM,0,,,"PORTAGG","MEANR")&lt;/Q&gt;&lt;R&gt;1&lt;/R&gt;&lt;C&gt;1&lt;/C&gt;&lt;D xsi:type="xsd:double"&gt;20.3934622833142&lt;/D&gt;&lt;/FQL&gt;&lt;FQL&gt;&lt;Q&gt;QQQ^FMA_EVAL_EBIT(LTMA,NOW,NOW,M,"PORTAGG","MEANR")&lt;/Q&gt;&lt;R&gt;1&lt;/R&gt;&lt;C&gt;1&lt;/C&gt;&lt;D xsi:type="xsd:double"&gt;24.8022578120684&lt;/D&gt;&lt;/FQL&gt;&lt;FQL&gt;&lt;Q&gt;EWL^FG_FCF_YIELD_NTM(0)&lt;/Q&gt;&lt;R&gt;1&lt;/R&gt;&lt;C&gt;1&lt;/C&gt;&lt;D xsi:type="xsd:double"&gt;5.01776478231112&lt;/D&gt;&lt;/FQL&gt;&lt;FQL&gt;&lt;Q&gt;EWG^FMA_PE(NTMA,0,,,"PORTAGG","MEANR")&lt;/Q&gt;&lt;R&gt;1&lt;/R&gt;&lt;C&gt;1&lt;/C&gt;&lt;D xsi:type="xsd:double"&gt;12.2531156877155&lt;/D&gt;&lt;/FQL&gt;&lt;FQL&gt;&lt;Q&gt;EWA^JULIAN(FMA_DIV_YLD(NTMA,NOW,NOW,M,"PORTAGG","MEANR").DATES)&lt;/Q&gt;&lt;R&gt;1&lt;/R&gt;&lt;C&gt;1&lt;/C&gt;&lt;D xsi:type="xsd:long"&gt;45379&lt;/D&gt;&lt;/FQL&gt;&lt;FQL&gt;&lt;Q&gt;DBA^FG_TOTAL_RETURNC(0,-1AM)&lt;/Q&gt;&lt;R&gt;1&lt;/R&gt;&lt;C&gt;1&lt;/C&gt;&lt;D xsi:type="xsd:double"&gt;10.8179455&lt;/D&gt;&lt;/FQL&gt;&lt;FQL&gt;&lt;Q&gt;ENZL^FMA_COS_UP("EPS","1M",+1,0,,,"PORTAGG","MEANR")&lt;/Q&gt;&lt;R&gt;1&lt;/R&gt;&lt;C&gt;1&lt;/C&gt;&lt;D xsi:type="xsd:double"&gt;3&lt;/D&gt;&lt;/FQL&gt;&lt;FQL&gt;&lt;Q&gt;EWQ^FG_ROE(0)&lt;/Q&gt;&lt;R&gt;1&lt;/R&gt;&lt;C&gt;1&lt;/C&gt;&lt;D xsi:type="xsd:double"&gt;12.8459188747412&lt;/D&gt;&lt;/FQL&gt;&lt;FQL&gt;&lt;Q&gt;QQQ^FMA_EVAL_EBITDA(NTMA,0,,,"PORTAGG","MEANR")&lt;/Q&gt;&lt;R&gt;1&lt;/R&gt;&lt;C&gt;1&lt;/C&gt;&lt;D xsi:type="xsd:double"&gt;16.0701041161866&lt;/D&gt;&lt;/FQL&gt;&lt;FQL&gt;&lt;Q&gt;EWC^FMA_EVAL_EBIT(LTMA,NOW,NOW,M,"PORTAGG","MEANR")&lt;/Q&gt;&lt;R&gt;1&lt;/R&gt;&lt;C&gt;1&lt;/C&gt;&lt;D xsi:type="xsd:double"&gt;16.3847008333601&lt;/D&gt;&lt;/FQL&gt;&lt;FQL&gt;&lt;Q&gt;VWO^FG_FCF_YIELD_NTM(0)&lt;/Q&gt;&lt;R&gt;1&lt;/R&gt;&lt;C&gt;1&lt;/C&gt;&lt;D xsi:type="xsd:double"&gt;4.90641837424225&lt;/D&gt;&lt;/FQL&gt;&lt;FQL&gt;&lt;Q&gt;EWN^FMA_RBICS_REV_CURRENT(30, LOC, "PORTAGG")&lt;/Q&gt;&lt;R&gt;1&lt;/R&gt;&lt;C&gt;1&lt;/C&gt;&lt;D xsi:type="xsd:double"&gt;24.7200394051191&lt;/D&gt;&lt;/FQL&gt;&lt;FQL&gt;&lt;Q&gt;TRYFR10Y-FDS^PCTCHG(FG_YIELD(0,,,,"YTM"),FG_YIELD(-1AM,,,,"YTM"))&lt;/Q&gt;&lt;R&gt;1&lt;/R&gt;&lt;C&gt;1&lt;/C&gt;&lt;D xsi:type="xsd:double"&gt;7.7926755&lt;/D&gt;&lt;/FQL&gt;&lt;FQL&gt;&lt;Q&gt;QQQ^FMA_DIV_YLD(NTMA,NOW,NOW,M,"PORTAGG","MEANR")&lt;/Q&gt;&lt;R&gt;1&lt;/R&gt;&lt;C&gt;1&lt;/C&gt;&lt;D xsi:type="xsd:double"&gt;0.882975847453205&lt;/D&gt;&lt;/FQL&gt;&lt;FQL&gt;&lt;Q&gt;EWD^FMA_COS_UP("EPS","1M",+1,0,,,"PORTAGG","MEANR")&lt;/Q&gt;&lt;R&gt;1&lt;/R&gt;&lt;C&gt;1&lt;/C&gt;&lt;D xsi:type="xsd:double"&gt;16&lt;/D&gt;&lt;/FQL&gt;&lt;FQL&gt;&lt;Q&gt;EWL^SIZE(FG_CONSTITUENTS)&lt;/Q&gt;&lt;R&gt;1&lt;/R&gt;&lt;C&gt;1&lt;/C&gt;&lt;D xsi:type="xsd:long"&gt;46&lt;/D&gt;&lt;/FQL&gt;&lt;FQL&gt;&lt;Q&gt;ENZL^FMA_COS_DOWN("EPS","1M",+1,0,,,"PORTAGG","MEANR")&lt;/Q&gt;&lt;R&gt;1&lt;/R&gt;&lt;C&gt;1&lt;/C&gt;&lt;D xsi:type="xsd:double"&gt;3&lt;/D&gt;&lt;/FQL&gt;&lt;FQL&gt;&lt;Q&gt;EWD^FMA_RBICS_REV_CURRENT(30, LOC, "PORTAGG")&lt;/Q&gt;&lt;R&gt;1&lt;/R&gt;&lt;C&gt;1&lt;/C&gt;&lt;D xsi:type="xsd:double"&gt;27.1998242779551&lt;/D&gt;&lt;/FQL&gt;&lt;FQL&gt;&lt;Q&gt;SPY^FG_ROE(0)&lt;/Q&gt;&lt;R&gt;1&lt;/R&gt;&lt;C&gt;1&lt;/C&gt;&lt;D xsi:type="xsd:double"&gt;18.0336042004601&lt;/D&gt;&lt;/FQL&gt;&lt;FQL&gt;&lt;Q&gt;TRYFR10Y-FDS^PCTCHG(FG_YIELD(0,,,,"YTM"),FG_YIELD(-3AM,,,,"YTM"))&lt;/Q&gt;&lt;R&gt;1&lt;/R&gt;&lt;C&gt;1&lt;/C&gt;&lt;D xsi:type="xsd:double"&gt;9.620343&lt;/D&gt;&lt;/FQL&gt;&lt;FQL&gt;&lt;Q&gt;TRYAU10Y-FDS^PCTCHG(FG_YIELD(0,,,,"YTM"),FG_YIELD(-3AM,,,,"YTM"))&lt;/Q&gt;&lt;R&gt;1&lt;/R&gt;&lt;C&gt;1&lt;/C&gt;&lt;D xsi:type="xsd:double"&gt;3.52798&lt;/D&gt;&lt;/FQL&gt;&lt;FQL&gt;&lt;Q&gt;CC_IT^IMF_IFS_RCPI_Q(0)&lt;/Q&gt;&lt;R&gt;0&lt;/R&gt;&lt;C&gt;0&lt;/C&gt;&lt;/FQL&gt;&lt;FQL&gt;&lt;Q&gt;VWO^FMA_DIV_YLD(NTMA,NOW,NOW,M,"PORTAGG","MEANR")&lt;/Q&gt;&lt;R&gt;1&lt;/R&gt;&lt;C&gt;1&lt;/C&gt;&lt;D xsi:type="xsd:double"&gt;3.06860088787676&lt;/D&gt;&lt;/FQL&gt;&lt;FQL&gt;&lt;Q&gt;EWI^FMA_PE(LTM,0,,,"PORTAGG","MEANR")&lt;/Q&gt;&lt;R&gt;1&lt;/R&gt;&lt;C&gt;1&lt;/C&gt;&lt;D xsi:type="xsd:double"&gt;10.8070992044353&lt;/D&gt;&lt;/FQL&gt;&lt;FQL&gt;&lt;Q&gt;EWQ^FMA_EVAL_EBIT(LTMA,NOW,NOW,M,"PORTAGG","MEANR")&lt;/Q&gt;&lt;R&gt;1&lt;/R&gt;&lt;C&gt;1&lt;/C&gt;&lt;D xsi:type="xsd:double"&gt;13.2971060535753&lt;/D&gt;&lt;/FQL&gt;&lt;FQL&gt;&lt;Q&gt;QQQ^FG_FCF_YIELD_NTM(0)&lt;/Q&gt;&lt;R&gt;1&lt;/R&gt;&lt;C&gt;1&lt;/C&gt;&lt;D xsi:type="xsd:double"&gt;3.71088582524757&lt;/D&gt;&lt;/FQL&gt;&lt;FQL&gt;&lt;Q&gt;EWL^FMA_PE(NTMA,0,,,"PORTAGG","MEANR")&lt;/Q&gt;&lt;R&gt;1&lt;/R&gt;&lt;C&gt;1&lt;/C&gt;&lt;D xsi:type="xsd:double"&gt;17.3202837007851&lt;/D&gt;&lt;/FQL&gt;&lt;FQL&gt;&lt;Q&gt;EWG^JULIAN(FMA_DIV_YLD(NTMA,NOW,NOW,M,"PORTAGG","MEANR").DATES)&lt;/Q&gt;&lt;R&gt;1&lt;/R&gt;&lt;C&gt;1&lt;/C&gt;&lt;D xsi:type="xsd:long"&gt;45379&lt;/D&gt;&lt;/FQL&gt;&lt;FQL&gt;&lt;Q&gt;ENZL^FMA_EVAL_EBITDA(NTMA,0,,,"PORTAGG","MEANR")&lt;/Q&gt;&lt;R&gt;1&lt;/R&gt;&lt;C&gt;1&lt;/C&gt;&lt;D xsi:type="xsd:double"&gt;12.2062412254161&lt;/D&gt;&lt;/FQL&gt;&lt;FQL&gt;&lt;Q&gt;EWL^FMA_COS_DOWN("EPS","1M",+1,0,,,"PORTAGG","MEANR")&lt;/Q&gt;&lt;R&gt;1&lt;/R&gt;&lt;C&gt;1&lt;/C&gt;&lt;D xsi:type="xsd:double"&gt;18&lt;/D&gt;&lt;/FQL&gt;&lt;FQL&gt;&lt;Q&gt;DUMMY^ECON_DATE(45272,,, 'MM/YYYY')&lt;/Q&gt;&lt;R&gt;1&lt;/R&gt;&lt;C&gt;1&lt;/C&gt;&lt;D xsi:type="xsd:string"&gt;12/2023&lt;/D&gt;&lt;/FQL&gt;&lt;FQL&gt;&lt;Q&gt;DUMMY^ECON_DATE(45363,,, 'MM/YYYY')&lt;/Q&gt;&lt;R&gt;1&lt;/R&gt;&lt;C&gt;1&lt;/C&gt;&lt;D xsi:type="xsd:string"&gt;03/2024&lt;/D&gt;&lt;/FQL&gt;&lt;FQL&gt;&lt;Q&gt;DUMMY^ECON_EXPR_DATA('FDS_ECON[NTCPMIMFGSA@NZ]',03/2024,,Q)&lt;/Q&gt;&lt;R&gt;1&lt;/R&gt;&lt;C&gt;1&lt;/C&gt;&lt;D xsi:type="xsd:double"&gt;47.884563&lt;/D&gt;&lt;/FQL&gt;&lt;FQL&gt;&lt;Q&gt;DUMMY^ECON_EXPR_DATA('FDS_ECON[NTCPMIMFGSA@NZ]',12/2023,,Q)&lt;/Q&gt;&lt;R&gt;1&lt;/R&gt;&lt;C&gt;1&lt;/C&gt;&lt;D xsi:type="xsd:double"&gt;44.378197&lt;/D&gt;&lt;/FQL&gt;&lt;FQL&gt;&lt;Q&gt;DUMMY^ECON_EXPR_DATA('FDS_ECON[NTCPMIMFGSA@AU]',03/2024,,Q)&lt;/Q&gt;&lt;R&gt;1&lt;/R&gt;&lt;C&gt;1&lt;/C&gt;&lt;D xsi:type="xsd:double"&gt;48.39547&lt;/D&gt;&lt;/FQL&gt;&lt;FQL&gt;&lt;Q&gt;DUMMY^ECON_EXPR_DATA('FDS_ECON[NTCPMIMFGSA@AU]',12/2023,,Q)&lt;/Q&gt;&lt;R&gt;1&lt;/R&gt;&lt;C&gt;1&lt;/C&gt;&lt;D xsi:type="xsd:double"&gt;47.862293&lt;/D&gt;&lt;/FQL&gt;&lt;FQL&gt;&lt;Q&gt;DUMMY^ECON_EXPR_DATA('FDS_ECON[NTCPMIMFGSA@CA]',03/2024,,Q)&lt;/Q&gt;&lt;R&gt;1&lt;/R&gt;&lt;C&gt;1&lt;/C&gt;&lt;D xsi:type="xsd:double"&gt;49.30091&lt;/D&gt;&lt;/FQL&gt;&lt;FQL&gt;&lt;Q&gt;DUMMY^ECON_EXPR_DATA('FDS_ECON[NTCPMIMFGSA@CA]',12/2023,,Q)&lt;/Q&gt;&lt;R&gt;1&lt;/R&gt;&lt;C&gt;1&lt;/C&gt;&lt;D xsi:type="xsd:double"&gt;47.255585&lt;/D&gt;&lt;/FQL&gt;&lt;FQL&gt;&lt;Q&gt;DUMMY^ECON_EXPR_DATA('FDS_ECON[NTCPMIMFGSA@DE]',03/2024,,Q)&lt;/Q&gt;&lt;R&gt;1&lt;/R&gt;&lt;C&gt;1&lt;/C&gt;&lt;D xsi:type="xsd:double"&gt;43.319096&lt;/D&gt;&lt;/FQL&gt;&lt;FQL&gt;&lt;Q&gt;DUMMY^ECON_EXPR_DATA('FDS_ECON[NTCPMIMFGSA@DE]',12/2023,,Q)&lt;/Q&gt;&lt;R&gt;1&lt;/R&gt;&lt;C&gt;1&lt;/C&gt;&lt;D xsi:type="xsd:double"&gt;42.238945&lt;/D&gt;&lt;/FQL&gt;&lt;FQL&gt;&lt;Q&gt;DUMMY^ECON_EXPR_DATA('FDS_ECON[NTCPMIMFGSA@JP]',03/2024,,Q)&lt;/Q&gt;&lt;R&gt;1&lt;/R&gt;&lt;C&gt;1&lt;/C&gt;&lt;D xsi:type="xsd:double"&gt;47.808857&lt;/D&gt;&lt;/FQL&gt;&lt;FQL&gt;&lt;Q&gt;DUMMY^ECON_EXPR_DATA('FDS_ECON[NTCPMIMFGSA@JP]',12/2023,,Q)&lt;/Q&gt;&lt;R&gt;1&lt;/R&gt;&lt;C&gt;1&lt;/C&gt;&lt;D xsi:type="xsd:double"&gt;48.31877&lt;/D&gt;&lt;/FQL&gt;&lt;FQL&gt;&lt;Q&gt;DUMMY^ECON_EXPR_DATA('FDS_ECON[NTCPMIMFGSA@CH]',03/2024,,Q)&lt;/Q&gt;&lt;R&gt;1&lt;/R&gt;&lt;C&gt;1&lt;/C&gt;&lt;D xsi:type="xsd:double"&gt;44.08605&lt;/D&gt;&lt;/FQL&gt;&lt;FQL&gt;&lt;Q&gt;DUMMY^ECON_EXPR_DATA('FDS_ECON[NTCPMIMFGSA@CH]',12/2023,,Q)&lt;/Q&gt;&lt;R&gt;1&lt;/R&gt;&lt;C&gt;1&lt;/C&gt;&lt;D xsi:type="xsd:double"&gt;41.921543&lt;/D&gt;&lt;/FQL&gt;&lt;FQL&gt;&lt;Q&gt;DUMMY^ECON_EXPR_DATA('FDS_ECON[NTCPMIMFGSA@GB]',03/2024,,Q)&lt;/Q&gt;&lt;R&gt;1&lt;/R&gt;&lt;C&gt;1&lt;/C&gt;&lt;D xsi:type="xsd:double"&gt;48.24796&lt;/D&gt;&lt;/FQL&gt;&lt;FQL&gt;&lt;Q&gt;DUMMY^ECON_EXPR_DATA('FDS_ECON[NTCPMIMFGSA@GB]',12/2023,,Q)&lt;/Q&gt;&lt;R&gt;1&lt;/R&gt;&lt;C&gt;1&lt;/C&gt;&lt;D xsi:type="xsd:double"&gt;46.0587&lt;/D&gt;&lt;/FQL&gt;&lt;FQL&gt;&lt;Q&gt;DUMMY^ECON_EXPR_DATA('FDS_ECON[NTCPMIMFGMESA@US]',03/2024,,Q)&lt;/Q&gt;&lt;R&gt;1&lt;/R&gt;&lt;C&gt;1&lt;/C&gt;&lt;D xsi:type="xsd:double"&gt;51.582687&lt;/D&gt;&lt;/FQL&gt;&lt;FQL&gt;&lt;Q&gt;DUMMY^ECON_EXPR_DATA('FDS_ECON[NTCPMIMFGMESA@US]',12/2023,,Q)&lt;/Q&gt;&lt;R&gt;1&lt;/R&gt;&lt;C&gt;1&lt;/C&gt;&lt;D xsi:type="xsd:double"&gt;49.098827&lt;/D&gt;&lt;/FQL&gt;&lt;FQL&gt;&lt;Q&gt;DUMMY^ECON_EXPR_DATA('FDS_ECON[NTCPMIMFGSA@FR]',03/2024,,Q)&lt;/Q&gt;&lt;R&gt;1&lt;/R&gt;&lt;C&gt;1&lt;/C&gt;&lt;D xsi:type="xsd:double"&gt;45.498753&lt;/D&gt;&lt;/FQL&gt;&lt;FQL&gt;&lt;Q&gt;DUMMY^ECON_EXPR_DATA('FDS_ECON[NTCPMIMFGSA@FR]',12/2023,,Q)&lt;/Q&gt;&lt;R&gt;1&lt;/R&gt;&lt;C&gt;1&lt;/C&gt;&lt;D xsi:type="xsd:double"&gt;42.573967&lt;/D&gt;&lt;/FQL&gt;&lt;FQL&gt;&lt;Q&gt;DUMMY^ECON_EXPR_DATA('FDS_ECON[NTCPMIMFGSA@NL]',03/2024,,Q)&lt;/Q&gt;&lt;R&gt;1&lt;/R&gt;&lt;C&gt;1&lt;/C&gt;&lt;D xsi:type="xsd:double"&gt;49.325874&lt;/D&gt;&lt;/FQL&gt;&lt;FQL&gt;&lt;Q&gt;DUMMY^ECON_EXPR_DATA('FDS_ECON[NTCPMIMFGSA@NL]',12/2023,,Q)&lt;/Q&gt;&lt;R&gt;1&lt;/R&gt;&lt;C&gt;1&lt;/C&gt;&lt;D xsi:type="xsd:double"&gt;44.495136&lt;/D&gt;&lt;/FQL&gt;&lt;FQL&gt;&lt;Q&gt;DUMMY^ECON_EXPR_DATA('FDS_ECON[]',03/2024,,Q)&lt;/Q&gt;&lt;R&gt;0&lt;/R&gt;&lt;C&gt;0&lt;/C&gt;&lt;/FQL&gt;&lt;FQL&gt;&lt;Q&gt;DUMMY^ECON_EXPR_DATA('FDS_ECON[]',12/2023,,Q)&lt;/Q&gt;&lt;R&gt;0&lt;/R&gt;&lt;C&gt;0&lt;/C&gt;&lt;/FQL&gt;&lt;FQL&gt;&lt;Q&gt;DUMMY^ECON_EXPR_DATA('FDS_ECON[NTCPMIMFGSA@IT]',03/2024,,Q)&lt;/Q&gt;&lt;R&gt;1&lt;/R&gt;&lt;C&gt;1&lt;/C&gt;&lt;D xsi:type="xsd:double"&gt;49.208153&lt;/D&gt;&lt;/FQL&gt;&lt;FQL&gt;&lt;Q&gt;DUMMY^ECON_EXPR_DATA('FDS_ECON[NTCPMIMFGSA@IT]',12/2023,,Q)&lt;/Q&gt;&lt;R&gt;1&lt;/R&gt;&lt;C&gt;1&lt;/C&gt;&lt;D xsi:type="xsd:double"&gt;44.859455&lt;/D&gt;&lt;/FQL&gt;&lt;FQL&gt;&lt;Q&gt;DUMMY^ECON_EXPR_DATA('FDS_ECON[PMIDMMANHE]',03/2024,,Q)&lt;/Q&gt;&lt;R&gt;1&lt;/R&gt;&lt;C&gt;1&lt;/C&gt;&lt;D xsi:type="xsd:double"&gt;49.13533&lt;/D&gt;&lt;/FQL&gt;&lt;FQL&gt;&lt;Q&gt;DUMMY^ECON_EXPR_DATA('FDS_ECON[PMIDMMANHE]',12/2023,,Q)&lt;/Q&gt;&lt;R&gt;1&lt;/R&gt;&lt;C&gt;1&lt;/C&gt;&lt;D xsi:type="xsd:double"&gt;47.377975&lt;/D&gt;&lt;/FQL&gt;&lt;FQL&gt;&lt;Q&gt;DUMMY^ECON_EXPR_DATA('FDS_ECON[NTCPMIMFGSA@EME]',03/2024,,Q)&lt;/Q&gt;&lt;R&gt;1&lt;/R&gt;&lt;C&gt;1&lt;/C&gt;&lt;D xsi:type="xsd:double"&gt;51.51058&lt;/D&gt;&lt;/FQL&gt;&lt;FQL&gt;&lt;Q&gt;DUMMY^ECON_EXPR_DATA('FDS_ECON[NTCPMIMFGSA@EME]',12/2023,,Q)&lt;/Q&gt;&lt;R&gt;1&lt;/R&gt;&lt;C&gt;1&lt;/C&gt;&lt;D xsi:type="xsd:double"&gt;50.624123&lt;/D&gt;&lt;/FQL&gt;&lt;FQL&gt;&lt;Q&gt;CC_NL^IMF_IFS_RCPI_Q(0)&lt;/Q&gt;&lt;R&gt;0&lt;/R&gt;&lt;C&gt;0&lt;/C&gt;&lt;/FQL&gt;&lt;FQL&gt;&lt;Q&gt;CC_CH^IMF_IFS_RCPI_Q(-1AM)&lt;/Q&gt;&lt;R&gt;1&lt;/R&gt;&lt;C&gt;1&lt;/C&gt;&lt;D xsi:type="xsd:double"&gt;1.6172575&lt;/D&gt;&lt;/FQL&gt;&lt;FQL&gt;&lt;Q&gt;CC_JP^IMF_IFS_RCPI_Q(0)&lt;/Q&gt;&lt;R&gt;0&lt;/R&gt;&lt;C&gt;0&lt;/C&gt;&lt;/FQL&gt;&lt;FQL&gt;&lt;Q&gt;CC_JP^IMF_IFS_RCPI_Q(-1AM)&lt;/Q&gt;&lt;R&gt;1&lt;/R&gt;&lt;C&gt;1&lt;/C&gt;&lt;D xsi:type="xsd:double"&gt;2.9194753&lt;/D&gt;&lt;/FQL&gt;&lt;FQL&gt;&lt;Q&gt;CC_DE^IMF_IFS_RCPI_Q(0)&lt;/Q&gt;&lt;R&gt;0&lt;/R&gt;&lt;C&gt;0&lt;/C&gt;&lt;/FQL&gt;&lt;FQL&gt;&lt;Q&gt;CC_DE^IMF_IFS_RCPI_Q(-1AM)&lt;/Q&gt;&lt;R&gt;1&lt;/R&gt;&lt;C&gt;1&lt;/C&gt;&lt;D xsi:type="xsd:double"&gt;3.5546436&lt;/D&gt;&lt;/FQL&gt;&lt;FQL&gt;&lt;Q&gt;CC_CA^IMF_IFS_RCPI_Q(0)&lt;/Q&gt;&lt;R&gt;0&lt;/R&gt;&lt;C&gt;0&lt;/C&gt;&lt;/FQL&gt;&lt;FQL&gt;&lt;Q&gt;CC_CA^IMF_IFS_RCPI_Q(-1AM)&lt;/Q&gt;&lt;R&gt;1&lt;/R&gt;&lt;C&gt;1&lt;/C&gt;&lt;D xsi:type="xsd:double"&gt;3.2111022&lt;/D&gt;&lt;/FQL&gt;&lt;FQL&gt;&lt;Q&gt;CC_AU^IMF_IFS_RCPI_Q(0)&lt;/Q&gt;&lt;R&gt;0&lt;/R&gt;&lt;C&gt;0&lt;/C&gt;&lt;/FQL&gt;&lt;FQL&gt;&lt;Q&gt;CC_AU^IMF_IFS_RCPI_Q(-1AM)&lt;/Q&gt;&lt;R&gt;1&lt;/R&gt;&lt;C&gt;1&lt;/C&gt;&lt;D xsi:type="xsd:double"&gt;4.051988&lt;/D&gt;&lt;/FQL&gt;&lt;FQL&gt;&lt;Q&gt;CC_NZ^IMF_IFS_RCPI_Q(0)&lt;/Q&gt;&lt;R&gt;0&lt;/R&gt;&lt;C&gt;0&lt;/C&gt;&lt;/FQL&gt;&lt;FQL&gt;&lt;Q&gt;CC_NZ^IMF_IFS_RCPI_Q(-1AM)&lt;/Q&gt;&lt;R&gt;1&lt;/R&gt;&lt;C&gt;1&lt;/C&gt;&lt;D xsi:type="xsd:double"&gt;4.655029&lt;/D&gt;&lt;/FQL&gt;&lt;/Schema&gt;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<sst xmlns="http://schemas.openxmlformats.org/spreadsheetml/2006/main" count="2053" uniqueCount="915">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</sst>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4.8346161109935955E-2</v>
      </c>
      <c r="O13" s="55">
        <f>N13*(1+N9)</f>
        <v>5.1246930776532112E-2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3.8776786266515116E-2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4.5712000000000003E-2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-6.6538388900640455E-3</v>
      </c>
      <c r="O21" s="57">
        <f>O13-O16</f>
        <v>6.2469307765321141E-3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2.6341611099359521E-3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6</v>
      </c>
      <c r="E8" s="11">
        <f t="shared" ref="E8:E17" si="0">D8</f>
        <v>6</v>
      </c>
    </row>
    <row r="9" spans="3:9" x14ac:dyDescent="0.35">
      <c r="C9" s="56" t="s">
        <v>1</v>
      </c>
      <c r="D9">
        <f>'Asset class'!S4</f>
        <v>4</v>
      </c>
      <c r="E9" s="58">
        <f t="shared" si="0"/>
        <v>4</v>
      </c>
      <c r="H9" s="62" t="s">
        <v>903</v>
      </c>
      <c r="I9" s="171">
        <f>Timing!L22</f>
        <v>0.30769230769230771</v>
      </c>
    </row>
    <row r="10" spans="3:9" x14ac:dyDescent="0.35">
      <c r="C10" s="56" t="s">
        <v>888</v>
      </c>
      <c r="D10">
        <f>'Asset class'!S5</f>
        <v>2</v>
      </c>
      <c r="E10" s="58">
        <f t="shared" si="0"/>
        <v>2</v>
      </c>
      <c r="H10" s="56" t="s">
        <v>904</v>
      </c>
      <c r="I10" s="57">
        <f>Timing!M22</f>
        <v>0.84615384615384615</v>
      </c>
    </row>
    <row r="11" spans="3:9" ht="15" thickBot="1" x14ac:dyDescent="0.4">
      <c r="C11" s="56" t="s">
        <v>889</v>
      </c>
      <c r="D11">
        <f>'Asset class'!S6</f>
        <v>9</v>
      </c>
      <c r="E11" s="58">
        <f t="shared" si="0"/>
        <v>9</v>
      </c>
      <c r="H11" s="12" t="s">
        <v>905</v>
      </c>
      <c r="I11" s="59">
        <f>Timing!N22</f>
        <v>0.92307692307692313</v>
      </c>
    </row>
    <row r="12" spans="3:9" x14ac:dyDescent="0.35">
      <c r="C12" s="56" t="s">
        <v>51</v>
      </c>
      <c r="D12">
        <f>'Asset class'!S7</f>
        <v>3</v>
      </c>
      <c r="E12" s="58">
        <f t="shared" si="0"/>
        <v>3</v>
      </c>
    </row>
    <row r="13" spans="3:9" x14ac:dyDescent="0.35">
      <c r="C13" s="56" t="s">
        <v>890</v>
      </c>
      <c r="D13">
        <f>'Asset class'!S8</f>
        <v>1</v>
      </c>
      <c r="E13" s="58">
        <f t="shared" si="0"/>
        <v>1</v>
      </c>
    </row>
    <row r="14" spans="3:9" ht="15" thickBot="1" x14ac:dyDescent="0.4">
      <c r="C14" s="12" t="s">
        <v>457</v>
      </c>
      <c r="D14">
        <f>'Asset class'!S9</f>
        <v>5</v>
      </c>
      <c r="E14" s="14">
        <f t="shared" si="0"/>
        <v>5</v>
      </c>
    </row>
    <row r="15" spans="3:9" ht="15" thickBot="1" x14ac:dyDescent="0.4">
      <c r="C15" s="144" t="s">
        <v>891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78" t="s">
        <v>536</v>
      </c>
      <c r="D16">
        <f>'Asset class'!S11</f>
        <v>8</v>
      </c>
      <c r="E16" s="14">
        <f t="shared" si="0"/>
        <v>8</v>
      </c>
    </row>
    <row r="17" spans="2:15" ht="15" thickBot="1" x14ac:dyDescent="0.4">
      <c r="C17" s="148" t="s">
        <v>46</v>
      </c>
      <c r="D17">
        <f>'Asset class'!S12</f>
        <v>7</v>
      </c>
      <c r="E17" s="14">
        <f t="shared" si="0"/>
        <v>7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0.3611111111111111</v>
      </c>
      <c r="D23" s="170"/>
      <c r="E23" s="171">
        <f>'Momnetum ranking'!I22</f>
        <v>0.33531746031746029</v>
      </c>
    </row>
    <row r="24" spans="2:15" x14ac:dyDescent="0.35">
      <c r="B24" s="56" t="s">
        <v>51</v>
      </c>
      <c r="C24" s="9">
        <f>'Momnetum ranking'!H10</f>
        <v>0.3235294117647059</v>
      </c>
      <c r="D24" s="9"/>
      <c r="E24" s="57">
        <f>'Momnetum ranking'!I10</f>
        <v>0.31372549019607843</v>
      </c>
    </row>
    <row r="25" spans="2:15" x14ac:dyDescent="0.35">
      <c r="B25" s="56" t="s">
        <v>895</v>
      </c>
      <c r="C25" s="9">
        <f>'Momnetum ranking'!H23</f>
        <v>0.23529411764705882</v>
      </c>
      <c r="D25" s="9"/>
      <c r="E25" s="57">
        <f>'Momnetum ranking'!I23</f>
        <v>0.68627450980392157</v>
      </c>
    </row>
    <row r="26" spans="2:15" x14ac:dyDescent="0.35">
      <c r="B26" s="56" t="s">
        <v>46</v>
      </c>
      <c r="C26" s="9">
        <f>'Momnetum ranking'!H21</f>
        <v>0.44292237442922372</v>
      </c>
      <c r="D26" s="9"/>
      <c r="E26" s="57">
        <f>'Momnetum ranking'!I21</f>
        <v>0.40182648401826482</v>
      </c>
    </row>
    <row r="27" spans="2:15" ht="15" thickBot="1" x14ac:dyDescent="0.4">
      <c r="B27" s="12" t="s">
        <v>536</v>
      </c>
      <c r="C27" s="172">
        <f>'Momnetum ranking'!H18</f>
        <v>0.36496913580246915</v>
      </c>
      <c r="D27" s="172"/>
      <c r="E27" s="59">
        <f>'Momnetum ranking'!I18</f>
        <v>0.34876543209876543</v>
      </c>
    </row>
    <row r="28" spans="2:15" x14ac:dyDescent="0.35">
      <c r="B28" s="62" t="s">
        <v>6</v>
      </c>
      <c r="C28" s="170">
        <f>'Momnetum ranking'!H19</f>
        <v>0.15185577942735948</v>
      </c>
      <c r="D28" s="170"/>
      <c r="E28" s="171">
        <f>'Momnetum ranking'!I19</f>
        <v>0.2209968186638388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1.620370370370372E-2</v>
      </c>
      <c r="F35" s="5">
        <f>'Momnetum ranking'!K18</f>
        <v>0.584313725490196</v>
      </c>
      <c r="G35" s="9">
        <f>'Momnetum ranking'!Q18</f>
        <v>0.97683679999999995</v>
      </c>
      <c r="H35" s="3">
        <f>'Momnetum ranking'!O18</f>
        <v>4.9459815000000003</v>
      </c>
      <c r="K35">
        <f>_xlfn.RANK.EQ(E35,$E$35:$E$39)</f>
        <v>3</v>
      </c>
      <c r="L35">
        <f>_xlfn.RANK.EQ(F35,$F$35:$F$39)</f>
        <v>4</v>
      </c>
      <c r="M35">
        <f>_xlfn.RANK.EQ(G35,$G$35:$G$39)</f>
        <v>4</v>
      </c>
      <c r="N35">
        <f>_xlfn.RANK.EQ(H35,$H$35:$H$39)</f>
        <v>5</v>
      </c>
      <c r="O35" s="58">
        <f>MEDIAN(K35:N35)</f>
        <v>4</v>
      </c>
    </row>
    <row r="36" spans="3:15" x14ac:dyDescent="0.35">
      <c r="C36" s="56" t="s">
        <v>749</v>
      </c>
      <c r="E36" s="9">
        <f>'Momnetum ranking'!J19</f>
        <v>-6.9141039236479324E-2</v>
      </c>
      <c r="F36" s="5">
        <f>'Momnetum ranking'!K19</f>
        <v>0.40492804186655001</v>
      </c>
      <c r="G36" s="9">
        <f>'Momnetum ranking'!Q19</f>
        <v>0.98422270000000001</v>
      </c>
      <c r="H36" s="3">
        <f>'Momnetum ranking'!O19</f>
        <v>5.5675150000000002</v>
      </c>
      <c r="K36">
        <f t="shared" ref="K36:K39" si="1">_xlfn.RANK.EQ(E36,$E$35:$E$39)</f>
        <v>5</v>
      </c>
      <c r="L36">
        <f t="shared" ref="L36:L39" si="2">_xlfn.RANK.EQ(F36,$F$35:$F$39)</f>
        <v>5</v>
      </c>
      <c r="M36">
        <f t="shared" ref="M36:M39" si="3">_xlfn.RANK.EQ(G36,$G$35:$G$39)</f>
        <v>3</v>
      </c>
      <c r="N36">
        <f t="shared" ref="N36:N39" si="4">_xlfn.RANK.EQ(H36,$H$35:$H$39)</f>
        <v>4</v>
      </c>
      <c r="O36" s="58">
        <f t="shared" ref="O36:O39" si="5">MEDIAN(K36:N36)</f>
        <v>4.5</v>
      </c>
    </row>
    <row r="37" spans="3:15" x14ac:dyDescent="0.35">
      <c r="C37" s="56" t="s">
        <v>781</v>
      </c>
      <c r="E37" s="9">
        <f>'Momnetum ranking'!J20</f>
        <v>3.4036759700476482E-3</v>
      </c>
      <c r="F37" s="5">
        <f>'Momnetum ranking'!K20</f>
        <v>0.72131147540983609</v>
      </c>
      <c r="G37" s="9">
        <f>'Momnetum ranking'!Q20</f>
        <v>0.98643154</v>
      </c>
      <c r="H37" s="3">
        <f>'Momnetum ranking'!O20</f>
        <v>7.8301429999999996</v>
      </c>
      <c r="K37">
        <f t="shared" si="1"/>
        <v>4</v>
      </c>
      <c r="L37">
        <f t="shared" si="2"/>
        <v>2</v>
      </c>
      <c r="M37">
        <f t="shared" si="3"/>
        <v>2</v>
      </c>
      <c r="N37">
        <f t="shared" si="4"/>
        <v>2</v>
      </c>
      <c r="O37" s="58">
        <f t="shared" si="5"/>
        <v>2</v>
      </c>
    </row>
    <row r="38" spans="3:15" x14ac:dyDescent="0.35">
      <c r="C38" s="56" t="s">
        <v>816</v>
      </c>
      <c r="E38" s="9">
        <f>'Momnetum ranking'!J21</f>
        <v>4.1095890410958902E-2</v>
      </c>
      <c r="F38" s="5">
        <f>'Momnetum ranking'!K21</f>
        <v>0.70319634703196299</v>
      </c>
      <c r="G38" s="9">
        <f>'Momnetum ranking'!Q21</f>
        <v>0.97120649999999997</v>
      </c>
      <c r="H38" s="3">
        <f>'Momnetum ranking'!O21</f>
        <v>6.3677789999999996</v>
      </c>
      <c r="K38">
        <f t="shared" si="1"/>
        <v>1</v>
      </c>
      <c r="L38">
        <f t="shared" si="2"/>
        <v>3</v>
      </c>
      <c r="M38">
        <f t="shared" si="3"/>
        <v>5</v>
      </c>
      <c r="N38">
        <f t="shared" si="4"/>
        <v>3</v>
      </c>
      <c r="O38" s="58">
        <f t="shared" si="5"/>
        <v>3</v>
      </c>
    </row>
    <row r="39" spans="3:15" ht="15" thickBot="1" x14ac:dyDescent="0.4">
      <c r="C39" s="12" t="s">
        <v>119</v>
      </c>
      <c r="D39" s="13"/>
      <c r="E39" s="172">
        <f>'Momnetum ranking'!J22</f>
        <v>2.5793650793650813E-2</v>
      </c>
      <c r="F39" s="17">
        <f>'Momnetum ranking'!K22</f>
        <v>0.79441117764471103</v>
      </c>
      <c r="G39" s="172">
        <f>'Momnetum ranking'!Q22</f>
        <v>0.98740019999999995</v>
      </c>
      <c r="H39" s="175">
        <f>'Momnetum ranking'!O22</f>
        <v>9.0837479999999999</v>
      </c>
      <c r="I39" s="13"/>
      <c r="J39" s="13"/>
      <c r="K39" s="13">
        <f t="shared" si="1"/>
        <v>2</v>
      </c>
      <c r="L39" s="13">
        <f t="shared" si="2"/>
        <v>1</v>
      </c>
      <c r="M39" s="13">
        <f t="shared" si="3"/>
        <v>1</v>
      </c>
      <c r="N39" s="13">
        <f t="shared" si="4"/>
        <v>1</v>
      </c>
      <c r="O39" s="14">
        <f t="shared" si="5"/>
        <v>1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1.4073491</v>
      </c>
      <c r="F3" s="3" cm="1">
        <f t="array" ref="F3">_xll.FDS(C3,"FG_TOTAL_RETURNC(0,-3AM)")</f>
        <v>5.5675150000000002</v>
      </c>
      <c r="G3" s="3" cm="1">
        <f t="array" ref="G3">_xll.FDS(C3,"FG_TOTAL_RETURNC(0,-6AM)")</f>
        <v>9.5271830000000008</v>
      </c>
      <c r="H3" s="9" cm="1">
        <f t="array" ref="H3">_xll.FDS(C3,"P_PRICE(0)/P_PRICE_HIGH_PR(0,,,USD,,,""PRICE"",""INTRA"",""52W"")")</f>
        <v>0.98422270000000001</v>
      </c>
      <c r="K3" s="4">
        <f>_xlfn.RANK.EQ(H3,H$3:H$12)</f>
        <v>5</v>
      </c>
      <c r="L3" s="4">
        <f>_xlfn.RANK.EQ(F3,F$3:F$12)</f>
        <v>7</v>
      </c>
      <c r="M3" s="4">
        <f>_xlfn.RANK.EQ(G3,G$3:G$12)</f>
        <v>7</v>
      </c>
      <c r="N3" s="4"/>
      <c r="P3" s="3">
        <f t="shared" ref="P3:P12" si="0">SUMPRODUCT($K$2:$M$2,K3:M3)</f>
        <v>6.27</v>
      </c>
      <c r="Q3">
        <f t="shared" ref="Q3:Q12" si="1">COUNTIF(K3:N3,"&gt;70")</f>
        <v>0</v>
      </c>
      <c r="S3" s="3">
        <f>11-_xlfn.RANK.EQ(P3,$P$3:$P$12)</f>
        <v>6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1.6312956999999999</v>
      </c>
      <c r="F4" s="3" cm="1">
        <f t="array" ref="F4">_xll.FDS(C4,"FG_TOTAL_RETURNC(0,-3AM)")</f>
        <v>9.0837479999999999</v>
      </c>
      <c r="G4" s="3" cm="1">
        <f t="array" ref="G4">_xll.FDS(C4,"FG_TOTAL_RETURNC(0,-6AM)")</f>
        <v>19.575261999999999</v>
      </c>
      <c r="H4" s="9" cm="1">
        <f t="array" ref="H4">_xll.FDS(C4,"P_PRICE(0)/P_PRICE_HIGH_PR(0,,,USD,,,""PRICE"",""INTRA"",""52W"")")</f>
        <v>0.98740019999999995</v>
      </c>
      <c r="I4" s="177"/>
      <c r="K4" s="4">
        <f t="shared" ref="K4:K12" si="3">_xlfn.RANK.EQ(H4,H$3:H$12)</f>
        <v>4</v>
      </c>
      <c r="L4" s="4">
        <f t="shared" ref="L4:M12" si="4">_xlfn.RANK.EQ(F4,F$3:F$12)</f>
        <v>4</v>
      </c>
      <c r="M4" s="4">
        <f t="shared" si="4"/>
        <v>4</v>
      </c>
      <c r="N4" s="4"/>
      <c r="P4" s="3">
        <f t="shared" si="0"/>
        <v>3.96</v>
      </c>
      <c r="Q4">
        <f t="shared" si="1"/>
        <v>0</v>
      </c>
      <c r="S4" s="3">
        <f t="shared" ref="S4:S12" si="5">11-_xlfn.RANK.EQ(P4,$P$3:$P$12)</f>
        <v>4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8.8118789999999994</v>
      </c>
      <c r="F5" s="3" cm="1">
        <f t="array" ref="F5">_xll.FDS(C5,"FG_TOTAL_RETURNC(0,-3AM)")</f>
        <v>16.995799999999999</v>
      </c>
      <c r="G5" s="3" cm="1">
        <f t="array" ref="G5">_xll.FDS(C5,"FG_TOTAL_RETURNC(0,-6AM)")</f>
        <v>26.474487</v>
      </c>
      <c r="H5" s="9" cm="1">
        <f t="array" ref="H5">_xll.FDS(C5,"P_PRICE(0)/P_PRICE_HIGH_PR(0,,,USD,,,""PRICE"",""INTRA"",""52W"")")</f>
        <v>0.99981810000000004</v>
      </c>
      <c r="I5" s="177"/>
      <c r="K5" s="4">
        <f t="shared" si="3"/>
        <v>1</v>
      </c>
      <c r="L5" s="4">
        <f t="shared" si="4"/>
        <v>3</v>
      </c>
      <c r="M5" s="4">
        <f t="shared" si="4"/>
        <v>1</v>
      </c>
      <c r="N5" s="4"/>
      <c r="P5" s="3">
        <f t="shared" si="0"/>
        <v>1.6500000000000001</v>
      </c>
      <c r="Q5">
        <f t="shared" si="1"/>
        <v>0</v>
      </c>
      <c r="S5" s="3">
        <f t="shared" si="5"/>
        <v>2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2.8766631999999999</v>
      </c>
      <c r="F6" s="3" cm="1">
        <f t="array" ref="F6">_xll.FDS(C6,"FG_TOTAL_RETURNC(0,-3AM)")</f>
        <v>4.3398975999999996</v>
      </c>
      <c r="G6" s="3" cm="1">
        <f t="array" ref="G6">_xll.FDS(C6,"FG_TOTAL_RETURNC(0,-6AM)")</f>
        <v>2.6183844000000001</v>
      </c>
      <c r="H6" s="9" cm="1">
        <f t="array" ref="H6">_xll.FDS(C6,"P_PRICE(0)/P_PRICE_HIGH_PR(0,,,USD,,,""PRICE"",""INTRA"",""52W"")")</f>
        <v>0.94845020000000002</v>
      </c>
      <c r="I6" s="177"/>
      <c r="K6" s="4">
        <f t="shared" si="3"/>
        <v>9</v>
      </c>
      <c r="L6" s="4">
        <f t="shared" si="4"/>
        <v>9</v>
      </c>
      <c r="M6" s="4">
        <f t="shared" si="4"/>
        <v>10</v>
      </c>
      <c r="N6" s="4"/>
      <c r="P6" s="3">
        <f t="shared" si="0"/>
        <v>9.24</v>
      </c>
      <c r="Q6">
        <f t="shared" si="1"/>
        <v>0</v>
      </c>
      <c r="S6" s="3">
        <f t="shared" si="5"/>
        <v>9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1.9579291000000001</v>
      </c>
      <c r="F7" s="3" cm="1">
        <f t="array" ref="F7">_xll.FDS(C7,"FG_TOTAL_RETURNC(0,-3AM)")</f>
        <v>8.9419249999999995</v>
      </c>
      <c r="G7" s="3" cm="1">
        <f t="array" ref="G7">_xll.FDS(C7,"FG_TOTAL_RETURNC(0,-6AM)")</f>
        <v>20.433605</v>
      </c>
      <c r="H7" s="9" cm="1">
        <f t="array" ref="H7">_xll.FDS(C7,"P_PRICE(0)/P_PRICE_HIGH_PR(0,,,USD,,,""PRICE"",""INTRA"",""52W"")")</f>
        <v>0.99116479999999996</v>
      </c>
      <c r="I7" s="1"/>
      <c r="K7" s="4">
        <f t="shared" si="3"/>
        <v>3</v>
      </c>
      <c r="L7" s="4">
        <f t="shared" si="4"/>
        <v>5</v>
      </c>
      <c r="M7" s="4">
        <f t="shared" si="4"/>
        <v>3</v>
      </c>
      <c r="N7" s="4"/>
      <c r="P7" s="3">
        <f t="shared" si="0"/>
        <v>3.63</v>
      </c>
      <c r="Q7">
        <f t="shared" si="1"/>
        <v>0</v>
      </c>
      <c r="S7" s="3">
        <f t="shared" si="5"/>
        <v>3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10.8179455</v>
      </c>
      <c r="F8" s="3" cm="1">
        <f t="array" ref="F8">_xll.FDS(C8,"FG_TOTAL_RETURNC(0,-3AM)")</f>
        <v>21.621632000000002</v>
      </c>
      <c r="G8" s="3" cm="1">
        <f t="array" ref="G8">_xll.FDS(C8,"FG_TOTAL_RETURNC(0,-6AM)")</f>
        <v>23.080074</v>
      </c>
      <c r="H8" s="9" cm="1">
        <f t="array" ref="H8">_xll.FDS(C8,"P_PRICE(0)/P_PRICE_HIGH_PR(0,,,USD,,,""PRICE"",""INTRA"",""52W"")")</f>
        <v>0.99329920000000005</v>
      </c>
      <c r="I8" s="1"/>
      <c r="K8" s="4">
        <f t="shared" si="3"/>
        <v>2</v>
      </c>
      <c r="L8" s="4">
        <f t="shared" si="4"/>
        <v>1</v>
      </c>
      <c r="M8" s="4">
        <f t="shared" si="4"/>
        <v>2</v>
      </c>
      <c r="N8" s="4"/>
      <c r="P8" s="3">
        <f t="shared" si="0"/>
        <v>1.65</v>
      </c>
      <c r="Q8">
        <f t="shared" si="1"/>
        <v>0</v>
      </c>
      <c r="S8" s="3">
        <f t="shared" si="5"/>
        <v>1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10.771523999999999</v>
      </c>
      <c r="F9" s="3" cm="1">
        <f t="array" ref="F9">_xll.FDS(C9,"FG_TOTAL_RETURNC(0,-3AM)")</f>
        <v>20.546935999999999</v>
      </c>
      <c r="G9" s="3" cm="1">
        <f t="array" ref="G9">_xll.FDS(C9,"FG_TOTAL_RETURNC(0,-6AM)")</f>
        <v>7.7705859999999998</v>
      </c>
      <c r="H9" s="9" cm="1">
        <f t="array" ref="H9">_xll.FDS(C9,"P_PRICE(0)/P_PRICE_HIGH_PR(0,,,USD,,,""PRICE"",""INTRA"",""52W"")")</f>
        <v>0.97910916999999997</v>
      </c>
      <c r="I9" s="1"/>
      <c r="K9" s="4">
        <f t="shared" si="3"/>
        <v>6</v>
      </c>
      <c r="L9" s="4">
        <f t="shared" si="4"/>
        <v>2</v>
      </c>
      <c r="M9" s="4">
        <f t="shared" si="4"/>
        <v>8</v>
      </c>
      <c r="N9" s="4"/>
      <c r="P9" s="3">
        <f t="shared" si="0"/>
        <v>5.28</v>
      </c>
      <c r="Q9">
        <f t="shared" si="1"/>
        <v>0</v>
      </c>
      <c r="S9" s="3">
        <f t="shared" si="5"/>
        <v>5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-5.8181704999999999</v>
      </c>
      <c r="F10" s="3" cm="1">
        <f t="array" ref="F10">_xll.FDS(C10,"FG_TOTAL_RETURNC(0,-3AM)")</f>
        <v>-6.2349796</v>
      </c>
      <c r="G10" s="3" cm="1">
        <f t="array" ref="G10">_xll.FDS(C10,"FG_TOTAL_RETURNC(0,-6AM)")</f>
        <v>3.4860015</v>
      </c>
      <c r="H10" s="9" cm="1">
        <f t="array" ref="H10">_xll.FDS(C10,"P_PRICE(0)/P_PRICE_HIGH_PR(0,,,USD,,,""PRICE"",""INTRA"",""52W"")")</f>
        <v>0.83629759999999997</v>
      </c>
      <c r="K10" s="4">
        <f t="shared" si="3"/>
        <v>10</v>
      </c>
      <c r="L10" s="4">
        <f t="shared" si="4"/>
        <v>10</v>
      </c>
      <c r="M10" s="4">
        <f t="shared" si="4"/>
        <v>9</v>
      </c>
      <c r="N10" s="4"/>
      <c r="P10" s="3">
        <f t="shared" si="0"/>
        <v>9.57</v>
      </c>
      <c r="Q10">
        <f t="shared" si="1"/>
        <v>0</v>
      </c>
      <c r="S10" s="3">
        <f t="shared" si="5"/>
        <v>10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-0.40727854000000002</v>
      </c>
      <c r="F11" s="3" cm="1">
        <f t="array" ref="F11">_xll.FDS(C11,"FG_TOTAL_RETURNC(0,-3AM)")</f>
        <v>4.9459815000000003</v>
      </c>
      <c r="G11" s="3" cm="1">
        <f t="array" ref="G11">_xll.FDS(C11,"FG_TOTAL_RETURNC(0,-6AM)")</f>
        <v>14.065636</v>
      </c>
      <c r="H11" s="9" cm="1">
        <f t="array" ref="H11">_xll.FDS(C11,"P_PRICE(0)/P_PRICE_HIGH_PR(0,,,USD,,,""PRICE"",""INTRA"",""52W"")")</f>
        <v>0.97683679999999995</v>
      </c>
      <c r="K11" s="4">
        <f t="shared" si="3"/>
        <v>7</v>
      </c>
      <c r="L11" s="4">
        <f t="shared" si="4"/>
        <v>8</v>
      </c>
      <c r="M11" s="4">
        <f t="shared" si="4"/>
        <v>6</v>
      </c>
      <c r="P11" s="3">
        <f t="shared" si="0"/>
        <v>6.93</v>
      </c>
      <c r="Q11">
        <f t="shared" si="1"/>
        <v>0</v>
      </c>
      <c r="S11" s="3">
        <f t="shared" si="5"/>
        <v>8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0.56034326999999995</v>
      </c>
      <c r="F12" s="3" cm="1">
        <f t="array" ref="F12">_xll.FDS(C12,"FG_TOTAL_RETURNC(0,-3AM)")</f>
        <v>6.3677789999999996</v>
      </c>
      <c r="G12" s="3" cm="1">
        <f t="array" ref="G12">_xll.FDS(C12,"FG_TOTAL_RETURNC(0,-6AM)")</f>
        <v>17.940353000000002</v>
      </c>
      <c r="H12" s="9" cm="1">
        <f t="array" ref="H12">_xll.FDS(C12,"P_PRICE(0)/P_PRICE_HIGH_PR(0,,,USD,,,""PRICE"",""INTRA"",""52W"")")</f>
        <v>0.97120649999999997</v>
      </c>
      <c r="K12" s="4">
        <f t="shared" si="3"/>
        <v>8</v>
      </c>
      <c r="L12" s="4">
        <f t="shared" si="4"/>
        <v>6</v>
      </c>
      <c r="M12" s="4">
        <f t="shared" si="4"/>
        <v>5</v>
      </c>
      <c r="P12" s="3">
        <f t="shared" si="0"/>
        <v>6.2700000000000005</v>
      </c>
      <c r="Q12">
        <f t="shared" si="1"/>
        <v>0</v>
      </c>
      <c r="S12" s="3">
        <f t="shared" si="5"/>
        <v>7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K23" sqref="K23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71.399999999999991</v>
      </c>
      <c r="E6" s="120">
        <f>VLOOKUP(B6,'Quality - 2'!$B$2:$S$14,18,FALSE)</f>
        <v>78.5</v>
      </c>
      <c r="F6" s="153">
        <f>VLOOKUP(B6,Safety!$B$4:$R$16,17,FALSE)</f>
        <v>92.800000000000011</v>
      </c>
      <c r="G6" s="179">
        <f t="shared" ref="G6:G18" si="0">(D6*$D$2 +E6*$E$2 +F6*$F$2)/($D$2+$E$2+$F$2)</f>
        <v>80.900000000000006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92.800000000000011</v>
      </c>
      <c r="J6" s="120">
        <f ca="1">VLOOKUP(B6,'Momnetum ranking'!$A$3:$AJ$15,36,FALSE)</f>
        <v>14.2</v>
      </c>
      <c r="K6" s="163">
        <f>VLOOKUP(B6,'Momnetum ranking'!$A$3:$H$15,8,FALSE)</f>
        <v>0.5</v>
      </c>
      <c r="L6" s="120">
        <f>VLOOKUP(B6,'Currency- 2'!$A$3:$U$15,21,FALSE)</f>
        <v>28.499999999999996</v>
      </c>
      <c r="M6" s="162">
        <f t="shared" ref="M6:M18" ca="1" si="1">D6*$D$2 + E6*$E$2 + F6*$F$2 + I6*$I$2 + J6*$J$2 + L6*$L$2</f>
        <v>51.357573000000002</v>
      </c>
      <c r="N6" s="120" cm="1">
        <f t="array" aca="1" ref="N6" ca="1">_xlfn.PERCENTRANK.EXC(_xlfn._xlws.FILTER($M$6:M$18, ISNUMBER($M$6:M$18)),M6)*100</f>
        <v>71.399999999999991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50</v>
      </c>
      <c r="E7" s="121">
        <f>VLOOKUP(B7,'Quality - 2'!$B$2:$S$14,18,FALSE)</f>
        <v>57.099999999999994</v>
      </c>
      <c r="F7" s="159">
        <f>VLOOKUP(B7,Safety!$B$4:$R$16,17,FALSE)</f>
        <v>28.499999999999996</v>
      </c>
      <c r="G7" s="180">
        <f t="shared" si="0"/>
        <v>45.199999999999996</v>
      </c>
      <c r="H7" s="125" cm="1">
        <f t="array" ref="H7">_xlfn.PERCENTRANK.EXC(_xlfn._xlws.FILTER($G$6:G$18, ISNUMBER($G$6:G$18)),G7)*100</f>
        <v>50</v>
      </c>
      <c r="I7" s="159">
        <f>VLOOKUP(B7,'LIQIDITY 2'!$A$3:$X$15,24,FALSE)</f>
        <v>7.1</v>
      </c>
      <c r="J7" s="121">
        <f ca="1">VLOOKUP(B7,'Momnetum ranking'!$A$3:$AJ$15,36,FALSE)</f>
        <v>71.399999999999991</v>
      </c>
      <c r="K7" s="161">
        <f>VLOOKUP(B7,'Momnetum ranking'!$A$3:$H$15,8,FALSE)</f>
        <v>0.44292237442922372</v>
      </c>
      <c r="L7" s="121">
        <f>VLOOKUP(B7,'Currency- 2'!$A$3:$U$15,21,FALSE)</f>
        <v>14.2</v>
      </c>
      <c r="M7" s="160">
        <f t="shared" ca="1" si="1"/>
        <v>44.958644</v>
      </c>
      <c r="N7" s="121" cm="1">
        <f t="array" aca="1" ref="N7" ca="1">_xlfn.PERCENTRANK.EXC(_xlfn._xlws.FILTER($M$6:M$18, ISNUMBER($M$6:M$18)),M7)*100</f>
        <v>57.099999999999994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85.7</v>
      </c>
      <c r="F8" s="159">
        <f>VLOOKUP(B8,Safety!$B$4:$R$16,17,FALSE)</f>
        <v>50</v>
      </c>
      <c r="G8" s="180">
        <f t="shared" si="0"/>
        <v>49.966666666666669</v>
      </c>
      <c r="H8" s="125" cm="1">
        <f t="array" ref="H8">_xlfn.PERCENTRANK.EXC(_xlfn._xlws.FILTER($G$6:G$18, ISNUMBER($G$6:G$18)),G8)*100</f>
        <v>64.2</v>
      </c>
      <c r="I8" s="159">
        <f>VLOOKUP(B8,'LIQIDITY 2'!$A$3:$X$15,24,FALSE)</f>
        <v>7.1</v>
      </c>
      <c r="J8" s="121">
        <f ca="1">VLOOKUP(B8,'Momnetum ranking'!$A$3:$AJ$15,36,FALSE)</f>
        <v>92.800000000000011</v>
      </c>
      <c r="K8" s="161">
        <f>VLOOKUP(B8,'Momnetum ranking'!$A$3:$H$15,8,FALSE)</f>
        <v>0.3235294117647059</v>
      </c>
      <c r="L8" s="121">
        <f>VLOOKUP(B8,'Currency- 2'!$A$3:$U$15,21,FALSE)</f>
        <v>78.5</v>
      </c>
      <c r="M8" s="160">
        <f t="shared" ca="1" si="1"/>
        <v>61.378501000000007</v>
      </c>
      <c r="N8" s="121" cm="1">
        <f t="array" aca="1" ref="N8" ca="1">_xlfn.PERCENTRANK.EXC(_xlfn._xlws.FILTER($M$6:M$18, ISNUMBER($M$6:M$18)),M8)*100</f>
        <v>92.800000000000011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92.800000000000011</v>
      </c>
      <c r="F9" s="159">
        <f>VLOOKUP(B9,Safety!$B$4:$R$16,17,FALSE)</f>
        <v>42.8</v>
      </c>
      <c r="G9" s="180">
        <f t="shared" si="0"/>
        <v>54.70000000000001</v>
      </c>
      <c r="H9" s="125" cm="1">
        <f t="array" ref="H9">_xlfn.PERCENTRANK.EXC(_xlfn._xlws.FILTER($G$6:G$18, ISNUMBER($G$6:G$18)),G9)*100</f>
        <v>71.399999999999991</v>
      </c>
      <c r="I9" s="159">
        <f>VLOOKUP(B9,'LIQIDITY 2'!$A$3:$X$15,24,FALSE)</f>
        <v>7.1</v>
      </c>
      <c r="J9" s="121">
        <f ca="1">VLOOKUP(B9,'Momnetum ranking'!$A$3:$AJ$15,36,FALSE)</f>
        <v>78.5</v>
      </c>
      <c r="K9" s="161">
        <f>VLOOKUP(B9,'Momnetum ranking'!$A$3:$H$15,8,FALSE)</f>
        <v>0.3611111111111111</v>
      </c>
      <c r="L9" s="121">
        <f>VLOOKUP(B9,'Currency- 2'!$A$3:$U$15,21,FALSE)</f>
        <v>78.5</v>
      </c>
      <c r="M9" s="160">
        <f t="shared" ca="1" si="1"/>
        <v>57.078358999999999</v>
      </c>
      <c r="N9" s="121" cm="1">
        <f t="array" aca="1" ref="N9" ca="1">_xlfn.PERCENTRANK.EXC(_xlfn._xlws.FILTER($M$6:M$18, ISNUMBER($M$6:M$18)),M9)*100</f>
        <v>85.7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78.5</v>
      </c>
      <c r="E10" s="121">
        <f>VLOOKUP(B10,'Quality - 2'!$B$2:$S$14,18,FALSE)</f>
        <v>28.499999999999996</v>
      </c>
      <c r="F10" s="159">
        <f>VLOOKUP(B10,Safety!$B$4:$R$16,17,FALSE)</f>
        <v>14.2</v>
      </c>
      <c r="G10" s="180">
        <f t="shared" si="0"/>
        <v>40.4</v>
      </c>
      <c r="H10" s="125" cm="1">
        <f t="array" ref="H10">_xlfn.PERCENTRANK.EXC(_xlfn._xlws.FILTER($G$6:G$18, ISNUMBER($G$6:G$18)),G10)*100</f>
        <v>35.699999999999996</v>
      </c>
      <c r="I10" s="159">
        <f>VLOOKUP(B10,'LIQIDITY 2'!$A$3:$X$15,24,FALSE)</f>
        <v>7.1</v>
      </c>
      <c r="J10" s="121">
        <f ca="1">VLOOKUP(B10,'Momnetum ranking'!$A$3:$AJ$15,36,FALSE)</f>
        <v>57.099999999999994</v>
      </c>
      <c r="K10" s="161">
        <f>VLOOKUP(B10,'Momnetum ranking'!$A$3:$H$15,8,FALSE)</f>
        <v>0.45614035087719296</v>
      </c>
      <c r="L10" s="121">
        <f>VLOOKUP(B10,'Currency- 2'!$A$3:$U$15,21,FALSE)</f>
        <v>71.399999999999991</v>
      </c>
      <c r="M10" s="160">
        <f t="shared" ca="1" si="1"/>
        <v>43.518788000000001</v>
      </c>
      <c r="N10" s="121" cm="1">
        <f t="array" aca="1" ref="N10" ca="1">_xlfn.PERCENTRANK.EXC(_xlfn._xlws.FILTER($M$6:M$18, ISNUMBER($M$6:M$18)),M10)*100</f>
        <v>42.8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64.2</v>
      </c>
      <c r="F11" s="159">
        <f>VLOOKUP(B11,Safety!$B$4:$R$16,17,FALSE)</f>
        <v>71.399999999999991</v>
      </c>
      <c r="G11" s="180">
        <f t="shared" si="0"/>
        <v>73.766666666666666</v>
      </c>
      <c r="H11" s="125" cm="1">
        <f t="array" ref="H11">_xlfn.PERCENTRANK.EXC(_xlfn._xlws.FILTER($G$6:G$18, ISNUMBER($G$6:G$18)),G11)*100</f>
        <v>78.5</v>
      </c>
      <c r="I11" s="159">
        <f>VLOOKUP(B11,'LIQIDITY 2'!$A$3:$X$15,24,FALSE)</f>
        <v>7.1</v>
      </c>
      <c r="J11" s="121">
        <f ca="1">VLOOKUP(B11,'Momnetum ranking'!$A$3:$AJ$15,36,FALSE)</f>
        <v>50</v>
      </c>
      <c r="K11" s="161">
        <f>VLOOKUP(B11,'Momnetum ranking'!$A$3:$H$15,8,FALSE)</f>
        <v>0.38823529411764707</v>
      </c>
      <c r="L11" s="121">
        <f>VLOOKUP(B11,'Currency- 2'!$A$3:$U$15,21,FALSE)</f>
        <v>57.099999999999994</v>
      </c>
      <c r="M11" s="160">
        <f t="shared" ca="1" si="1"/>
        <v>49.257787</v>
      </c>
      <c r="N11" s="121" cm="1">
        <f t="array" aca="1" ref="N11" ca="1">_xlfn.PERCENTRANK.EXC(_xlfn._xlws.FILTER($M$6:M$18, ISNUMBER($M$6:M$18)),M11)*100</f>
        <v>64.2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42.8</v>
      </c>
      <c r="F12" s="159">
        <f>VLOOKUP(B12,Safety!$B$4:$R$16,17,FALSE)</f>
        <v>57.099999999999994</v>
      </c>
      <c r="G12" s="180">
        <f t="shared" si="0"/>
        <v>47.56666666666667</v>
      </c>
      <c r="H12" s="125" cm="1">
        <f t="array" ref="H12">_xlfn.PERCENTRANK.EXC(_xlfn._xlws.FILTER($G$6:G$18, ISNUMBER($G$6:G$18)),G12)*100</f>
        <v>57.099999999999994</v>
      </c>
      <c r="I12" s="159">
        <f>VLOOKUP(B12,'LIQIDITY 2'!$A$3:$X$15,24,FALSE)</f>
        <v>7.1</v>
      </c>
      <c r="J12" s="121">
        <f ca="1">VLOOKUP(B12,'Momnetum ranking'!$A$3:$AJ$15,36,FALSE)</f>
        <v>42.8</v>
      </c>
      <c r="K12" s="161">
        <f>VLOOKUP(B12,'Momnetum ranking'!$A$3:$H$15,8,FALSE)</f>
        <v>0.30681818181818182</v>
      </c>
      <c r="L12" s="121">
        <f>VLOOKUP(B12,'Currency- 2'!$A$3:$U$15,21,FALSE)</f>
        <v>50</v>
      </c>
      <c r="M12" s="160">
        <f t="shared" ca="1" si="1"/>
        <v>37.808573000000003</v>
      </c>
      <c r="N12" s="121" cm="1">
        <f t="array" aca="1" ref="N12" ca="1">_xlfn.PERCENTRANK.EXC(_xlfn._xlws.FILTER($M$6:M$18, ISNUMBER($M$6:M$18)),M12)*100</f>
        <v>35.699999999999996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21.4</v>
      </c>
      <c r="F13" s="159">
        <f>VLOOKUP(B13,Safety!$B$4:$R$16,17,FALSE)</f>
        <v>64.2</v>
      </c>
      <c r="G13" s="180">
        <f t="shared" si="0"/>
        <v>35.666666666666671</v>
      </c>
      <c r="H13" s="125" cm="1">
        <f t="array" ref="H13">_xlfn.PERCENTRANK.EXC(_xlfn._xlws.FILTER($G$6:G$18, ISNUMBER($G$6:G$18)),G13)*100</f>
        <v>21.4</v>
      </c>
      <c r="I13" s="159">
        <f>VLOOKUP(B13,'LIQIDITY 2'!$A$3:$X$15,24,FALSE)</f>
        <v>7.1</v>
      </c>
      <c r="J13" s="121">
        <f ca="1">VLOOKUP(B13,'Momnetum ranking'!$A$3:$AJ$15,36,FALSE)</f>
        <v>28.499999999999996</v>
      </c>
      <c r="K13" s="161">
        <f>VLOOKUP(B13,'Momnetum ranking'!$A$3:$H$15,8,FALSE)</f>
        <v>0.3559322033898305</v>
      </c>
      <c r="L13" s="121">
        <f>VLOOKUP(B13,'Currency- 2'!$A$3:$U$15,21,FALSE)</f>
        <v>42.8</v>
      </c>
      <c r="M13" s="160">
        <f t="shared" ca="1" si="1"/>
        <v>27.798929999999999</v>
      </c>
      <c r="N13" s="121" cm="1">
        <f t="array" aca="1" ref="N13" ca="1">_xlfn.PERCENTRANK.EXC(_xlfn._xlws.FILTER($M$6:M$18, ISNUMBER($M$6:M$18)),M13)*100</f>
        <v>14.2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14.2</v>
      </c>
      <c r="F14" s="159">
        <f>VLOOKUP(B14,Safety!$B$4:$R$16,17,FALSE)</f>
        <v>78.5</v>
      </c>
      <c r="G14" s="180">
        <f t="shared" si="0"/>
        <v>33.266666666666673</v>
      </c>
      <c r="H14" s="125" cm="1">
        <f t="array" ref="H14">_xlfn.PERCENTRANK.EXC(_xlfn._xlws.FILTER($G$6:G$18, ISNUMBER($G$6:G$18)),G14)*100</f>
        <v>7.1</v>
      </c>
      <c r="I14" s="159">
        <f>VLOOKUP(B14,'LIQIDITY 2'!$A$3:$X$15,24,FALSE)</f>
        <v>7.1</v>
      </c>
      <c r="J14" s="121">
        <f ca="1">VLOOKUP(B14,'Momnetum ranking'!$A$3:$AJ$15,36,FALSE)</f>
        <v>7.1</v>
      </c>
      <c r="K14" s="161">
        <f>VLOOKUP(B14,'Momnetum ranking'!$A$3:$H$15,8,FALSE)</f>
        <v>0.21428571428571427</v>
      </c>
      <c r="L14" s="121">
        <f>VLOOKUP(B14,'Currency- 2'!$A$3:$U$15,21,FALSE)</f>
        <v>7.1</v>
      </c>
      <c r="M14" s="160">
        <f t="shared" ca="1" si="1"/>
        <v>14.949002</v>
      </c>
      <c r="N14" s="121" cm="1">
        <f t="array" aca="1" ref="N14" ca="1">_xlfn.PERCENTRANK.EXC(_xlfn._xlws.FILTER($M$6:M$18, ISNUMBER($M$6:M$18)),M14)*100</f>
        <v>7.1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64.2</v>
      </c>
      <c r="E15" s="121">
        <f>VLOOKUP(B15,'Quality - 2'!$B$2:$S$14,18,FALSE)</f>
        <v>71.399999999999991</v>
      </c>
      <c r="F15" s="159">
        <f>VLOOKUP(B15,Safety!$B$4:$R$16,17,FALSE)</f>
        <v>85.7</v>
      </c>
      <c r="G15" s="180">
        <f t="shared" si="0"/>
        <v>73.766666666666666</v>
      </c>
      <c r="H15" s="125" cm="1">
        <f t="array" ref="H15">_xlfn.PERCENTRANK.EXC(_xlfn._xlws.FILTER($G$6:G$18, ISNUMBER($G$6:G$18)),G15)*100</f>
        <v>78.5</v>
      </c>
      <c r="I15" s="159">
        <f>VLOOKUP(B15,'LIQIDITY 2'!$A$3:$X$15,24,FALSE)</f>
        <v>7.1</v>
      </c>
      <c r="J15" s="121">
        <f ca="1">VLOOKUP(B15,'Momnetum ranking'!$A$3:$AJ$15,36,FALSE)</f>
        <v>21.4</v>
      </c>
      <c r="K15" s="161">
        <f>VLOOKUP(B15,'Momnetum ranking'!$A$3:$H$15,8,FALSE)</f>
        <v>0.23809523809523808</v>
      </c>
      <c r="L15" s="121">
        <f>VLOOKUP(B15,'Currency- 2'!$A$3:$U$15,21,FALSE)</f>
        <v>21.4</v>
      </c>
      <c r="M15" s="160">
        <f t="shared" ca="1" si="1"/>
        <v>34.247787000000002</v>
      </c>
      <c r="N15" s="121" cm="1">
        <f t="array" aca="1" ref="N15" ca="1">_xlfn.PERCENTRANK.EXC(_xlfn._xlws.FILTER($M$6:M$18, ISNUMBER($M$6:M$18)),M15)*100</f>
        <v>28.499999999999996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28.499999999999996</v>
      </c>
      <c r="F16" s="159">
        <f>VLOOKUP(B16,Safety!$B$4:$R$16,17,FALSE)</f>
        <v>35.699999999999996</v>
      </c>
      <c r="G16" s="180">
        <f t="shared" si="0"/>
        <v>33.299999999999997</v>
      </c>
      <c r="H16" s="125" cm="1">
        <f t="array" ref="H16">_xlfn.PERCENTRANK.EXC(_xlfn._xlws.FILTER($G$6:G$18, ISNUMBER($G$6:G$18)),G16)*100</f>
        <v>14.2</v>
      </c>
      <c r="I16" s="159">
        <f>VLOOKUP(B16,'LIQIDITY 2'!$A$3:$X$15,24,FALSE)</f>
        <v>7.1</v>
      </c>
      <c r="J16" s="121">
        <f ca="1">VLOOKUP(B16,'Momnetum ranking'!$A$3:$AJ$15,36,FALSE)</f>
        <v>85.7</v>
      </c>
      <c r="K16" s="161">
        <f>VLOOKUP(B16,'Momnetum ranking'!$A$3:$H$15,8,FALSE)</f>
        <v>0.31481481481481483</v>
      </c>
      <c r="L16" s="121">
        <f>VLOOKUP(B16,'Currency- 2'!$A$3:$U$15,21,FALSE)</f>
        <v>92.800000000000011</v>
      </c>
      <c r="M16" s="160">
        <f t="shared" ca="1" si="1"/>
        <v>54.969000999999999</v>
      </c>
      <c r="N16" s="121" cm="1">
        <f t="array" aca="1" ref="N16" ca="1">_xlfn.PERCENTRANK.EXC(_xlfn._xlws.FILTER($M$6:M$18, ISNUMBER($M$6:M$18)),M16)*100</f>
        <v>78.5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57.099999999999994</v>
      </c>
      <c r="E17" s="121">
        <f>VLOOKUP(B17,'Quality - 2'!$B$2:$S$14,18,FALSE)</f>
        <v>50</v>
      </c>
      <c r="F17" s="159">
        <f>VLOOKUP(B17,Safety!$B$4:$R$16,17,FALSE)</f>
        <v>21.4</v>
      </c>
      <c r="G17" s="180">
        <f t="shared" si="0"/>
        <v>42.833333333333336</v>
      </c>
      <c r="H17" s="125" cm="1">
        <f t="array" ref="H17">_xlfn.PERCENTRANK.EXC(_xlfn._xlws.FILTER($G$6:G$18, ISNUMBER($G$6:G$18)),G17)*100</f>
        <v>42.8</v>
      </c>
      <c r="I17" s="159">
        <f>VLOOKUP(B17,'LIQIDITY 2'!$A$3:$X$15,24,FALSE)</f>
        <v>7.1</v>
      </c>
      <c r="J17" s="121">
        <f ca="1">VLOOKUP(B17,'Momnetum ranking'!$A$3:$AJ$15,36,FALSE)</f>
        <v>35.699999999999996</v>
      </c>
      <c r="K17" s="161">
        <f>VLOOKUP(B17,'Momnetum ranking'!$A$3:$H$15,8,FALSE)</f>
        <v>0.36363636363636365</v>
      </c>
      <c r="L17" s="121">
        <f>VLOOKUP(B17,'Currency- 2'!$A$3:$U$15,21,FALSE)</f>
        <v>35.699999999999996</v>
      </c>
      <c r="M17" s="160">
        <f t="shared" ca="1" si="1"/>
        <v>32.118714999999995</v>
      </c>
      <c r="N17" s="121" cm="1">
        <f t="array" aca="1" ref="N17" ca="1">_xlfn.PERCENTRANK.EXC(_xlfn._xlws.FILTER($M$6:M$18, ISNUMBER($M$6:M$18)),M17)*100</f>
        <v>21.4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7.1</v>
      </c>
      <c r="F18" s="154">
        <f>VLOOKUP(B18,Safety!$B$4:$R$16,17,FALSE)</f>
        <v>7.1</v>
      </c>
      <c r="G18" s="181">
        <f t="shared" si="0"/>
        <v>35.666666666666679</v>
      </c>
      <c r="H18" s="126" cm="1">
        <f t="array" ref="H18">_xlfn.PERCENTRANK.EXC(_xlfn._xlws.FILTER($G$6:G$18, ISNUMBER($G$6:G$18)),G18)*100</f>
        <v>28.499999999999996</v>
      </c>
      <c r="I18" s="154">
        <f>VLOOKUP(B18,'LIQIDITY 2'!$A$3:$X$15,24,FALSE)</f>
        <v>7.1</v>
      </c>
      <c r="J18" s="122">
        <f ca="1">VLOOKUP(B18,'Momnetum ranking'!$A$3:$AJ$15,36,FALSE)</f>
        <v>64.2</v>
      </c>
      <c r="K18" s="165">
        <f>VLOOKUP(B18,'Momnetum ranking'!$A$3:$H$15,8,FALSE)</f>
        <v>0.46153846153846156</v>
      </c>
      <c r="L18" s="122">
        <f>VLOOKUP(B18,'Currency- 2'!$A$3:$U$15,21,FALSE)</f>
        <v>64.2</v>
      </c>
      <c r="M18" s="164">
        <f t="shared" ca="1" si="1"/>
        <v>44.218930000000007</v>
      </c>
      <c r="N18" s="122" cm="1">
        <f t="array" aca="1" ref="N18" ca="1">_xlfn.PERCENTRANK.EXC(_xlfn._xlws.FILTER($M$6:M$18, ISNUMBER($M$6:M$18)),M18)*100</f>
        <v>50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6</v>
      </c>
      <c r="S3" s="148">
        <f ca="1">COUNTIF(S9:S17,"&gt;0")</f>
        <v>6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0.17179004380266655</v>
      </c>
      <c r="F9">
        <f ca="1">VLOOKUP(B9,OUTPUT_COUNTRY!$B$6:$N$18, 9, FALSE)</f>
        <v>7.1</v>
      </c>
      <c r="G9" s="47">
        <f>IFERROR(VLOOKUP(B9,OUTPUT_COUNTRY!$B$6:$N$18, 7, FALSE),0)</f>
        <v>7.1</v>
      </c>
      <c r="H9">
        <f>VLOOKUP(B9,OUTPUT_COUNTRY!$B$6:$N$18, 8, FALSE)</f>
        <v>7.1</v>
      </c>
      <c r="I9">
        <f>VLOOKUP(B9,OUTPUT_COUNTRY!$B$6:$N$18, 11, FALSE)</f>
        <v>7.1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>
        <f>N9/$N$22</f>
        <v>0</v>
      </c>
      <c r="P9">
        <f t="shared" ref="P9:P21" si="3">IF(I9&gt;=$F$5,1/E9,0)</f>
        <v>0</v>
      </c>
      <c r="Q9" s="136">
        <f>P9/$P$22</f>
        <v>0</v>
      </c>
      <c r="R9" s="156" t="str">
        <f t="shared" ref="R9:R21" ca="1" si="4">IF($D$2*K9+$D$4*M9+$F$2*O9+$F$4*Q9 = 0,"",$D$2*K9+$D$4*M9+$F$2*O9+$F$4*Q9)</f>
        <v/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0.1836324880053567</v>
      </c>
      <c r="F10">
        <f ca="1">VLOOKUP(B10,OUTPUT_COUNTRY!$B$6:$N$18, 9, FALSE)</f>
        <v>28.499999999999996</v>
      </c>
      <c r="G10" s="47">
        <f>IFERROR(VLOOKUP(B10,OUTPUT_COUNTRY!$B$6:$N$18, 7, FALSE),0)</f>
        <v>21.4</v>
      </c>
      <c r="H10">
        <f>VLOOKUP(B10,OUTPUT_COUNTRY!$B$6:$N$18, 8, FALSE)</f>
        <v>7.1</v>
      </c>
      <c r="I10">
        <f>VLOOKUP(B10,OUTPUT_COUNTRY!$B$6:$N$18, 11, FALSE)</f>
        <v>42.8</v>
      </c>
      <c r="J10" s="47">
        <f t="shared" ca="1" si="0"/>
        <v>0</v>
      </c>
      <c r="K10" s="136">
        <f t="shared" ref="K10:K21" ca="1" si="6">J10/$J$22</f>
        <v>0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0</v>
      </c>
      <c r="Q10" s="136">
        <f t="shared" ref="Q10:Q21" si="9">P10/$P$22</f>
        <v>0</v>
      </c>
      <c r="R10" s="156" t="str">
        <f t="shared" ca="1" si="4"/>
        <v/>
      </c>
      <c r="S10" s="156" t="str">
        <f t="shared" ca="1" si="5"/>
        <v/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0.16999473331231546</v>
      </c>
      <c r="F11">
        <f ca="1">VLOOKUP(B11,OUTPUT_COUNTRY!$B$6:$N$18, 9, FALSE)</f>
        <v>42.8</v>
      </c>
      <c r="G11" s="47">
        <f>IFERROR(VLOOKUP(B11,OUTPUT_COUNTRY!$B$6:$N$18, 7, FALSE),0)</f>
        <v>57.099999999999994</v>
      </c>
      <c r="H11">
        <f>VLOOKUP(B11,OUTPUT_COUNTRY!$B$6:$N$18, 8, FALSE)</f>
        <v>7.1</v>
      </c>
      <c r="I11">
        <f>VLOOKUP(B11,OUTPUT_COUNTRY!$B$6:$N$18, 11, FALSE)</f>
        <v>50</v>
      </c>
      <c r="J11" s="47">
        <f t="shared" ca="1" si="0"/>
        <v>0</v>
      </c>
      <c r="K11" s="136">
        <f t="shared" ca="1" si="6"/>
        <v>0</v>
      </c>
      <c r="L11">
        <f t="shared" si="1"/>
        <v>0</v>
      </c>
      <c r="M11" s="136">
        <f t="shared" si="7"/>
        <v>0</v>
      </c>
      <c r="N11">
        <f t="shared" si="2"/>
        <v>0</v>
      </c>
      <c r="O11" s="136">
        <f t="shared" si="8"/>
        <v>0</v>
      </c>
      <c r="P11">
        <f t="shared" si="3"/>
        <v>0</v>
      </c>
      <c r="Q11" s="136">
        <f t="shared" si="9"/>
        <v>0</v>
      </c>
      <c r="R11" s="156" t="str">
        <f t="shared" ca="1" si="4"/>
        <v/>
      </c>
      <c r="S11" s="156" t="str">
        <f t="shared" ca="1" si="5"/>
        <v/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0.20391012714463372</v>
      </c>
      <c r="F12">
        <f ca="1">VLOOKUP(B12,OUTPUT_COUNTRY!$B$6:$N$18, 9, FALSE)</f>
        <v>57.099999999999994</v>
      </c>
      <c r="G12" s="47">
        <f>IFERROR(VLOOKUP(B12,OUTPUT_COUNTRY!$B$6:$N$18, 7, FALSE),0)</f>
        <v>35.699999999999996</v>
      </c>
      <c r="H12">
        <f>VLOOKUP(B12,OUTPUT_COUNTRY!$B$6:$N$18, 8, FALSE)</f>
        <v>7.1</v>
      </c>
      <c r="I12">
        <f>VLOOKUP(B12,OUTPUT_COUNTRY!$B$6:$N$18, 11, FALSE)</f>
        <v>71.399999999999991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0</v>
      </c>
      <c r="O12" s="136">
        <f t="shared" si="8"/>
        <v>0</v>
      </c>
      <c r="P12">
        <f t="shared" si="3"/>
        <v>4.9041213107120409</v>
      </c>
      <c r="Q12" s="136">
        <f t="shared" si="9"/>
        <v>0.19048237550092406</v>
      </c>
      <c r="R12" s="156">
        <f t="shared" ca="1" si="4"/>
        <v>1.9048237550092408E-2</v>
      </c>
      <c r="S12" s="156">
        <f t="shared" ca="1" si="5"/>
        <v>2.3850820788827456E-2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0.14197779520609255</v>
      </c>
      <c r="F13">
        <f ca="1">VLOOKUP(B13,OUTPUT_COUNTRY!$B$6:$N$18, 9, FALSE)</f>
        <v>71.399999999999991</v>
      </c>
      <c r="G13" s="47">
        <f>IFERROR(VLOOKUP(B13,OUTPUT_COUNTRY!$B$6:$N$18, 7, FALSE),0)</f>
        <v>50</v>
      </c>
      <c r="H13">
        <f>VLOOKUP(B13,OUTPUT_COUNTRY!$B$6:$N$18, 8, FALSE)</f>
        <v>7.1</v>
      </c>
      <c r="I13">
        <f>VLOOKUP(B13,OUTPUT_COUNTRY!$B$6:$N$18, 11, FALSE)</f>
        <v>14.2</v>
      </c>
      <c r="J13" s="47">
        <f t="shared" ca="1" si="0"/>
        <v>7.0433549031270495</v>
      </c>
      <c r="K13" s="136">
        <f t="shared" ca="1" si="6"/>
        <v>0.30054429267246485</v>
      </c>
      <c r="L13">
        <f t="shared" si="1"/>
        <v>0</v>
      </c>
      <c r="M13" s="136">
        <f t="shared" si="7"/>
        <v>0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>
        <f t="shared" ca="1" si="4"/>
        <v>0.15027214633623243</v>
      </c>
      <c r="S13" s="156">
        <f t="shared" ca="1" si="5"/>
        <v>0.18815987685960725</v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0.16376429640823162</v>
      </c>
      <c r="F14">
        <f ca="1">VLOOKUP(B14,OUTPUT_COUNTRY!$B$6:$N$18, 9, FALSE)</f>
        <v>14.2</v>
      </c>
      <c r="G14" s="47">
        <f>IFERROR(VLOOKUP(B14,OUTPUT_COUNTRY!$B$6:$N$18, 7, FALSE),0)</f>
        <v>92.800000000000011</v>
      </c>
      <c r="H14">
        <f>VLOOKUP(B14,OUTPUT_COUNTRY!$B$6:$N$18, 8, FALSE)</f>
        <v>92.800000000000011</v>
      </c>
      <c r="I14">
        <f>VLOOKUP(B14,OUTPUT_COUNTRY!$B$6:$N$18, 11, FALSE)</f>
        <v>28.499999999999996</v>
      </c>
      <c r="J14" s="47">
        <f t="shared" ca="1" si="0"/>
        <v>0</v>
      </c>
      <c r="K14" s="136">
        <f t="shared" ca="1" si="6"/>
        <v>0</v>
      </c>
      <c r="L14">
        <f t="shared" si="1"/>
        <v>6.1063371072483354</v>
      </c>
      <c r="M14" s="136">
        <f t="shared" si="7"/>
        <v>0.25533099114800073</v>
      </c>
      <c r="N14">
        <f t="shared" si="2"/>
        <v>6.1063371072483354</v>
      </c>
      <c r="O14" s="136">
        <f t="shared" si="8"/>
        <v>1</v>
      </c>
      <c r="P14">
        <f t="shared" si="3"/>
        <v>0</v>
      </c>
      <c r="Q14" s="136">
        <f t="shared" si="9"/>
        <v>0</v>
      </c>
      <c r="R14" s="156">
        <f t="shared" ca="1" si="4"/>
        <v>0.17659929734440022</v>
      </c>
      <c r="S14" s="156">
        <f t="shared" ca="1" si="5"/>
        <v>0.22112482487250945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0.1678416368329694</v>
      </c>
      <c r="F15">
        <f ca="1">VLOOKUP(B15,OUTPUT_COUNTRY!$B$6:$N$18, 9, FALSE)</f>
        <v>50</v>
      </c>
      <c r="G15" s="47">
        <f>IFERROR(VLOOKUP(B15,OUTPUT_COUNTRY!$B$6:$N$18, 7, FALSE),0)</f>
        <v>78.5</v>
      </c>
      <c r="H15">
        <f>VLOOKUP(B15,OUTPUT_COUNTRY!$B$6:$N$18, 8, FALSE)</f>
        <v>7.1</v>
      </c>
      <c r="I15">
        <f>VLOOKUP(B15,OUTPUT_COUNTRY!$B$6:$N$18, 11, FALSE)</f>
        <v>57.099999999999994</v>
      </c>
      <c r="J15" s="47">
        <f t="shared" ca="1" si="0"/>
        <v>0</v>
      </c>
      <c r="K15" s="136">
        <f t="shared" ca="1" si="6"/>
        <v>0</v>
      </c>
      <c r="L15">
        <f t="shared" si="1"/>
        <v>5.9579971863308732</v>
      </c>
      <c r="M15" s="136">
        <f t="shared" si="7"/>
        <v>0.2491282908434741</v>
      </c>
      <c r="N15">
        <f t="shared" si="2"/>
        <v>0</v>
      </c>
      <c r="O15" s="136">
        <f t="shared" si="8"/>
        <v>0</v>
      </c>
      <c r="P15">
        <f t="shared" si="3"/>
        <v>0</v>
      </c>
      <c r="Q15" s="136">
        <f t="shared" si="9"/>
        <v>0</v>
      </c>
      <c r="R15" s="156">
        <f t="shared" ca="1" si="4"/>
        <v>7.4738487253042232E-2</v>
      </c>
      <c r="S15" s="156">
        <f t="shared" ca="1" si="5"/>
        <v>9.3582110198522167E-2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0.19510518640805749</v>
      </c>
      <c r="F16">
        <f ca="1">VLOOKUP(B16,OUTPUT_COUNTRY!$B$6:$N$18, 9, FALSE)</f>
        <v>92.800000000000011</v>
      </c>
      <c r="G16" s="47">
        <f>IFERROR(VLOOKUP(B16,OUTPUT_COUNTRY!$B$6:$N$18, 7, FALSE),0)</f>
        <v>64.2</v>
      </c>
      <c r="H16">
        <f>VLOOKUP(B16,OUTPUT_COUNTRY!$B$6:$N$18, 8, FALSE)</f>
        <v>7.1</v>
      </c>
      <c r="I16">
        <f>VLOOKUP(B16,OUTPUT_COUNTRY!$B$6:$N$18, 11, FALSE)</f>
        <v>78.5</v>
      </c>
      <c r="J16" s="47">
        <f t="shared" ca="1" si="0"/>
        <v>5.1254403760878278</v>
      </c>
      <c r="K16" s="136">
        <f t="shared" ca="1" si="6"/>
        <v>0.21870569830043704</v>
      </c>
      <c r="L16">
        <f t="shared" si="1"/>
        <v>0</v>
      </c>
      <c r="M16" s="136">
        <f t="shared" si="7"/>
        <v>0</v>
      </c>
      <c r="N16">
        <f t="shared" si="2"/>
        <v>0</v>
      </c>
      <c r="O16" s="136">
        <f t="shared" si="8"/>
        <v>0</v>
      </c>
      <c r="P16">
        <f t="shared" si="3"/>
        <v>5.1254403760878278</v>
      </c>
      <c r="Q16" s="136">
        <f t="shared" si="9"/>
        <v>0.19907869248524093</v>
      </c>
      <c r="R16" s="156">
        <f t="shared" ca="1" si="4"/>
        <v>0.12926071839874262</v>
      </c>
      <c r="S16" s="156">
        <f t="shared" ca="1" si="5"/>
        <v>0.16185089153030568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0.15183090534579419</v>
      </c>
      <c r="F17">
        <f ca="1">VLOOKUP(B17,OUTPUT_COUNTRY!$B$6:$N$18, 9, FALSE)</f>
        <v>78.5</v>
      </c>
      <c r="G17" s="47">
        <f>IFERROR(VLOOKUP(B17,OUTPUT_COUNTRY!$B$6:$N$18, 7, FALSE),0)</f>
        <v>71.399999999999991</v>
      </c>
      <c r="H17">
        <f>VLOOKUP(B17,OUTPUT_COUNTRY!$B$6:$N$18, 8, FALSE)</f>
        <v>7.1</v>
      </c>
      <c r="I17">
        <f>VLOOKUP(B17,OUTPUT_COUNTRY!$B$6:$N$18, 11, FALSE)</f>
        <v>78.5</v>
      </c>
      <c r="J17" s="47">
        <f t="shared" ca="1" si="0"/>
        <v>6.5862743670170749</v>
      </c>
      <c r="K17" s="136">
        <f t="shared" ca="1" si="6"/>
        <v>0.28104038461885622</v>
      </c>
      <c r="L17">
        <f t="shared" si="1"/>
        <v>6.5862743670170749</v>
      </c>
      <c r="M17" s="136">
        <f t="shared" si="7"/>
        <v>0.27539913577764247</v>
      </c>
      <c r="N17">
        <f t="shared" si="2"/>
        <v>0</v>
      </c>
      <c r="O17" s="136">
        <f t="shared" si="8"/>
        <v>0</v>
      </c>
      <c r="P17">
        <f t="shared" si="3"/>
        <v>6.5862743670170749</v>
      </c>
      <c r="Q17" s="136">
        <f t="shared" si="9"/>
        <v>0.25581936245947057</v>
      </c>
      <c r="R17" s="156">
        <f t="shared" ca="1" si="4"/>
        <v>0.24872186928866791</v>
      </c>
      <c r="S17" s="156">
        <f t="shared" ca="1" si="5"/>
        <v>0.311431475750228</v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0.18994185329655019</v>
      </c>
      <c r="F18">
        <f ca="1">VLOOKUP(B18,OUTPUT_COUNTRY!$B$6:$N$18, 9, FALSE)</f>
        <v>21.4</v>
      </c>
      <c r="G18" s="47">
        <f>IFERROR(VLOOKUP(B18,OUTPUT_COUNTRY!$B$6:$N$18, 7, FALSE),0)</f>
        <v>78.5</v>
      </c>
      <c r="H18">
        <f>VLOOKUP(B18,OUTPUT_COUNTRY!$B$6:$N$18, 8, FALSE)</f>
        <v>7.1</v>
      </c>
      <c r="I18">
        <f>VLOOKUP(B18,OUTPUT_COUNTRY!$B$6:$N$18, 11, FALSE)</f>
        <v>21.4</v>
      </c>
      <c r="J18" s="47">
        <f t="shared" ca="1" si="0"/>
        <v>0</v>
      </c>
      <c r="K18" s="136">
        <f t="shared" ca="1" si="6"/>
        <v>0</v>
      </c>
      <c r="L18">
        <f t="shared" si="1"/>
        <v>5.2647690998293655</v>
      </c>
      <c r="M18" s="136">
        <f t="shared" si="7"/>
        <v>0.22014158223088268</v>
      </c>
      <c r="N18">
        <f t="shared" si="2"/>
        <v>0</v>
      </c>
      <c r="O18" s="136">
        <f t="shared" si="8"/>
        <v>0</v>
      </c>
      <c r="P18">
        <f t="shared" si="3"/>
        <v>0</v>
      </c>
      <c r="Q18" s="136">
        <f t="shared" si="9"/>
        <v>0</v>
      </c>
      <c r="R18" s="156">
        <f t="shared" ca="1" si="4"/>
        <v>6.60424746692648E-2</v>
      </c>
      <c r="S18" s="156">
        <f t="shared" ca="1" si="5"/>
        <v>8.2693594283722596E-2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0.21366329320305996</v>
      </c>
      <c r="F19">
        <f ca="1">VLOOKUP(B19,OUTPUT_COUNTRY!$B$6:$N$18, 9, FALSE)</f>
        <v>85.7</v>
      </c>
      <c r="G19" s="47">
        <f>IFERROR(VLOOKUP(B19,OUTPUT_COUNTRY!$B$6:$N$18, 7, FALSE),0)</f>
        <v>14.2</v>
      </c>
      <c r="H19">
        <f>VLOOKUP(B19,OUTPUT_COUNTRY!$B$6:$N$18, 8, FALSE)</f>
        <v>7.1</v>
      </c>
      <c r="I19">
        <f>VLOOKUP(B19,OUTPUT_COUNTRY!$B$6:$N$18, 11, FALSE)</f>
        <v>92.800000000000011</v>
      </c>
      <c r="J19" s="47">
        <f t="shared" ca="1" si="0"/>
        <v>4.6802611015155815</v>
      </c>
      <c r="K19" s="136">
        <f t="shared" ca="1" si="6"/>
        <v>0.19970962440824183</v>
      </c>
      <c r="L19">
        <f t="shared" si="1"/>
        <v>0</v>
      </c>
      <c r="M19" s="136">
        <f t="shared" si="7"/>
        <v>0</v>
      </c>
      <c r="N19">
        <f t="shared" si="2"/>
        <v>0</v>
      </c>
      <c r="O19" s="136">
        <f t="shared" si="8"/>
        <v>0</v>
      </c>
      <c r="P19">
        <f t="shared" si="3"/>
        <v>4.6802611015155815</v>
      </c>
      <c r="Q19" s="136">
        <f t="shared" si="9"/>
        <v>0.18178735722420769</v>
      </c>
      <c r="R19" s="156">
        <f t="shared" ca="1" si="4"/>
        <v>0.11803354792654169</v>
      </c>
      <c r="S19" s="156">
        <f t="shared" ca="1" si="5"/>
        <v>0.1477930433858835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0.22711370376135051</v>
      </c>
      <c r="F20">
        <f ca="1">VLOOKUP(B20,OUTPUT_COUNTRY!$B$6:$N$18, 9, FALSE)</f>
        <v>35.699999999999996</v>
      </c>
      <c r="G20" s="47">
        <f>IFERROR(VLOOKUP(B20,OUTPUT_COUNTRY!$B$6:$N$18, 7, FALSE),0)</f>
        <v>42.8</v>
      </c>
      <c r="H20">
        <f>VLOOKUP(B20,OUTPUT_COUNTRY!$B$6:$N$18, 8, FALSE)</f>
        <v>7.1</v>
      </c>
      <c r="I20">
        <f>VLOOKUP(B20,OUTPUT_COUNTRY!$B$6:$N$18, 11, FALSE)</f>
        <v>35.699999999999996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0</v>
      </c>
      <c r="O20" s="136">
        <f t="shared" si="8"/>
        <v>0</v>
      </c>
      <c r="P20">
        <f t="shared" si="3"/>
        <v>0</v>
      </c>
      <c r="Q20" s="136">
        <f t="shared" si="9"/>
        <v>0</v>
      </c>
      <c r="R20" s="156" t="str">
        <f t="shared" ca="1" si="4"/>
        <v/>
      </c>
      <c r="S20" s="156" t="str">
        <f t="shared" ca="1" si="5"/>
        <v/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0.2247340636536424</v>
      </c>
      <c r="F21" s="13">
        <f ca="1">VLOOKUP(B21,OUTPUT_COUNTRY!$B$6:$N$18, 9, FALSE)</f>
        <v>64.2</v>
      </c>
      <c r="G21" s="138">
        <f>IFERROR(VLOOKUP(B21,OUTPUT_COUNTRY!$B$6:$N$18, 7, FALSE),0)</f>
        <v>28.499999999999996</v>
      </c>
      <c r="H21" s="13">
        <f>VLOOKUP(B21,OUTPUT_COUNTRY!$B$6:$N$18, 8, FALSE)</f>
        <v>7.1</v>
      </c>
      <c r="I21" s="13">
        <f>VLOOKUP(B21,OUTPUT_COUNTRY!$B$6:$N$18, 11, FALSE)</f>
        <v>64.2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0</v>
      </c>
      <c r="O21" s="137">
        <f t="shared" si="8"/>
        <v>0</v>
      </c>
      <c r="P21" s="13">
        <f t="shared" si="3"/>
        <v>4.4497037242257527</v>
      </c>
      <c r="Q21" s="137">
        <f t="shared" si="9"/>
        <v>0.17283221233015675</v>
      </c>
      <c r="R21" s="157">
        <f t="shared" ca="1" si="4"/>
        <v>1.7283221233015674E-2</v>
      </c>
      <c r="S21" s="157">
        <f t="shared" ca="1" si="5"/>
        <v>2.1640795438332538E-2</v>
      </c>
    </row>
    <row r="22" spans="2:21" x14ac:dyDescent="0.35">
      <c r="J22" s="47">
        <f ca="1">SUM(J9:J21)</f>
        <v>23.435330747747535</v>
      </c>
      <c r="K22" s="169"/>
      <c r="L22">
        <f>SUM(L9:L21)</f>
        <v>23.915377760425649</v>
      </c>
      <c r="N22">
        <f>SUM(N9:N21)</f>
        <v>6.1063371072483354</v>
      </c>
      <c r="P22">
        <f>SUM(P9:P21)</f>
        <v>25.745800879558278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G3" sqref="G3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++</v>
      </c>
      <c r="J4" s="120" t="str">
        <f ca="1">IF(VLOOKUP(C4,OUTPUT_COUNTRY!$B$6:$N$18,9,FALSE)&gt;75,"++",(IF(VLOOKUP(C4,OUTPUT_COUNTRY!$B$6:$N$18,9,FALSE)&gt;50,"+",(IF(VLOOKUP(C4,OUTPUT_COUNTRY!$B$6:$N$18,9,FALSE)&gt;25,"-","--")))))</f>
        <v>--</v>
      </c>
      <c r="K4" s="153" t="str">
        <f>IF(VLOOKUP(C4,OUTPUT_COUNTRY!$B$6:$N$18,11,FALSE)&gt;75,"++",(IF(VLOOKUP(C4,OUTPUT_COUNTRY!$B$6:$N$18,11,FALSE)&gt;50,"+",(IF(VLOOKUP(C4,OUTPUT_COUNTRY!$B$6:$N$18,11,FALSE)&gt;25,"-","--")))))</f>
        <v>-</v>
      </c>
      <c r="L4" s="120" t="str">
        <f ca="1">IF(VLOOKUP(C4,OUTPUT_COUNTRY!$B$6:$N$18,13,FALSE)&gt;75,"++",(IF(VLOOKUP(C4,OUTPUT_COUNTRY!$B$6:$N$18,13,FALSE)&gt;50,"+",(IF(VLOOKUP(C4,OUTPUT_COUNTRY!$B$6:$N$18,13,FALSE)&gt;25,"-","--")))))</f>
        <v>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+</v>
      </c>
      <c r="G5" s="159" t="str">
        <f>IF(VLOOKUP(C5,OUTPUT_COUNTRY!$B$6:$N$18,5,FALSE)&gt;75,"++",(IF(VLOOKUP(C5,OUTPUT_COUNTRY!$B$6:$N$18,5,FALSE)&gt;50,"+",(IF(VLOOKUP(C5,OUTPUT_COUNTRY!$B$6:$N$18,5,FALSE)&gt;25,"-","--")))))</f>
        <v>-</v>
      </c>
      <c r="H5" s="121" t="str">
        <f>IF(VLOOKUP(C5,OUTPUT_COUNTRY!$B$6:$N$18,7,FALSE)&gt;75,"++",(IF(VLOOKUP(C5,OUTPUT_COUNTRY!$B$6:$N$18,7,FALSE)&gt;50,"+",(IF(VLOOKUP(C5,OUTPUT_COUNTRY!$B$6:$N$18,7,FALSE)&gt;25,"-","--")))))</f>
        <v>-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+</v>
      </c>
      <c r="K5" s="159" t="str">
        <f>IF(VLOOKUP(C5,OUTPUT_COUNTRY!$B$6:$N$18,11,FALSE)&gt;75,"++",(IF(VLOOKUP(C5,OUTPUT_COUNTRY!$B$6:$N$18,11,FALSE)&gt;50,"+",(IF(VLOOKUP(C5,OUTPUT_COUNTRY!$B$6:$N$18,11,FALSE)&gt;25,"-","--")))))</f>
        <v>--</v>
      </c>
      <c r="L5" s="121" t="str">
        <f ca="1">IF(VLOOKUP(C5,OUTPUT_COUNTRY!$B$6:$N$18,13,FALSE)&gt;75,"++",(IF(VLOOKUP(C5,OUTPUT_COUNTRY!$B$6:$N$18,13,FALSE)&gt;50,"+",(IF(VLOOKUP(C5,OUTPUT_COUNTRY!$B$6:$N$18,13,FALSE)&gt;25,"-","--")))))</f>
        <v>+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-</v>
      </c>
      <c r="H6" s="121" t="str">
        <f>IF(VLOOKUP(C6,OUTPUT_COUNTRY!$B$6:$N$18,7,FALSE)&gt;75,"++",(IF(VLOOKUP(C6,OUTPUT_COUNTRY!$B$6:$N$18,7,FALSE)&gt;50,"+",(IF(VLOOKUP(C6,OUTPUT_COUNTRY!$B$6:$N$18,7,FALSE)&gt;25,"-","--")))))</f>
        <v>+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++</v>
      </c>
      <c r="K6" s="159" t="str">
        <f>IF(VLOOKUP(C6,OUTPUT_COUNTRY!$B$6:$N$18,11,FALSE)&gt;75,"++",(IF(VLOOKUP(C6,OUTPUT_COUNTRY!$B$6:$N$18,11,FALSE)&gt;50,"+",(IF(VLOOKUP(C6,OUTPUT_COUNTRY!$B$6:$N$18,11,FALSE)&gt;25,"-","--")))))</f>
        <v>++</v>
      </c>
      <c r="L6" s="121" t="str">
        <f ca="1">IF(VLOOKUP(C6,OUTPUT_COUNTRY!$B$6:$N$18,13,FALSE)&gt;75,"++",(IF(VLOOKUP(C6,OUTPUT_COUNTRY!$B$6:$N$18,13,FALSE)&gt;50,"+",(IF(VLOOKUP(C6,OUTPUT_COUNTRY!$B$6:$N$18,13,FALSE)&gt;25,"-","--")))))</f>
        <v>++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-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++</v>
      </c>
      <c r="K7" s="159" t="str">
        <f>IF(VLOOKUP(C7,OUTPUT_COUNTRY!$B$6:$N$18,11,FALSE)&gt;75,"++",(IF(VLOOKUP(C7,OUTPUT_COUNTRY!$B$6:$N$18,11,FALSE)&gt;50,"+",(IF(VLOOKUP(C7,OUTPUT_COUNTRY!$B$6:$N$18,11,FALSE)&gt;25,"-","--")))))</f>
        <v>++</v>
      </c>
      <c r="L7" s="121" t="str">
        <f ca="1">IF(VLOOKUP(C7,OUTPUT_COUNTRY!$B$6:$N$18,13,FALSE)&gt;75,"++",(IF(VLOOKUP(C7,OUTPUT_COUNTRY!$B$6:$N$18,13,FALSE)&gt;50,"+",(IF(VLOOKUP(C7,OUTPUT_COUNTRY!$B$6:$N$18,13,FALSE)&gt;25,"-","--")))))</f>
        <v>++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--</v>
      </c>
      <c r="J8" s="121" t="str">
        <f ca="1">IF(VLOOKUP(C8,OUTPUT_COUNTRY!$B$6:$N$18,9,FALSE)&gt;75,"++",(IF(VLOOKUP(C8,OUTPUT_COUNTRY!$B$6:$N$18,9,FALSE)&gt;50,"+",(IF(VLOOKUP(C8,OUTPUT_COUNTRY!$B$6:$N$18,9,FALSE)&gt;25,"-","--")))))</f>
        <v>+</v>
      </c>
      <c r="K8" s="159" t="str">
        <f>IF(VLOOKUP(C8,OUTPUT_COUNTRY!$B$6:$N$18,11,FALSE)&gt;75,"++",(IF(VLOOKUP(C8,OUTPUT_COUNTRY!$B$6:$N$18,11,FALSE)&gt;50,"+",(IF(VLOOKUP(C8,OUTPUT_COUNTRY!$B$6:$N$18,11,FALSE)&gt;25,"-","--")))))</f>
        <v>+</v>
      </c>
      <c r="L8" s="121" t="str">
        <f ca="1">IF(VLOOKUP(C8,OUTPUT_COUNTRY!$B$6:$N$18,13,FALSE)&gt;75,"++",(IF(VLOOKUP(C8,OUTPUT_COUNTRY!$B$6:$N$18,13,FALSE)&gt;50,"+",(IF(VLOOKUP(C8,OUTPUT_COUNTRY!$B$6:$N$18,13,FALSE)&gt;25,"-","--")))))</f>
        <v>-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+</v>
      </c>
      <c r="G9" s="159" t="str">
        <f>IF(VLOOKUP(C9,OUTPUT_COUNTRY!$B$6:$N$18,5,FALSE)&gt;75,"++",(IF(VLOOKUP(C9,OUTPUT_COUNTRY!$B$6:$N$18,5,FALSE)&gt;50,"+",(IF(VLOOKUP(C9,OUTPUT_COUNTRY!$B$6:$N$18,5,FALSE)&gt;25,"-","--")))))</f>
        <v>+</v>
      </c>
      <c r="H9" s="121" t="str">
        <f>IF(VLOOKUP(C9,OUTPUT_COUNTRY!$B$6:$N$18,7,FALSE)&gt;75,"++",(IF(VLOOKUP(C9,OUTPUT_COUNTRY!$B$6:$N$18,7,FALSE)&gt;50,"+",(IF(VLOOKUP(C9,OUTPUT_COUNTRY!$B$6:$N$18,7,FALSE)&gt;25,"-","--")))))</f>
        <v>++</v>
      </c>
      <c r="I9" s="159" t="str">
        <f>IF(VLOOKUP(C9,OUTPUT_COUNTRY!$B$6:$N$18,8,FALSE)&gt;75,"++",(IF(VLOOKUP(C9,OUTPUT_COUNTRY!$B$6:$N$18,8,FALSE)&gt;50,"+",(IF(VLOOKUP(C9,OUTPUT_COUNTRY!$B$6:$N$18,8,FALSE)&gt;25,"-","--")))))</f>
        <v>--</v>
      </c>
      <c r="J9" s="121" t="str">
        <f ca="1">IF(VLOOKUP(C9,OUTPUT_COUNTRY!$B$6:$N$18,9,FALSE)&gt;75,"++",(IF(VLOOKUP(C9,OUTPUT_COUNTRY!$B$6:$N$18,9,FALSE)&gt;50,"+",(IF(VLOOKUP(C9,OUTPUT_COUNTRY!$B$6:$N$18,9,FALSE)&gt;25,"-","--")))))</f>
        <v>-</v>
      </c>
      <c r="K9" s="159" t="str">
        <f>IF(VLOOKUP(C9,OUTPUT_COUNTRY!$B$6:$N$18,11,FALSE)&gt;75,"++",(IF(VLOOKUP(C9,OUTPUT_COUNTRY!$B$6:$N$18,11,FALSE)&gt;50,"+",(IF(VLOOKUP(C9,OUTPUT_COUNTRY!$B$6:$N$18,11,FALSE)&gt;25,"-","--")))))</f>
        <v>+</v>
      </c>
      <c r="L9" s="121" t="str">
        <f ca="1">IF(VLOOKUP(C9,OUTPUT_COUNTRY!$B$6:$N$18,13,FALSE)&gt;75,"++",(IF(VLOOKUP(C9,OUTPUT_COUNTRY!$B$6:$N$18,13,FALSE)&gt;50,"+",(IF(VLOOKUP(C9,OUTPUT_COUNTRY!$B$6:$N$18,13,FALSE)&gt;25,"-","--")))))</f>
        <v>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-</v>
      </c>
      <c r="G10" s="159" t="str">
        <f>IF(VLOOKUP(C10,OUTPUT_COUNTRY!$B$6:$N$18,5,FALSE)&gt;75,"++",(IF(VLOOKUP(C10,OUTPUT_COUNTRY!$B$6:$N$18,5,FALSE)&gt;50,"+",(IF(VLOOKUP(C10,OUTPUT_COUNTRY!$B$6:$N$18,5,FALSE)&gt;25,"-","--")))))</f>
        <v>+</v>
      </c>
      <c r="H10" s="121" t="str">
        <f>IF(VLOOKUP(C10,OUTPUT_COUNTRY!$B$6:$N$18,7,FALSE)&gt;75,"++",(IF(VLOOKUP(C10,OUTPUT_COUNTRY!$B$6:$N$18,7,FALSE)&gt;50,"+",(IF(VLOOKUP(C10,OUTPUT_COUNTRY!$B$6:$N$18,7,FALSE)&gt;25,"-","--")))))</f>
        <v>+</v>
      </c>
      <c r="I10" s="159" t="str">
        <f>IF(VLOOKUP(C10,OUTPUT_COUNTRY!$B$6:$N$18,8,FALSE)&gt;75,"++",(IF(VLOOKUP(C10,OUTPUT_COUNTRY!$B$6:$N$18,8,FALSE)&gt;50,"+",(IF(VLOOKUP(C10,OUTPUT_COUNTRY!$B$6:$N$18,8,FALSE)&gt;25,"-","--")))))</f>
        <v>--</v>
      </c>
      <c r="J10" s="121" t="str">
        <f ca="1">IF(VLOOKUP(C10,OUTPUT_COUNTRY!$B$6:$N$18,9,FALSE)&gt;75,"++",(IF(VLOOKUP(C10,OUTPUT_COUNTRY!$B$6:$N$18,9,FALSE)&gt;50,"+",(IF(VLOOKUP(C10,OUTPUT_COUNTRY!$B$6:$N$18,9,FALSE)&gt;25,"-","--")))))</f>
        <v>-</v>
      </c>
      <c r="K10" s="159" t="str">
        <f>IF(VLOOKUP(C10,OUTPUT_COUNTRY!$B$6:$N$18,11,FALSE)&gt;75,"++",(IF(VLOOKUP(C10,OUTPUT_COUNTRY!$B$6:$N$18,11,FALSE)&gt;50,"+",(IF(VLOOKUP(C10,OUTPUT_COUNTRY!$B$6:$N$18,11,FALSE)&gt;25,"-","--")))))</f>
        <v>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-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+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-</v>
      </c>
      <c r="K11" s="159" t="str">
        <f>IF(VLOOKUP(C11,OUTPUT_COUNTRY!$B$6:$N$18,11,FALSE)&gt;75,"++",(IF(VLOOKUP(C11,OUTPUT_COUNTRY!$B$6:$N$18,11,FALSE)&gt;50,"+",(IF(VLOOKUP(C11,OUTPUT_COUNTRY!$B$6:$N$18,11,FALSE)&gt;25,"-","--")))))</f>
        <v>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--</v>
      </c>
      <c r="J12" s="121" t="str">
        <f ca="1">IF(VLOOKUP(C12,OUTPUT_COUNTRY!$B$6:$N$18,9,FALSE)&gt;75,"++",(IF(VLOOKUP(C12,OUTPUT_COUNTRY!$B$6:$N$18,9,FALSE)&gt;50,"+",(IF(VLOOKUP(C12,OUTPUT_COUNTRY!$B$6:$N$18,9,FALSE)&gt;25,"-","--")))))</f>
        <v>--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--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--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-</v>
      </c>
      <c r="H14" s="121" t="str">
        <f>IF(VLOOKUP(C14,OUTPUT_COUNTRY!$B$6:$N$18,7,FALSE)&gt;75,"++",(IF(VLOOKUP(C14,OUTPUT_COUNTRY!$B$6:$N$18,7,FALSE)&gt;50,"+",(IF(VLOOKUP(C14,OUTPUT_COUNTRY!$B$6:$N$18,7,FALSE)&gt;25,"-","--")))))</f>
        <v>--</v>
      </c>
      <c r="I14" s="159" t="str">
        <f>IF(VLOOKUP(C14,OUTPUT_COUNTRY!$B$6:$N$18,8,FALSE)&gt;75,"++",(IF(VLOOKUP(C14,OUTPUT_COUNTRY!$B$6:$N$18,8,FALSE)&gt;50,"+",(IF(VLOOKUP(C14,OUTPUT_COUNTRY!$B$6:$N$18,8,FALSE)&gt;25,"-","--")))))</f>
        <v>--</v>
      </c>
      <c r="J14" s="121" t="str">
        <f ca="1">IF(VLOOKUP(C14,OUTPUT_COUNTRY!$B$6:$N$18,9,FALSE)&gt;75,"++",(IF(VLOOKUP(C14,OUTPUT_COUNTRY!$B$6:$N$18,9,FALSE)&gt;50,"+",(IF(VLOOKUP(C14,OUTPUT_COUNTRY!$B$6:$N$18,9,FALSE)&gt;25,"-","--")))))</f>
        <v>++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++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--</v>
      </c>
      <c r="J15" s="121" t="str">
        <f ca="1">IF(VLOOKUP(C15,OUTPUT_COUNTRY!$B$6:$N$18,9,FALSE)&gt;75,"++",(IF(VLOOKUP(C15,OUTPUT_COUNTRY!$B$6:$N$18,9,FALSE)&gt;50,"+",(IF(VLOOKUP(C15,OUTPUT_COUNTRY!$B$6:$N$18,9,FALSE)&gt;25,"-","--")))))</f>
        <v>-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--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</v>
      </c>
      <c r="I16" s="154" t="str">
        <f>IF(VLOOKUP(C16,OUTPUT_COUNTRY!$B$6:$N$18,8,FALSE)&gt;75,"++",(IF(VLOOKUP(C16,OUTPUT_COUNTRY!$B$6:$N$18,8,FALSE)&gt;50,"+",(IF(VLOOKUP(C16,OUTPUT_COUNTRY!$B$6:$N$18,8,FALSE)&gt;25,"-","--")))))</f>
        <v>--</v>
      </c>
      <c r="J16" s="122" t="str">
        <f ca="1">IF(VLOOKUP(C16,OUTPUT_COUNTRY!$B$6:$N$18,9,FALSE)&gt;75,"++",(IF(VLOOKUP(C16,OUTPUT_COUNTRY!$B$6:$N$18,9,FALSE)&gt;50,"+",(IF(VLOOKUP(C16,OUTPUT_COUNTRY!$B$6:$N$18,9,FALSE)&gt;25,"-","--")))))</f>
        <v>+</v>
      </c>
      <c r="K16" s="154" t="str">
        <f>IF(VLOOKUP(C16,OUTPUT_COUNTRY!$B$6:$N$18,11,FALSE)&gt;75,"++",(IF(VLOOKUP(C16,OUTPUT_COUNTRY!$B$6:$N$18,11,FALSE)&gt;50,"+",(IF(VLOOKUP(C16,OUTPUT_COUNTRY!$B$6:$N$18,11,FALSE)&gt;25,"-","--")))))</f>
        <v>+</v>
      </c>
      <c r="L16" s="122" t="str">
        <f ca="1">IF(VLOOKUP(C16,OUTPUT_COUNTRY!$B$6:$N$18,13,FALSE)&gt;75,"++",(IF(VLOOKUP(C16,OUTPUT_COUNTRY!$B$6:$N$18,13,FALSE)&gt;50,"+",(IF(VLOOKUP(C16,OUTPUT_COUNTRY!$B$6:$N$18,13,FALSE)&gt;25,"-","--")))))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3" sqref="O3:O15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45379</v>
      </c>
      <c r="G3" s="4" cm="1">
        <f t="array" ref="G3">_xll.FDS(D3,"FMA_PE(LTM,0,,,""PORTAGG"",""MEANR"")")</f>
        <v>29.459081999698</v>
      </c>
      <c r="H3" s="4" cm="1">
        <f t="array" ref="H3">_xll.FDS(D3,"FMA_PE(NTMA,0,,,""PORTAGG"",""MEANR"")")</f>
        <v>24.893485734939901</v>
      </c>
      <c r="I3" cm="1">
        <f t="array" ref="I3">_xll.FDS(D3,"FMA_DIV_YLD(NTMA,NOW,NOW,M,""PORTAGG"",""MEANR"")")</f>
        <v>2.74326885778498</v>
      </c>
      <c r="J3" s="52" cm="1">
        <f t="array" ref="J3">IFERROR(_xll.FDS(D3,"FG_FCF_YIELD_NTM(0)"),(1/G3*100))</f>
        <v>2.9600554480445102E-2</v>
      </c>
      <c r="K3" s="3" cm="1">
        <f t="array" ref="K3">_xll.FDS(D3,"FMA_EVAL_EBITDA(NTMA,0,,,""PORTAGG"",""MEANR"")")</f>
        <v>12.2062412254161</v>
      </c>
      <c r="L3" cm="1">
        <f t="array" ref="L3">_xll.FDS(D3,"FMA_EVAL_EBIT(LTMA,NOW,NOW,M,""PORTAGG"",""MEANR"")")</f>
        <v>20.514498121694299</v>
      </c>
      <c r="M3">
        <f>HLOOKUP(D3,'Index ROE'!$A$1:$N$25,25,FALSE)</f>
        <v>6.5791075391831502</v>
      </c>
      <c r="N3">
        <f>VLOOKUP(A3,'LIQIDITY 2'!$A$3:$E$16,5,FALSE)</f>
        <v>4.8124000000000002</v>
      </c>
      <c r="O3" cm="1">
        <f t="array" ref="O3">IFERROR(IFERROR(_xll.FDS(B3,"IMF_IFS_RCPI_Q(0)"),_xll.FDS(B3,"IMF_IFS_RCPI_Q(-1AM)")),$D$23)</f>
        <v>4.6550289999999999</v>
      </c>
      <c r="P3">
        <f>VLOOKUP(E3,GDP_GROWTH!$B$10:$W$165,22,FALSE)</f>
        <v>2.7196134550164452</v>
      </c>
      <c r="Q3">
        <f t="shared" ref="Q3:Q11" si="0">I3-N3</f>
        <v>-2.0691311422150203</v>
      </c>
      <c r="R3" s="52">
        <f t="shared" ref="R3:R11" si="1">J3-N3</f>
        <v>-4.7827994455195553</v>
      </c>
      <c r="S3">
        <f t="shared" ref="S3:S11" si="2">M3-N3</f>
        <v>1.7667075391831499</v>
      </c>
      <c r="T3">
        <f t="shared" ref="T3:T11" si="3">M3-O3</f>
        <v>1.9240785391831503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45379</v>
      </c>
      <c r="G4" s="4" cm="1">
        <f t="array" ref="G4">_xll.FDS(D4,"FMA_PE(LTM,0,,,""PORTAGG"",""MEANR"")")</f>
        <v>18.3757907846888</v>
      </c>
      <c r="H4" s="4" cm="1">
        <f t="array" ref="H4">_xll.FDS(D4,"FMA_PE(NTMA,0,,,""PORTAGG"",""MEANR"")")</f>
        <v>16.704600835354402</v>
      </c>
      <c r="I4" cm="1">
        <f t="array" ref="I4">_xll.FDS(D4,"FMA_DIV_YLD(NTMA,NOW,NOW,M,""PORTAGG"",""MEANR"")")</f>
        <v>3.8993119537235699</v>
      </c>
      <c r="J4" s="52" cm="1">
        <f t="array" ref="J4">IFERROR(_xll.FDS(D4,"FG_FCF_YIELD_NTM(0)"),(1/G4*100))</f>
        <v>4.8617524935267102</v>
      </c>
      <c r="K4" s="3" cm="1">
        <f t="array" ref="K4">_xll.FDS(D4,"FMA_EVAL_EBITDA(NTMA,0,,,""PORTAGG"",""MEANR"")")</f>
        <v>8.6529690296972195</v>
      </c>
      <c r="L4" cm="1">
        <f t="array" ref="L4">_xll.FDS(D4,"FMA_EVAL_EBIT(LTMA,NOW,NOW,M,""PORTAGG"",""MEANR"")")</f>
        <v>12.4430506058536</v>
      </c>
      <c r="M4">
        <f>HLOOKUP(D4,'Index ROE'!$A$1:$N$25,25,FALSE)</f>
        <v>13.226137995013501</v>
      </c>
      <c r="N4">
        <f>VLOOKUP(A4,'LIQIDITY 2'!$A$3:$E$16,5,FALSE)</f>
        <v>4.2549999999999999</v>
      </c>
      <c r="O4" cm="1">
        <f t="array" ref="O4">IFERROR(IFERROR(_xll.FDS(B4,"IMF_IFS_RCPI_Q(0)"),_xll.FDS(B4,"IMF_IFS_RCPI_Q(-1AM)")),$D$23)</f>
        <v>4.0519879999999997</v>
      </c>
      <c r="P4">
        <f>VLOOKUP(E4,GDP_GROWTH!$B$10:$W$165,22,FALSE)</f>
        <v>2.0879441195558623</v>
      </c>
      <c r="Q4">
        <f t="shared" si="0"/>
        <v>-0.35568804627643003</v>
      </c>
      <c r="R4" s="52">
        <f t="shared" si="1"/>
        <v>0.60675249352671035</v>
      </c>
      <c r="S4">
        <f t="shared" si="2"/>
        <v>8.9711379950134997</v>
      </c>
      <c r="T4">
        <f t="shared" si="3"/>
        <v>9.1741499950135008</v>
      </c>
      <c r="U4" cm="1">
        <f t="array" ref="U4">_xlfn.PERCENTRANK.EXC(_xlfn._xlws.FILTER(Q$3:Q$15, ISNUMBER(Q$3:Q$15)),Q4)*100</f>
        <v>35.699999999999996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31.799999999999997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45379</v>
      </c>
      <c r="G5" s="4" cm="1">
        <f t="array" ref="G5">_xll.FDS(D5,"FMA_PE(LTM,0,,,""PORTAGG"",""MEANR"")")</f>
        <v>16.982405513938801</v>
      </c>
      <c r="H5" s="4" cm="1">
        <f t="array" ref="H5">_xll.FDS(D5,"FMA_PE(NTMA,0,,,""PORTAGG"",""MEANR"")")</f>
        <v>14.6644513364516</v>
      </c>
      <c r="I5" cm="1">
        <f t="array" ref="I5">_xll.FDS(D5,"FMA_DIV_YLD(NTMA,NOW,NOW,M,""PORTAGG"",""MEANR"")")</f>
        <v>3.1069232527359798</v>
      </c>
      <c r="J5" s="52" cm="1">
        <f t="array" ref="J5">IFERROR(_xll.FDS(D5,"FG_FCF_YIELD_NTM(0)"),(1/G5*100))</f>
        <v>5.02523114724307</v>
      </c>
      <c r="K5" s="3" cm="1">
        <f t="array" ref="K5">_xll.FDS(D5,"FMA_EVAL_EBITDA(NTMA,0,,,""PORTAGG"",""MEANR"")")</f>
        <v>10.010252536138699</v>
      </c>
      <c r="L5" cm="1">
        <f t="array" ref="L5">_xll.FDS(D5,"FMA_EVAL_EBIT(LTMA,NOW,NOW,M,""PORTAGG"",""MEANR"")")</f>
        <v>16.3847008333601</v>
      </c>
      <c r="M5">
        <f>HLOOKUP(D5,'Index ROE'!$A$1:$N$25,25,FALSE)</f>
        <v>13.147116166704</v>
      </c>
      <c r="N5">
        <f>VLOOKUP(A5,'LIQIDITY 2'!$A$3:$E$16,5,FALSE)</f>
        <v>3.7138</v>
      </c>
      <c r="O5" cm="1">
        <f t="array" ref="O5">IFERROR(IFERROR(_xll.FDS(B5,"IMF_IFS_RCPI_Q(0)"),_xll.FDS(B5,"IMF_IFS_RCPI_Q(-1AM)")),$D$23)</f>
        <v>3.2111022</v>
      </c>
      <c r="P5">
        <f>VLOOKUP(E5,GDP_GROWTH!$B$10:$W$165,22,FALSE)</f>
        <v>1.4598842535213041</v>
      </c>
      <c r="Q5">
        <f t="shared" si="0"/>
        <v>-0.60687674726402019</v>
      </c>
      <c r="R5" s="52">
        <f t="shared" si="1"/>
        <v>1.31143114724307</v>
      </c>
      <c r="S5">
        <f t="shared" si="2"/>
        <v>9.4333161667039995</v>
      </c>
      <c r="T5">
        <f t="shared" si="3"/>
        <v>9.9360139667039995</v>
      </c>
      <c r="U5" cm="1">
        <f t="array" ref="U5">_xlfn.PERCENTRANK.EXC(_xlfn._xlws.FILTER(Q$3:Q$15, ISNUMBER(Q$3:Q$15)),Q5)*100</f>
        <v>28.499999999999996</v>
      </c>
      <c r="V5" cm="1">
        <f t="array" ref="V5">_xlfn.PERCENTRANK.EXC(_xlfn._xlws.FILTER(R$3:R$15, ISNUMBER(R$3:R$15)),R5)*100</f>
        <v>42.8</v>
      </c>
      <c r="W5" cm="1">
        <f t="array" ref="W5">_xlfn.PERCENTRANK.EXC(_xlfn._xlws.FILTER(S$3:S$15, ISNUMBER(S$3:S$15)),S5)*100</f>
        <v>28.499999999999996</v>
      </c>
      <c r="X5" cm="1">
        <f t="array" ref="X5">(1-_xlfn.PERCENTRANK.EXC(_xlfn._xlws.FILTER(G$3:G$15, ISNUMBER(G$3:G$15)),G5))*100</f>
        <v>42.900000000000006</v>
      </c>
      <c r="Y5" cm="1">
        <f t="array" ref="Y5">(1-_xlfn.PERCENTRANK.EXC(_xlfn._xlws.FILTER(H$3:H$15, ISNUMBER(H$3:H$15)),H5))*100</f>
        <v>64.3</v>
      </c>
      <c r="Z5" cm="1">
        <f t="array" ref="Z5">_xlfn.PERCENTRANK.EXC(_xlfn._xlws.FILTER(T$3:T$15, ISNUMBER(T$3:T$15)),T5)*100</f>
        <v>50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46.774999999999999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45379</v>
      </c>
      <c r="G6" s="4" cm="1">
        <f t="array" ref="G6">_xll.FDS(D6,"FMA_PE(LTM,0,,,""PORTAGG"",""MEANR"")")</f>
        <v>12.785423808631499</v>
      </c>
      <c r="H6" s="4" cm="1">
        <f t="array" ref="H6">_xll.FDS(D6,"FMA_PE(NTMA,0,,,""PORTAGG"",""MEANR"")")</f>
        <v>12.2531156877155</v>
      </c>
      <c r="I6" cm="1">
        <f t="array" ref="I6">_xll.FDS(D6,"FMA_DIV_YLD(NTMA,NOW,NOW,M,""PORTAGG"",""MEANR"")")</f>
        <v>3.2483381300910699</v>
      </c>
      <c r="J6" s="52" cm="1">
        <f t="array" ref="J6">IFERROR(_xll.FDS(D6,"FG_FCF_YIELD_NTM(0)"),(1/G6*100))</f>
        <v>5.9852069713231497</v>
      </c>
      <c r="K6" s="3" cm="1">
        <f t="array" ref="K6">_xll.FDS(D6,"FMA_EVAL_EBITDA(NTMA,0,,,""PORTAGG"",""MEANR"")")</f>
        <v>8.4511826608696197</v>
      </c>
      <c r="L6" cm="1">
        <f t="array" ref="L6">_xll.FDS(D6,"FMA_EVAL_EBIT(LTMA,NOW,NOW,M,""PORTAGG"",""MEANR"")")</f>
        <v>13.319144786882401</v>
      </c>
      <c r="M6">
        <f>HLOOKUP(D6,'Index ROE'!$A$1:$N$25,25,FALSE)</f>
        <v>11.9408562756701</v>
      </c>
      <c r="N6">
        <f>VLOOKUP(A6,'LIQIDITY 2'!$A$3:$E$16,5,FALSE)</f>
        <v>2.476</v>
      </c>
      <c r="O6" cm="1">
        <f t="array" ref="O6">IFERROR(IFERROR(_xll.FDS(B6,"IMF_IFS_RCPI_Q(0)"),_xll.FDS(B6,"IMF_IFS_RCPI_Q(-1AM)")),$D$23)</f>
        <v>3.5546435999999999</v>
      </c>
      <c r="P6">
        <f>VLOOKUP(E6,GDP_GROWTH!$B$10:$W$165,22,FALSE)</f>
        <v>0.863192929992318</v>
      </c>
      <c r="Q6">
        <f t="shared" si="0"/>
        <v>0.77233813009106989</v>
      </c>
      <c r="R6" s="52">
        <f t="shared" si="1"/>
        <v>3.5092069713231497</v>
      </c>
      <c r="S6">
        <f t="shared" si="2"/>
        <v>9.4648562756701011</v>
      </c>
      <c r="T6">
        <f t="shared" si="3"/>
        <v>8.3862126756700999</v>
      </c>
      <c r="U6" cm="1">
        <f t="array" ref="U6">_xlfn.PERCENTRANK.EXC(_xlfn._xlws.FILTER(Q$3:Q$15, ISNUMBER(Q$3:Q$15)),Q6)*100</f>
        <v>71.399999999999991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35.699999999999996</v>
      </c>
      <c r="X6" cm="1">
        <f t="array" ref="X6">(1-_xlfn.PERCENTRANK.EXC(_xlfn._xlws.FILTER(G$3:G$15, ISNUMBER(G$3:G$15)),G6))*100</f>
        <v>78.600000000000009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70.004999999999995</v>
      </c>
      <c r="AC6" cm="1">
        <f t="array" ref="AC6">_xlfn.PERCENTRANK.EXC(_xlfn._xlws.FILTER(AB$3:AB$15, ISNUMBER(AB$3:AB$15)),AB6)*100</f>
        <v>78.5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45379</v>
      </c>
      <c r="G7" s="4" cm="1">
        <f t="array" ref="G7">_xll.FDS(D7,"FMA_PE(LTM,0,,,""PORTAGG"",""MEANR"")")</f>
        <v>16.139353903953399</v>
      </c>
      <c r="H7" s="4" cm="1">
        <f t="array" ref="H7">_xll.FDS(D7,"FMA_PE(NTMA,0,,,""PORTAGG"",""MEANR"")")</f>
        <v>15.5870373517673</v>
      </c>
      <c r="I7" cm="1">
        <f t="array" ref="I7">_xll.FDS(D7,"FMA_DIV_YLD(NTMA,NOW,NOW,M,""PORTAGG"",""MEANR"")")</f>
        <v>2.15743515502353</v>
      </c>
      <c r="J7" s="52" cm="1">
        <f t="array" ref="J7">IFERROR(_xll.FDS(D7,"FG_FCF_YIELD_NTM(0)"),(1/G7*100))</f>
        <v>4.0649598732756997</v>
      </c>
      <c r="K7" s="3" cm="1">
        <f t="array" ref="K7">_xll.FDS(D7,"FMA_EVAL_EBITDA(NTMA,0,,,""PORTAGG"",""MEANR"")")</f>
        <v>10.721345949088301</v>
      </c>
      <c r="L7" cm="1">
        <f t="array" ref="L7">_xll.FDS(D7,"FMA_EVAL_EBIT(LTMA,NOW,NOW,M,""PORTAGG"",""MEANR"")")</f>
        <v>18.157180071134299</v>
      </c>
      <c r="M7">
        <f>HLOOKUP(D7,'Index ROE'!$A$1:$N$25,25,FALSE)</f>
        <v>9.2990104677630008</v>
      </c>
      <c r="N7">
        <f>VLOOKUP(A7,'LIQIDITY 2'!$A$3:$E$16,5,FALSE)</f>
        <v>0.85609999999999997</v>
      </c>
      <c r="O7" cm="1">
        <f t="array" ref="O7">IFERROR(IFERROR(_xll.FDS(B7,"IMF_IFS_RCPI_Q(0)"),_xll.FDS(B7,"IMF_IFS_RCPI_Q(-1AM)")),$D$23)</f>
        <v>2.9194753000000002</v>
      </c>
      <c r="P7">
        <f>VLOOKUP(E7,GDP_GROWTH!$B$10:$W$165,22,FALSE)</f>
        <v>0.31456851442112077</v>
      </c>
      <c r="Q7">
        <f t="shared" si="0"/>
        <v>1.3013351550235299</v>
      </c>
      <c r="R7" s="52">
        <f t="shared" si="1"/>
        <v>3.2088598732756997</v>
      </c>
      <c r="S7">
        <f t="shared" si="2"/>
        <v>8.4429104677630011</v>
      </c>
      <c r="T7">
        <f t="shared" si="3"/>
        <v>6.3795351677630006</v>
      </c>
      <c r="U7" cm="1">
        <f t="array" ref="U7">_xlfn.PERCENTRANK.EXC(_xlfn._xlws.FILTER(Q$3:Q$15, ISNUMBER(Q$3:Q$15)),Q7)*100</f>
        <v>85.7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55.350000000000009</v>
      </c>
      <c r="AC7" cm="1">
        <f t="array" ref="AC7">_xlfn.PERCENTRANK.EXC(_xlfn._xlws.FILTER(AB$3:AB$15, ISNUMBER(AB$3:AB$15)),AB7)*100</f>
        <v>50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45379</v>
      </c>
      <c r="G8" s="4" cm="1">
        <f t="array" ref="G8">_xll.FDS(D8,"FMA_PE(LTM,0,,,""PORTAGG"",""MEANR"")")</f>
        <v>15.089376785043701</v>
      </c>
      <c r="H8" s="4" cm="1">
        <f t="array" ref="H8">_xll.FDS(D8,"FMA_PE(NTMA,0,,,""PORTAGG"",""MEANR"")")</f>
        <v>17.320283700785101</v>
      </c>
      <c r="I8" cm="1">
        <f t="array" ref="I8">_xll.FDS(D8,"FMA_DIV_YLD(NTMA,NOW,NOW,M,""PORTAGG"",""MEANR"")")</f>
        <v>3.2622518314121098</v>
      </c>
      <c r="J8" s="52" cm="1">
        <f t="array" ref="J8">IFERROR(_xll.FDS(D8,"FG_FCF_YIELD_NTM(0)"),(1/G8*100))</f>
        <v>5.0177647823111204</v>
      </c>
      <c r="K8" s="3" cm="1">
        <f t="array" ref="K8">_xll.FDS(D8,"FMA_EVAL_EBITDA(NTMA,0,,,""PORTAGG"",""MEANR"")")</f>
        <v>12.789781394016</v>
      </c>
      <c r="L8" cm="1">
        <f t="array" ref="L8">_xll.FDS(D8,"FMA_EVAL_EBIT(LTMA,NOW,NOW,M,""PORTAGG"",""MEANR"")")</f>
        <v>16.690563466971302</v>
      </c>
      <c r="M8">
        <f>HLOOKUP(D8,'Index ROE'!$A$1:$N$25,25,FALSE)</f>
        <v>19.2996868123636</v>
      </c>
      <c r="N8">
        <f>VLOOKUP(A8,'LIQIDITY 2'!$A$3:$E$16,5,FALSE)</f>
        <v>0.751</v>
      </c>
      <c r="O8" cm="1">
        <f t="array" ref="O8">IFERROR(IFERROR(_xll.FDS(B8,"IMF_IFS_RCPI_Q(0)"),_xll.FDS(B8,"IMF_IFS_RCPI_Q(-1AM)")),$D$23)</f>
        <v>1.6172575</v>
      </c>
      <c r="P8">
        <f>VLOOKUP(E8,GDP_GROWTH!$B$10:$W$165,22,FALSE)</f>
        <v>2.077185911672963</v>
      </c>
      <c r="Q8">
        <f t="shared" si="0"/>
        <v>2.5112518314121099</v>
      </c>
      <c r="R8" s="52">
        <f t="shared" si="1"/>
        <v>4.2667647823111201</v>
      </c>
      <c r="S8">
        <f t="shared" si="2"/>
        <v>18.548686812363599</v>
      </c>
      <c r="T8">
        <f t="shared" si="3"/>
        <v>17.682429312363599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64.3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68.205000000000013</v>
      </c>
      <c r="AC8" cm="1">
        <f t="array" ref="AC8">_xlfn.PERCENTRANK.EXC(_xlfn._xlws.FILTER(AB$3:AB$15, ISNUMBER(AB$3:AB$15)),AB8)*100</f>
        <v>71.399999999999991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45379</v>
      </c>
      <c r="G9" s="4" cm="1">
        <f t="array" ref="G9">_xll.FDS(D9,"FMA_PE(LTM,0,,,""PORTAGG"",""MEANR"")")</f>
        <v>10.6989492088747</v>
      </c>
      <c r="H9" s="4" cm="1">
        <f t="array" ref="H9">_xll.FDS(D9,"FMA_PE(NTMA,0,,,""PORTAGG"",""MEANR"")")</f>
        <v>11.522912625928001</v>
      </c>
      <c r="I9" cm="1">
        <f t="array" ref="I9">_xll.FDS(D9,"FMA_DIV_YLD(NTMA,NOW,NOW,M,""PORTAGG"",""MEANR"")")</f>
        <v>4.0226744558931502</v>
      </c>
      <c r="J9" s="52" cm="1">
        <f t="array" ref="J9">IFERROR(_xll.FDS(D9,"FG_FCF_YIELD_NTM(0)"),(1/G9*100))</f>
        <v>6.1835956183195</v>
      </c>
      <c r="K9" s="3" cm="1">
        <f t="array" ref="K9">_xll.FDS(D9,"FMA_EVAL_EBITDA(NTMA,0,,,""PORTAGG"",""MEANR"")")</f>
        <v>7.48118118824463</v>
      </c>
      <c r="L9" cm="1">
        <f t="array" ref="L9">_xll.FDS(D9,"FMA_EVAL_EBIT(LTMA,NOW,NOW,M,""PORTAGG"",""MEANR"")")</f>
        <v>10.4872538454478</v>
      </c>
      <c r="M9">
        <f>HLOOKUP(D9,'Index ROE'!$A$1:$N$25,25,FALSE)</f>
        <v>14.720530939875699</v>
      </c>
      <c r="N9">
        <f>VLOOKUP(A9,'LIQIDITY 2'!$A$3:$E$16,5,FALSE)</f>
        <v>4.2279999999999998</v>
      </c>
      <c r="O9" cm="1">
        <f t="array" ref="O9">IFERROR(IFERROR(_xll.FDS(B9,"IMF_IFS_RCPI_Q(0)"),_xll.FDS(B9,"IMF_IFS_RCPI_Q(-1AM)")),$D$23)</f>
        <v>4.3536314999999997</v>
      </c>
      <c r="P9">
        <f>VLOOKUP(E9,GDP_GROWTH!$B$10:$W$165,22,FALSE)</f>
        <v>1.0976426250664972</v>
      </c>
      <c r="Q9">
        <f t="shared" si="0"/>
        <v>-0.20532554410684956</v>
      </c>
      <c r="R9" s="52">
        <f t="shared" si="1"/>
        <v>1.9555956183195002</v>
      </c>
      <c r="S9">
        <f t="shared" si="2"/>
        <v>10.492530939875699</v>
      </c>
      <c r="T9">
        <f t="shared" si="3"/>
        <v>10.366899439875699</v>
      </c>
      <c r="U9" cm="1">
        <f t="array" ref="U9">_xlfn.PERCENTRANK.EXC(_xlfn._xlws.FILTER(Q$3:Q$15, ISNUMBER(Q$3:Q$15)),Q9)*100</f>
        <v>50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92.9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71.804999999999993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45379</v>
      </c>
      <c r="G10" s="4" cm="1">
        <f t="array" ref="G10">_xll.FDS(D10,"FMA_PE(LTM,0,,,""PORTAGG"",""MEANR"")")</f>
        <v>34.0453916066228</v>
      </c>
      <c r="H10" s="4" cm="1">
        <f t="array" ref="H10">_xll.FDS(D10,"FMA_PE(NTMA,0,,,""PORTAGG"",""MEANR"")")</f>
        <v>25.7118384170649</v>
      </c>
      <c r="I10" cm="1">
        <f t="array" ref="I10">_xll.FDS(D10,"FMA_DIV_YLD(NTMA,NOW,NOW,M,""PORTAGG"",""MEANR"")")</f>
        <v>0.88297584745320501</v>
      </c>
      <c r="J10" s="52" cm="1">
        <f t="array" ref="J10">IFERROR(_xll.FDS(D10,"FG_FCF_YIELD_NTM(0)"),(1/G10*100))</f>
        <v>3.71088582524757</v>
      </c>
      <c r="K10" s="3" cm="1">
        <f t="array" ref="K10">_xll.FDS(D10,"FMA_EVAL_EBITDA(NTMA,0,,,""PORTAGG"",""MEANR"")")</f>
        <v>16.070104116186599</v>
      </c>
      <c r="L10" cm="1">
        <f t="array" ref="L10">_xll.FDS(D10,"FMA_EVAL_EBIT(LTMA,NOW,NOW,M,""PORTAGG"",""MEANR"")")</f>
        <v>24.802257812068401</v>
      </c>
      <c r="M10">
        <f>HLOOKUP(D10,'Index ROE'!$A$1:$N$25,25,FALSE)</f>
        <v>25.301111433536601</v>
      </c>
      <c r="N10">
        <f>VLOOKUP(A10,'LIQIDITY 2'!$A$3:$E$16,5,FALSE)</f>
        <v>4.5712000000000002</v>
      </c>
      <c r="O10" cm="1">
        <f t="array" ref="O10">IFERROR(IFERROR(_xll.FDS(B10,"IMF_IFS_RCPI_Q(0)"),_xll.FDS(B10,"IMF_IFS_RCPI_Q(-1AM)")),$D$23)</f>
        <v>3.2433991</v>
      </c>
      <c r="P10">
        <f>VLOOKUP(E10,GDP_GROWTH!$B$10:$W$165,22,FALSE)</f>
        <v>2.0868572594445189</v>
      </c>
      <c r="Q10">
        <f t="shared" si="0"/>
        <v>-3.6882241525467951</v>
      </c>
      <c r="R10" s="52">
        <f t="shared" si="1"/>
        <v>-0.86031417475243011</v>
      </c>
      <c r="S10">
        <f t="shared" si="2"/>
        <v>20.7299114335366</v>
      </c>
      <c r="T10">
        <f t="shared" si="3"/>
        <v>22.0577123335366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45379</v>
      </c>
      <c r="G11" s="4" cm="1">
        <f t="array" ref="G11">_xll.FDS(D11,"FMA_PE(LTM,0,,,""PORTAGG"",""MEANR"")")</f>
        <v>25.788625006903398</v>
      </c>
      <c r="H11" s="4" cm="1">
        <f t="array" ref="H11">_xll.FDS(D11,"FMA_PE(NTMA,0,,,""PORTAGG"",""MEANR"")")</f>
        <v>20.684165547830499</v>
      </c>
      <c r="I11" cm="1">
        <f t="array" ref="I11">_xll.FDS(D11,"FMA_DIV_YLD(NTMA,NOW,NOW,M,""PORTAGG"",""MEANR"")")</f>
        <v>1.42735403440696</v>
      </c>
      <c r="J11" s="52" cm="1">
        <f t="array" ref="J11">IFERROR(_xll.FDS(D11,"FG_FCF_YIELD_NTM(0)"),(1/G11*100))</f>
        <v>4.1407087512940901</v>
      </c>
      <c r="K11" s="3" cm="1">
        <f t="array" ref="K11">_xll.FDS(D11,"FMA_EVAL_EBITDA(NTMA,0,,,""PORTAGG"",""MEANR"")")</f>
        <v>14.149535239277601</v>
      </c>
      <c r="L11" cm="1">
        <f t="array" ref="L11">_xll.FDS(D11,"FMA_EVAL_EBIT(LTMA,NOW,NOW,M,""PORTAGG"",""MEANR"")")</f>
        <v>20.743003526466399</v>
      </c>
      <c r="M11">
        <f>HLOOKUP(D11,'Index ROE'!$A$1:$N$25,25,FALSE)</f>
        <v>20.335735203929701</v>
      </c>
      <c r="N11">
        <f>VLOOKUP(A11,'LIQIDITY 2'!$A$3:$E$16,5,FALSE)</f>
        <v>4.5712000000000002</v>
      </c>
      <c r="O11" cm="1">
        <f t="array" ref="O11">IFERROR(IFERROR(_xll.FDS(B11,"IMF_IFS_RCPI_Q(0)"),_xll.FDS(B11,"IMF_IFS_RCPI_Q(-1AM)")),$D$23)</f>
        <v>3.2433991</v>
      </c>
      <c r="P11">
        <f>VLOOKUP(E11,GDP_GROWTH!$B$10:$W$165,22,FALSE)</f>
        <v>2.0868572594445189</v>
      </c>
      <c r="Q11">
        <f t="shared" si="0"/>
        <v>-3.14384596559304</v>
      </c>
      <c r="R11" s="52">
        <f t="shared" si="1"/>
        <v>-0.43049124870591005</v>
      </c>
      <c r="S11">
        <f t="shared" si="2"/>
        <v>15.7645352039297</v>
      </c>
      <c r="T11">
        <f t="shared" si="3"/>
        <v>17.0923361039297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45379</v>
      </c>
      <c r="G12" s="4" cm="1">
        <f t="array" ref="G12">_xll.FDS(D12,"FMA_PE(LTM,0,,,""PORTAGG"",""MEANR"")")</f>
        <v>16.5599682362678</v>
      </c>
      <c r="H12" s="4" cm="1">
        <f t="array" ref="H12">_xll.FDS(D12,"FMA_PE(NTMA,0,,,""PORTAGG"",""MEANR"")")</f>
        <v>14.5812154551984</v>
      </c>
      <c r="I12" cm="1">
        <f t="array" ref="I12">_xll.FDS(D12,"FMA_DIV_YLD(NTMA,NOW,NOW,M,""PORTAGG"",""MEANR"")")</f>
        <v>3.05390122394535</v>
      </c>
      <c r="J12" s="52" cm="1">
        <f t="array" ref="J12">IFERROR(_xll.FDS(D12,"FG_FCF_YIELD_NTM(0)"),(1/G12*100))</f>
        <v>5.5565270038676404</v>
      </c>
      <c r="K12" s="3" cm="1">
        <f t="array" ref="K12">_xll.FDS(D12,"FMA_EVAL_EBITDA(NTMA,0,,,""PORTAGG"",""MEANR"")")</f>
        <v>9.3336594547241507</v>
      </c>
      <c r="L12" cm="1">
        <f t="array" ref="L12">_xll.FDS(D12,"FMA_EVAL_EBIT(LTMA,NOW,NOW,M,""PORTAGG"",""MEANR"")")</f>
        <v>13.2971060535753</v>
      </c>
      <c r="M12">
        <f>HLOOKUP(D12,'Index ROE'!$A$1:$N$25,25,FALSE)</f>
        <v>13.221059503291199</v>
      </c>
      <c r="N12">
        <f>VLOOKUP(A12,'LIQIDITY 2'!$A$3:$E$16,5,FALSE)</f>
        <v>2.9740000000000002</v>
      </c>
      <c r="O12" cm="1">
        <f t="array" ref="O12">IFERROR(IFERROR(_xll.FDS(B12,"IMF_IFS_RCPI_Q(0)"),_xll.FDS(B12,"IMF_IFS_RCPI_Q(-1AM)")),$D$23)</f>
        <v>3.7187451999999999</v>
      </c>
      <c r="P12">
        <f>VLOOKUP(E12,GDP_GROWTH!$B$10:$W$165,22,FALSE)</f>
        <v>0.9426946158151317</v>
      </c>
      <c r="Q12">
        <f t="shared" ref="Q12:Q15" si="4">I12-N12</f>
        <v>7.990122394534982E-2</v>
      </c>
      <c r="R12" s="52">
        <f t="shared" ref="R12:R15" si="5">J12-N12</f>
        <v>2.5825270038676402</v>
      </c>
      <c r="S12">
        <f t="shared" ref="S12:S15" si="6">M12-N12</f>
        <v>10.247059503291199</v>
      </c>
      <c r="T12">
        <f t="shared" ref="T12:T15" si="7">M12-O12</f>
        <v>9.5023143032912003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71.399999999999991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50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35.699999999999996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60.36</v>
      </c>
      <c r="AC12" cm="1">
        <f t="array" ref="AC12">_xlfn.PERCENTRANK.EXC(_xlfn._xlws.FILTER(AB$3:AB$15, ISNUMBER(AB$3:AB$15)),AB12)*100</f>
        <v>64.2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45379</v>
      </c>
      <c r="G13" s="4" cm="1">
        <f t="array" ref="G13">_xll.FDS(D13,"FMA_PE(LTM,0,,,""PORTAGG"",""MEANR"")")</f>
        <v>20.3934622833142</v>
      </c>
      <c r="H13" s="4" cm="1">
        <f t="array" ref="H13">_xll.FDS(D13,"FMA_PE(NTMA,0,,,""PORTAGG"",""MEANR"")")</f>
        <v>16.327005124377798</v>
      </c>
      <c r="I13" cm="1">
        <f t="array" ref="I13">_xll.FDS(D13,"FMA_DIV_YLD(NTMA,NOW,NOW,M,""PORTAGG"",""MEANR"")")</f>
        <v>2.51696007875019</v>
      </c>
      <c r="J13" s="52" cm="1">
        <f t="array" ref="J13">IFERROR(_xll.FDS(D13,"FG_FCF_YIELD_NTM(0)"),(1/G13*100))</f>
        <v>3.8838587958095698</v>
      </c>
      <c r="K13" s="3" cm="1">
        <f t="array" ref="K13">_xll.FDS(D13,"FMA_EVAL_EBITDA(NTMA,0,,,""PORTAGG"",""MEANR"")")</f>
        <v>12.671601090977401</v>
      </c>
      <c r="L13" cm="1">
        <f t="array" ref="L13">_xll.FDS(D13,"FMA_EVAL_EBIT(LTMA,NOW,NOW,M,""PORTAGG"",""MEANR"")")</f>
        <v>22.329554226984399</v>
      </c>
      <c r="M13">
        <f>HLOOKUP(D13,'Index ROE'!$A$1:$N$25,25,FALSE)</f>
        <v>12.7459856653599</v>
      </c>
      <c r="N13">
        <f>VLOOKUP(A13,'LIQIDITY 2'!$A$3:$E$16,5,FALSE)</f>
        <v>2.7690000000000001</v>
      </c>
      <c r="O13" cm="1">
        <f t="array" ref="O13">IFERROR(IFERROR(_xll.FDS(B13,"IMF_IFS_RCPI_Q(0)"),_xll.FDS(B13,"IMF_IFS_RCPI_Q(-1AM)")),$D$23)</f>
        <v>0.80520855999999996</v>
      </c>
      <c r="P13">
        <f>VLOOKUP(E13,GDP_GROWTH!$B$10:$W$165,22,FALSE)</f>
        <v>1.7793785730007783</v>
      </c>
      <c r="Q13">
        <f t="shared" si="4"/>
        <v>-0.25203992124981012</v>
      </c>
      <c r="R13" s="52">
        <f t="shared" si="5"/>
        <v>1.1148587958095697</v>
      </c>
      <c r="S13">
        <f t="shared" si="6"/>
        <v>9.9769856653598996</v>
      </c>
      <c r="T13">
        <f t="shared" si="7"/>
        <v>11.940777105359899</v>
      </c>
      <c r="U13" cm="1">
        <f t="array" ref="U13">_xlfn.PERCENTRANK.EXC(_xlfn._xlws.FILTER(Q$3:Q$15, ISNUMBER(Q$3:Q$15)),Q13)*100</f>
        <v>42.8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64.2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42.135000000000005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45379</v>
      </c>
      <c r="G14" s="4" cm="1">
        <f t="array" ref="G14">_xll.FDS(D14,"FMA_PE(LTM,0,,,""PORTAGG"",""MEANR"")")</f>
        <v>14.811734613270801</v>
      </c>
      <c r="H14" s="4" cm="1">
        <f t="array" ref="H14">_xll.FDS(D14,"FMA_PE(NTMA,0,,,""PORTAGG"",""MEANR"")")</f>
        <v>16.386712583916999</v>
      </c>
      <c r="I14" cm="1">
        <f t="array" ref="I14">_xll.FDS(D14,"FMA_DIV_YLD(NTMA,NOW,NOW,M,""PORTAGG"",""MEANR"")")</f>
        <v>3.2268300906465601</v>
      </c>
      <c r="J14" s="52" cm="1">
        <f t="array" ref="J14">IFERROR(_xll.FDS(D14,"FG_FCF_YIELD_NTM(0)"),(1/G14*100))</f>
        <v>5.0859189719086704</v>
      </c>
      <c r="K14" s="3" cm="1">
        <f t="array" ref="K14">_xll.FDS(D14,"FMA_EVAL_EBITDA(NTMA,0,,,""PORTAGG"",""MEANR"")")</f>
        <v>11.228502708925999</v>
      </c>
      <c r="L14" cm="1">
        <f t="array" ref="L14">_xll.FDS(D14,"FMA_EVAL_EBIT(LTMA,NOW,NOW,M,""PORTAGG"",""MEANR"")")</f>
        <v>15.952196503237801</v>
      </c>
      <c r="M14">
        <f>HLOOKUP(D14,'Index ROE'!$A$1:$N$25,25,FALSE)</f>
        <v>15.368050598212299</v>
      </c>
      <c r="N14">
        <f>VLOOKUP(A14,'LIQIDITY 2'!$A$3:$E$16,5,FALSE)</f>
        <v>2.5289999999999999</v>
      </c>
      <c r="O14" cm="1">
        <f t="array" ref="O14">IFERROR(IFERROR(_xll.FDS(B14,"IMF_IFS_RCPI_Q(0)"),_xll.FDS(B14,"IMF_IFS_RCPI_Q(-1AM)")),$D$23)</f>
        <v>5.5508369999999996</v>
      </c>
      <c r="P14">
        <f>VLOOKUP(E14,GDP_GROWTH!$B$10:$W$165,22,FALSE)</f>
        <v>1.8182767577278436</v>
      </c>
      <c r="Q14">
        <f t="shared" si="4"/>
        <v>0.69783009064656021</v>
      </c>
      <c r="R14" s="52">
        <f t="shared" si="5"/>
        <v>2.5569189719086705</v>
      </c>
      <c r="S14">
        <f t="shared" si="6"/>
        <v>12.8390505982123</v>
      </c>
      <c r="T14">
        <f t="shared" si="7"/>
        <v>9.8172135982122999</v>
      </c>
      <c r="U14" cm="1">
        <f t="array" ref="U14">_xlfn.PERCENTRANK.EXC(_xlfn._xlws.FILTER(Q$3:Q$15, ISNUMBER(Q$3:Q$15)),Q14)*100</f>
        <v>64.2</v>
      </c>
      <c r="V14" cm="1">
        <f t="array" ref="V14">_xlfn.PERCENTRANK.EXC(_xlfn._xlws.FILTER(R$3:R$15, ISNUMBER(R$3:R$15)),R14)*100</f>
        <v>64.2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71.500000000000014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42.8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59.280000000000008</v>
      </c>
      <c r="AC14" cm="1">
        <f t="array" ref="AC14">_xlfn.PERCENTRANK.EXC(_xlfn._xlws.FILTER(AB$3:AB$15, ISNUMBER(AB$3:AB$15)),AB14)*100</f>
        <v>57.099999999999994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45379</v>
      </c>
      <c r="G15" s="4" cm="1">
        <f t="array" ref="G15">_xll.FDS(D15,"FMA_PE(LTM,0,,,""PORTAGG"",""MEANR"")")</f>
        <v>10.8070992044353</v>
      </c>
      <c r="H15" s="4" cm="1">
        <f t="array" ref="H15">_xll.FDS(D15,"FMA_PE(NTMA,0,,,""PORTAGG"",""MEANR"")")</f>
        <v>9.6879336695509508</v>
      </c>
      <c r="I15" cm="1">
        <f t="array" ref="I15">_xll.FDS(D15,"FMA_DIV_YLD(NTMA,NOW,NOW,M,""PORTAGG"",""MEANR"")")</f>
        <v>5.0752224170755396</v>
      </c>
      <c r="J15" s="52" cm="1">
        <f t="array" ref="J15">IFERROR(_xll.FDS(D15,"FG_FCF_YIELD_NTM(0)"),(1/G15*100))</f>
        <v>6.3299273311122404</v>
      </c>
      <c r="K15" s="3" cm="1">
        <f t="array" ref="K15">_xll.FDS(D15,"FMA_EVAL_EBITDA(NTMA,0,,,""PORTAGG"",""MEANR"")")</f>
        <v>7.2563070369229603</v>
      </c>
      <c r="L15" cm="1">
        <f t="array" ref="L15">_xll.FDS(D15,"FMA_EVAL_EBIT(LTMA,NOW,NOW,M,""PORTAGG"",""MEANR"")")</f>
        <v>11.1913165051424</v>
      </c>
      <c r="M15">
        <f>HLOOKUP(D15,'Index ROE'!$A$1:$N$25,25,FALSE)</f>
        <v>13.3572177464321</v>
      </c>
      <c r="N15">
        <f>VLOOKUP(A15,'LIQIDITY 2'!$A$3:$E$16,5,FALSE)</f>
        <v>3.8380000000000001</v>
      </c>
      <c r="O15" cm="1">
        <f t="array" ref="O15">IFERROR(IFERROR(_xll.FDS(B15,"IMF_IFS_RCPI_Q(0)"),_xll.FDS(B15,"IMF_IFS_RCPI_Q(-1AM)")),$D$23)</f>
        <v>0.98369783</v>
      </c>
      <c r="P15">
        <f>VLOOKUP(E15,GDP_GROWTH!$B$10:$W$165,22,FALSE)</f>
        <v>0.32855305426654491</v>
      </c>
      <c r="Q15">
        <f t="shared" si="4"/>
        <v>1.2372224170755395</v>
      </c>
      <c r="R15" s="52">
        <f t="shared" si="5"/>
        <v>2.4919273311122403</v>
      </c>
      <c r="S15">
        <f t="shared" si="6"/>
        <v>9.5192177464321013</v>
      </c>
      <c r="T15">
        <f t="shared" si="7"/>
        <v>12.3735199164321</v>
      </c>
      <c r="U15" cm="1">
        <f t="array" ref="U15">_xlfn.PERCENTRANK.EXC(_xlfn._xlws.FILTER(Q$3:Q$15, ISNUMBER(Q$3:Q$15)),Q15)*100</f>
        <v>78.5</v>
      </c>
      <c r="V15" cm="1">
        <f t="array" ref="V15">_xlfn.PERCENTRANK.EXC(_xlfn._xlws.FILTER(R$3:R$15, ISNUMBER(R$3:R$15)),R15)*100</f>
        <v>57.099999999999994</v>
      </c>
      <c r="W15" cm="1">
        <f t="array" ref="W15">_xlfn.PERCENTRANK.EXC(_xlfn._xlws.FILTER(S$3:S$15, ISNUMBER(S$3:S$15)),S15)*100</f>
        <v>42.8</v>
      </c>
      <c r="X15" cm="1">
        <f t="array" ref="X15">(1-_xlfn.PERCENTRANK.EXC(_xlfn._xlws.FILTER(G$3:G$15, ISNUMBER(G$3:G$15)),G15))*100</f>
        <v>85.8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74.295000000000002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45351</v>
      </c>
      <c r="G19" s="4" cm="1">
        <f t="array" ref="G19">_xll.FDS(D19,"FG_PE(0)")</f>
        <v>12.7836580214099</v>
      </c>
      <c r="H19" s="4" cm="1">
        <f t="array" ref="H19">_xll.FDS(D19,"FG_PE_NTM(0,,,90,0)")</f>
        <v>14.0006113777981</v>
      </c>
      <c r="I19" cm="1">
        <f t="array" ref="I19">_xll.FDS(D19,"FMA_DIV_YLD(NTMA,NOW,NOW,M,""PORTAGG"",""MEANR"")")</f>
        <v>3.5861180093940299</v>
      </c>
      <c r="J19" s="52" cm="1">
        <f t="array" ref="J19">_xll.FDS(D19,"FG_FCF_YIELD_NTM(0)")</f>
        <v>5.0241749167684198</v>
      </c>
      <c r="K19" s="3" cm="1">
        <f t="array" ref="K19">_xll.FDS(D19,"FMA_EVAL_EBITDA(NTMA,0,,,""PORTAGG"",""MEANR"")")</f>
        <v>9.0787224134159796</v>
      </c>
      <c r="L19" cm="1">
        <f t="array" ref="L19">_xll.FDS(D19,"FMA_EVAL_EBIT(LTMA,NOW,NOW,M,""PORTAGG"",""MEANR"")")</f>
        <v>13.214443514477599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45351</v>
      </c>
      <c r="G20" s="4" cm="1">
        <f t="array" ref="G20">_xll.FDS(D20,"FG_PE(0)")</f>
        <v>13.8554143646629</v>
      </c>
      <c r="H20" s="4" cm="1">
        <f t="array" ref="H20">_xll.FDS(D20,"FG_PE_NTM(0,,,90,0)")</f>
        <v>14.211001732183799</v>
      </c>
      <c r="I20" cm="1">
        <f t="array" ref="I20">_xll.FDS(D20,"FMA_DIV_YLD(NTMA,NOW,NOW,M,""PORTAGG"",""MEANR"")")</f>
        <v>3.0686008878767601</v>
      </c>
      <c r="J20" s="52" cm="1">
        <f t="array" ref="J20">_xll.FDS(D20,"FG_FCF_YIELD_NTM(0)")</f>
        <v>4.90641837424225</v>
      </c>
      <c r="K20" s="3" cm="1">
        <f t="array" ref="K20">_xll.FDS(D20,"FMA_EVAL_EBITDA(NTMA,0,,,""PORTAGG"",""MEANR"")")</f>
        <v>9.6143986983935097</v>
      </c>
      <c r="L20" cm="1">
        <f t="array" ref="L20">_xll.FDS(D20,"FMA_EVAL_EBIT(LTMA,NOW,NOW,M,""PORTAGG"",""MEANR"")")</f>
        <v>14.3857817367811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IFERROR(_xll.FDS(B23,"IMF_IFS_RCPI_Q(0)"),_xll.FDS(B23,"IMF_IFS_RCPI_Q(-1AM)"))</f>
        <v>3.2433991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4.8124000000000002</v>
      </c>
      <c r="G3" s="26" cm="1">
        <f t="array" ref="G3">_xll.FDSB(C3,"PCTCHG(FG_YIELD(0,,,,""YTM""),FG_YIELD(-1AM,,,,""YTM""))")</f>
        <v>4.7129973999999999</v>
      </c>
      <c r="H3" s="26" cm="1">
        <f t="array" ref="H3">_xll.FDSB(C3,"PCTCHG(FG_YIELD(0,,,,""YTM""),FG_YIELD(-3AM,,,,""YTM""))")</f>
        <v>2.3022412999999999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0.68759999999999977</v>
      </c>
      <c r="S3">
        <f t="shared" ref="S3:S15" si="1">IF(M3&gt; 0, 0, 1)</f>
        <v>0</v>
      </c>
      <c r="T3">
        <f t="shared" ref="T3:T15" si="2">IF(G3&lt;0, 1, 0)</f>
        <v>0</v>
      </c>
      <c r="U3">
        <f t="shared" ref="U3:U15" si="3">IF(H3&lt;0, 1, 0)</f>
        <v>0</v>
      </c>
      <c r="V3" s="47">
        <f t="shared" ref="V3:V15" si="4">SUMPRODUCT($S$1:$U$1,S3:U3)</f>
        <v>0</v>
      </c>
      <c r="X3">
        <f>_xlfn.PERCENTRANK.EXC($V$3:$V$15,V3)*100</f>
        <v>7.1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4.2549999999999999</v>
      </c>
      <c r="G4" s="26" cm="1">
        <f t="array" ref="G4">_xll.FDSB(C4,"PCTCHG(FG_YIELD(0,,,,""YTM""),FG_YIELD(-1AM,,,,""YTM""))")</f>
        <v>7.6670100000000003</v>
      </c>
      <c r="H4" s="26" cm="1">
        <f t="array" ref="H4">_xll.FDSB(C4,"PCTCHG(FG_YIELD(0,,,,""YTM""),FG_YIELD(-3AM,,,,""YTM""))")</f>
        <v>3.5279799999999999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9.4999999999999751E-2</v>
      </c>
      <c r="S4">
        <f t="shared" si="1"/>
        <v>0</v>
      </c>
      <c r="T4">
        <f t="shared" si="2"/>
        <v>0</v>
      </c>
      <c r="U4">
        <f t="shared" si="3"/>
        <v>0</v>
      </c>
      <c r="V4" s="47">
        <f t="shared" si="4"/>
        <v>0</v>
      </c>
      <c r="X4">
        <f t="shared" ref="X4:X15" si="6">_xlfn.PERCENTRANK.EXC($V$3:$V$15,V4)*100</f>
        <v>7.1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3.7138</v>
      </c>
      <c r="G5" s="26" cm="1">
        <f t="array" ref="G5">_xll.FDSB(C5,"PCTCHG(FG_YIELD(0,,,,""YTM""),FG_YIELD(-1AM,,,,""YTM""))")</f>
        <v>10.684588</v>
      </c>
      <c r="H5" s="26" cm="1">
        <f t="array" ref="H5">_xll.FDSB(C5,"PCTCHG(FG_YIELD(0,,,,""YTM""),FG_YIELD(-3AM,,,,""YTM""))")</f>
        <v>14.871634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O5" s="26">
        <f t="shared" si="5"/>
        <v>1.2862</v>
      </c>
      <c r="S5">
        <f t="shared" si="1"/>
        <v>0</v>
      </c>
      <c r="T5">
        <f t="shared" si="2"/>
        <v>0</v>
      </c>
      <c r="U5">
        <f t="shared" si="3"/>
        <v>0</v>
      </c>
      <c r="V5" s="47">
        <f t="shared" si="4"/>
        <v>0</v>
      </c>
      <c r="X5">
        <f t="shared" si="6"/>
        <v>7.1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2.476</v>
      </c>
      <c r="G6" s="26" cm="1">
        <f t="array" ref="G6">_xll.FDSB(C6,"PCTCHG(FG_YIELD(0,,,,""YTM""),FG_YIELD(-1AM,,,,""YTM""))")</f>
        <v>7.4186550000000002</v>
      </c>
      <c r="H6" s="26" cm="1">
        <f t="array" ref="H6">_xll.FDSB(C6,"PCTCHG(FG_YIELD(0,,,,""YTM""),FG_YIELD(-3AM,,,,""YTM""))")</f>
        <v>13.525909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O6" s="26">
        <f t="shared" si="5"/>
        <v>2.024</v>
      </c>
      <c r="S6">
        <f t="shared" si="1"/>
        <v>0</v>
      </c>
      <c r="T6">
        <f t="shared" si="2"/>
        <v>0</v>
      </c>
      <c r="U6">
        <f t="shared" si="3"/>
        <v>0</v>
      </c>
      <c r="V6" s="47">
        <f t="shared" si="4"/>
        <v>0</v>
      </c>
      <c r="X6">
        <f t="shared" si="6"/>
        <v>7.1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0.85609999999999997</v>
      </c>
      <c r="G7" s="26" cm="1">
        <f t="array" ref="G7">_xll.FDSB(C7,"PCTCHG(FG_YIELD(0,,,,""YTM""),FG_YIELD(-1AM,,,,""YTM""))")</f>
        <v>13.1808605</v>
      </c>
      <c r="H7" s="26" cm="1">
        <f t="array" ref="H7">_xll.FDSB(C7,"PCTCHG(FG_YIELD(0,,,,""YTM""),FG_YIELD(-3AM,,,,""YTM""))")</f>
        <v>40.852257000000002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0.1</v>
      </c>
      <c r="M7" s="36" cm="1">
        <f t="array" ref="M7">_xll.FDSB(J7,"(SUBARRAY(NOT_NA(NO_REPEAT_F(FG_YIELD(now,-10AY,D))),0,1)-SUBARRAY(NOT_NA(NO_REPEAT_F(FG_YIELD(now,-10AY,D))),1,1))*100")</f>
        <v>20</v>
      </c>
      <c r="N7" s="38">
        <f t="shared" si="0"/>
        <v>-20</v>
      </c>
      <c r="O7" s="26">
        <f t="shared" si="5"/>
        <v>-0.75609999999999999</v>
      </c>
      <c r="S7">
        <f t="shared" si="1"/>
        <v>0</v>
      </c>
      <c r="T7">
        <f t="shared" si="2"/>
        <v>0</v>
      </c>
      <c r="U7">
        <f t="shared" si="3"/>
        <v>0</v>
      </c>
      <c r="V7" s="47">
        <f t="shared" si="4"/>
        <v>0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0.751</v>
      </c>
      <c r="G8" s="26" cm="1">
        <f t="array" ref="G8">_xll.FDSB(C8,"PCTCHG(FG_YIELD(0,,,,""YTM""),FG_YIELD(-1AM,,,,""YTM""))")</f>
        <v>4.0166183000000002</v>
      </c>
      <c r="H8" s="26" cm="1">
        <f t="array" ref="H8">_xll.FDSB(C8,"PCTCHG(FG_YIELD(0,,,,""YTM""),FG_YIELD(-3AM,,,,""YTM""))")</f>
        <v>-13.876144999999999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0.749</v>
      </c>
      <c r="S8">
        <f t="shared" si="1"/>
        <v>1</v>
      </c>
      <c r="T8">
        <f t="shared" si="2"/>
        <v>0</v>
      </c>
      <c r="U8">
        <f t="shared" si="3"/>
        <v>1</v>
      </c>
      <c r="V8" s="47">
        <f t="shared" si="4"/>
        <v>0.75</v>
      </c>
      <c r="X8">
        <f t="shared" si="6"/>
        <v>92.800000000000011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4.2279999999999998</v>
      </c>
      <c r="G9" s="26" cm="1">
        <f t="array" ref="G9">_xll.FDSB(C9,"PCTCHG(FG_YIELD(0,,,,""YTM""),FG_YIELD(-1AM,,,,""YTM""))")</f>
        <v>3.8055539999999999</v>
      </c>
      <c r="H9" s="26" cm="1">
        <f t="array" ref="H9">_xll.FDSB(C9,"PCTCHG(FG_YIELD(0,,,,""YTM""),FG_YIELD(-3AM,,,,""YTM""))")</f>
        <v>10.883823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5.25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O9" s="26">
        <f t="shared" si="5"/>
        <v>1.0220000000000002</v>
      </c>
      <c r="S9">
        <f t="shared" si="1"/>
        <v>0</v>
      </c>
      <c r="T9">
        <f t="shared" si="2"/>
        <v>0</v>
      </c>
      <c r="U9">
        <f t="shared" si="3"/>
        <v>0</v>
      </c>
      <c r="V9" s="47">
        <f t="shared" si="4"/>
        <v>0</v>
      </c>
      <c r="X9">
        <f t="shared" si="6"/>
        <v>7.1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4.5712000000000002</v>
      </c>
      <c r="G10" s="26" cm="1">
        <f t="array" ref="G10">_xll.FDSB(C10,"PCTCHG(FG_YIELD(0,,,,""YTM""),FG_YIELD(-1AM,,,,""YTM""))")</f>
        <v>11.555256999999999</v>
      </c>
      <c r="H10" s="26" cm="1">
        <f t="array" ref="H10">_xll.FDSB(C10,"PCTCHG(FG_YIELD(0,,,,""YTM""),FG_YIELD(-3AM,,,,""YTM""))")</f>
        <v>14.883131000000001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0.92879999999999985</v>
      </c>
      <c r="S10">
        <f t="shared" si="1"/>
        <v>0</v>
      </c>
      <c r="T10">
        <f t="shared" si="2"/>
        <v>0</v>
      </c>
      <c r="U10">
        <f t="shared" si="3"/>
        <v>0</v>
      </c>
      <c r="V10" s="47">
        <f t="shared" si="4"/>
        <v>0</v>
      </c>
      <c r="X10">
        <f t="shared" si="6"/>
        <v>7.1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4.5712000000000002</v>
      </c>
      <c r="G11" s="26" cm="1">
        <f t="array" ref="G11">_xll.FDSB(C11,"PCTCHG(FG_YIELD(0,,,,""YTM""),FG_YIELD(-1AM,,,,""YTM""))")</f>
        <v>11.555256999999999</v>
      </c>
      <c r="H11" s="26" cm="1">
        <f t="array" ref="H11">_xll.FDSB(C11,"PCTCHG(FG_YIELD(0,,,,""YTM""),FG_YIELD(-3AM,,,,""YTM""))")</f>
        <v>14.883131000000001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0.92879999999999985</v>
      </c>
      <c r="S11">
        <f t="shared" si="1"/>
        <v>0</v>
      </c>
      <c r="T11">
        <f t="shared" si="2"/>
        <v>0</v>
      </c>
      <c r="U11">
        <f t="shared" si="3"/>
        <v>0</v>
      </c>
      <c r="V11" s="47">
        <f t="shared" si="4"/>
        <v>0</v>
      </c>
      <c r="X11">
        <f t="shared" si="6"/>
        <v>7.1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2.9740000000000002</v>
      </c>
      <c r="G12" s="26" cm="1">
        <f t="array" ref="G12">_xll.FDSB(C12,"PCTCHG(FG_YIELD(0,,,,""YTM""),FG_YIELD(-1AM,,,,""YTM""))")</f>
        <v>7.7926754999999996</v>
      </c>
      <c r="H12" s="26" cm="1">
        <f t="array" ref="H12">_xll.FDSB(C12,"PCTCHG(FG_YIELD(0,,,,""YTM""),FG_YIELD(-3AM,,,,""YTM""))")</f>
        <v>9.6203430000000001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O12" s="26">
        <f t="shared" si="5"/>
        <v>1.5259999999999998</v>
      </c>
      <c r="S12">
        <f t="shared" si="1"/>
        <v>0</v>
      </c>
      <c r="T12">
        <f t="shared" si="2"/>
        <v>0</v>
      </c>
      <c r="U12">
        <f t="shared" si="3"/>
        <v>0</v>
      </c>
      <c r="V12" s="47">
        <f t="shared" si="4"/>
        <v>0</v>
      </c>
      <c r="X12">
        <f t="shared" si="6"/>
        <v>7.1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2.7690000000000001</v>
      </c>
      <c r="G13" s="26" cm="1">
        <f t="array" ref="G13">_xll.FDSB(C13,"PCTCHG(FG_YIELD(0,,,,""YTM""),FG_YIELD(-1AM,,,,""YTM""))")</f>
        <v>6.2548003000000003</v>
      </c>
      <c r="H13" s="26" cm="1">
        <f t="array" ref="H13">_xll.FDSB(C13,"PCTCHG(FG_YIELD(0,,,,""YTM""),FG_YIELD(-3AM,,,,""YTM""))")</f>
        <v>11.428578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4.5</v>
      </c>
      <c r="M13" s="36" cm="1">
        <f t="array" ref="M13">_xll.FDSB(J13,"(SUBARRAY(NOT_NA(NO_REPEAT_F(FG_YIELD(now,-10AY,D))),0,1)-SUBARRAY(NOT_NA(NO_REPEAT_F(FG_YIELD(now,-10AY,D))),1,1))*100")</f>
        <v>25</v>
      </c>
      <c r="N13" s="38">
        <f t="shared" si="0"/>
        <v>-25</v>
      </c>
      <c r="O13" s="26">
        <f t="shared" si="5"/>
        <v>1.7309999999999999</v>
      </c>
      <c r="S13">
        <f t="shared" si="1"/>
        <v>0</v>
      </c>
      <c r="T13">
        <f t="shared" si="2"/>
        <v>0</v>
      </c>
      <c r="U13">
        <f t="shared" si="3"/>
        <v>0</v>
      </c>
      <c r="V13" s="47">
        <f t="shared" si="4"/>
        <v>0</v>
      </c>
      <c r="X13">
        <f t="shared" si="6"/>
        <v>7.1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2.5289999999999999</v>
      </c>
      <c r="G14" s="26" cm="1">
        <f t="array" ref="G14">_xll.FDSB(C14,"PCTCHG(FG_YIELD(0,,,,""YTM""),FG_YIELD(-1AM,,,,""YTM""))")</f>
        <v>11.164832000000001</v>
      </c>
      <c r="H14" s="26" cm="1">
        <f t="array" ref="H14">_xll.FDSB(C14,"PCTCHG(FG_YIELD(0,,,,""YTM""),FG_YIELD(-3AM,,,,""YTM""))")</f>
        <v>13.002687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4</v>
      </c>
      <c r="M14" s="36" cm="1">
        <f t="array" ref="M14">_xll.FDSB(J14,"(SUBARRAY(NOT_NA(NO_REPEAT_F(FG_YIELD(now,-10AY,D))),0,1)-SUBARRAY(NOT_NA(NO_REPEAT_F(FG_YIELD(now,-10AY,D))),1,1))*100")</f>
        <v>25</v>
      </c>
      <c r="N14" s="38">
        <f t="shared" si="0"/>
        <v>-25</v>
      </c>
      <c r="O14" s="26">
        <f t="shared" si="5"/>
        <v>1.4710000000000001</v>
      </c>
      <c r="S14">
        <f t="shared" si="1"/>
        <v>0</v>
      </c>
      <c r="T14">
        <f t="shared" si="2"/>
        <v>0</v>
      </c>
      <c r="U14">
        <f t="shared" si="3"/>
        <v>0</v>
      </c>
      <c r="V14" s="47">
        <f t="shared" si="4"/>
        <v>0</v>
      </c>
      <c r="X14">
        <f t="shared" si="6"/>
        <v>7.1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3.8380000000000001</v>
      </c>
      <c r="G15" s="26" cm="1">
        <f t="array" ref="G15">_xll.FDSB(C15,"PCTCHG(FG_YIELD(0,,,,""YTM""),FG_YIELD(-1AM,,,,""YTM""))")</f>
        <v>5.8174789999999996</v>
      </c>
      <c r="H15" s="26" cm="1">
        <f t="array" ref="H15">_xll.FDSB(C15,"PCTCHG(FG_YIELD(0,,,,""YTM""),FG_YIELD(-3AM,,,,""YTM""))")</f>
        <v>1.2664933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O15" s="26">
        <f t="shared" si="5"/>
        <v>0.66199999999999992</v>
      </c>
      <c r="S15">
        <f t="shared" si="1"/>
        <v>0</v>
      </c>
      <c r="T15">
        <f t="shared" si="2"/>
        <v>0</v>
      </c>
      <c r="U15">
        <f t="shared" si="3"/>
        <v>0</v>
      </c>
      <c r="V15" s="47">
        <f t="shared" si="4"/>
        <v>0</v>
      </c>
      <c r="X15">
        <f t="shared" si="6"/>
        <v>7.1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4.5712000000000002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4.8124000000000002</v>
      </c>
      <c r="H2" cm="1">
        <f t="array" ref="H2">_xll.FDS(B2,"FG_ROE(0)")</f>
        <v>5.59792719698184</v>
      </c>
      <c r="I2">
        <f>HLOOKUP(B2,'Index ROE'!$B$1:$N$25,24,FALSE)</f>
        <v>9.8238973987983247</v>
      </c>
      <c r="J2" cm="1">
        <f t="array" ref="J2">_xll.FDS(B2, "FMA_RBICS_REV_CURRENT(30, LOC, ""PORTAGG"")")</f>
        <v>13.7517044499309</v>
      </c>
      <c r="K2" s="74">
        <f>HLOOKUP(B2,'Index earnings'!$B$1:$N$25,25,FALSE)</f>
        <v>-9.3828148339384354E-3</v>
      </c>
      <c r="L2">
        <f>HLOOKUP(A2,'Yearly returns'!$B$1:$N$128,126,FALSE)</f>
        <v>-32.247996999999998</v>
      </c>
      <c r="M2">
        <f t="shared" ref="M2:M10" si="0">I2-G2</f>
        <v>5.0114973987983245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28.499999999999996</v>
      </c>
      <c r="R2">
        <f>N2*Assumption!$F$64 + O2*Assumption!$F$61 + P2*Assumption!$F$62 + Q2*Assumption!$F$63</f>
        <v>28.55</v>
      </c>
      <c r="S2" cm="1">
        <f t="array" ref="S2">_xlfn.PERCENTRANK.EXC(_xlfn._xlws.FILTER(R$2:R$14, ISNUMBER(R$2:R$14)),R2)*100</f>
        <v>14.2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4.2549999999999999</v>
      </c>
      <c r="H3" cm="1">
        <f t="array" ref="H3">_xll.FDS(B3,"FG_ROE(0)")</f>
        <v>12.874843894021801</v>
      </c>
      <c r="I3">
        <f>HLOOKUP(B3,'Index ROE'!$B$1:$N$25,24,FALSE)</f>
        <v>13.020733299173699</v>
      </c>
      <c r="J3" cm="1">
        <f t="array" ref="J3">_xll.FDS(B3, "FMA_RBICS_REV_CURRENT(30, LOC, ""PORTAGG"")")</f>
        <v>40.715109646395</v>
      </c>
      <c r="K3" s="74">
        <f>HLOOKUP(B3,'Index earnings'!$B$1:$N$25,25,FALSE)</f>
        <v>1.1173841089814562E-2</v>
      </c>
      <c r="L3">
        <f>HLOOKUP(A3,'Yearly returns'!$B$1:$N$128,126,FALSE)</f>
        <v>-25.985997999999999</v>
      </c>
      <c r="M3">
        <f t="shared" si="0"/>
        <v>8.7657332991737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14.3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64.2</v>
      </c>
      <c r="R3">
        <f>N3*Assumption!$F$64 + O3*Assumption!$F$61 + P3*Assumption!$F$62 + Q3*Assumption!$F$63</f>
        <v>35.674999999999997</v>
      </c>
      <c r="S3" cm="1">
        <f t="array" ref="S3">_xlfn.PERCENTRANK.EXC(_xlfn._xlws.FILTER(R$2:R$14, ISNUMBER(R$2:R$14)),R3)*100</f>
        <v>21.4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3.7138</v>
      </c>
      <c r="H4" cm="1">
        <f t="array" ref="H4">_xll.FDS(B4,"FG_ROE(0)")</f>
        <v>11.253852862904999</v>
      </c>
      <c r="I4">
        <f>HLOOKUP(B4,'Index ROE'!$B$1:$N$25,24,FALSE)</f>
        <v>12.7516875895064</v>
      </c>
      <c r="J4" cm="1">
        <f t="array" ref="J4">_xll.FDS(B4, "FMA_RBICS_REV_CURRENT(30, LOC, ""PORTAGG"")")</f>
        <v>40.919830747367598</v>
      </c>
      <c r="K4" s="74">
        <f>HLOOKUP(B4,'Index earnings'!$B$1:$N$25,25,FALSE)</f>
        <v>4.0909866878857226E-2</v>
      </c>
      <c r="L4">
        <f>HLOOKUP(A4,'Yearly returns'!$B$1:$N$128,126,FALSE)</f>
        <v>-26.906717</v>
      </c>
      <c r="M4">
        <f t="shared" si="0"/>
        <v>9.0378875895064006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7.1999999999999957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50</v>
      </c>
      <c r="R4">
        <f>N4*Assumption!$F$64 + O4*Assumption!$F$61 + P4*Assumption!$F$62 + Q4*Assumption!$F$63</f>
        <v>42.849999999999994</v>
      </c>
      <c r="S4" cm="1">
        <f t="array" ref="S4">_xlfn.PERCENTRANK.EXC(_xlfn._xlws.FILTER(R$2:R$14, ISNUMBER(R$2:R$14)),R4)*100</f>
        <v>42.8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2.476</v>
      </c>
      <c r="H5" cm="1">
        <f t="array" ref="H5">_xll.FDS(B5,"FG_ROE(0)")</f>
        <v>12.5008036282918</v>
      </c>
      <c r="I5">
        <f>HLOOKUP(B5,'Index ROE'!$B$1:$N$25,24,FALSE)</f>
        <v>11.98466060872375</v>
      </c>
      <c r="J5" cm="1">
        <f t="array" ref="J5">_xll.FDS(B5, "FMA_RBICS_REV_CURRENT(30, LOC, ""PORTAGG"")")</f>
        <v>22.665656730961999</v>
      </c>
      <c r="K5" s="74">
        <f>HLOOKUP(B5,'Index earnings'!$B$1:$N$25,25,FALSE)</f>
        <v>2.829167218053974E-2</v>
      </c>
      <c r="L5">
        <f>HLOOKUP(A5,'Yearly returns'!$B$1:$N$128,126,FALSE)</f>
        <v>-36.777749999999997</v>
      </c>
      <c r="M5">
        <f t="shared" si="0"/>
        <v>9.5086606087237513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14.2</v>
      </c>
      <c r="R5">
        <f>N5*Assumption!$F$64 + O5*Assumption!$F$61 + P5*Assumption!$F$62 + Q5*Assumption!$F$63</f>
        <v>41.05</v>
      </c>
      <c r="S5" cm="1">
        <f t="array" ref="S5">_xlfn.PERCENTRANK.EXC(_xlfn._xlws.FILTER(R$2:R$14, ISNUMBER(R$2:R$14)),R5)*100</f>
        <v>28.499999999999996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0.85609999999999997</v>
      </c>
      <c r="H6" cm="1">
        <f t="array" ref="H6">_xll.FDS(B6,"FG_ROE(0)")</f>
        <v>9.8155623540003099</v>
      </c>
      <c r="I6">
        <f>HLOOKUP(B6,'Index ROE'!$B$1:$N$25,24,FALSE)</f>
        <v>8.994618118763011</v>
      </c>
      <c r="J6" cm="1">
        <f t="array" ref="J6">_xll.FDS(B6, "FMA_RBICS_REV_CURRENT(30, LOC, ""PORTAGG"")")</f>
        <v>17.709190961877798</v>
      </c>
      <c r="K6" s="74">
        <f>HLOOKUP(B6,'Index earnings'!$B$1:$N$25,25,FALSE)</f>
        <v>2.4097093275216253E-2</v>
      </c>
      <c r="L6">
        <f>HLOOKUP(A6,'Yearly returns'!$B$1:$N$128,126,FALSE)</f>
        <v>-26.293056</v>
      </c>
      <c r="M6">
        <f t="shared" si="0"/>
        <v>8.1385181187630113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64.3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57.099999999999994</v>
      </c>
      <c r="R6">
        <f>N6*Assumption!$F$64 + O6*Assumption!$F$61 + P6*Assumption!$F$62 + Q6*Assumption!$F$63</f>
        <v>46.4</v>
      </c>
      <c r="S6" cm="1">
        <f t="array" ref="S6">_xlfn.PERCENTRANK.EXC(_xlfn._xlws.FILTER(R$2:R$14, ISNUMBER(R$2:R$14)),R6)*100</f>
        <v>57.099999999999994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0.751</v>
      </c>
      <c r="H7" cm="1">
        <f t="array" ref="H7">_xll.FDS(B7,"FG_ROE(0)")</f>
        <v>24.177500142427899</v>
      </c>
      <c r="I7">
        <f>HLOOKUP(B7,'Index ROE'!$B$1:$N$25,24,FALSE)</f>
        <v>15.55096443559315</v>
      </c>
      <c r="J7" cm="1">
        <f t="array" ref="J7">_xll.FDS(B7, "FMA_RBICS_REV_CURRENT(30, LOC, ""PORTAGG"")")</f>
        <v>18.538187285443801</v>
      </c>
      <c r="K7" s="74">
        <f>HLOOKUP(B7,'Index earnings'!$B$1:$N$25,25,FALSE)</f>
        <v>4.6608631187242899E-2</v>
      </c>
      <c r="L7">
        <f>HLOOKUP(A7,'Yearly returns'!$B$1:$N$128,126,FALSE)</f>
        <v>-20.218342</v>
      </c>
      <c r="M7">
        <f t="shared" si="0"/>
        <v>14.79996443559315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50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74.974999999999994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4.2279999999999998</v>
      </c>
      <c r="H8" cm="1">
        <f t="array" ref="H8">_xll.FDS(B8,"FG_ROE(0)")</f>
        <v>17.082085206959601</v>
      </c>
      <c r="I8">
        <f>HLOOKUP(B8,'Index ROE'!$B$1:$N$25,24,FALSE)</f>
        <v>14.561964916400001</v>
      </c>
      <c r="J8" cm="1">
        <f t="array" ref="J8">_xll.FDS(B8, "FMA_RBICS_REV_CURRENT(30, LOC, ""PORTAGG"")")</f>
        <v>17.713937164803198</v>
      </c>
      <c r="K8" s="74">
        <f>HLOOKUP(B8,'Index earnings'!$B$1:$N$25,25,FALSE)</f>
        <v>3.7126015866522089E-3</v>
      </c>
      <c r="L8">
        <f>HLOOKUP(A8,'Yearly returns'!$B$1:$N$128,126,FALSE)</f>
        <v>-22.542137</v>
      </c>
      <c r="M8">
        <f t="shared" si="0"/>
        <v>10.333964916400001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57.2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78.5</v>
      </c>
      <c r="R8">
        <f>N8*Assumption!$F$64 + O8*Assumption!$F$61 + P8*Assumption!$F$62 + Q8*Assumption!$F$63</f>
        <v>53.524999999999999</v>
      </c>
      <c r="S8" cm="1">
        <f t="array" ref="S8">_xlfn.PERCENTRANK.EXC(_xlfn._xlws.FILTER(R$2:R$14, ISNUMBER(R$2:R$14)),R8)*100</f>
        <v>64.2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4.5712000000000002</v>
      </c>
      <c r="H9" cm="1">
        <f t="array" ref="H9">_xll.FDS(B9,"FG_ROE(0)")</f>
        <v>21.596275879692801</v>
      </c>
      <c r="I9">
        <f>HLOOKUP(B9,'Index ROE'!$B$1:$N$25,24,FALSE)</f>
        <v>21.036882269896502</v>
      </c>
      <c r="J9" cm="1">
        <f t="array" ref="J9">_xll.FDS(B9, "FMA_RBICS_REV_CURRENT(30, LOC, ""PORTAGG"")")</f>
        <v>0.86103906844516598</v>
      </c>
      <c r="K9" s="74">
        <f>HLOOKUP(B9,'Index earnings'!$B$1:$N$25,25,FALSE)</f>
        <v>0.1298893227578648</v>
      </c>
      <c r="L9">
        <f>HLOOKUP(A9,'Yearly returns'!$B$1:$N$128,126,FALSE)</f>
        <v>-27.922893999999999</v>
      </c>
      <c r="M9">
        <f t="shared" si="0"/>
        <v>16.465682269896501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42.8</v>
      </c>
      <c r="R9">
        <f>N9*Assumption!$F$64 + O9*Assumption!$F$61 + P9*Assumption!$F$62 + Q9*Assumption!$F$63</f>
        <v>80.325000000000003</v>
      </c>
      <c r="S9" cm="1">
        <f t="array" ref="S9">_xlfn.PERCENTRANK.EXC(_xlfn._xlws.FILTER(R$2:R$14, ISNUMBER(R$2:R$14)),R9)*100</f>
        <v>85.7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4.5712000000000002</v>
      </c>
      <c r="H10" cm="1">
        <f t="array" ref="H10">_xll.FDS(B10,"FG_ROE(0)")</f>
        <v>18.0336042004601</v>
      </c>
      <c r="I10">
        <f>HLOOKUP(B10,'Index ROE'!$B$1:$N$25,24,FALSE)</f>
        <v>16.391058174766847</v>
      </c>
      <c r="J10" cm="1">
        <f t="array" ref="J10">_xll.FDS(B10, "FMA_RBICS_REV_CURRENT(30, LOC, ""PORTAGG"")")</f>
        <v>12.5169610337793</v>
      </c>
      <c r="K10" s="74">
        <f>HLOOKUP(B10,'Index earnings'!$B$1:$N$25,25,FALSE)</f>
        <v>5.9820135432536281E-2</v>
      </c>
      <c r="L10">
        <f>HLOOKUP(A10,'Yearly returns'!$B$1:$N$128,126,FALSE)</f>
        <v>-16.454065</v>
      </c>
      <c r="M10">
        <f t="shared" si="0"/>
        <v>11.819858174766846</v>
      </c>
      <c r="N10" cm="1">
        <f t="array" ref="N10">_xlfn.PERCENTRANK.EXC(_xlfn._xlws.FILTER(M$2:M$14, ISNUMBER(M$2:M$14)),M10)*100</f>
        <v>71.399999999999991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82.125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2.9740000000000002</v>
      </c>
      <c r="H11" cm="1">
        <f t="array" ref="H11">_xll.FDS(B11,"FG_ROE(0)")</f>
        <v>12.8459188747412</v>
      </c>
      <c r="I11">
        <f>HLOOKUP(B11,'Index ROE'!$B$1:$N$25,24,FALSE)</f>
        <v>11.16089938202855</v>
      </c>
      <c r="J11" cm="1">
        <f t="array" ref="J11">_xll.FDS(B11, "FMA_RBICS_REV_CURRENT(30, LOC, ""PORTAGG"")")</f>
        <v>10.7938787406678</v>
      </c>
      <c r="K11" s="74">
        <f>HLOOKUP(B11,'Index earnings'!$B$1:$N$25,25,FALSE)</f>
        <v>1.8533725345370788E-2</v>
      </c>
      <c r="L11">
        <f>HLOOKUP(A11,'Yearly returns'!$B$1:$N$128,126,FALSE)</f>
        <v>-23.329317</v>
      </c>
      <c r="M11">
        <f t="shared" ref="M11:M14" si="1">I11-G11</f>
        <v>8.1868993820285496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71.399999999999991</v>
      </c>
      <c r="R11">
        <f>N11*Assumption!$F$64 + O11*Assumption!$F$61 + P11*Assumption!$F$62 + Q11*Assumption!$F$63</f>
        <v>55.349999999999994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2.7690000000000001</v>
      </c>
      <c r="H12" cm="1">
        <f t="array" ref="H12">_xll.FDS(B12,"FG_ROE(0)")</f>
        <v>11.3917660539284</v>
      </c>
      <c r="I12">
        <f>HLOOKUP(B12,'Index ROE'!$B$1:$N$25,24,FALSE)</f>
        <v>13.049660814670499</v>
      </c>
      <c r="J12" cm="1">
        <f t="array" ref="J12">_xll.FDS(B12, "FMA_RBICS_REV_CURRENT(30, LOC, ""PORTAGG"")")</f>
        <v>24.720039405119099</v>
      </c>
      <c r="K12" s="74">
        <f>HLOOKUP(B12,'Index earnings'!$B$1:$N$25,25,FALSE)</f>
        <v>3.4801405278536146E-2</v>
      </c>
      <c r="L12">
        <f>HLOOKUP(A12,'Yearly returns'!$B$1:$N$128,126,FALSE)</f>
        <v>-37.688859999999998</v>
      </c>
      <c r="M12">
        <f t="shared" si="1"/>
        <v>10.280660814670499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41.05</v>
      </c>
      <c r="S12" cm="1">
        <f t="array" ref="S12">_xlfn.PERCENTRANK.EXC(_xlfn._xlws.FILTER(R$2:R$14, ISNUMBER(R$2:R$14)),R12)*100</f>
        <v>28.499999999999996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2.5289999999999999</v>
      </c>
      <c r="H13" cm="1">
        <f t="array" ref="H13">_xll.FDS(B13,"FG_ROE(0)")</f>
        <v>16.1624094817968</v>
      </c>
      <c r="I13">
        <f>HLOOKUP(B13,'Index ROE'!$B$1:$N$25,24,FALSE)</f>
        <v>14.4428230567203</v>
      </c>
      <c r="J13" cm="1">
        <f t="array" ref="J13">_xll.FDS(B13, "FMA_RBICS_REV_CURRENT(30, LOC, ""PORTAGG"")")</f>
        <v>27.199824277955098</v>
      </c>
      <c r="K13" s="74">
        <f>HLOOKUP(B13,'Index earnings'!$B$1:$N$25,25,FALSE)</f>
        <v>2.4305006380541672E-2</v>
      </c>
      <c r="L13">
        <f>HLOOKUP(A13,'Yearly returns'!$B$1:$N$128,126,FALSE)</f>
        <v>-36.030769999999997</v>
      </c>
      <c r="M13">
        <f t="shared" si="1"/>
        <v>11.9138230567203</v>
      </c>
      <c r="N13" cm="1">
        <f t="array" ref="N13">_xlfn.PERCENTRANK.EXC(_xlfn._xlws.FILTER(M$2:M$14, ISNUMBER(M$2:M$14)),M13)*100</f>
        <v>78.5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21.4</v>
      </c>
      <c r="R13">
        <f>N13*Assumption!$F$64 + O13*Assumption!$F$61 + P13*Assumption!$F$62 + Q13*Assumption!$F$63</f>
        <v>44.625</v>
      </c>
      <c r="S13" cm="1">
        <f t="array" ref="S13">_xlfn.PERCENTRANK.EXC(_xlfn._xlws.FILTER(R$2:R$14, ISNUMBER(R$2:R$14)),R13)*100</f>
        <v>50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3.8380000000000001</v>
      </c>
      <c r="H14" cm="1">
        <f t="array" ref="H14">_xll.FDS(B14,"FG_ROE(0)")</f>
        <v>13.182446428688699</v>
      </c>
      <c r="I14">
        <f>HLOOKUP(B14,'Index ROE'!$B$1:$N$25,24,FALSE)</f>
        <v>9.6445775045501065</v>
      </c>
      <c r="J14" cm="1">
        <f t="array" ref="J14">_xll.FDS(B14, "FMA_RBICS_REV_CURRENT(30, LOC, ""PORTAGG"")")</f>
        <v>34.5462492743982</v>
      </c>
      <c r="K14" s="74">
        <f>HLOOKUP(B14,'Index earnings'!$B$1:$N$25,25,FALSE)</f>
        <v>9.2744046638129074E-3</v>
      </c>
      <c r="L14">
        <f>HLOOKUP(A14,'Yearly returns'!$B$1:$N$128,126,FALSE)</f>
        <v>-29.566061000000001</v>
      </c>
      <c r="M14">
        <f t="shared" si="1"/>
        <v>5.8065775045501065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35.699999999999996</v>
      </c>
      <c r="R14">
        <f>N14*Assumption!$F$64 + O14*Assumption!$F$61 + P14*Assumption!$F$62 + Q14*Assumption!$F$63</f>
        <v>23.199999999999996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90758</v>
      </c>
      <c r="E3" cm="1">
        <f t="array" ref="E3">_xll.FDS(C3,"FMA_COS_UP(""EPS"",""1M"",+1,0,,,""PORTAGG"",""MEANR"")")</f>
        <v>3</v>
      </c>
      <c r="F3" cm="1">
        <f t="array" ref="F3">_xll.FDS(C3,"FMA_COS_DOWN(""EPS"",""1M"",+1,0,,,""PORTAGG"",""MEANR"")")</f>
        <v>3</v>
      </c>
      <c r="G3" cm="1">
        <f t="array" ref="G3">_xll.FDS(A3,"SIZE(FG_CONSTITUENTS)")</f>
        <v>14</v>
      </c>
      <c r="H3" s="9">
        <f t="shared" ref="H3:H11" si="0">E3/$G3</f>
        <v>0.21428571428571427</v>
      </c>
      <c r="I3" s="9">
        <f t="shared" ref="I3:I11" si="1">F3/$G3</f>
        <v>0.21428571428571427</v>
      </c>
      <c r="J3" s="9">
        <f t="shared" ref="J3:J11" si="2">H3-I3</f>
        <v>0</v>
      </c>
      <c r="K3" s="5" cm="1">
        <f t="array" ref="K3">_xll.FDS(A3,"FMA_PCT_ABOVE_MAVG(200,0,,,,""PORTAGG"")")/100</f>
        <v>0.42857142857142899</v>
      </c>
      <c r="L3" s="41" cm="1">
        <f t="array" ref="L3">_xll.FDSB(A3,"PERCENT_CHANGE(FMA_EPS(+1,0,,,,""PORTAGG"",""MEAN""),FMA_EPS(+1,-1AM,,,,""PORTAGG"",""MEAN""))")</f>
        <v>-2.8808700389686899</v>
      </c>
      <c r="M3" s="41" cm="1">
        <f t="array" ref="M3">_xll.FDSB(A3,"PERCENT_CHANGE(FMA_EPS(+1,0,,,,""PORTAGG"",""MEAN""),FMA_EPS(+1,-3AM,,,,""PORTAGG"",""MEAN""))")</f>
        <v>-15.3610499928545</v>
      </c>
      <c r="N3" s="3" cm="1">
        <f t="array" ref="N3">_xll.FDS(C3,"FG_TOTAL_RETURNC(0,-1AM)")</f>
        <v>-1.4237641999999999</v>
      </c>
      <c r="O3" s="3" cm="1">
        <f t="array" ref="O3">_xll.FDS(C3,"FG_TOTAL_RETURNC(0,-3AM)")</f>
        <v>-5.2048500000000004</v>
      </c>
      <c r="P3" s="3" cm="1">
        <f t="array" ref="P3">_xll.FDS(C3,"FG_TOTAL_RETURNC(0,-6AM)")</f>
        <v>2.7835964999999998</v>
      </c>
      <c r="Q3" s="9" cm="1">
        <f t="array" ref="Q3">_xll.FDS(C3,"P_PRICE(0)/P_PRICE_HIGH_PR(0,,,,,,""PRICE"",""INTRA"",""52W"")")</f>
        <v>0.88401556000000003</v>
      </c>
      <c r="R3" s="9" cm="1">
        <f t="array" ref="R3">_xll.FDS(C3,"P_PRICE(0)/P_PRICE_low_PR(0,,,,,,""PRICE"",""INTRA"",""52W"")-1")</f>
        <v>0.105286</v>
      </c>
      <c r="S3" s="3" cm="1">
        <f t="array" ref="S3">_xll.FDS(C3,"FG_TOTAL_RETURNC(0,-12AM)")</f>
        <v>-5.7315589999999998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28.499999999999996</v>
      </c>
      <c r="AC3" s="4">
        <f t="shared" ref="AC3:AC15" si="4">_xlfn.PERCENTRANK.EXC($L$3:$L$15,L3)*100</f>
        <v>7.1</v>
      </c>
      <c r="AD3" s="4">
        <f t="shared" ref="AD3:AD15" si="5">_xlfn.PERCENTRANK.EXC($M$3:$M$15,M3)*100</f>
        <v>7.1</v>
      </c>
      <c r="AE3" s="4">
        <f t="shared" ref="AE3:AE15" si="6">_xlfn.PERCENTRANK.EXC($D$3:$D$15,D3)*100</f>
        <v>7.1</v>
      </c>
      <c r="AF3" s="4">
        <f>'Economic Momentum'!Q4</f>
        <v>28.499999999999996</v>
      </c>
      <c r="AG3" s="4">
        <f ca="1">'Economic Momentum'!R4</f>
        <v>78.5</v>
      </c>
      <c r="AH3" s="4">
        <f t="shared" ref="AH3:AH15" ca="1" si="7">SUMPRODUCT($U$2:$AG$2,U3:AG3)</f>
        <v>7.1</v>
      </c>
      <c r="AJ3" s="3" cm="1">
        <f t="array" aca="1" ref="AJ3" ca="1">_xlfn.PERCENTRANK.EXC(_xlfn._xlws.FILTER($AH$3:$AH$15, ISNUMBER($AH$3:$AH$15)),AH3)*100</f>
        <v>7.1</v>
      </c>
      <c r="AK3">
        <f t="shared" ref="AK3:AK15" si="8">COUNTIF(V3:AB3,"&gt;70")</f>
        <v>0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1671020.8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21</v>
      </c>
      <c r="G4" cm="1">
        <f t="array" ref="G4">_xll.FDS(A4,"SIZE(FG_CONSTITUENTS)")</f>
        <v>59</v>
      </c>
      <c r="H4" s="9">
        <f t="shared" si="0"/>
        <v>0.3559322033898305</v>
      </c>
      <c r="I4" s="9">
        <f t="shared" si="1"/>
        <v>0.3559322033898305</v>
      </c>
      <c r="J4" s="9">
        <f t="shared" si="2"/>
        <v>0</v>
      </c>
      <c r="K4" s="5" cm="1">
        <f t="array" ref="K4">_xll.FDS(A4,"FMA_PCT_ABOVE_MAVG(200,0,,,,""PORTAGG"")")/100</f>
        <v>0.79661016949152497</v>
      </c>
      <c r="L4" s="41" cm="1">
        <f t="array" ref="L4">_xll.FDSB(A4,"PERCENT_CHANGE(FMA_EPS(+1,0,,,,""PORTAGG"",""MEAN""),FMA_EPS(+1,-1AM,,,,""PORTAGG"",""MEAN""))")</f>
        <v>0.2245738994731</v>
      </c>
      <c r="M4" s="41" cm="1">
        <f t="array" ref="M4">_xll.FDSB(A4,"PERCENT_CHANGE(FMA_EPS(+1,0,,,,""PORTAGG"",""MEAN""),FMA_EPS(+1,-3AM,,,,""PORTAGG"",""MEAN""))")</f>
        <v>0.41945578080144602</v>
      </c>
      <c r="N4" s="3" cm="1">
        <f t="array" ref="N4">_xll.FDS(C4,"FG_TOTAL_RETURNC(0,-1AM)")</f>
        <v>-0.24579762999999999</v>
      </c>
      <c r="O4" s="3" cm="1">
        <f t="array" ref="O4">_xll.FDS(C4,"FG_TOTAL_RETURNC(0,-3AM)")</f>
        <v>2.9163122000000001</v>
      </c>
      <c r="P4" s="3" cm="1">
        <f t="array" ref="P4">_xll.FDS(C4,"FG_TOTAL_RETURNC(0,-6AM)")</f>
        <v>14.365828</v>
      </c>
      <c r="Q4" s="9" cm="1">
        <f t="array" ref="Q4">_xll.FDS(C4,"P_PRICE(0)/P_PRICE_HIGH_PR(0,,,,,,""PRICE"",""INTRA"",""52W"")")</f>
        <v>0.97244406000000005</v>
      </c>
      <c r="R4" s="9" cm="1">
        <f t="array" ref="R4">_xll.FDS(C4,"P_PRICE(0)/P_PRICE_low_PR(0,,,,,,""PRICE"",""INTRA"",""52W"")-1")</f>
        <v>0.19012713000000001</v>
      </c>
      <c r="S4" s="3" cm="1">
        <f t="array" ref="S4">_xll.FDS(C4,"FG_TOTAL_RETURNC(0,-12AM)")</f>
        <v>8.9093920000000004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57.099999999999994</v>
      </c>
      <c r="W4" s="4" cm="1">
        <f t="array" ref="W4">_xlfn.PERCENTRANK.EXC(_xlfn._xlws.FILTER($O$3:$O$15, ISNUMBER($O$3:$O$15)),O4)*100</f>
        <v>21.4</v>
      </c>
      <c r="X4" s="4" cm="1">
        <f t="array" ref="X4">_xlfn.PERCENTRANK.EXC(_xlfn._xlws.FILTER($P$3:$P$15, ISNUMBER($P$3:$P$15)),P4)*100</f>
        <v>42.8</v>
      </c>
      <c r="Y4" s="201" cm="1">
        <f t="array" ref="Y4">_xlfn.PERCENTRANK.EXC(_xlfn._xlws.FILTER($S$3:$S$15, ISNUMBER($S$3:$S$15)),S4)*100</f>
        <v>35.699999999999996</v>
      </c>
      <c r="Z4" s="4" cm="1">
        <f t="array" ref="Z4">_xlfn.PERCENTRANK.EXC(_xlfn._xlws.FILTER($K$3:$K$15, ISNUMBER($K$3:$K$15)),K4)*100</f>
        <v>85.7</v>
      </c>
      <c r="AA4" s="4" cm="1">
        <f t="array" ref="AA4">_xlfn.PERCENTRANK.EXC(_xlfn._xlws.FILTER($H$3:$H$15, ISNUMBER($H$3:$H$15)),H4)*100</f>
        <v>42.8</v>
      </c>
      <c r="AB4" s="4" cm="1">
        <f t="array" ref="AB4">_xlfn.PERCENTRANK.EXC(_xlfn._xlws.FILTER($J$3:$J$15, ISNUMBER($J$3:$J$15)),J4)*100</f>
        <v>28.499999999999996</v>
      </c>
      <c r="AC4" s="4">
        <f t="shared" si="4"/>
        <v>92.800000000000011</v>
      </c>
      <c r="AD4" s="4">
        <f t="shared" si="5"/>
        <v>85.7</v>
      </c>
      <c r="AE4" s="4">
        <f t="shared" si="6"/>
        <v>35.699999999999996</v>
      </c>
      <c r="AF4" s="4">
        <f>'Economic Momentum'!Q5</f>
        <v>35.699999999999996</v>
      </c>
      <c r="AG4" s="4">
        <f ca="1">'Economic Momentum'!R5</f>
        <v>14.2</v>
      </c>
      <c r="AH4" s="4">
        <f t="shared" ca="1" si="7"/>
        <v>42.099999999999994</v>
      </c>
      <c r="AJ4" s="3" cm="1">
        <f t="array" aca="1" ref="AJ4" ca="1">_xlfn.PERCENTRANK.EXC(_xlfn._xlws.FILTER($AH$3:$AH$15, ISNUMBER($AH$3:$AH$15)),AH4)*100</f>
        <v>28.499999999999996</v>
      </c>
      <c r="AK4">
        <f t="shared" si="8"/>
        <v>1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2711118.8</v>
      </c>
      <c r="E5" cm="1">
        <f t="array" ref="E5">_xll.FDS(C5,"FMA_COS_UP(""EPS"",""1M"",+1,0,,,""PORTAGG"",""MEANR"")")</f>
        <v>27</v>
      </c>
      <c r="F5" cm="1">
        <f t="array" ref="F5">_xll.FDS(C5,"FMA_COS_DOWN(""EPS"",""1M"",+1,0,,,""PORTAGG"",""MEANR"")")</f>
        <v>27</v>
      </c>
      <c r="G5" cm="1">
        <f t="array" ref="G5">_xll.FDS(A5,"SIZE(FG_CONSTITUENTS)")</f>
        <v>88</v>
      </c>
      <c r="H5" s="9">
        <f t="shared" si="0"/>
        <v>0.30681818181818182</v>
      </c>
      <c r="I5" s="9">
        <f t="shared" si="1"/>
        <v>0.30681818181818182</v>
      </c>
      <c r="J5" s="9">
        <f t="shared" si="2"/>
        <v>0</v>
      </c>
      <c r="K5" s="5" cm="1">
        <f t="array" ref="K5">_xll.FDS(A5,"FMA_PCT_ABOVE_MAVG(200,0,,,,""PORTAGG"")")/100</f>
        <v>0.71590909090909094</v>
      </c>
      <c r="L5" s="41" cm="1">
        <f t="array" ref="L5">_xll.FDSB(A5,"PERCENT_CHANGE(FMA_EPS(+1,0,,,,""PORTAGG"",""MEAN""),FMA_EPS(+1,-1AM,,,,""PORTAGG"",""MEAN""))")</f>
        <v>-0.59950431079010702</v>
      </c>
      <c r="M5" s="41" cm="1">
        <f t="array" ref="M5">_xll.FDSB(A5,"PERCENT_CHANGE(FMA_EPS(+1,0,,,,""PORTAGG"",""MEAN""),FMA_EPS(+1,-3AM,,,,""PORTAGG"",""MEAN""))")</f>
        <v>-4.5106941526995703</v>
      </c>
      <c r="N5" s="3" cm="1">
        <f t="array" ref="N5">_xll.FDS(C5,"FG_TOTAL_RETURNC(0,-1AM)")</f>
        <v>0.10603666</v>
      </c>
      <c r="O5" s="3" cm="1">
        <f t="array" ref="O5">_xll.FDS(C5,"FG_TOTAL_RETURNC(0,-3AM)")</f>
        <v>4.1367890000000003</v>
      </c>
      <c r="P5" s="3" cm="1">
        <f t="array" ref="P5">_xll.FDS(C5,"FG_TOTAL_RETURNC(0,-6AM)")</f>
        <v>13.709116</v>
      </c>
      <c r="Q5" s="9" cm="1">
        <f t="array" ref="Q5">_xll.FDS(C5,"P_PRICE(0)/P_PRICE_HIGH_PR(0,,,,,,""PRICE"",""INTRA"",""52W"")")</f>
        <v>0.97773169999999998</v>
      </c>
      <c r="R5" s="9" cm="1">
        <f t="array" ref="R5">_xll.FDS(C5,"P_PRICE(0)/P_PRICE_low_PR(0,,,,,,""PRICE"",""INTRA"",""52W"")-1")</f>
        <v>0.20216489000000001</v>
      </c>
      <c r="S5" s="3" cm="1">
        <f t="array" ref="S5">_xll.FDS(C5,"FG_TOTAL_RETURNC(0,-12AM)")</f>
        <v>10.811925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64.2</v>
      </c>
      <c r="W5" s="4" cm="1">
        <f t="array" ref="W5">_xlfn.PERCENTRANK.EXC(_xlfn._xlws.FILTER($O$3:$O$15, ISNUMBER($O$3:$O$15)),O5)*100</f>
        <v>28.499999999999996</v>
      </c>
      <c r="X5" s="4" cm="1">
        <f t="array" ref="X5">_xlfn.PERCENTRANK.EXC(_xlfn._xlws.FILTER($P$3:$P$15, ISNUMBER($P$3:$P$15)),P5)*100</f>
        <v>35.699999999999996</v>
      </c>
      <c r="Y5" s="201" cm="1">
        <f t="array" ref="Y5">_xlfn.PERCENTRANK.EXC(_xlfn._xlws.FILTER($S$3:$S$15, ISNUMBER($S$3:$S$15)),S5)*100</f>
        <v>50</v>
      </c>
      <c r="Z5" s="4" cm="1">
        <f t="array" ref="Z5">_xlfn.PERCENTRANK.EXC(_xlfn._xlws.FILTER($K$3:$K$15, ISNUMBER($K$3:$K$15)),K5)*100</f>
        <v>64.2</v>
      </c>
      <c r="AA5" s="4" cm="1">
        <f t="array" ref="AA5">_xlfn.PERCENTRANK.EXC(_xlfn._xlws.FILTER($H$3:$H$15, ISNUMBER($H$3:$H$15)),H5)*100</f>
        <v>21.4</v>
      </c>
      <c r="AB5" s="4" cm="1">
        <f t="array" ref="AB5">_xlfn.PERCENTRANK.EXC(_xlfn._xlws.FILTER($J$3:$J$15, ISNUMBER($J$3:$J$15)),J5)*100</f>
        <v>28.499999999999996</v>
      </c>
      <c r="AC5" s="4">
        <f t="shared" si="4"/>
        <v>50</v>
      </c>
      <c r="AD5" s="4">
        <f t="shared" si="5"/>
        <v>35.699999999999996</v>
      </c>
      <c r="AE5" s="4">
        <f t="shared" si="6"/>
        <v>57.099999999999994</v>
      </c>
      <c r="AF5" s="4">
        <f>'Economic Momentum'!Q6</f>
        <v>57.099999999999994</v>
      </c>
      <c r="AG5" s="4">
        <f ca="1">'Economic Momentum'!R6</f>
        <v>35.699999999999996</v>
      </c>
      <c r="AH5" s="4">
        <f t="shared" ca="1" si="7"/>
        <v>44.940000000000005</v>
      </c>
      <c r="AJ5" s="3" cm="1">
        <f t="array" aca="1" ref="AJ5" ca="1">_xlfn.PERCENTRANK.EXC(_xlfn._xlws.FILTER($AH$3:$AH$15, ISNUMBER($AH$3:$AH$15)),AH5)*100</f>
        <v>42.8</v>
      </c>
      <c r="AK5">
        <f t="shared" si="8"/>
        <v>0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2265023</v>
      </c>
      <c r="E6" cm="1">
        <f t="array" ref="E6">_xll.FDS(C6,"FMA_COS_UP(""EPS"",""1M"",+1,0,,,""PORTAGG"",""MEANR"")")</f>
        <v>26</v>
      </c>
      <c r="F6" cm="1">
        <f t="array" ref="F6">_xll.FDS(C6,"FMA_COS_DOWN(""EPS"",""1M"",+1,0,,,""PORTAGG"",""MEANR"")")</f>
        <v>26</v>
      </c>
      <c r="G6" cm="1">
        <f t="array" ref="G6">_xll.FDS(A6,"SIZE(FG_CONSTITUENTS)")</f>
        <v>57</v>
      </c>
      <c r="H6" s="9">
        <f t="shared" si="0"/>
        <v>0.45614035087719296</v>
      </c>
      <c r="I6" s="9">
        <f t="shared" si="1"/>
        <v>0.45614035087719296</v>
      </c>
      <c r="J6" s="9">
        <f t="shared" si="2"/>
        <v>0</v>
      </c>
      <c r="K6" s="5" cm="1">
        <f t="array" ref="K6">_xll.FDS(A6,"FMA_PCT_ABOVE_MAVG(200,0,,,,""PORTAGG"")")/100</f>
        <v>0.77192982456140302</v>
      </c>
      <c r="L6" s="41" cm="1">
        <f t="array" ref="L6">_xll.FDSB(A6,"PERCENT_CHANGE(FMA_EPS(+1,0,,,,""PORTAGG"",""MEAN""),FMA_EPS(+1,-1AM,,,,""PORTAGG"",""MEAN""))")</f>
        <v>-0.77564120755358701</v>
      </c>
      <c r="M6" s="41" cm="1">
        <f t="array" ref="M6">_xll.FDSB(A6,"PERCENT_CHANGE(FMA_EPS(+1,0,,,,""PORTAGG"",""MEAN""),FMA_EPS(+1,-3AM,,,,""PORTAGG"",""MEAN""))")</f>
        <v>-5.5029478843481296</v>
      </c>
      <c r="N6" s="3" cm="1">
        <f t="array" ref="N6">_xll.FDS(C6,"FG_TOTAL_RETURNC(0,-1AM)")</f>
        <v>-0.5800843</v>
      </c>
      <c r="O6" s="3" cm="1">
        <f t="array" ref="O6">_xll.FDS(C6,"FG_TOTAL_RETURNC(0,-3AM)")</f>
        <v>5.6868790000000002</v>
      </c>
      <c r="P6" s="3" cm="1">
        <f t="array" ref="P6">_xll.FDS(C6,"FG_TOTAL_RETURNC(0,-6AM)")</f>
        <v>16.729523</v>
      </c>
      <c r="Q6" s="9" cm="1">
        <f t="array" ref="Q6">_xll.FDS(C6,"P_PRICE(0)/P_PRICE_HIGH_PR(0,,,,,,""PRICE"",""INTRA"",""52W"")")</f>
        <v>0.96496720000000002</v>
      </c>
      <c r="R6" s="9" cm="1">
        <f t="array" ref="R6">_xll.FDS(C6,"P_PRICE(0)/P_PRICE_low_PR(0,,,,,,""PRICE"",""INTRA"",""52W"")-1")</f>
        <v>0.24873507</v>
      </c>
      <c r="S6" s="3" cm="1">
        <f t="array" ref="S6">_xll.FDS(C6,"FG_TOTAL_RETURNC(0,-12AM)")</f>
        <v>10.641408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42.8</v>
      </c>
      <c r="W6" s="4" cm="1">
        <f t="array" ref="W6">_xlfn.PERCENTRANK.EXC(_xlfn._xlws.FILTER($O$3:$O$15, ISNUMBER($O$3:$O$15)),O6)*100</f>
        <v>57.099999999999994</v>
      </c>
      <c r="X6" s="4" cm="1">
        <f t="array" ref="X6">_xlfn.PERCENTRANK.EXC(_xlfn._xlws.FILTER($P$3:$P$15, ISNUMBER($P$3:$P$15)),P6)*100</f>
        <v>50</v>
      </c>
      <c r="Y6" s="201" cm="1">
        <f t="array" ref="Y6">_xlfn.PERCENTRANK.EXC(_xlfn._xlws.FILTER($S$3:$S$15, ISNUMBER($S$3:$S$15)),S6)*100</f>
        <v>42.8</v>
      </c>
      <c r="Z6" s="4" cm="1">
        <f t="array" ref="Z6">_xlfn.PERCENTRANK.EXC(_xlfn._xlws.FILTER($K$3:$K$15, ISNUMBER($K$3:$K$15)),K6)*100</f>
        <v>71.399999999999991</v>
      </c>
      <c r="AA6" s="4" cm="1">
        <f t="array" ref="AA6">_xlfn.PERCENTRANK.EXC(_xlfn._xlws.FILTER($H$3:$H$15, ISNUMBER($H$3:$H$15)),H6)*100</f>
        <v>78.5</v>
      </c>
      <c r="AB6" s="4" cm="1">
        <f t="array" ref="AB6">_xlfn.PERCENTRANK.EXC(_xlfn._xlws.FILTER($J$3:$J$15, ISNUMBER($J$3:$J$15)),J6)*100</f>
        <v>28.499999999999996</v>
      </c>
      <c r="AC6" s="4">
        <f t="shared" si="4"/>
        <v>42.8</v>
      </c>
      <c r="AD6" s="4">
        <f t="shared" si="5"/>
        <v>21.4</v>
      </c>
      <c r="AE6" s="4">
        <f t="shared" si="6"/>
        <v>50</v>
      </c>
      <c r="AF6" s="4">
        <f>'Economic Momentum'!Q7</f>
        <v>7.1</v>
      </c>
      <c r="AG6" s="4">
        <f ca="1">'Economic Momentum'!R7</f>
        <v>28.499999999999996</v>
      </c>
      <c r="AH6" s="4">
        <f t="shared" ca="1" si="7"/>
        <v>49.25</v>
      </c>
      <c r="AJ6" s="3" cm="1">
        <f t="array" aca="1" ref="AJ6" ca="1">_xlfn.PERCENTRANK.EXC(_xlfn._xlws.FILTER($AH$3:$AH$15, ISNUMBER($AH$3:$AH$15)),AH6)*100</f>
        <v>57.099999999999994</v>
      </c>
      <c r="AK6">
        <f t="shared" si="8"/>
        <v>2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6600453</v>
      </c>
      <c r="E7" cm="1">
        <f t="array" ref="E7">_xll.FDS(C7,"FMA_COS_UP(""EPS"",""1M"",+1,0,,,""PORTAGG"",""MEANR"")")</f>
        <v>97</v>
      </c>
      <c r="F7" cm="1">
        <f t="array" ref="F7">_xll.FDS(C7,"FMA_COS_DOWN(""EPS"",""1M"",+1,0,,,""PORTAGG"",""MEANR"")")</f>
        <v>88</v>
      </c>
      <c r="G7" cm="1">
        <f t="array" ref="G7">_xll.FDS(A7,"SIZE(FG_CONSTITUENTS)")</f>
        <v>219</v>
      </c>
      <c r="H7" s="9">
        <f t="shared" si="0"/>
        <v>0.44292237442922372</v>
      </c>
      <c r="I7" s="9">
        <f t="shared" si="1"/>
        <v>0.40182648401826482</v>
      </c>
      <c r="J7" s="9">
        <f t="shared" si="2"/>
        <v>4.1095890410958902E-2</v>
      </c>
      <c r="K7" s="5" cm="1">
        <f t="array" ref="K7">_xll.FDS(A7,"FMA_PCT_ABOVE_MAVG(200,0,,,,""PORTAGG"")")/100</f>
        <v>0.70319634703196299</v>
      </c>
      <c r="L7" s="41" cm="1">
        <f t="array" ref="L7">_xll.FDSB(A7,"PERCENT_CHANGE(FMA_EPS(+1,0,,,,""PORTAGG"",""MEAN""),FMA_EPS(+1,-1AM,,,,""PORTAGG"",""MEAN""))")</f>
        <v>-0.94719875045297697</v>
      </c>
      <c r="M7" s="41" cm="1">
        <f t="array" ref="M7">_xll.FDSB(A7,"PERCENT_CHANGE(FMA_EPS(+1,0,,,,""PORTAGG"",""MEAN""),FMA_EPS(+1,-3AM,,,,""PORTAGG"",""MEAN""))")</f>
        <v>-1.08767646282891</v>
      </c>
      <c r="N7" s="3" cm="1">
        <f t="array" ref="N7">_xll.FDS(C7,"FG_TOTAL_RETURNC(0,-1AM)")</f>
        <v>0.56034326999999995</v>
      </c>
      <c r="O7" s="3" cm="1">
        <f t="array" ref="O7">_xll.FDS(C7,"FG_TOTAL_RETURNC(0,-3AM)")</f>
        <v>6.3677789999999996</v>
      </c>
      <c r="P7" s="3" cm="1">
        <f t="array" ref="P7">_xll.FDS(C7,"FG_TOTAL_RETURNC(0,-6AM)")</f>
        <v>17.940353000000002</v>
      </c>
      <c r="Q7" s="9" cm="1">
        <f t="array" ref="Q7">_xll.FDS(C7,"P_PRICE(0)/P_PRICE_HIGH_PR(0,,,,,,""PRICE"",""INTRA"",""52W"")")</f>
        <v>0.97120649999999997</v>
      </c>
      <c r="R7" s="9" cm="1">
        <f t="array" ref="R7">_xll.FDS(C7,"P_PRICE(0)/P_PRICE_low_PR(0,,,,,,""PRICE"",""INTRA"",""52W"")-1")</f>
        <v>0.22360134000000001</v>
      </c>
      <c r="S7" s="3" cm="1">
        <f t="array" ref="S7">_xll.FDS(C7,"FG_TOTAL_RETURNC(0,-12AM)")</f>
        <v>23.492705999999998</v>
      </c>
      <c r="T7" s="4" cm="1">
        <f t="array" ref="T7">_xlfn.PERCENTRANK.EXC(_xlfn._xlws.FILTER($R$3:$R$15, ISNUMBER($R$3:$R$15)),R7)*100</f>
        <v>50</v>
      </c>
      <c r="U7" s="4">
        <f t="shared" si="3"/>
        <v>50</v>
      </c>
      <c r="V7" s="4" cm="1">
        <f t="array" ref="V7">_xlfn.PERCENTRANK.EXC(_xlfn._xlws.FILTER($Q$3:$Q$15, ISNUMBER($Q$3:$Q$15)),Q7)*100</f>
        <v>50</v>
      </c>
      <c r="W7" s="4" cm="1">
        <f t="array" ref="W7">_xlfn.PERCENTRANK.EXC(_xlfn._xlws.FILTER($O$3:$O$15, ISNUMBER($O$3:$O$15)),O7)*100</f>
        <v>64.2</v>
      </c>
      <c r="X7" s="4" cm="1">
        <f t="array" ref="X7">_xlfn.PERCENTRANK.EXC(_xlfn._xlws.FILTER($P$3:$P$15, ISNUMBER($P$3:$P$15)),P7)*100</f>
        <v>57.099999999999994</v>
      </c>
      <c r="Y7" s="201" cm="1">
        <f t="array" ref="Y7">_xlfn.PERCENTRANK.EXC(_xlfn._xlws.FILTER($S$3:$S$15, ISNUMBER($S$3:$S$15)),S7)*100</f>
        <v>78.5</v>
      </c>
      <c r="Z7" s="4" cm="1">
        <f t="array" ref="Z7">_xlfn.PERCENTRANK.EXC(_xlfn._xlws.FILTER($K$3:$K$15, ISNUMBER($K$3:$K$15)),K7)*100</f>
        <v>50</v>
      </c>
      <c r="AA7" s="4" cm="1">
        <f t="array" ref="AA7">_xlfn.PERCENTRANK.EXC(_xlfn._xlws.FILTER($H$3:$H$15, ISNUMBER($H$3:$H$15)),H7)*100</f>
        <v>71.399999999999991</v>
      </c>
      <c r="AB7" s="4" cm="1">
        <f t="array" ref="AB7">_xlfn.PERCENTRANK.EXC(_xlfn._xlws.FILTER($J$3:$J$15, ISNUMBER($J$3:$J$15)),J7)*100</f>
        <v>71.399999999999991</v>
      </c>
      <c r="AC7" s="4">
        <f t="shared" si="4"/>
        <v>35.699999999999996</v>
      </c>
      <c r="AD7" s="4">
        <f t="shared" si="5"/>
        <v>57.099999999999994</v>
      </c>
      <c r="AE7" s="4">
        <f t="shared" si="6"/>
        <v>78.5</v>
      </c>
      <c r="AF7" s="4">
        <f>'Economic Momentum'!Q8</f>
        <v>42.8</v>
      </c>
      <c r="AG7" s="4">
        <f ca="1">'Economic Momentum'!R8</f>
        <v>7.1</v>
      </c>
      <c r="AH7" s="4">
        <f t="shared" ca="1" si="7"/>
        <v>56.39</v>
      </c>
      <c r="AJ7" s="3" cm="1">
        <f t="array" aca="1" ref="AJ7" ca="1">_xlfn.PERCENTRANK.EXC(_xlfn._xlws.FILTER($AH$3:$AH$15, ISNUMBER($AH$3:$AH$15)),AH7)*100</f>
        <v>71.399999999999991</v>
      </c>
      <c r="AK7">
        <f t="shared" si="8"/>
        <v>3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2065204.8</v>
      </c>
      <c r="E8" cm="1">
        <f t="array" ref="E8">_xll.FDS(C8,"FMA_COS_UP(""EPS"",""1M"",+1,0,,,""PORTAGG"",""MEANR"")")</f>
        <v>23</v>
      </c>
      <c r="F8" cm="1">
        <f t="array" ref="F8">_xll.FDS(C8,"FMA_COS_DOWN(""EPS"",""1M"",+1,0,,,""PORTAGG"",""MEANR"")")</f>
        <v>18</v>
      </c>
      <c r="G8" cm="1">
        <f t="array" ref="G8">_xll.FDS(A8,"SIZE(FG_CONSTITUENTS)")</f>
        <v>46</v>
      </c>
      <c r="H8" s="9">
        <f t="shared" si="0"/>
        <v>0.5</v>
      </c>
      <c r="I8" s="9">
        <f t="shared" si="1"/>
        <v>0.39130434782608697</v>
      </c>
      <c r="J8" s="9">
        <f t="shared" si="2"/>
        <v>0.10869565217391303</v>
      </c>
      <c r="K8" s="5" cm="1">
        <f t="array" ref="K8">_xll.FDS(A8,"FMA_PCT_ABOVE_MAVG(200,0,,,,""PORTAGG"")")/100</f>
        <v>0.6</v>
      </c>
      <c r="L8" s="41" cm="1">
        <f t="array" ref="L8">_xll.FDSB(A8,"PERCENT_CHANGE(FMA_EPS(+1,0,,,,""PORTAGG"",""MEAN""),FMA_EPS(+1,-1AM,,,,""PORTAGG"",""MEAN""))")</f>
        <v>-2.3743824061976402</v>
      </c>
      <c r="M8" s="41" cm="1">
        <f t="array" ref="M8">_xll.FDSB(A8,"PERCENT_CHANGE(FMA_EPS(+1,0,,,,""PORTAGG"",""MEAN""),FMA_EPS(+1,-3AM,,,,""PORTAGG"",""MEAN""))")</f>
        <v>-7.2856137427605896</v>
      </c>
      <c r="N8" s="3" cm="1">
        <f t="array" ref="N8">_xll.FDS(C8,"FG_TOTAL_RETURNC(0,-1AM)")</f>
        <v>-4.4160130000000004</v>
      </c>
      <c r="O8" s="3" cm="1">
        <f t="array" ref="O8">_xll.FDS(C8,"FG_TOTAL_RETURNC(0,-3AM)")</f>
        <v>-2.8727174</v>
      </c>
      <c r="P8" s="3" cm="1">
        <f t="array" ref="P8">_xll.FDS(C8,"FG_TOTAL_RETURNC(0,-6AM)")</f>
        <v>3.786683</v>
      </c>
      <c r="Q8" s="9" cm="1">
        <f t="array" ref="Q8">_xll.FDS(C8,"P_PRICE(0)/P_PRICE_HIGH_PR(0,,,,,,""PRICE"",""INTRA"",""52W"")")</f>
        <v>0.94656174999999998</v>
      </c>
      <c r="R8" s="9" cm="1">
        <f t="array" ref="R8">_xll.FDS(C8,"P_PRICE(0)/P_PRICE_low_PR(0,,,,,,""PRICE"",""INTRA"",""52W"")-1")</f>
        <v>0.11480141000000001</v>
      </c>
      <c r="S8" s="3" cm="1">
        <f t="array" ref="S8">_xll.FDS(C8,"FG_TOTAL_RETURNC(0,-12AM)")</f>
        <v>2.1126746999999999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14.2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14.2</v>
      </c>
      <c r="Y8" s="201" cm="1">
        <f t="array" ref="Y8">_xlfn.PERCENTRANK.EXC(_xlfn._xlws.FILTER($S$3:$S$15, ISNUMBER($S$3:$S$15)),S8)*100</f>
        <v>14.2</v>
      </c>
      <c r="Z8" s="4" cm="1">
        <f t="array" ref="Z8">_xlfn.PERCENTRANK.EXC(_xlfn._xlws.FILTER($K$3:$K$15, ISNUMBER($K$3:$K$15)),K8)*100</f>
        <v>21.4</v>
      </c>
      <c r="AA8" s="4" cm="1">
        <f t="array" ref="AA8">_xlfn.PERCENTRANK.EXC(_xlfn._xlws.FILTER($H$3:$H$15, ISNUMBER($H$3:$H$15)),H8)*100</f>
        <v>92.800000000000011</v>
      </c>
      <c r="AB8" s="4" cm="1">
        <f t="array" ref="AB8">_xlfn.PERCENTRANK.EXC(_xlfn._xlws.FILTER($J$3:$J$15, ISNUMBER($J$3:$J$15)),J8)*100</f>
        <v>85.7</v>
      </c>
      <c r="AC8" s="4">
        <f t="shared" si="4"/>
        <v>14.2</v>
      </c>
      <c r="AD8" s="4">
        <f t="shared" si="5"/>
        <v>14.2</v>
      </c>
      <c r="AE8" s="4">
        <f t="shared" si="6"/>
        <v>42.8</v>
      </c>
      <c r="AF8" s="4">
        <f>'Economic Momentum'!Q9</f>
        <v>14.2</v>
      </c>
      <c r="AG8" s="4">
        <f ca="1">'Economic Momentum'!R9</f>
        <v>42.8</v>
      </c>
      <c r="AH8" s="4">
        <f t="shared" ca="1" si="7"/>
        <v>14.2</v>
      </c>
      <c r="AJ8" s="3" cm="1">
        <f t="array" aca="1" ref="AJ8" ca="1">_xlfn.PERCENTRANK.EXC(_xlfn._xlws.FILTER($AH$3:$AH$15, ISNUMBER($AH$3:$AH$15)),AH8)*100</f>
        <v>14.2</v>
      </c>
      <c r="AK8">
        <f t="shared" si="8"/>
        <v>2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3100224</v>
      </c>
      <c r="E9" cm="1">
        <f t="array" ref="E9">_xll.FDS(C9,"FMA_COS_UP(""EPS"",""1M"",+1,0,,,""PORTAGG"",""MEANR"")")</f>
        <v>33</v>
      </c>
      <c r="F9" cm="1">
        <f t="array" ref="F9">_xll.FDS(C9,"FMA_COS_DOWN(""EPS"",""1M"",+1,0,,,""PORTAGG"",""MEANR"")")</f>
        <v>43</v>
      </c>
      <c r="G9" cm="1">
        <f t="array" ref="G9">_xll.FDS(A9,"SIZE(FG_CONSTITUENTS)")</f>
        <v>85</v>
      </c>
      <c r="H9" s="9">
        <f t="shared" si="0"/>
        <v>0.38823529411764707</v>
      </c>
      <c r="I9" s="9">
        <f t="shared" si="1"/>
        <v>0.50588235294117645</v>
      </c>
      <c r="J9" s="9">
        <f t="shared" si="2"/>
        <v>-0.11764705882352938</v>
      </c>
      <c r="K9" s="5" cm="1">
        <f t="array" ref="K9">_xll.FDS(A9,"FMA_PCT_ABOVE_MAVG(200,0,,,,""PORTAGG"")")/100</f>
        <v>0.59523809523809501</v>
      </c>
      <c r="L9" s="41" cm="1">
        <f t="array" ref="L9">_xll.FDSB(A9,"PERCENT_CHANGE(FMA_EPS(+1,0,,,,""PORTAGG"",""MEAN""),FMA_EPS(+1,-1AM,,,,""PORTAGG"",""MEAN""))")</f>
        <v>-0.344785726730581</v>
      </c>
      <c r="M9" s="41" cm="1">
        <f t="array" ref="M9">_xll.FDSB(A9,"PERCENT_CHANGE(FMA_EPS(+1,0,,,,""PORTAGG"",""MEAN""),FMA_EPS(+1,-3AM,,,,""PORTAGG"",""MEAN""))")</f>
        <v>-2.5732295058255099</v>
      </c>
      <c r="N9" s="3" cm="1">
        <f t="array" ref="N9">_xll.FDS(C9,"FG_TOTAL_RETURNC(0,-1AM)")</f>
        <v>2.0964383999999998</v>
      </c>
      <c r="O9" s="3" cm="1">
        <f t="array" ref="O9">_xll.FDS(C9,"FG_TOTAL_RETURNC(0,-3AM)")</f>
        <v>4.4104099999999997</v>
      </c>
      <c r="P9" s="3" cm="1">
        <f t="array" ref="P9">_xll.FDS(C9,"FG_TOTAL_RETURNC(0,-6AM)")</f>
        <v>8.4078549999999996</v>
      </c>
      <c r="Q9" s="9" cm="1">
        <f t="array" ref="Q9">_xll.FDS(C9,"P_PRICE(0)/P_PRICE_HIGH_PR(0,,,,,,""PRICE"",""INTRA"",""52W"")")</f>
        <v>0.98738044999999997</v>
      </c>
      <c r="R9" s="9" cm="1">
        <f t="array" ref="R9">_xll.FDS(C9,"P_PRICE(0)/P_PRICE_low_PR(0,,,,,,""PRICE"",""INTRA"",""52W"")-1")</f>
        <v>0.13105512</v>
      </c>
      <c r="S9" s="3" cm="1">
        <f t="array" ref="S9">_xll.FDS(C9,"FG_TOTAL_RETURNC(0,-12AM)")</f>
        <v>7.2466492999999996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78.5</v>
      </c>
      <c r="W9" s="4" cm="1">
        <f t="array" ref="W9">_xlfn.PERCENTRANK.EXC(_xlfn._xlws.FILTER($O$3:$O$15, ISNUMBER($O$3:$O$15)),O9)*100</f>
        <v>35.699999999999996</v>
      </c>
      <c r="X9" s="4" cm="1">
        <f t="array" ref="X9">_xlfn.PERCENTRANK.EXC(_xlfn._xlws.FILTER($P$3:$P$15, ISNUMBER($P$3:$P$15)),P9)*100</f>
        <v>21.4</v>
      </c>
      <c r="Y9" s="201" cm="1">
        <f t="array" ref="Y9">_xlfn.PERCENTRANK.EXC(_xlfn._xlws.FILTER($S$3:$S$15, ISNUMBER($S$3:$S$15)),S9)*100</f>
        <v>21.4</v>
      </c>
      <c r="Z9" s="4" cm="1">
        <f t="array" ref="Z9">_xlfn.PERCENTRANK.EXC(_xlfn._xlws.FILTER($K$3:$K$15, ISNUMBER($K$3:$K$15)),K9)*100</f>
        <v>14.2</v>
      </c>
      <c r="AA9" s="4" cm="1">
        <f t="array" ref="AA9">_xlfn.PERCENTRANK.EXC(_xlfn._xlws.FILTER($H$3:$H$15, ISNUMBER($H$3:$H$15)),H9)*100</f>
        <v>64.2</v>
      </c>
      <c r="AB9" s="4" cm="1">
        <f t="array" ref="AB9">_xlfn.PERCENTRANK.EXC(_xlfn._xlws.FILTER($J$3:$J$15, ISNUMBER($J$3:$J$15)),J9)*100</f>
        <v>14.2</v>
      </c>
      <c r="AC9" s="4">
        <f t="shared" si="4"/>
        <v>57.099999999999994</v>
      </c>
      <c r="AD9" s="4">
        <f t="shared" si="5"/>
        <v>42.8</v>
      </c>
      <c r="AE9" s="4">
        <f t="shared" si="6"/>
        <v>64.2</v>
      </c>
      <c r="AF9" s="4">
        <f>'Economic Momentum'!Q10</f>
        <v>64.2</v>
      </c>
      <c r="AG9" s="4">
        <f ca="1">'Economic Momentum'!R10</f>
        <v>50</v>
      </c>
      <c r="AH9" s="4">
        <f t="shared" ca="1" si="7"/>
        <v>48.53</v>
      </c>
      <c r="AJ9" s="3" cm="1">
        <f t="array" aca="1" ref="AJ9" ca="1">_xlfn.PERCENTRANK.EXC(_xlfn._xlws.FILTER($AH$3:$AH$15, ISNUMBER($AH$3:$AH$15)),AH9)*100</f>
        <v>50</v>
      </c>
      <c r="AK9">
        <f t="shared" si="8"/>
        <v>1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54277430</v>
      </c>
      <c r="E10" cm="1">
        <f t="array" ref="E10">_xll.FDS(C10,"FMA_COS_UP(""EPS"",""1M"",+1,0,,,""PORTAGG"",""MEANR"")")</f>
        <v>33</v>
      </c>
      <c r="F10" cm="1">
        <f t="array" ref="F10">_xll.FDS(C10,"FMA_COS_DOWN(""EPS"",""1M"",+1,0,,,""PORTAGG"",""MEANR"")")</f>
        <v>32</v>
      </c>
      <c r="G10" cm="1">
        <f t="array" ref="G10">_xll.FDS(A10,"SIZE(FG_CONSTITUENTS)")</f>
        <v>102</v>
      </c>
      <c r="H10" s="9">
        <f t="shared" si="0"/>
        <v>0.3235294117647059</v>
      </c>
      <c r="I10" s="9">
        <f t="shared" si="1"/>
        <v>0.31372549019607843</v>
      </c>
      <c r="J10" s="9">
        <f t="shared" si="2"/>
        <v>9.8039215686274717E-3</v>
      </c>
      <c r="K10" s="5" cm="1">
        <f t="array" ref="K10">_xll.FDS(A10,"FMA_PCT_ABOVE_MAVG(200,0,,,,""PORTAGG"")")/100</f>
        <v>0.68627450980392202</v>
      </c>
      <c r="L10" s="41" cm="1">
        <f t="array" ref="L10">_xll.FDSB(A10,"PERCENT_CHANGE(FMA_EPS(+1,0,,,,""PORTAGG"",""MEAN""),FMA_EPS(+1,-1AM,,,,""PORTAGG"",""MEAN""))")</f>
        <v>-0.184278646972279</v>
      </c>
      <c r="M10" s="41" cm="1">
        <f t="array" ref="M10">_xll.FDSB(A10,"PERCENT_CHANGE(FMA_EPS(+1,0,,,,""PORTAGG"",""MEAN""),FMA_EPS(+1,-3AM,,,,""PORTAGG"",""MEAN""))")</f>
        <v>0.14728724188696199</v>
      </c>
      <c r="N10" s="3" cm="1">
        <f t="array" ref="N10">_xll.FDS(C10,"FG_TOTAL_RETURNC(0,-1AM)")</f>
        <v>1.9579291000000001</v>
      </c>
      <c r="O10" s="3" cm="1">
        <f t="array" ref="O10">_xll.FDS(C10,"FG_TOTAL_RETURNC(0,-3AM)")</f>
        <v>8.9419249999999995</v>
      </c>
      <c r="P10" s="3" cm="1">
        <f t="array" ref="P10">_xll.FDS(C10,"FG_TOTAL_RETURNC(0,-6AM)")</f>
        <v>20.433605</v>
      </c>
      <c r="Q10" s="9" cm="1">
        <f t="array" ref="Q10">_xll.FDS(C10,"P_PRICE(0)/P_PRICE_HIGH_PR(0,,,,,,""PRICE"",""INTRA"",""52W"")")</f>
        <v>0.99116479999999996</v>
      </c>
      <c r="R10" s="9" cm="1">
        <f t="array" ref="R10">_xll.FDS(C10,"P_PRICE(0)/P_PRICE_low_PR(0,,,,,,""PRICE"",""INTRA"",""52W"")-1")</f>
        <v>0.4371873</v>
      </c>
      <c r="S10" s="3" cm="1">
        <f t="array" ref="S10">_xll.FDS(C10,"FG_TOTAL_RETURNC(0,-12AM)")</f>
        <v>41.954376000000003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92.800000000000011</v>
      </c>
      <c r="W10" s="4" cm="1">
        <f t="array" ref="W10">_xlfn.PERCENTRANK.EXC(_xlfn._xlws.FILTER($O$3:$O$15, ISNUMBER($O$3:$O$15)),O10)*100</f>
        <v>78.5</v>
      </c>
      <c r="X10" s="4" cm="1">
        <f t="array" ref="X10">_xlfn.PERCENTRANK.EXC(_xlfn._xlws.FILTER($P$3:$P$15, ISNUMBER($P$3:$P$15)),P10)*100</f>
        <v>85.7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42.8</v>
      </c>
      <c r="AA10" s="4" cm="1">
        <f t="array" ref="AA10">_xlfn.PERCENTRANK.EXC(_xlfn._xlws.FILTER($H$3:$H$15, ISNUMBER($H$3:$H$15)),H10)*100</f>
        <v>35.699999999999996</v>
      </c>
      <c r="AB10" s="4" cm="1">
        <f t="array" ref="AB10">_xlfn.PERCENTRANK.EXC(_xlfn._xlws.FILTER($J$3:$J$15, ISNUMBER($J$3:$J$15)),J10)*100</f>
        <v>57.099999999999994</v>
      </c>
      <c r="AC10" s="4">
        <f t="shared" si="4"/>
        <v>71.399999999999991</v>
      </c>
      <c r="AD10" s="4">
        <f t="shared" si="5"/>
        <v>78.5</v>
      </c>
      <c r="AE10" s="4">
        <f t="shared" si="6"/>
        <v>85.7</v>
      </c>
      <c r="AF10" s="4">
        <f>'Economic Momentum'!Q11</f>
        <v>78.5</v>
      </c>
      <c r="AG10" s="4">
        <f ca="1">'Economic Momentum'!R11</f>
        <v>57.099999999999994</v>
      </c>
      <c r="AH10" s="4">
        <f t="shared" ca="1" si="7"/>
        <v>86.38</v>
      </c>
      <c r="AJ10" s="3" cm="1">
        <f t="array" aca="1" ref="AJ10" ca="1">_xlfn.PERCENTRANK.EXC(_xlfn._xlws.FILTER($AH$3:$AH$15, ISNUMBER($AH$3:$AH$15)),AH10)*100</f>
        <v>92.800000000000011</v>
      </c>
      <c r="AK10">
        <f t="shared" si="8"/>
        <v>4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54277430</v>
      </c>
      <c r="E11" cm="1">
        <f t="array" ref="E11">_xll.FDS(C11,"FMA_COS_UP(""EPS"",""1M"",+1,0,,,""PORTAGG"",""MEANR"")")</f>
        <v>182</v>
      </c>
      <c r="F11" cm="1">
        <f t="array" ref="F11">_xll.FDS(C11,"FMA_COS_DOWN(""EPS"",""1M"",+1,0,,,""PORTAGG"",""MEANR"")")</f>
        <v>169</v>
      </c>
      <c r="G11" cm="1">
        <f t="array" ref="G11">_xll.FDS(A11,"SIZE(FG_CONSTITUENTS)")</f>
        <v>504</v>
      </c>
      <c r="H11" s="9">
        <f t="shared" si="0"/>
        <v>0.3611111111111111</v>
      </c>
      <c r="I11" s="9">
        <f t="shared" si="1"/>
        <v>0.33531746031746029</v>
      </c>
      <c r="J11" s="9">
        <f t="shared" si="2"/>
        <v>2.5793650793650813E-2</v>
      </c>
      <c r="K11" s="5" cm="1">
        <f t="array" ref="K11">_xll.FDS(A11,"FMA_PCT_ABOVE_MAVG(200,0,,,,""PORTAGG"")")/100</f>
        <v>0.79441117764471103</v>
      </c>
      <c r="L11" s="41" cm="1">
        <f t="array" ref="L11">_xll.FDSB(A11,"PERCENT_CHANGE(FMA_EPS(+1,0,,,,""PORTAGG"",""MEAN""),FMA_EPS(+1,-1AM,,,,""PORTAGG"",""MEAN""))")</f>
        <v>-0.325097488744788</v>
      </c>
      <c r="M11" s="41" cm="1">
        <f t="array" ref="M11">_xll.FDSB(A11,"PERCENT_CHANGE(FMA_EPS(+1,0,,,,""PORTAGG"",""MEAN""),FMA_EPS(+1,-3AM,,,,""PORTAGG"",""MEAN""))")</f>
        <v>9.3663964525271495E-2</v>
      </c>
      <c r="N11" s="3" cm="1">
        <f t="array" ref="N11">_xll.FDS(C11,"FG_TOTAL_RETURNC(0,-1AM)")</f>
        <v>1.6312956999999999</v>
      </c>
      <c r="O11" s="3" cm="1">
        <f t="array" ref="O11">_xll.FDS(C11,"FG_TOTAL_RETURNC(0,-3AM)")</f>
        <v>9.0837479999999999</v>
      </c>
      <c r="P11" s="3" cm="1">
        <f t="array" ref="P11">_xll.FDS(C11,"FG_TOTAL_RETURNC(0,-6AM)")</f>
        <v>19.575261999999999</v>
      </c>
      <c r="Q11" s="9" cm="1">
        <f t="array" ref="Q11">_xll.FDS(C11,"P_PRICE(0)/P_PRICE_HIGH_PR(0,,,,,,""PRICE"",""INTRA"",""52W"")")</f>
        <v>0.98740019999999995</v>
      </c>
      <c r="R11" s="9" cm="1">
        <f t="array" ref="R11">_xll.FDS(C11,"P_PRICE(0)/P_PRICE_low_PR(0,,,,,,""PRICE"",""INTRA"",""52W"")-1")</f>
        <v>0.28300393000000001</v>
      </c>
      <c r="S11" s="3" cm="1">
        <f t="array" ref="S11">_xll.FDS(C11,"FG_TOTAL_RETURNC(0,-12AM)")</f>
        <v>28.269504999999999</v>
      </c>
      <c r="T11" s="4" cm="1">
        <f t="array" ref="T11">_xlfn.PERCENTRANK.EXC(_xlfn._xlws.FILTER($R$3:$R$15, ISNUMBER($R$3:$R$15)),R11)*100</f>
        <v>71.399999999999991</v>
      </c>
      <c r="U11" s="4">
        <f t="shared" si="3"/>
        <v>28.600000000000009</v>
      </c>
      <c r="V11" s="4" cm="1">
        <f t="array" ref="V11">_xlfn.PERCENTRANK.EXC(_xlfn._xlws.FILTER($Q$3:$Q$15, ISNUMBER($Q$3:$Q$15)),Q11)*100</f>
        <v>85.7</v>
      </c>
      <c r="W11" s="4" cm="1">
        <f t="array" ref="W11">_xlfn.PERCENTRANK.EXC(_xlfn._xlws.FILTER($O$3:$O$15, ISNUMBER($O$3:$O$15)),O11)*100</f>
        <v>85.7</v>
      </c>
      <c r="X11" s="4" cm="1">
        <f t="array" ref="X11">_xlfn.PERCENTRANK.EXC(_xlfn._xlws.FILTER($P$3:$P$15, ISNUMBER($P$3:$P$15)),P11)*100</f>
        <v>64.2</v>
      </c>
      <c r="Y11" s="201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78.5</v>
      </c>
      <c r="AA11" s="4" cm="1">
        <f t="array" ref="AA11">_xlfn.PERCENTRANK.EXC(_xlfn._xlws.FILTER($H$3:$H$15, ISNUMBER($H$3:$H$15)),H11)*100</f>
        <v>50</v>
      </c>
      <c r="AB11" s="4" cm="1">
        <f t="array" ref="AB11">_xlfn.PERCENTRANK.EXC(_xlfn._xlws.FILTER($J$3:$J$15, ISNUMBER($J$3:$J$15)),J11)*100</f>
        <v>64.2</v>
      </c>
      <c r="AC11" s="4">
        <f t="shared" si="4"/>
        <v>64.2</v>
      </c>
      <c r="AD11" s="4">
        <f t="shared" si="5"/>
        <v>71.399999999999991</v>
      </c>
      <c r="AE11" s="4">
        <f t="shared" si="6"/>
        <v>85.7</v>
      </c>
      <c r="AF11" s="4">
        <f>'Economic Momentum'!Q12</f>
        <v>78.5</v>
      </c>
      <c r="AG11" s="4">
        <f ca="1">'Economic Momentum'!R12</f>
        <v>57.099999999999994</v>
      </c>
      <c r="AH11" s="4">
        <f t="shared" ca="1" si="7"/>
        <v>79.25</v>
      </c>
      <c r="AJ11" s="3" cm="1">
        <f t="array" aca="1" ref="AJ11" ca="1">_xlfn.PERCENTRANK.EXC(_xlfn._xlws.FILTER($AH$3:$AH$15, ISNUMBER($AH$3:$AH$15)),AH11)*100</f>
        <v>78.5</v>
      </c>
      <c r="AK11">
        <f t="shared" si="8"/>
        <v>4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3320739.3</v>
      </c>
      <c r="E12" cm="1">
        <f t="array" ref="E12">_xll.FDS(C12,"FMA_COS_UP(""EPS"",""1M"",+1,0,,,""PORTAGG"",""MEANR"")")</f>
        <v>15</v>
      </c>
      <c r="F12" cm="1">
        <f t="array" ref="F12">_xll.FDS(C12,"FMA_COS_DOWN(""EPS"",""1M"",+1,0,,,""PORTAGG"",""MEANR"")")</f>
        <v>40</v>
      </c>
      <c r="G12" cm="1">
        <f t="array" ref="G12">_xll.FDS(A12,"SIZE(FG_CONSTITUENTS)")</f>
        <v>63</v>
      </c>
      <c r="H12" s="9">
        <f t="shared" ref="H12:H15" si="9">E12/$G12</f>
        <v>0.23809523809523808</v>
      </c>
      <c r="I12" s="9">
        <f t="shared" ref="I12:I15" si="10">F12/$G12</f>
        <v>0.63492063492063489</v>
      </c>
      <c r="J12" s="9">
        <f t="shared" ref="J12:J15" si="11">H12-I12</f>
        <v>-0.3968253968253968</v>
      </c>
      <c r="K12" s="5" cm="1">
        <f t="array" ref="K12">_xll.FDS(A12,"FMA_PCT_ABOVE_MAVG(200,0,,,,""PORTAGG"")")/100</f>
        <v>0.71428571428571397</v>
      </c>
      <c r="L12" s="41" cm="1">
        <f t="array" ref="L12">_xll.FDSB(A12,"PERCENT_CHANGE(FMA_EPS(+1,0,,,,""PORTAGG"",""MEAN""),FMA_EPS(+1,-1AM,,,,""PORTAGG"",""MEAN""))")</f>
        <v>-1.5107652185348399</v>
      </c>
      <c r="M12" s="41" cm="1">
        <f t="array" ref="M12">_xll.FDSB(A12,"PERCENT_CHANGE(FMA_EPS(+1,0,,,,""PORTAGG"",""MEAN""),FMA_EPS(+1,-3AM,,,,""PORTAGG"",""MEAN""))")</f>
        <v>-5.2006262074616503</v>
      </c>
      <c r="N12" s="3" cm="1">
        <f t="array" ref="N12">_xll.FDS(C12,"FG_TOTAL_RETURNC(0,-1AM)")</f>
        <v>-1.6333519999999999</v>
      </c>
      <c r="O12" s="3" cm="1">
        <f t="array" ref="O12">_xll.FDS(C12,"FG_TOTAL_RETURNC(0,-3AM)")</f>
        <v>5.3524732999999998</v>
      </c>
      <c r="P12" s="3" cm="1">
        <f t="array" ref="P12">_xll.FDS(C12,"FG_TOTAL_RETURNC(0,-6AM)")</f>
        <v>13.602233</v>
      </c>
      <c r="Q12" s="9" cm="1">
        <f t="array" ref="Q12">_xll.FDS(C12,"P_PRICE(0)/P_PRICE_HIGH_PR(0,,,,,,""PRICE"",""INTRA"",""52W"")")</f>
        <v>0.96358204000000003</v>
      </c>
      <c r="R12" s="9" cm="1">
        <f t="array" ref="R12">_xll.FDS(C12,"P_PRICE(0)/P_PRICE_low_PR(0,,,,,,""PRICE"",""INTRA"",""52W"")-1")</f>
        <v>0.19875216000000001</v>
      </c>
      <c r="S12" s="3" cm="1">
        <f t="array" ref="S12">_xll.FDS(C12,"FG_TOTAL_RETURNC(0,-12AM)")</f>
        <v>8.183325</v>
      </c>
      <c r="T12" s="4" cm="1">
        <f t="array" ref="T12">_xlfn.PERCENTRANK.EXC(_xlfn._xlws.FILTER($R$3:$R$15, ISNUMBER($R$3:$R$15)),R12)*100</f>
        <v>35.699999999999996</v>
      </c>
      <c r="U12" s="4">
        <f t="shared" ref="U12:U15" si="12">100-T12</f>
        <v>64.300000000000011</v>
      </c>
      <c r="V12" s="4" cm="1">
        <f t="array" ref="V12">_xlfn.PERCENTRANK.EXC(_xlfn._xlws.FILTER($Q$3:$Q$15, ISNUMBER($Q$3:$Q$15)),Q12)*100</f>
        <v>35.699999999999996</v>
      </c>
      <c r="W12" s="4" cm="1">
        <f t="array" ref="W12">_xlfn.PERCENTRANK.EXC(_xlfn._xlws.FILTER($O$3:$O$15, ISNUMBER($O$3:$O$15)),O12)*100</f>
        <v>50</v>
      </c>
      <c r="X12" s="4" cm="1">
        <f t="array" ref="X12">_xlfn.PERCENTRANK.EXC(_xlfn._xlws.FILTER($P$3:$P$15, ISNUMBER($P$3:$P$15)),P12)*100</f>
        <v>28.499999999999996</v>
      </c>
      <c r="Y12" s="201" cm="1">
        <f t="array" ref="Y12">_xlfn.PERCENTRANK.EXC(_xlfn._xlws.FILTER($S$3:$S$15, ISNUMBER($S$3:$S$15)),S12)*100</f>
        <v>28.499999999999996</v>
      </c>
      <c r="Z12" s="4" cm="1">
        <f t="array" ref="Z12">_xlfn.PERCENTRANK.EXC(_xlfn._xlws.FILTER($K$3:$K$15, ISNUMBER($K$3:$K$15)),K12)*100</f>
        <v>57.099999999999994</v>
      </c>
      <c r="AA12" s="4" cm="1">
        <f t="array" ref="AA12">_xlfn.PERCENTRANK.EXC(_xlfn._xlws.FILTER($H$3:$H$15, ISNUMBER($H$3:$H$15)),H12)*100</f>
        <v>14.2</v>
      </c>
      <c r="AB12" s="4" cm="1">
        <f t="array" ref="AB12">_xlfn.PERCENTRANK.EXC(_xlfn._xlws.FILTER($J$3:$J$15, ISNUMBER($J$3:$J$15)),J12)*100</f>
        <v>7.1</v>
      </c>
      <c r="AC12" s="4">
        <f t="shared" si="4"/>
        <v>21.4</v>
      </c>
      <c r="AD12" s="4">
        <f t="shared" si="5"/>
        <v>28.499999999999996</v>
      </c>
      <c r="AE12" s="4">
        <f t="shared" si="6"/>
        <v>71.399999999999991</v>
      </c>
      <c r="AF12" s="4">
        <f>'Economic Momentum'!Q13</f>
        <v>21.4</v>
      </c>
      <c r="AG12" s="4">
        <f ca="1">'Economic Momentum'!R13</f>
        <v>71.399999999999991</v>
      </c>
      <c r="AH12" s="4">
        <f t="shared" ca="1" si="7"/>
        <v>37.83</v>
      </c>
      <c r="AJ12" s="3" cm="1">
        <f t="array" aca="1" ref="AJ12" ca="1">_xlfn.PERCENTRANK.EXC(_xlfn._xlws.FILTER($AH$3:$AH$15, ISNUMBER($AH$3:$AH$15)),AH12)*100</f>
        <v>21.4</v>
      </c>
      <c r="AK12">
        <f t="shared" si="8"/>
        <v>0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1128791.6000000001</v>
      </c>
      <c r="E13" cm="1">
        <f t="array" ref="E13">_xll.FDS(C13,"FMA_COS_UP(""EPS"",""1M"",+1,0,,,""PORTAGG"",""MEANR"")")</f>
        <v>17</v>
      </c>
      <c r="F13" cm="1">
        <f t="array" ref="F13">_xll.FDS(C13,"FMA_COS_DOWN(""EPS"",""1M"",+1,0,,,""PORTAGG"",""MEANR"")")</f>
        <v>22</v>
      </c>
      <c r="G13" cm="1">
        <f t="array" ref="G13">_xll.FDS(A13,"SIZE(FG_CONSTITUENTS)")</f>
        <v>54</v>
      </c>
      <c r="H13" s="9">
        <f t="shared" si="9"/>
        <v>0.31481481481481483</v>
      </c>
      <c r="I13" s="9">
        <f t="shared" si="10"/>
        <v>0.40740740740740738</v>
      </c>
      <c r="J13" s="9">
        <f t="shared" si="11"/>
        <v>-9.259259259259256E-2</v>
      </c>
      <c r="K13" s="5" cm="1">
        <f t="array" ref="K13">_xll.FDS(A13,"FMA_PCT_ABOVE_MAVG(200,0,,,,""PORTAGG"")")/100</f>
        <v>0.66666666666666696</v>
      </c>
      <c r="L13" s="41" cm="1">
        <f t="array" ref="L13">_xll.FDSB(A13,"PERCENT_CHANGE(FMA_EPS(+1,0,,,,""PORTAGG"",""MEAN""),FMA_EPS(+1,-1AM,,,,""PORTAGG"",""MEAN""))")</f>
        <v>-1.5866482134433799E-2</v>
      </c>
      <c r="M13" s="41" cm="1">
        <f t="array" ref="M13">_xll.FDSB(A13,"PERCENT_CHANGE(FMA_EPS(+1,0,,,,""PORTAGG"",""MEAN""),FMA_EPS(+1,-3AM,,,,""PORTAGG"",""MEAN""))")</f>
        <v>-0.82803286394981801</v>
      </c>
      <c r="N13" s="3" cm="1">
        <f t="array" ref="N13">_xll.FDS(C13,"FG_TOTAL_RETURNC(0,-1AM)")</f>
        <v>2.145648</v>
      </c>
      <c r="O13" s="3" cm="1">
        <f t="array" ref="O13">_xll.FDS(C13,"FG_TOTAL_RETURNC(0,-3AM)")</f>
        <v>13.581097</v>
      </c>
      <c r="P13" s="3" cm="1">
        <f t="array" ref="P13">_xll.FDS(C13,"FG_TOTAL_RETURNC(0,-6AM)")</f>
        <v>29.098165999999999</v>
      </c>
      <c r="Q13" s="9" cm="1">
        <f t="array" ref="Q13">_xll.FDS(C13,"P_PRICE(0)/P_PRICE_HIGH_PR(0,,,,,,""PRICE"",""INTRA"",""52W"")")</f>
        <v>0.98429423999999999</v>
      </c>
      <c r="R13" s="9" cm="1">
        <f t="array" ref="R13">_xll.FDS(C13,"P_PRICE(0)/P_PRICE_low_PR(0,,,,,,""PRICE"",""INTRA"",""52W"")-1")</f>
        <v>0.36428759999999999</v>
      </c>
      <c r="S13" s="3" cm="1">
        <f t="array" ref="S13">_xll.FDS(C13,"FG_TOTAL_RETURNC(0,-12AM)")</f>
        <v>19.446860999999998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71.399999999999991</v>
      </c>
      <c r="W13" s="4" cm="1">
        <f t="array" ref="W13">_xlfn.PERCENTRANK.EXC(_xlfn._xlws.FILTER($O$3:$O$15, ISNUMBER($O$3:$O$15)),O13)*100</f>
        <v>92.800000000000011</v>
      </c>
      <c r="X13" s="4" cm="1">
        <f t="array" ref="X13">_xlfn.PERCENTRANK.EXC(_xlfn._xlws.FILTER($P$3:$P$15, ISNUMBER($P$3:$P$15)),P13)*100</f>
        <v>92.800000000000011</v>
      </c>
      <c r="Y13" s="201" cm="1">
        <f t="array" ref="Y13">_xlfn.PERCENTRANK.EXC(_xlfn._xlws.FILTER($S$3:$S$15, ISNUMBER($S$3:$S$15)),S13)*100</f>
        <v>64.2</v>
      </c>
      <c r="Z13" s="4" cm="1">
        <f t="array" ref="Z13">_xlfn.PERCENTRANK.EXC(_xlfn._xlws.FILTER($K$3:$K$15, ISNUMBER($K$3:$K$15)),K13)*100</f>
        <v>28.499999999999996</v>
      </c>
      <c r="AA13" s="4" cm="1">
        <f t="array" ref="AA13">_xlfn.PERCENTRANK.EXC(_xlfn._xlws.FILTER($H$3:$H$15, ISNUMBER($H$3:$H$15)),H13)*100</f>
        <v>28.499999999999996</v>
      </c>
      <c r="AB13" s="4" cm="1">
        <f t="array" ref="AB13">_xlfn.PERCENTRANK.EXC(_xlfn._xlws.FILTER($J$3:$J$15, ISNUMBER($J$3:$J$15)),J13)*100</f>
        <v>21.4</v>
      </c>
      <c r="AC13" s="4">
        <f t="shared" si="4"/>
        <v>85.7</v>
      </c>
      <c r="AD13" s="4">
        <f t="shared" si="5"/>
        <v>64.2</v>
      </c>
      <c r="AE13" s="4">
        <f t="shared" si="6"/>
        <v>28.499999999999996</v>
      </c>
      <c r="AF13" s="4">
        <f>'Economic Momentum'!Q14</f>
        <v>50</v>
      </c>
      <c r="AG13" s="4">
        <f ca="1">'Economic Momentum'!R14</f>
        <v>92.800000000000011</v>
      </c>
      <c r="AH13" s="4">
        <f t="shared" ca="1" si="7"/>
        <v>84.240000000000009</v>
      </c>
      <c r="AJ13" s="3" cm="1">
        <f t="array" aca="1" ref="AJ13" ca="1">_xlfn.PERCENTRANK.EXC(_xlfn._xlws.FILTER($AH$3:$AH$15, ISNUMBER($AH$3:$AH$15)),AH13)*100</f>
        <v>85.7</v>
      </c>
      <c r="AK13">
        <f t="shared" si="8"/>
        <v>3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1011225.75</v>
      </c>
      <c r="E14" cm="1">
        <f t="array" ref="E14">_xll.FDS(C14,"FMA_COS_UP(""EPS"",""1M"",+1,0,,,""PORTAGG"",""MEANR"")")</f>
        <v>16</v>
      </c>
      <c r="F14" cm="1">
        <f t="array" ref="F14">_xll.FDS(C14,"FMA_COS_DOWN(""EPS"",""1M"",+1,0,,,""PORTAGG"",""MEANR"")")</f>
        <v>11</v>
      </c>
      <c r="G14" cm="1">
        <f t="array" ref="G14">_xll.FDS(A14,"SIZE(FG_CONSTITUENTS)")</f>
        <v>44</v>
      </c>
      <c r="H14" s="9">
        <f t="shared" si="9"/>
        <v>0.36363636363636365</v>
      </c>
      <c r="I14" s="9">
        <f t="shared" si="10"/>
        <v>0.25</v>
      </c>
      <c r="J14" s="9">
        <f t="shared" si="11"/>
        <v>0.11363636363636365</v>
      </c>
      <c r="K14" s="5" cm="1">
        <f t="array" ref="K14">_xll.FDS(A14,"FMA_PCT_ABOVE_MAVG(200,0,,,,""PORTAGG"")")/100</f>
        <v>0.93023255813953498</v>
      </c>
      <c r="L14" s="41" cm="1">
        <f t="array" ref="L14">_xll.FDSB(A14,"PERCENT_CHANGE(FMA_EPS(+1,0,,,,""PORTAGG"",""MEAN""),FMA_EPS(+1,-1AM,,,,""PORTAGG"",""MEAN""))")</f>
        <v>-0.16824237413438101</v>
      </c>
      <c r="M14" s="41" cm="1">
        <f t="array" ref="M14">_xll.FDSB(A14,"PERCENT_CHANGE(FMA_EPS(+1,0,,,,""PORTAGG"",""MEAN""),FMA_EPS(+1,-3AM,,,,""PORTAGG"",""MEAN""))")</f>
        <v>-2.1600171790376401</v>
      </c>
      <c r="N14" s="3" cm="1">
        <f t="array" ref="N14">_xll.FDS(C14,"FG_TOTAL_RETURNC(0,-1AM)")</f>
        <v>-2.5375664000000002</v>
      </c>
      <c r="O14" s="3" cm="1">
        <f t="array" ref="O14">_xll.FDS(C14,"FG_TOTAL_RETURNC(0,-3AM)")</f>
        <v>4.8224688000000002</v>
      </c>
      <c r="P14" s="3" cm="1">
        <f t="array" ref="P14">_xll.FDS(C14,"FG_TOTAL_RETURNC(0,-6AM)")</f>
        <v>20.109355999999998</v>
      </c>
      <c r="Q14" s="9" cm="1">
        <f t="array" ref="Q14">_xll.FDS(C14,"P_PRICE(0)/P_PRICE_HIGH_PR(0,,,,,,""PRICE"",""INTRA"",""52W"")")</f>
        <v>0.95187679999999997</v>
      </c>
      <c r="R14" s="9" cm="1">
        <f t="array" ref="R14">_xll.FDS(C14,"P_PRICE(0)/P_PRICE_low_PR(0,,,,,,""PRICE"",""INTRA"",""52W"")-1")</f>
        <v>0.28922926999999998</v>
      </c>
      <c r="S14" s="3" cm="1">
        <f t="array" ref="S14">_xll.FDS(C14,"FG_TOTAL_RETURNC(0,-12AM)")</f>
        <v>14.28504</v>
      </c>
      <c r="T14" s="4" cm="1">
        <f t="array" ref="T14">_xlfn.PERCENTRANK.EXC(_xlfn._xlws.FILTER($R$3:$R$15, ISNUMBER($R$3:$R$15)),R14)*100</f>
        <v>78.5</v>
      </c>
      <c r="U14" s="4">
        <f t="shared" si="12"/>
        <v>21.5</v>
      </c>
      <c r="V14" s="4" cm="1">
        <f t="array" ref="V14">_xlfn.PERCENTRANK.EXC(_xlfn._xlws.FILTER($Q$3:$Q$15, ISNUMBER($Q$3:$Q$15)),Q14)*100</f>
        <v>21.4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71.399999999999991</v>
      </c>
      <c r="Y14" s="201" cm="1">
        <f t="array" ref="Y14">_xlfn.PERCENTRANK.EXC(_xlfn._xlws.FILTER($S$3:$S$15, ISNUMBER($S$3:$S$15)),S14)*100</f>
        <v>57.099999999999994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57.099999999999994</v>
      </c>
      <c r="AB14" s="4" cm="1">
        <f t="array" ref="AB14">_xlfn.PERCENTRANK.EXC(_xlfn._xlws.FILTER($J$3:$J$15, ISNUMBER($J$3:$J$15)),J14)*100</f>
        <v>92.800000000000011</v>
      </c>
      <c r="AC14" s="4">
        <f t="shared" si="4"/>
        <v>78.5</v>
      </c>
      <c r="AD14" s="4">
        <f t="shared" si="5"/>
        <v>50</v>
      </c>
      <c r="AE14" s="4">
        <f t="shared" si="6"/>
        <v>21.4</v>
      </c>
      <c r="AF14" s="4">
        <f>'Economic Momentum'!Q15</f>
        <v>92.800000000000011</v>
      </c>
      <c r="AG14" s="4">
        <f ca="1">'Economic Momentum'!R15</f>
        <v>21.4</v>
      </c>
      <c r="AH14" s="4">
        <f t="shared" ca="1" si="7"/>
        <v>42.819999999999993</v>
      </c>
      <c r="AJ14" s="3" cm="1">
        <f t="array" aca="1" ref="AJ14" ca="1">_xlfn.PERCENTRANK.EXC(_xlfn._xlws.FILTER($AH$3:$AH$15, ISNUMBER($AH$3:$AH$15)),AH14)*100</f>
        <v>35.699999999999996</v>
      </c>
      <c r="AK14">
        <f t="shared" si="8"/>
        <v>3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863494.6</v>
      </c>
      <c r="E15" cm="1">
        <f t="array" ref="E15">_xll.FDS(C15,"FMA_COS_UP(""EPS"",""1M"",+1,0,,,""PORTAGG"",""MEANR"")")</f>
        <v>12</v>
      </c>
      <c r="F15" cm="1">
        <f t="array" ref="F15">_xll.FDS(C15,"FMA_COS_DOWN(""EPS"",""1M"",+1,0,,,""PORTAGG"",""MEANR"")")</f>
        <v>10</v>
      </c>
      <c r="G15" cm="1">
        <f t="array" ref="G15">_xll.FDS(A15,"SIZE(FG_CONSTITUENTS)")</f>
        <v>26</v>
      </c>
      <c r="H15" s="9">
        <f t="shared" si="9"/>
        <v>0.46153846153846156</v>
      </c>
      <c r="I15" s="9">
        <f t="shared" si="10"/>
        <v>0.38461538461538464</v>
      </c>
      <c r="J15" s="9">
        <f t="shared" si="11"/>
        <v>7.6923076923076927E-2</v>
      </c>
      <c r="K15" s="5" cm="1">
        <f t="array" ref="K15">_xll.FDS(A15,"FMA_PCT_ABOVE_MAVG(200,0,,,,""PORTAGG"")")/100</f>
        <v>0.68</v>
      </c>
      <c r="L15" s="41" cm="1">
        <f t="array" ref="L15">_xll.FDSB(A15,"PERCENT_CHANGE(FMA_EPS(+1,0,,,,""PORTAGG"",""MEAN""),FMA_EPS(+1,-1AM,,,,""PORTAGG"",""MEAN""))")</f>
        <v>-0.954523017914648</v>
      </c>
      <c r="M15" s="41" cm="1">
        <f t="array" ref="M15">_xll.FDSB(A15,"PERCENT_CHANGE(FMA_EPS(+1,0,,,,""PORTAGG"",""MEAN""),FMA_EPS(+1,-3AM,,,,""PORTAGG"",""MEAN""))")</f>
        <v>0.62773920169984398</v>
      </c>
      <c r="N15" s="3" cm="1">
        <f t="array" ref="N15">_xll.FDS(C15,"FG_TOTAL_RETURNC(0,-1AM)")</f>
        <v>-0.38230419999999998</v>
      </c>
      <c r="O15" s="3" cm="1">
        <f t="array" ref="O15">_xll.FDS(C15,"FG_TOTAL_RETURNC(0,-3AM)")</f>
        <v>8.1209179999999996</v>
      </c>
      <c r="P15" s="3" cm="1">
        <f t="array" ref="P15">_xll.FDS(C15,"FG_TOTAL_RETURNC(0,-6AM)")</f>
        <v>20.365691999999999</v>
      </c>
      <c r="Q15" s="9" cm="1">
        <f t="array" ref="Q15">_xll.FDS(C15,"P_PRICE(0)/P_PRICE_HIGH_PR(0,,,,,,""PRICE"",""INTRA"",""52W"")")</f>
        <v>0.96101159999999997</v>
      </c>
      <c r="R15" s="9" cm="1">
        <f t="array" ref="R15">_xll.FDS(C15,"P_PRICE(0)/P_PRICE_low_PR(0,,,,,,""PRICE"",""INTRA"",""52W"")-1")</f>
        <v>0.25728069999999997</v>
      </c>
      <c r="S15" s="3" cm="1">
        <f t="array" ref="S15">_xll.FDS(C15,"FG_TOTAL_RETURNC(0,-12AM)")</f>
        <v>21.576107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28.499999999999996</v>
      </c>
      <c r="W15" s="4" cm="1">
        <f t="array" ref="W15">_xlfn.PERCENTRANK.EXC(_xlfn._xlws.FILTER($O$3:$O$15, ISNUMBER($O$3:$O$15)),O15)*100</f>
        <v>71.399999999999991</v>
      </c>
      <c r="X15" s="4" cm="1">
        <f t="array" ref="X15">_xlfn.PERCENTRANK.EXC(_xlfn._xlws.FILTER($P$3:$P$15, ISNUMBER($P$3:$P$15)),P15)*100</f>
        <v>78.5</v>
      </c>
      <c r="Y15" s="201" cm="1">
        <f t="array" ref="Y15">_xlfn.PERCENTRANK.EXC(_xlfn._xlws.FILTER($S$3:$S$15, ISNUMBER($S$3:$S$15)),S15)*100</f>
        <v>71.399999999999991</v>
      </c>
      <c r="Z15" s="4" cm="1">
        <f t="array" ref="Z15">_xlfn.PERCENTRANK.EXC(_xlfn._xlws.FILTER($K$3:$K$15, ISNUMBER($K$3:$K$15)),K15)*100</f>
        <v>35.699999999999996</v>
      </c>
      <c r="AA15" s="4" cm="1">
        <f t="array" ref="AA15">_xlfn.PERCENTRANK.EXC(_xlfn._xlws.FILTER($H$3:$H$15, ISNUMBER($H$3:$H$15)),H15)*100</f>
        <v>85.7</v>
      </c>
      <c r="AB15" s="4" cm="1">
        <f t="array" ref="AB15">_xlfn.PERCENTRANK.EXC(_xlfn._xlws.FILTER($J$3:$J$15, ISNUMBER($J$3:$J$15)),J15)*100</f>
        <v>78.5</v>
      </c>
      <c r="AC15" s="4">
        <f t="shared" si="4"/>
        <v>28.499999999999996</v>
      </c>
      <c r="AD15" s="4">
        <f t="shared" si="5"/>
        <v>92.800000000000011</v>
      </c>
      <c r="AE15" s="4">
        <f t="shared" si="6"/>
        <v>14.2</v>
      </c>
      <c r="AF15" s="4">
        <f>'Economic Momentum'!Q16</f>
        <v>71.399999999999991</v>
      </c>
      <c r="AG15" s="4">
        <f ca="1">'Economic Momentum'!R16</f>
        <v>85.7</v>
      </c>
      <c r="AH15" s="4">
        <f t="shared" ca="1" si="7"/>
        <v>56.36999999999999</v>
      </c>
      <c r="AJ15" s="3" cm="1">
        <f t="array" aca="1" ref="AJ15" ca="1">_xlfn.PERCENTRANK.EXC(_xlfn._xlws.FILTER($AH$3:$AH$15, ISNUMBER($AH$3:$AH$15)),AH15)*100</f>
        <v>64.2</v>
      </c>
      <c r="AK15">
        <f t="shared" si="8"/>
        <v>5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473</v>
      </c>
      <c r="F18" cm="1">
        <f t="array" ref="F18">_xll.FDS(C18,"FMA_COS_DOWN(""EPS"",""1M"",+1,0,,,""PORTAGG"",""MEANR"")")</f>
        <v>452</v>
      </c>
      <c r="G18" cm="1">
        <f t="array" ref="G18">_xll.FDS(A18,"SIZE(FG_CONSTITUENTS)")</f>
        <v>1296</v>
      </c>
      <c r="H18" s="9">
        <f>E18/$G18</f>
        <v>0.36496913580246915</v>
      </c>
      <c r="I18" s="9">
        <f>F18/$G18</f>
        <v>0.34876543209876543</v>
      </c>
      <c r="J18" s="9">
        <f t="shared" ref="J18" si="13">H18-I18</f>
        <v>1.620370370370372E-2</v>
      </c>
      <c r="K18" s="5" cm="1">
        <f t="array" ref="K18">_xll.FDS(A18,"FMA_PCT_ABOVE_MAVG(200,0,,,,""PORTAGG"")")/100</f>
        <v>0.584313725490196</v>
      </c>
      <c r="L18" s="41" cm="1">
        <f t="array" ref="L18">_xll.FDSB(A18,"PERCENT_CHANGE(FMA_EPS(+1,0,,,,""PORTAGG"",""MEAN""),FMA_EPS(+1,-1AM,,,,""PORTAGG"",""MEAN""))")</f>
        <v>-4.9995657589026798</v>
      </c>
      <c r="M18" s="41" cm="1">
        <f t="array" ref="M18">_xll.FDSB(A18,"PERCENT_CHANGE(FMA_EPS(+1,0,,,,""PORTAGG"",""MEAN""),FMA_EPS(+1,-3AM,,,,""PORTAGG"",""MEAN""))")</f>
        <v>-8.7199133341936896</v>
      </c>
      <c r="N18" s="3" cm="1">
        <f t="array" ref="N18">_xll.FDS(C18,"FG_TOTAL_RETURNC(0,-1AM)")</f>
        <v>-0.40727854000000002</v>
      </c>
      <c r="O18" s="3" cm="1">
        <f t="array" ref="O18">_xll.FDS(C18,"FG_TOTAL_RETURNC(0,-3AM)")</f>
        <v>4.9459815000000003</v>
      </c>
      <c r="P18" s="3" cm="1">
        <f t="array" ref="P18">_xll.FDS(C18,"FG_TOTAL_RETURNC(0,-6AM)")</f>
        <v>14.065636</v>
      </c>
      <c r="Q18" s="9" cm="1">
        <f t="array" ref="Q18">_xll.FDS(C18,"P_PRICE(0)/P_PRICE_HIGH_PR(0,,,,,,""PRICE"",""INTRA"",""52W"")")</f>
        <v>0.97683679999999995</v>
      </c>
      <c r="R18" s="9" cm="1">
        <f t="array" ref="R18">_xll.FDS(C18,"P_PRICE(0)/P_PRICE_low_PR(0,,,,,,""PRICE"",""INTRA"",""52W"")-1")</f>
        <v>0.2025063</v>
      </c>
      <c r="S18" s="3" cm="1">
        <f t="array" ref="S18">_xll.FDS(C18,"FG_TOTAL_RETURNC(0,-12AM)")</f>
        <v>10.9211445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716</v>
      </c>
      <c r="F19" cm="1">
        <f t="array" ref="F19">_xll.FDS(C19,"FMA_COS_DOWN(""EPS"",""1M"",+1,0,,,""PORTAGG"",""MEANR"")")</f>
        <v>1042</v>
      </c>
      <c r="G19" cm="1">
        <f t="array" ref="G19">_xll.FDS(A19,"SIZE(FG_CONSTITUENTS)")</f>
        <v>4715</v>
      </c>
      <c r="H19" s="9">
        <f>E19/$G19</f>
        <v>0.15185577942735948</v>
      </c>
      <c r="I19" s="9">
        <f>F19/$G19</f>
        <v>0.2209968186638388</v>
      </c>
      <c r="J19" s="9">
        <f t="shared" ref="J19" si="14">H19-I19</f>
        <v>-6.9141039236479324E-2</v>
      </c>
      <c r="K19" s="5" cm="1">
        <f t="array" ref="K19">_xll.FDS(A19,"FMA_PCT_ABOVE_MAVG(200,0,,,,""PORTAGG"")")/100</f>
        <v>0.40492804186655001</v>
      </c>
      <c r="L19" s="41" cm="1">
        <f t="array" ref="L19">_xll.FDSB(A19,"PERCENT_CHANGE(FMA_EPS(+1,0,,,,""PORTAGG"",""MEAN""),FMA_EPS(+1,-1AM,,,,""PORTAGG"",""MEAN""))")</f>
        <v>-13.3546419634439</v>
      </c>
      <c r="M19" s="41" cm="1">
        <f t="array" ref="M19">_xll.FDSB(A19,"PERCENT_CHANGE(FMA_EPS(+1,0,,,,""PORTAGG"",""MEAN""),FMA_EPS(+1,-3AM,,,,""PORTAGG"",""MEAN""))")</f>
        <v>-16.668786957630601</v>
      </c>
      <c r="N19" s="3" cm="1">
        <f t="array" ref="N19">_xll.FDS(C19,"FG_TOTAL_RETURNC(0,-1AM)")</f>
        <v>1.4073491</v>
      </c>
      <c r="O19" s="3" cm="1">
        <f t="array" ref="O19">_xll.FDS(C19,"FG_TOTAL_RETURNC(0,-3AM)")</f>
        <v>5.5675150000000002</v>
      </c>
      <c r="P19" s="3" cm="1">
        <f t="array" ref="P19">_xll.FDS(C19,"FG_TOTAL_RETURNC(0,-6AM)")</f>
        <v>9.5271830000000008</v>
      </c>
      <c r="Q19" s="9" cm="1">
        <f t="array" ref="Q19">_xll.FDS(C19,"P_PRICE(0)/P_PRICE_HIGH_PR(0,,,,,,""PRICE"",""INTRA"",""52W"")")</f>
        <v>0.98422270000000001</v>
      </c>
      <c r="R19" s="9" cm="1">
        <f t="array" ref="R19">_xll.FDS(C19,"P_PRICE(0)/P_PRICE_low_PR(0,,,,,,""PRICE"",""INTRA"",""52W"")-1")</f>
        <v>0.13255893999999999</v>
      </c>
      <c r="S19" s="3" cm="1">
        <f t="array" ref="S19">_xll.FDS(C19,"FG_TOTAL_RETURNC(0,-12AM)")</f>
        <v>8.0307119999999994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556</v>
      </c>
      <c r="F20" cm="1">
        <f t="array" ref="F20">_xll.FDS(C20,"FMA_COS_DOWN(""EPS"",""1M"",+1,0,,,""PORTAGG"",""MEANR"")")</f>
        <v>551</v>
      </c>
      <c r="G20" cm="1">
        <f t="array" ref="G20">_xll.FDS(A20,"SIZE(FG_CONSTITUENTS)")</f>
        <v>1469</v>
      </c>
      <c r="H20" s="9">
        <f t="shared" ref="H20" si="16">E20/$G20</f>
        <v>0.37848876786929886</v>
      </c>
      <c r="I20" s="9">
        <f t="shared" ref="I20" si="17">F20/$G20</f>
        <v>0.37508509189925121</v>
      </c>
      <c r="J20" s="9">
        <f t="shared" ref="J20" si="18">H20-I20</f>
        <v>3.4036759700476482E-3</v>
      </c>
      <c r="K20" s="5" cm="1">
        <f t="array" ref="K20">_xll.FDS(A20,"FMA_PCT_ABOVE_MAVG(200,0,,,,""PORTAGG"")")/100</f>
        <v>0.72131147540983609</v>
      </c>
      <c r="L20" s="41" cm="1">
        <f t="array" ref="L20">_xll.FDSB(A20,"PERCENT_CHANGE(FMA_EPS(+1,0,,,,""PORTAGG"",""MEAN""),FMA_EPS(+1,-1AM,,,,""PORTAGG"",""MEAN""))")</f>
        <v>-0.26075720852954498</v>
      </c>
      <c r="M20" s="41" cm="1">
        <f t="array" ref="M20">_xll.FDSB(A20,"PERCENT_CHANGE(FMA_EPS(+1,0,,,,""PORTAGG"",""MEAN""),FMA_EPS(+1,-3AM,,,,""PORTAGG"",""MEAN""))")</f>
        <v>-0.93778197203275504</v>
      </c>
      <c r="N20" s="3" cm="1">
        <f t="array" ref="N20">_xll.FDS(C20,"FG_TOTAL_RETURNC(0,-1AM)")</f>
        <v>1.0940909000000001</v>
      </c>
      <c r="O20" s="3" cm="1">
        <f t="array" ref="O20">_xll.FDS(C20,"FG_TOTAL_RETURNC(0,-3AM)")</f>
        <v>7.8301429999999996</v>
      </c>
      <c r="P20" s="3" cm="1">
        <f t="array" ref="P20">_xll.FDS(C20,"FG_TOTAL_RETURNC(0,-6AM)")</f>
        <v>18.062760000000001</v>
      </c>
      <c r="Q20" s="9" cm="1">
        <f t="array" ref="Q20">_xll.FDS(C20,"P_PRICE(0)/P_PRICE_HIGH_PR(0,,,,,,""PRICE"",""INTRA"",""52W"")")</f>
        <v>0.98643154</v>
      </c>
      <c r="R20" s="9" cm="1">
        <f t="array" ref="R20">_xll.FDS(C20,"P_PRICE(0)/P_PRICE_low_PR(0,,,,,,""PRICE"",""INTRA"",""52W"")-1")</f>
        <v>0.24864864</v>
      </c>
      <c r="S20" s="3" cm="1">
        <f t="array" ref="S20">_xll.FDS(C20,"FG_TOTAL_RETURNC(0,-12AM)")</f>
        <v>23.639285999999998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97</v>
      </c>
      <c r="F21" cm="1">
        <f t="array" ref="F21">_xll.FDS(C21,"FMA_COS_DOWN(""EPS"",""1M"",+1,0,,,""PORTAGG"",""MEANR"")")</f>
        <v>88</v>
      </c>
      <c r="G21" cm="1">
        <f t="array" ref="G21">_xll.FDS(A21,"SIZE(FG_CONSTITUENTS)")</f>
        <v>219</v>
      </c>
      <c r="H21" s="9">
        <f t="shared" ref="H21:H22" si="20">E21/$G21</f>
        <v>0.44292237442922372</v>
      </c>
      <c r="I21" s="9">
        <f t="shared" ref="I21:I22" si="21">F21/$G21</f>
        <v>0.40182648401826482</v>
      </c>
      <c r="J21" s="9">
        <f t="shared" ref="J21:J22" si="22">H21-I21</f>
        <v>4.1095890410958902E-2</v>
      </c>
      <c r="K21" s="5" cm="1">
        <f t="array" ref="K21">_xll.FDS(A21,"FMA_PCT_ABOVE_MAVG(200,0,,,,""PORTAGG"")")/100</f>
        <v>0.70319634703196299</v>
      </c>
      <c r="L21" s="41" cm="1">
        <f t="array" ref="L21">_xll.FDSB(A21,"PERCENT_CHANGE(FMA_EPS(+1,0,,,,""PORTAGG"",""MEAN""),FMA_EPS(+1,-1AM,,,,""PORTAGG"",""MEAN""))")</f>
        <v>-0.94719875045297697</v>
      </c>
      <c r="M21" s="41" cm="1">
        <f t="array" ref="M21">_xll.FDSB(A21,"PERCENT_CHANGE(FMA_EPS(+1,0,,,,""PORTAGG"",""MEAN""),FMA_EPS(+1,-3AM,,,,""PORTAGG"",""MEAN""))")</f>
        <v>-1.08767646282891</v>
      </c>
      <c r="N21" s="3" cm="1">
        <f t="array" ref="N21">_xll.FDS(C21,"FG_TOTAL_RETURNC(0,-1AM)")</f>
        <v>0.56034326999999995</v>
      </c>
      <c r="O21" s="3" cm="1">
        <f t="array" ref="O21">_xll.FDS(C21,"FG_TOTAL_RETURNC(0,-3AM)")</f>
        <v>6.3677789999999996</v>
      </c>
      <c r="P21" s="3" cm="1">
        <f t="array" ref="P21">_xll.FDS(C21,"FG_TOTAL_RETURNC(0,-6AM)")</f>
        <v>17.940353000000002</v>
      </c>
      <c r="Q21" s="9" cm="1">
        <f t="array" ref="Q21">_xll.FDS(C21,"P_PRICE(0)/P_PRICE_HIGH_PR(0,,,,,,""PRICE"",""INTRA"",""52W"")")</f>
        <v>0.97120649999999997</v>
      </c>
      <c r="R21" s="9" cm="1">
        <f t="array" ref="R21">_xll.FDS(C21,"P_PRICE(0)/P_PRICE_low_PR(0,,,,,,""PRICE"",""INTRA"",""52W"")-1")</f>
        <v>0.22360134000000001</v>
      </c>
      <c r="S21" s="3" cm="1">
        <f t="array" ref="S21">_xll.FDS(C21,"FG_TOTAL_RETURNC(0,-12AM)")</f>
        <v>23.492705999999998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182</v>
      </c>
      <c r="F22" cm="1">
        <f t="array" ref="F22">_xll.FDS(C22,"FMA_COS_DOWN(""EPS"",""1M"",+1,0,,,""PORTAGG"",""MEANR"")")</f>
        <v>169</v>
      </c>
      <c r="G22" cm="1">
        <f t="array" ref="G22">_xll.FDS(A22,"SIZE(FG_CONSTITUENTS)")</f>
        <v>504</v>
      </c>
      <c r="H22" s="9">
        <f t="shared" si="20"/>
        <v>0.3611111111111111</v>
      </c>
      <c r="I22" s="9">
        <f t="shared" si="21"/>
        <v>0.33531746031746029</v>
      </c>
      <c r="J22" s="9">
        <f t="shared" si="22"/>
        <v>2.5793650793650813E-2</v>
      </c>
      <c r="K22" s="5" cm="1">
        <f t="array" ref="K22">_xll.FDS(A22,"FMA_PCT_ABOVE_MAVG(200,0,,,,""PORTAGG"")")/100</f>
        <v>0.79441117764471103</v>
      </c>
      <c r="L22" s="41" cm="1">
        <f t="array" ref="L22">_xll.FDSB(A22,"PERCENT_CHANGE(FMA_EPS(+1,0,,,,""PORTAGG"",""MEAN""),FMA_EPS(+1,-1AM,,,,""PORTAGG"",""MEAN""))")</f>
        <v>-0.325097488744788</v>
      </c>
      <c r="M22" s="41" cm="1">
        <f t="array" ref="M22">_xll.FDSB(A22,"PERCENT_CHANGE(FMA_EPS(+1,0,,,,""PORTAGG"",""MEAN""),FMA_EPS(+1,-3AM,,,,""PORTAGG"",""MEAN""))")</f>
        <v>9.3663964525271495E-2</v>
      </c>
      <c r="N22" s="3" cm="1">
        <f t="array" ref="N22">_xll.FDS(C22,"FG_TOTAL_RETURNC(0,-1AM)")</f>
        <v>1.6312956999999999</v>
      </c>
      <c r="O22" s="3" cm="1">
        <f t="array" ref="O22">_xll.FDS(C22,"FG_TOTAL_RETURNC(0,-3AM)")</f>
        <v>9.0837479999999999</v>
      </c>
      <c r="P22" s="3" cm="1">
        <f t="array" ref="P22">_xll.FDS(C22,"FG_TOTAL_RETURNC(0,-6AM)")</f>
        <v>19.575261999999999</v>
      </c>
      <c r="Q22" s="9" cm="1">
        <f t="array" ref="Q22">_xll.FDS(C22,"P_PRICE(0)/P_PRICE_HIGH_PR(0,,,,,,""PRICE"",""INTRA"",""52W"")")</f>
        <v>0.98740019999999995</v>
      </c>
      <c r="R22" s="9" cm="1">
        <f t="array" ref="R22">_xll.FDS(C22,"P_PRICE(0)/P_PRICE_low_PR(0,,,,,,""PRICE"",""INTRA"",""52W"")-1")</f>
        <v>0.28300393000000001</v>
      </c>
      <c r="S22" s="3" cm="1">
        <f t="array" ref="S22">_xll.FDS(C22,"FG_TOTAL_RETURNC(0,-12AM)")</f>
        <v>28.269504999999999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12</v>
      </c>
      <c r="F23" cm="1">
        <f t="array" ref="F23">_xll.FDS(C23,"FMA_COS_DOWN(""EPS"",""1M"",+1,0,,,""PORTAGG"",""MEANR"")")</f>
        <v>35</v>
      </c>
      <c r="G23" cm="1">
        <f t="array" ref="G23">_xll.FDS(A23,"SIZE(FG_CONSTITUENTS)")</f>
        <v>51</v>
      </c>
      <c r="H23" s="9">
        <f t="shared" ref="H23" si="24">E23/$G23</f>
        <v>0.23529411764705882</v>
      </c>
      <c r="I23" s="9">
        <f t="shared" ref="I23" si="25">F23/$G23</f>
        <v>0.68627450980392157</v>
      </c>
      <c r="J23" s="9">
        <f t="shared" ref="J23" si="26">H23-I23</f>
        <v>-0.45098039215686275</v>
      </c>
      <c r="K23" s="5" cm="1">
        <f t="array" ref="K23">_xll.FDS(A23,"FMA_PCT_ABOVE_MAVG(200,0,,,,""PORTAGG"")")/100</f>
        <v>0.50980392156862697</v>
      </c>
      <c r="L23" s="41" cm="1">
        <f t="array" ref="L23">_xll.FDSB(A23,"PERCENT_CHANGE(FMA_EPS(+1,0,,,,""PORTAGG"",""MEAN""),FMA_EPS(+1,-1AM,,,,""PORTAGG"",""MEAN""))")</f>
        <v>-1.59514281102572</v>
      </c>
      <c r="M23" s="41" cm="1">
        <f t="array" ref="M23">_xll.FDSB(A23,"PERCENT_CHANGE(FMA_EPS(+1,0,,,,""PORTAGG"",""MEAN""),FMA_EPS(+1,-3AM,,,,""PORTAGG"",""MEAN""))")</f>
        <v>-1.75480169122212</v>
      </c>
      <c r="N23" s="3" cm="1">
        <f t="array" ref="N23">_xll.FDS(C23,"FG_TOTAL_RETURNC(0,-1AM)")</f>
        <v>2.7454257000000002</v>
      </c>
      <c r="O23" s="3" cm="1">
        <f t="array" ref="O23">_xll.FDS(C23,"FG_TOTAL_RETURNC(0,-3AM)")</f>
        <v>8.1909770000000002</v>
      </c>
      <c r="P23" s="3" cm="1">
        <f t="array" ref="P23">_xll.FDS(C23,"FG_TOTAL_RETURNC(0,-6AM)")</f>
        <v>-6.6117705999999998</v>
      </c>
      <c r="Q23" s="9" cm="1">
        <f t="array" ref="Q23">_xll.FDS(C23,"P_PRICE(0)/P_PRICE_HIGH_PR(0,,,,,,""PRICE"",""INTRA"",""52W"")")</f>
        <v>0.80877536999999999</v>
      </c>
      <c r="R23" s="9" cm="1">
        <f t="array" ref="R23">_xll.FDS(C23,"P_PRICE(0)/P_PRICE_low_PR(0,,,,,,""PRICE"",""INTRA"",""52W"")-1")</f>
        <v>0.18408442</v>
      </c>
      <c r="S23" s="3" cm="1">
        <f t="array" ref="S23">_xll.FDS(C23,"FG_TOTAL_RETURNC(0,-12AM)")</f>
        <v>-12.710589000000001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-0.15350884000000001</v>
      </c>
      <c r="E4" s="9">
        <f>HLOOKUP(B4,'Monthly Returns'!$A$1:$Q$134, 132, FALSE)</f>
        <v>0.12396694214876033</v>
      </c>
      <c r="H4" s="9">
        <f>HLOOKUP(B4,'Yearly returns'!$B$1:$N$140, 133, FALSE)</f>
        <v>0.1487603305785124</v>
      </c>
      <c r="I4" s="9">
        <f>HLOOKUP(B4,'Yearly returns'!$B$1:$N$140, 138, FALSE)</f>
        <v>0.221</v>
      </c>
      <c r="J4" s="183">
        <f>1/E4</f>
        <v>8.0666666666666664</v>
      </c>
      <c r="K4" s="185">
        <f>PERCENTRANK($J$4:$J$16,J4)*100</f>
        <v>25</v>
      </c>
      <c r="L4" s="47">
        <f>(1-PERCENTRANK($E$4:$E$16,E4))*100</f>
        <v>25</v>
      </c>
      <c r="M4" s="47">
        <f>(1-PERCENTRANK($H$4:$H$16,H4))*100</f>
        <v>41.7</v>
      </c>
      <c r="N4" s="47">
        <f>(1-PERCENTRANK($I$4:$I$16,I4))*100</f>
        <v>100</v>
      </c>
      <c r="P4">
        <f>L4*Assumption!$E$53 + M4*Assumption!$F$53 + N4*Assumption!$G$53</f>
        <v>66.674999999999997</v>
      </c>
      <c r="R4" cm="1">
        <f t="array" ref="R4">_xlfn.PERCENTRANK.EXC(_xlfn._xlws.FILTER(P$4:P$16, ISNUMBER(P$4:P$16)),P4)*100</f>
        <v>78.5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-0.23521686999999999</v>
      </c>
      <c r="E5" s="9">
        <f>HLOOKUP(B5,'Monthly Returns'!$A$1:$Q$134, 132, FALSE)</f>
        <v>0.10743801652892562</v>
      </c>
      <c r="H5" s="9">
        <f>HLOOKUP(B5,'Yearly returns'!$B$1:$N$140, 133, FALSE)</f>
        <v>0.1487603305785124</v>
      </c>
      <c r="I5" s="9">
        <f>HLOOKUP(B5,'Yearly returns'!$B$1:$N$140, 138, FALSE)</f>
        <v>0.63100000000000001</v>
      </c>
      <c r="J5" s="183">
        <f t="shared" ref="J5:J16" si="0">1/E5</f>
        <v>9.3076923076923066</v>
      </c>
      <c r="K5" s="185">
        <f t="shared" ref="K5:K16" si="1">PERCENTRANK($J$4:$J$16,J5)*100</f>
        <v>66.600000000000009</v>
      </c>
      <c r="L5" s="47">
        <f t="shared" ref="L5:L16" si="2">(1-PERCENTRANK($E$4:$E$16,E5))*100</f>
        <v>66.7</v>
      </c>
      <c r="M5" s="47">
        <f t="shared" ref="M5:M16" si="3">(1-PERCENTRANK($H$4:$H$16,H5))*100</f>
        <v>41.7</v>
      </c>
      <c r="N5" s="47">
        <f t="shared" ref="N5:N16" si="4">(1-PERCENTRANK($I$4:$I$16,I5))*100</f>
        <v>58.400000000000006</v>
      </c>
      <c r="P5">
        <f>L5*Assumption!$E$53 + M5*Assumption!$F$53 + N5*Assumption!$G$53</f>
        <v>56.300000000000004</v>
      </c>
      <c r="R5" cm="1">
        <f t="array" ref="R5">_xlfn.PERCENTRANK.EXC(_xlfn._xlws.FILTER(P$4:P$16, ISNUMBER(P$4:P$16)),P5)*100</f>
        <v>64.2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-0.23036480000000001</v>
      </c>
      <c r="E6" s="9">
        <f>HLOOKUP(B6,'Monthly Returns'!$A$1:$Q$134, 132, FALSE)</f>
        <v>0.11570247933884298</v>
      </c>
      <c r="H6" s="9">
        <f>HLOOKUP(B6,'Yearly returns'!$B$1:$N$140, 133, FALSE)</f>
        <v>0.14049586776859505</v>
      </c>
      <c r="I6" s="9">
        <f>HLOOKUP(B6,'Yearly returns'!$B$1:$N$140, 138, FALSE)</f>
        <v>0.69599999999999995</v>
      </c>
      <c r="J6" s="183">
        <f t="shared" si="0"/>
        <v>8.6428571428571423</v>
      </c>
      <c r="K6" s="185">
        <f t="shared" si="1"/>
        <v>33.300000000000004</v>
      </c>
      <c r="L6" s="47">
        <f t="shared" si="2"/>
        <v>58.400000000000006</v>
      </c>
      <c r="M6" s="47">
        <f t="shared" si="3"/>
        <v>58.400000000000006</v>
      </c>
      <c r="N6" s="47">
        <f t="shared" si="4"/>
        <v>50</v>
      </c>
      <c r="P6">
        <f>L6*Assumption!$E$53 + M6*Assumption!$F$53 + N6*Assumption!$G$53</f>
        <v>54.2</v>
      </c>
      <c r="R6" cm="1">
        <f t="array" ref="R6">_xlfn.PERCENTRANK.EXC(_xlfn._xlws.FILTER(P$4:P$16, ISNUMBER(P$4:P$16)),P6)*100</f>
        <v>57.099999999999994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-0.21404339</v>
      </c>
      <c r="E7" s="9">
        <f>HLOOKUP(B7,'Monthly Returns'!$A$1:$Q$134, 132, FALSE)</f>
        <v>0.14049586776859505</v>
      </c>
      <c r="H7" s="9">
        <f>HLOOKUP(B7,'Yearly returns'!$B$1:$N$140, 133, FALSE)</f>
        <v>0.26446280991735538</v>
      </c>
      <c r="I7" s="9">
        <f>HLOOKUP(B7,'Yearly returns'!$B$1:$N$140, 138, FALSE)</f>
        <v>0.60599999999999998</v>
      </c>
      <c r="J7" s="183">
        <f t="shared" si="0"/>
        <v>7.117647058823529</v>
      </c>
      <c r="K7" s="185">
        <f t="shared" si="1"/>
        <v>8.3000000000000007</v>
      </c>
      <c r="L7" s="47">
        <f t="shared" si="2"/>
        <v>8.3999999999999968</v>
      </c>
      <c r="M7" s="47">
        <f t="shared" si="3"/>
        <v>8.3999999999999968</v>
      </c>
      <c r="N7" s="47">
        <f t="shared" si="4"/>
        <v>75</v>
      </c>
      <c r="P7">
        <f>L7*Assumption!$E$53 + M7*Assumption!$F$53 + N7*Assumption!$G$53</f>
        <v>41.699999999999996</v>
      </c>
      <c r="R7" cm="1">
        <f t="array" ref="R7">_xlfn.PERCENTRANK.EXC(_xlfn._xlws.FILTER(P$4:P$16, ISNUMBER(P$4:P$16)),P7)*100</f>
        <v>14.2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-0.16800672999999999</v>
      </c>
      <c r="E8" s="9">
        <f>HLOOKUP(B8,'Monthly Returns'!$A$1:$Q$134, 132, FALSE)</f>
        <v>9.9173553719008267E-2</v>
      </c>
      <c r="H8" s="9">
        <f>HLOOKUP(B8,'Yearly returns'!$B$1:$N$140, 133, FALSE)</f>
        <v>0.11570247933884298</v>
      </c>
      <c r="I8" s="9">
        <f>HLOOKUP(B8,'Yearly returns'!$B$1:$N$140, 138, FALSE)</f>
        <v>0.90900000000000003</v>
      </c>
      <c r="J8" s="183">
        <f t="shared" si="0"/>
        <v>10.083333333333334</v>
      </c>
      <c r="K8" s="185">
        <f t="shared" si="1"/>
        <v>75</v>
      </c>
      <c r="L8" s="47">
        <f t="shared" si="2"/>
        <v>83.399999999999991</v>
      </c>
      <c r="M8" s="47">
        <f t="shared" si="3"/>
        <v>75</v>
      </c>
      <c r="N8" s="47">
        <f t="shared" si="4"/>
        <v>8.3999999999999968</v>
      </c>
      <c r="P8">
        <f>L8*Assumption!$E$53 + M8*Assumption!$F$53 + N8*Assumption!$G$53</f>
        <v>43.79999999999999</v>
      </c>
      <c r="R8" cm="1">
        <f t="array" ref="R8">_xlfn.PERCENTRANK.EXC(_xlfn._xlws.FILTER(P$4:P$16, ISNUMBER(P$4:P$16)),P8)*100</f>
        <v>28.499999999999996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-0.15034551000000002</v>
      </c>
      <c r="E9" s="9">
        <f>HLOOKUP(B9,'Monthly Returns'!$A$1:$Q$134, 132, FALSE)</f>
        <v>6.6115702479338845E-2</v>
      </c>
      <c r="H9" s="9">
        <f>HLOOKUP(B9,'Yearly returns'!$B$1:$N$140, 133, FALSE)</f>
        <v>0.10743801652892562</v>
      </c>
      <c r="I9" s="9">
        <f>HLOOKUP(B9,'Yearly returns'!$B$1:$N$140, 138, FALSE)</f>
        <v>0.33600000000000002</v>
      </c>
      <c r="J9" s="183">
        <f t="shared" si="0"/>
        <v>15.125</v>
      </c>
      <c r="K9" s="185">
        <f t="shared" si="1"/>
        <v>100</v>
      </c>
      <c r="L9" s="47">
        <f t="shared" si="2"/>
        <v>100</v>
      </c>
      <c r="M9" s="47">
        <f t="shared" si="3"/>
        <v>83.399999999999991</v>
      </c>
      <c r="N9" s="47">
        <f t="shared" si="4"/>
        <v>91.7</v>
      </c>
      <c r="P9">
        <f>L9*Assumption!$E$53 + M9*Assumption!$F$53 + N9*Assumption!$G$53</f>
        <v>91.699999999999989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-0.22471231</v>
      </c>
      <c r="E10" s="9">
        <f>HLOOKUP(B10,'Monthly Returns'!$A$1:$Q$134, 132, FALSE)</f>
        <v>0.11570247933884298</v>
      </c>
      <c r="H10" s="9">
        <f>HLOOKUP(B10,'Yearly returns'!$B$1:$N$140, 133, FALSE)</f>
        <v>0.1487603305785124</v>
      </c>
      <c r="I10" s="9">
        <f>HLOOKUP(B10,'Yearly returns'!$B$1:$N$140, 138, FALSE)</f>
        <v>0.60599999999999998</v>
      </c>
      <c r="J10" s="183">
        <f t="shared" si="0"/>
        <v>8.6428571428571423</v>
      </c>
      <c r="K10" s="185">
        <f t="shared" si="1"/>
        <v>33.300000000000004</v>
      </c>
      <c r="L10" s="47">
        <f t="shared" si="2"/>
        <v>58.400000000000006</v>
      </c>
      <c r="M10" s="47">
        <f t="shared" si="3"/>
        <v>41.7</v>
      </c>
      <c r="N10" s="47">
        <f t="shared" si="4"/>
        <v>75</v>
      </c>
      <c r="P10">
        <f>L10*Assumption!$E$53 + M10*Assumption!$F$53 + N10*Assumption!$G$53</f>
        <v>62.525000000000006</v>
      </c>
      <c r="R10" cm="1">
        <f t="array" ref="R10">_xlfn.PERCENTRANK.EXC(_xlfn._xlws.FILTER(P$4:P$16, ISNUMBER(P$4:P$16)),P10)*100</f>
        <v>71.399999999999991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-0.15857071</v>
      </c>
      <c r="E11" s="9">
        <f>HLOOKUP(B11,'Monthly Returns'!$A$1:$Q$134, 132, FALSE)</f>
        <v>9.9173553719008267E-2</v>
      </c>
      <c r="H11" s="9">
        <f>HLOOKUP(B11,'Yearly returns'!$B$1:$N$140, 133, FALSE)</f>
        <v>8.2644628099173556E-2</v>
      </c>
      <c r="I11" s="9">
        <f>HLOOKUP(B11,'Yearly returns'!$B$1:$N$140, 138, FALSE)</f>
        <v>0.877</v>
      </c>
      <c r="J11" s="183">
        <f t="shared" si="0"/>
        <v>10.083333333333334</v>
      </c>
      <c r="K11" s="185">
        <f t="shared" si="1"/>
        <v>75</v>
      </c>
      <c r="L11" s="47">
        <f t="shared" si="2"/>
        <v>83.399999999999991</v>
      </c>
      <c r="M11" s="47">
        <f t="shared" si="3"/>
        <v>91.7</v>
      </c>
      <c r="N11" s="47">
        <f t="shared" si="4"/>
        <v>16.700000000000003</v>
      </c>
      <c r="P11">
        <f>L11*Assumption!$E$53 + M11*Assumption!$F$53 + N11*Assumption!$G$53</f>
        <v>52.125</v>
      </c>
      <c r="R11" cm="1">
        <f t="array" ref="R11">_xlfn.PERCENTRANK.EXC(_xlfn._xlws.FILTER(P$4:P$16, ISNUMBER(P$4:P$16)),P11)*100</f>
        <v>50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-0.18165009999999998</v>
      </c>
      <c r="E12" s="9">
        <f>HLOOKUP(B12,'Monthly Returns'!$A$1:$Q$134, 132, FALSE)</f>
        <v>7.43801652892562E-2</v>
      </c>
      <c r="H12" s="9">
        <f>HLOOKUP(B12,'Yearly returns'!$B$1:$N$140, 133, FALSE)</f>
        <v>4.1322314049586778E-2</v>
      </c>
      <c r="I12" s="9">
        <f>HLOOKUP(B12,'Yearly returns'!$B$1:$N$140, 138, FALSE)</f>
        <v>0.90900000000000003</v>
      </c>
      <c r="J12" s="183">
        <f t="shared" si="0"/>
        <v>13.444444444444445</v>
      </c>
      <c r="K12" s="185">
        <f t="shared" si="1"/>
        <v>91.600000000000009</v>
      </c>
      <c r="L12" s="47">
        <f t="shared" si="2"/>
        <v>91.7</v>
      </c>
      <c r="M12" s="47">
        <f t="shared" si="3"/>
        <v>100</v>
      </c>
      <c r="N12" s="47">
        <f t="shared" si="4"/>
        <v>8.3999999999999968</v>
      </c>
      <c r="P12">
        <f>L12*Assumption!$E$53 + M12*Assumption!$F$53 + N12*Assumption!$G$53</f>
        <v>52.124999999999993</v>
      </c>
      <c r="R12" cm="1">
        <f t="array" ref="R12">_xlfn.PERCENTRANK.EXC(_xlfn._xlws.FILTER(P$4:P$16, ISNUMBER(P$4:P$16)),P12)*100</f>
        <v>42.8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-0.22009271999999999</v>
      </c>
      <c r="E13" s="9">
        <f>HLOOKUP(B13,'Monthly Returns'!$A$1:$Q$134, 132, FALSE)</f>
        <v>0.11570247933884298</v>
      </c>
      <c r="H13" s="9">
        <f>HLOOKUP(B13,'Yearly returns'!$B$1:$N$140, 133, FALSE)</f>
        <v>0.14049586776859505</v>
      </c>
      <c r="I13" s="9">
        <f>HLOOKUP(B13,'Yearly returns'!$B$1:$N$140, 138, FALSE)</f>
        <v>0.56499999999999995</v>
      </c>
      <c r="J13" s="183">
        <f t="shared" si="0"/>
        <v>8.6428571428571423</v>
      </c>
      <c r="K13" s="185">
        <f t="shared" si="1"/>
        <v>33.300000000000004</v>
      </c>
      <c r="L13" s="47">
        <f t="shared" si="2"/>
        <v>58.400000000000006</v>
      </c>
      <c r="M13" s="47">
        <f t="shared" si="3"/>
        <v>58.400000000000006</v>
      </c>
      <c r="N13" s="47">
        <f t="shared" si="4"/>
        <v>83.399999999999991</v>
      </c>
      <c r="P13">
        <f>L13*Assumption!$E$53 + M13*Assumption!$F$53 + N13*Assumption!$G$53</f>
        <v>70.900000000000006</v>
      </c>
      <c r="R13" cm="1">
        <f t="array" ref="R13">_xlfn.PERCENTRANK.EXC(_xlfn._xlws.FILTER(P$4:P$16, ISNUMBER(P$4:P$16)),P13)*100</f>
        <v>85.7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-0.19808029999999999</v>
      </c>
      <c r="E14" s="9">
        <f>HLOOKUP(B14,'Monthly Returns'!$A$1:$Q$134, 132, FALSE)</f>
        <v>0.13223140495867769</v>
      </c>
      <c r="H14" s="9">
        <f>HLOOKUP(B14,'Yearly returns'!$B$1:$N$140, 133, FALSE)</f>
        <v>0.11570247933884298</v>
      </c>
      <c r="I14" s="9">
        <f>HLOOKUP(B14,'Yearly returns'!$B$1:$N$140, 138, FALSE)</f>
        <v>0.69599999999999995</v>
      </c>
      <c r="J14" s="183">
        <f t="shared" si="0"/>
        <v>7.5625</v>
      </c>
      <c r="K14" s="185">
        <f t="shared" si="1"/>
        <v>16.600000000000001</v>
      </c>
      <c r="L14" s="47">
        <f t="shared" si="2"/>
        <v>16.700000000000003</v>
      </c>
      <c r="M14" s="47">
        <f t="shared" si="3"/>
        <v>75</v>
      </c>
      <c r="N14" s="47">
        <f t="shared" si="4"/>
        <v>50</v>
      </c>
      <c r="P14">
        <f>L14*Assumption!$E$53 + M14*Assumption!$F$53 + N14*Assumption!$G$53</f>
        <v>47.924999999999997</v>
      </c>
      <c r="R14" cm="1">
        <f t="array" ref="R14">_xlfn.PERCENTRANK.EXC(_xlfn._xlws.FILTER(P$4:P$16, ISNUMBER(P$4:P$16)),P14)*100</f>
        <v>35.699999999999996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-0.20194292</v>
      </c>
      <c r="E15" s="9">
        <f>HLOOKUP(B15,'Monthly Returns'!$A$1:$Q$134, 132, FALSE)</f>
        <v>0.11570247933884298</v>
      </c>
      <c r="H15" s="9">
        <f>HLOOKUP(B15,'Yearly returns'!$B$1:$N$140, 133, FALSE)</f>
        <v>0.18181818181818182</v>
      </c>
      <c r="I15" s="9">
        <f>HLOOKUP(B15,'Yearly returns'!$B$1:$N$140, 138, FALSE)</f>
        <v>0.69599999999999995</v>
      </c>
      <c r="J15" s="183">
        <f t="shared" si="0"/>
        <v>8.6428571428571423</v>
      </c>
      <c r="K15" s="185">
        <f t="shared" si="1"/>
        <v>33.300000000000004</v>
      </c>
      <c r="L15" s="47">
        <f t="shared" si="2"/>
        <v>58.400000000000006</v>
      </c>
      <c r="M15" s="47">
        <f t="shared" si="3"/>
        <v>16.700000000000003</v>
      </c>
      <c r="N15" s="47">
        <f t="shared" si="4"/>
        <v>50</v>
      </c>
      <c r="P15">
        <f>L15*Assumption!$E$53 + M15*Assumption!$F$53 + N15*Assumption!$G$53</f>
        <v>43.775000000000006</v>
      </c>
      <c r="R15" cm="1">
        <f t="array" ref="R15">_xlfn.PERCENTRANK.EXC(_xlfn._xlws.FILTER(P$4:P$16, ISNUMBER(P$4:P$16)),P15)*100</f>
        <v>21.4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-0.26165115</v>
      </c>
      <c r="E16" s="9">
        <f>HLOOKUP(B16,'Monthly Returns'!$A$1:$Q$134, 132, FALSE)</f>
        <v>0.15702479338842976</v>
      </c>
      <c r="H16" s="9">
        <f>HLOOKUP(B16,'Yearly returns'!$B$1:$N$140, 133, FALSE)</f>
        <v>0.30578512396694213</v>
      </c>
      <c r="I16" s="9">
        <f>HLOOKUP(B16,'Yearly returns'!$B$1:$N$140, 138, FALSE)</f>
        <v>0.72099999999999997</v>
      </c>
      <c r="J16" s="183">
        <f t="shared" si="0"/>
        <v>6.3684210526315788</v>
      </c>
      <c r="K16" s="185">
        <f t="shared" si="1"/>
        <v>0</v>
      </c>
      <c r="L16" s="47">
        <f t="shared" si="2"/>
        <v>0</v>
      </c>
      <c r="M16" s="47">
        <f t="shared" si="3"/>
        <v>0</v>
      </c>
      <c r="N16" s="47">
        <f t="shared" si="4"/>
        <v>25</v>
      </c>
      <c r="P16">
        <f>L16*Assumption!$E$53 + M16*Assumption!$F$53 + N16*Assumption!$G$53</f>
        <v>12.5</v>
      </c>
      <c r="R16" cm="1">
        <f t="array" ref="R16">_xlfn.PERCENTRANK.EXC(_xlfn._xlws.FILTER(P$4:P$16, ISNUMBER(P$4:P$16)),P16)*100</f>
        <v>7.1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0.31900000000000001</v>
      </c>
      <c r="G5" s="141" cm="1">
        <f t="array" ref="G5">_xll.FDSZ(C5,"FG_PRICE(0)")</f>
        <v>45.35</v>
      </c>
      <c r="H5" s="141" cm="1">
        <f t="array" ref="H5">_xll.FDSZ(C5,"FG_PRICE_MAVG(0,,,,30)")</f>
        <v>45.440925999999997</v>
      </c>
      <c r="I5" s="141" cm="1">
        <f t="array" ref="I5">_xll.FDSZ(C5,"FG_PRICE_MAVG(0,,,,60)")</f>
        <v>45.738297000000003</v>
      </c>
      <c r="J5" s="141" cm="1">
        <f t="array" ref="J5">_xll.FDSZ(C5,"FG_PRICE_MAVG(0,,,,200)")</f>
        <v>45.993614000000001</v>
      </c>
      <c r="L5">
        <f>IF($G5&gt;H5, 1, 0)</f>
        <v>0</v>
      </c>
      <c r="M5">
        <f>IF($G5&gt;I5, 1, 0)</f>
        <v>0</v>
      </c>
      <c r="N5">
        <f>IF($G5&gt;J5, 1, 0)</f>
        <v>0</v>
      </c>
      <c r="P5">
        <f>SUM(L5:N5)</f>
        <v>0</v>
      </c>
      <c r="R5" t="s">
        <v>839</v>
      </c>
      <c r="S5" s="7" cm="1">
        <f t="array" ref="S5">_xll.FDSZ($R5,"FG_PRICE(0)")</f>
        <v>382.59552000000002</v>
      </c>
      <c r="T5" s="7" cm="1">
        <f t="array" ref="T5">_xll.FDSZ($R5,"FG_PRICE(0)")</f>
        <v>382.59552000000002</v>
      </c>
      <c r="U5" s="7" cm="1">
        <f t="array" ref="U5">_xll.FDSZ($R5,"FG_PRICE(0)")</f>
        <v>382.59552000000002</v>
      </c>
      <c r="V5" s="7" cm="1">
        <f t="array" ref="V5">_xll.FDSZ($R5,"FG_PRICE(0)")</f>
        <v>382.59552000000002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0.41799999999999998</v>
      </c>
      <c r="G6" s="141" cm="1">
        <f t="array" ref="G6">_xll.FDSZ(C6,"FG_PRICE(0)")</f>
        <v>24.35</v>
      </c>
      <c r="H6" s="141" cm="1">
        <f t="array" ref="H6">_xll.FDSZ(C6,"FG_PRICE_MAVG(0,,,,30)")</f>
        <v>24.388334</v>
      </c>
      <c r="I6" s="141" cm="1">
        <f t="array" ref="I6">_xll.FDSZ(C6,"FG_PRICE_MAVG(0,,,,60)")</f>
        <v>23.981667000000002</v>
      </c>
      <c r="J6" s="141" cm="1">
        <f t="array" ref="J6">_xll.FDSZ(C6,"FG_PRICE_MAVG(0,,,,200)")</f>
        <v>22.820450000000001</v>
      </c>
      <c r="L6">
        <f t="shared" ref="L6:L17" si="0">IF($G6&gt;H6, 1, 0)</f>
        <v>0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2</v>
      </c>
      <c r="R6" t="s">
        <v>840</v>
      </c>
      <c r="S6" s="7" cm="1">
        <f t="array" ref="S6">_xll.FDSZ($R6,"FG_PRICE(0)")</f>
        <v>356.84073000000001</v>
      </c>
      <c r="T6" s="7" cm="1">
        <f t="array" ref="T6">_xll.FDSZ($R6,"FG_PRICE(0)")</f>
        <v>356.84073000000001</v>
      </c>
      <c r="U6" s="7" cm="1">
        <f t="array" ref="U6">_xll.FDSZ($R6,"FG_PRICE(0)")</f>
        <v>356.84073000000001</v>
      </c>
      <c r="V6" s="7" cm="1">
        <f t="array" ref="V6">_xll.FDSZ($R6,"FG_PRICE(0)")</f>
        <v>356.84073000000001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0.40899999999999997</v>
      </c>
      <c r="G7" s="141" cm="1">
        <f t="array" ref="G7">_xll.FDSZ(C7,"FG_PRICE(0)")</f>
        <v>37.76</v>
      </c>
      <c r="H7" s="141" cm="1">
        <f t="array" ref="H7">_xll.FDSZ(C7,"FG_PRICE_MAVG(0,,,,30)")</f>
        <v>37.822665999999998</v>
      </c>
      <c r="I7" s="141" cm="1">
        <f t="array" ref="I7">_xll.FDSZ(C7,"FG_PRICE_MAVG(0,,,,60)")</f>
        <v>37.077168</v>
      </c>
      <c r="J7" s="141" cm="1">
        <f t="array" ref="J7">_xll.FDSZ(C7,"FG_PRICE_MAVG(0,,,,200)")</f>
        <v>35.286499999999997</v>
      </c>
      <c r="L7">
        <f t="shared" si="0"/>
        <v>0</v>
      </c>
      <c r="M7">
        <f t="shared" si="1"/>
        <v>1</v>
      </c>
      <c r="N7">
        <f t="shared" si="2"/>
        <v>1</v>
      </c>
      <c r="P7">
        <f t="shared" si="3"/>
        <v>2</v>
      </c>
      <c r="R7" t="s">
        <v>841</v>
      </c>
      <c r="S7" s="7" cm="1">
        <f t="array" ref="S7">_xll.FDSZ($R7,"FG_PRICE(0)")</f>
        <v>289.44934000000001</v>
      </c>
      <c r="T7" s="7" cm="1">
        <f t="array" ref="T7">_xll.FDSZ($R7,"FG_PRICE(0)")</f>
        <v>289.44934000000001</v>
      </c>
      <c r="U7" s="7" cm="1">
        <f t="array" ref="U7">_xll.FDSZ($R7,"FG_PRICE(0)")</f>
        <v>289.44934000000001</v>
      </c>
      <c r="V7" s="7" cm="1">
        <f t="array" ref="V7">_xll.FDSZ($R7,"FG_PRICE(0)")</f>
        <v>289.44934000000001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0.38500000000000001</v>
      </c>
      <c r="G8" s="141" cm="1">
        <f t="array" ref="G8">_xll.FDSZ(C8,"FG_PRICE(0)")</f>
        <v>30.85</v>
      </c>
      <c r="H8" s="141" cm="1">
        <f t="array" ref="H8">_xll.FDSZ(C8,"FG_PRICE_MAVG(0,,,,30)")</f>
        <v>31.232665999999998</v>
      </c>
      <c r="I8" s="141" cm="1">
        <f t="array" ref="I8">_xll.FDSZ(C8,"FG_PRICE_MAVG(0,,,,60)")</f>
        <v>30.317333000000001</v>
      </c>
      <c r="J8" s="141" cm="1">
        <f t="array" ref="J8">_xll.FDSZ(C8,"FG_PRICE_MAVG(0,,,,200)")</f>
        <v>28.488900000000001</v>
      </c>
      <c r="L8">
        <f t="shared" si="0"/>
        <v>0</v>
      </c>
      <c r="M8">
        <f t="shared" si="1"/>
        <v>1</v>
      </c>
      <c r="N8">
        <f t="shared" si="2"/>
        <v>1</v>
      </c>
      <c r="P8">
        <f t="shared" si="3"/>
        <v>2</v>
      </c>
      <c r="R8" t="s">
        <v>838</v>
      </c>
      <c r="S8" s="7" cm="1">
        <f t="array" ref="S8">_xll.FDSZ($R8,"FG_PRICE(0)")</f>
        <v>9.5557339999999993</v>
      </c>
      <c r="T8" s="7" cm="1">
        <f t="array" ref="T8">_xll.FDSZ($R8,"FG_PRICE(0)")</f>
        <v>9.5557339999999993</v>
      </c>
      <c r="U8" s="7" cm="1">
        <f t="array" ref="U8">_xll.FDSZ($R8,"FG_PRICE(0)")</f>
        <v>9.5557339999999993</v>
      </c>
      <c r="V8" s="7" cm="1">
        <f t="array" ref="V8">_xll.FDSZ($R8,"FG_PRICE(0)")</f>
        <v>9.5557339999999993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0.46700000000000003</v>
      </c>
      <c r="G9" s="141" cm="1">
        <f t="array" ref="G9">_xll.FDSZ(C9,"FG_PRICE(0)")</f>
        <v>69.989999999999995</v>
      </c>
      <c r="H9" s="141" cm="1">
        <f t="array" ref="H9">_xll.FDSZ(C9,"FG_PRICE_MAVG(0,,,,30)")</f>
        <v>70.442999999999998</v>
      </c>
      <c r="I9" s="141" cm="1">
        <f t="array" ref="I9">_xll.FDSZ(C9,"FG_PRICE_MAVG(0,,,,60)")</f>
        <v>68.674000000000007</v>
      </c>
      <c r="J9" s="141" cm="1">
        <f t="array" ref="J9">_xll.FDSZ(C9,"FG_PRICE_MAVG(0,,,,200)")</f>
        <v>63.76155</v>
      </c>
      <c r="L9">
        <f t="shared" si="0"/>
        <v>0</v>
      </c>
      <c r="M9">
        <f t="shared" si="1"/>
        <v>1</v>
      </c>
      <c r="N9">
        <f t="shared" si="2"/>
        <v>1</v>
      </c>
      <c r="P9">
        <f t="shared" si="3"/>
        <v>2</v>
      </c>
      <c r="R9" t="s">
        <v>842</v>
      </c>
      <c r="S9" s="7" cm="1">
        <f t="array" ref="S9">_xll.FDSZ($R9,"FG_PRICE(0)")</f>
        <v>177.06544</v>
      </c>
      <c r="T9" s="7" cm="1">
        <f t="array" ref="T9">_xll.FDSZ($R9,"FG_PRICE(0)")</f>
        <v>177.06544</v>
      </c>
      <c r="U9" s="7" cm="1">
        <f t="array" ref="U9">_xll.FDSZ($R9,"FG_PRICE(0)")</f>
        <v>177.06544</v>
      </c>
      <c r="V9" s="7" cm="1">
        <f t="array" ref="V9">_xll.FDSZ($R9,"FG_PRICE(0)")</f>
        <v>177.06544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0.09</v>
      </c>
      <c r="G10" s="141" cm="1">
        <f t="array" ref="G10">_xll.FDSZ(C10,"FG_PRICE(0)")</f>
        <v>46.32</v>
      </c>
      <c r="H10" s="141" cm="1">
        <f t="array" ref="H10">_xll.FDSZ(C10,"FG_PRICE_MAVG(0,,,,30)")</f>
        <v>47.387664999999998</v>
      </c>
      <c r="I10" s="141" cm="1">
        <f t="array" ref="I10">_xll.FDSZ(C10,"FG_PRICE_MAVG(0,,,,60)")</f>
        <v>47.213164999999996</v>
      </c>
      <c r="J10" s="141" cm="1">
        <f t="array" ref="J10">_xll.FDSZ(C10,"FG_PRICE_MAVG(0,,,,200)")</f>
        <v>45.963700000000003</v>
      </c>
      <c r="L10">
        <f t="shared" si="0"/>
        <v>0</v>
      </c>
      <c r="M10">
        <f t="shared" si="1"/>
        <v>0</v>
      </c>
      <c r="N10">
        <f t="shared" si="2"/>
        <v>1</v>
      </c>
      <c r="P10">
        <f t="shared" si="3"/>
        <v>1</v>
      </c>
      <c r="R10" t="s">
        <v>843</v>
      </c>
      <c r="S10" s="7" cm="1">
        <f t="array" ref="S10">_xll.FDSZ($R10,"FG_PRICE(0)")</f>
        <v>314.40735000000001</v>
      </c>
      <c r="T10" s="7" cm="1">
        <f t="array" ref="T10">_xll.FDSZ($R10,"FG_PRICE(0)")</f>
        <v>314.40735000000001</v>
      </c>
      <c r="U10" s="7" cm="1">
        <f t="array" ref="U10">_xll.FDSZ($R10,"FG_PRICE(0)")</f>
        <v>314.40735000000001</v>
      </c>
      <c r="V10" s="7" cm="1">
        <f t="array" ref="V10">_xll.FDSZ($R10,"FG_PRICE(0)")</f>
        <v>314.40735000000001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0.622</v>
      </c>
      <c r="G11" s="141" cm="1">
        <f t="array" ref="G11">_xll.FDSZ(C11,"FG_PRICE(0)")</f>
        <v>34.090000000000003</v>
      </c>
      <c r="H11" s="141" cm="1">
        <f t="array" ref="H11">_xll.FDSZ(C11,"FG_PRICE_MAVG(0,,,,30)")</f>
        <v>33.680332</v>
      </c>
      <c r="I11" s="141" cm="1">
        <f t="array" ref="I11">_xll.FDSZ(C11,"FG_PRICE_MAVG(0,,,,60)")</f>
        <v>33.048000000000002</v>
      </c>
      <c r="J11" s="141" cm="1">
        <f t="array" ref="J11">_xll.FDSZ(C11,"FG_PRICE_MAVG(0,,,,200)")</f>
        <v>32.38955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844</v>
      </c>
      <c r="S11" s="7" cm="1">
        <f t="array" ref="S11">_xll.FDSZ($R11,"FG_PRICE(0)")</f>
        <v>121.39696000000001</v>
      </c>
      <c r="T11" s="7" cm="1">
        <f t="array" ref="T11">_xll.FDSZ($R11,"FG_PRICE(0)")</f>
        <v>121.39696000000001</v>
      </c>
      <c r="U11" s="7" cm="1">
        <f t="array" ref="U11">_xll.FDSZ($R11,"FG_PRICE(0)")</f>
        <v>121.39696000000001</v>
      </c>
      <c r="V11" s="7" cm="1">
        <f t="array" ref="V11">_xll.FDSZ($R11,"FG_PRICE(0)")</f>
        <v>121.39696000000001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0.47499999999999998</v>
      </c>
      <c r="G12" s="141" cm="1">
        <f t="array" ref="G12">_xll.FDSZ(C12,"FG_PRICE(0)")</f>
        <v>445.37</v>
      </c>
      <c r="H12" s="141" cm="1">
        <f t="array" ref="H12">_xll.FDSZ(C12,"FG_PRICE_MAVG(0,,,,30)")</f>
        <v>441.39434999999997</v>
      </c>
      <c r="I12" s="141" cm="1">
        <f t="array" ref="I12">_xll.FDSZ(C12,"FG_PRICE_MAVG(0,,,,60)")</f>
        <v>434.71634</v>
      </c>
      <c r="J12" s="141" cm="1">
        <f t="array" ref="J12">_xll.FDSZ(C12,"FG_PRICE_MAVG(0,,,,200)")</f>
        <v>394.32126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390.67165999999997</v>
      </c>
      <c r="T12" s="7" cm="1">
        <f t="array" ref="T12">_xll.FDSZ($R12,"FG_PRICE(0)")</f>
        <v>390.67165999999997</v>
      </c>
      <c r="U12" s="7" cm="1">
        <f t="array" ref="U12">_xll.FDSZ($R12,"FG_PRICE(0)")</f>
        <v>390.67165999999997</v>
      </c>
      <c r="V12" s="7" cm="1">
        <f t="array" ref="V12">_xll.FDSZ($R12,"FG_PRICE(0)")</f>
        <v>390.67165999999997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0.49099999999999999</v>
      </c>
      <c r="G13" s="141" cm="1">
        <f t="array" ref="G13">_xll.FDSZ(C13,"FG_PRICE(0)")</f>
        <v>518</v>
      </c>
      <c r="H13" s="141" cm="1">
        <f t="array" ref="H13">_xll.FDSZ(C13,"FG_PRICE_MAVG(0,,,,30)")</f>
        <v>516.1617</v>
      </c>
      <c r="I13" s="141" cm="1">
        <f t="array" ref="I13">_xll.FDSZ(C13,"FG_PRICE_MAVG(0,,,,60)")</f>
        <v>505.0265</v>
      </c>
      <c r="J13" s="141" cm="1">
        <f t="array" ref="J13">_xll.FDSZ(C13,"FG_PRICE_MAVG(0,,,,200)")</f>
        <v>464.34937000000002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390.67165999999997</v>
      </c>
      <c r="T13" s="7" cm="1">
        <f t="array" ref="T13">_xll.FDSZ($R13,"FG_PRICE(0)")</f>
        <v>390.67165999999997</v>
      </c>
      <c r="U13" s="7" cm="1">
        <f t="array" ref="U13">_xll.FDSZ($R13,"FG_PRICE(0)")</f>
        <v>390.67165999999997</v>
      </c>
      <c r="V13" s="7" cm="1">
        <f t="array" ref="V13">_xll.FDSZ($R13,"FG_PRICE(0)")</f>
        <v>390.67165999999997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0.26200000000000001</v>
      </c>
      <c r="G14" s="141" cm="1">
        <f t="array" ref="G14">_xll.FDSZ(C14,"FG_PRICE(0)")</f>
        <v>40.35</v>
      </c>
      <c r="H14" s="141" cm="1">
        <f t="array" ref="H14">_xll.FDSZ(C14,"FG_PRICE_MAVG(0,,,,30)")</f>
        <v>41.018664999999999</v>
      </c>
      <c r="I14" s="141" cm="1">
        <f t="array" ref="I14">_xll.FDSZ(C14,"FG_PRICE_MAVG(0,,,,60)")</f>
        <v>39.956000000000003</v>
      </c>
      <c r="J14" s="141" cm="1">
        <f t="array" ref="J14">_xll.FDSZ(C14,"FG_PRICE_MAVG(0,,,,200)")</f>
        <v>38.040923999999997</v>
      </c>
      <c r="L14">
        <f t="shared" si="0"/>
        <v>0</v>
      </c>
      <c r="M14">
        <f t="shared" si="1"/>
        <v>1</v>
      </c>
      <c r="N14">
        <f t="shared" si="2"/>
        <v>1</v>
      </c>
      <c r="P14">
        <f t="shared" si="3"/>
        <v>2</v>
      </c>
      <c r="R14" t="s">
        <v>845</v>
      </c>
      <c r="S14" s="7" cm="1">
        <f t="array" ref="S14">_xll.FDSZ($R14,"FG_PRICE(0)")</f>
        <v>390.67165999999997</v>
      </c>
      <c r="T14" s="7" cm="1">
        <f t="array" ref="T14">_xll.FDSZ($R14,"FG_PRICE(0)")</f>
        <v>390.67165999999997</v>
      </c>
      <c r="U14" s="7" cm="1">
        <f t="array" ref="U14">_xll.FDSZ($R14,"FG_PRICE(0)")</f>
        <v>390.67165999999997</v>
      </c>
      <c r="V14" s="7" cm="1">
        <f t="array" ref="V14">_xll.FDSZ($R14,"FG_PRICE(0)")</f>
        <v>390.67165999999997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0.59</v>
      </c>
      <c r="G15" s="141" cm="1">
        <f t="array" ref="G15">_xll.FDSZ(C15,"FG_PRICE(0)")</f>
        <v>49.51</v>
      </c>
      <c r="H15" s="141" cm="1">
        <f t="array" ref="H15">_xll.FDSZ(C15,"FG_PRICE_MAVG(0,,,,30)")</f>
        <v>49.029000000000003</v>
      </c>
      <c r="I15" s="141" cm="1">
        <f t="array" ref="I15">_xll.FDSZ(C15,"FG_PRICE_MAVG(0,,,,60)")</f>
        <v>47.579749999999997</v>
      </c>
      <c r="J15" s="141" cm="1">
        <f t="array" ref="J15">_xll.FDSZ(C15,"FG_PRICE_MAVG(0,,,,200)")</f>
        <v>43.243630000000003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845</v>
      </c>
      <c r="S15" s="7" cm="1">
        <f t="array" ref="S15">_xll.FDSZ($R15,"FG_PRICE(0)")</f>
        <v>390.67165999999997</v>
      </c>
      <c r="T15" s="7" cm="1">
        <f t="array" ref="T15">_xll.FDSZ($R15,"FG_PRICE(0)")</f>
        <v>390.67165999999997</v>
      </c>
      <c r="U15" s="7" cm="1">
        <f t="array" ref="U15">_xll.FDSZ($R15,"FG_PRICE(0)")</f>
        <v>390.67165999999997</v>
      </c>
      <c r="V15" s="7" cm="1">
        <f t="array" ref="V15">_xll.FDSZ($R15,"FG_PRICE(0)")</f>
        <v>390.67165999999997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0.27</v>
      </c>
      <c r="G16" s="141" cm="1">
        <f t="array" ref="G16">_xll.FDSZ(C16,"FG_PRICE(0)")</f>
        <v>39.56</v>
      </c>
      <c r="H16" s="141" cm="1">
        <f t="array" ref="H16">_xll.FDSZ(C16,"FG_PRICE_MAVG(0,,,,30)")</f>
        <v>40.304670000000002</v>
      </c>
      <c r="I16" s="141" cm="1">
        <f t="array" ref="I16">_xll.FDSZ(C16,"FG_PRICE_MAVG(0,,,,60)")</f>
        <v>39.024666000000003</v>
      </c>
      <c r="J16" s="141" cm="1">
        <f t="array" ref="J16">_xll.FDSZ(C16,"FG_PRICE_MAVG(0,,,,200)")</f>
        <v>36.038899999999998</v>
      </c>
      <c r="L16">
        <f t="shared" si="0"/>
        <v>0</v>
      </c>
      <c r="M16">
        <f t="shared" si="1"/>
        <v>1</v>
      </c>
      <c r="N16">
        <f t="shared" si="2"/>
        <v>1</v>
      </c>
      <c r="P16">
        <f t="shared" si="3"/>
        <v>2</v>
      </c>
      <c r="R16" t="s">
        <v>845</v>
      </c>
      <c r="S16" s="7" cm="1">
        <f t="array" ref="S16">_xll.FDSZ($R16,"FG_PRICE(0)")</f>
        <v>390.67165999999997</v>
      </c>
      <c r="T16" s="7" cm="1">
        <f t="array" ref="T16">_xll.FDSZ($R16,"FG_PRICE(0)")</f>
        <v>390.67165999999997</v>
      </c>
      <c r="U16" s="7" cm="1">
        <f t="array" ref="U16">_xll.FDSZ($R16,"FG_PRICE(0)")</f>
        <v>390.67165999999997</v>
      </c>
      <c r="V16" s="7" cm="1">
        <f t="array" ref="V16">_xll.FDSZ($R16,"FG_PRICE(0)")</f>
        <v>390.67165999999997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0.39300000000000002</v>
      </c>
      <c r="G17" s="141" cm="1">
        <f t="array" ref="G17">_xll.FDSZ(C17,"FG_PRICE(0)")</f>
        <v>36.479999999999997</v>
      </c>
      <c r="H17" s="141" cm="1">
        <f t="array" ref="H17">_xll.FDSZ(C17,"FG_PRICE_MAVG(0,,,,30)")</f>
        <v>37.047669999999997</v>
      </c>
      <c r="I17" s="141" cm="1">
        <f t="array" ref="I17">_xll.FDSZ(C17,"FG_PRICE_MAVG(0,,,,60)")</f>
        <v>35.547669999999997</v>
      </c>
      <c r="J17" s="141" cm="1">
        <f t="array" ref="J17">_xll.FDSZ(C17,"FG_PRICE_MAVG(0,,,,200)")</f>
        <v>33.011949999999999</v>
      </c>
      <c r="L17">
        <f t="shared" si="0"/>
        <v>0</v>
      </c>
      <c r="M17">
        <f t="shared" si="1"/>
        <v>1</v>
      </c>
      <c r="N17">
        <f t="shared" si="2"/>
        <v>1</v>
      </c>
      <c r="P17">
        <f t="shared" si="3"/>
        <v>2</v>
      </c>
      <c r="R17" t="s">
        <v>845</v>
      </c>
      <c r="S17" s="7" cm="1">
        <f t="array" ref="S17">_xll.FDSZ($R17,"FG_PRICE(0)")</f>
        <v>390.67165999999997</v>
      </c>
      <c r="T17" s="7" cm="1">
        <f t="array" ref="T17">_xll.FDSZ($R17,"FG_PRICE(0)")</f>
        <v>390.67165999999997</v>
      </c>
      <c r="U17" s="7" cm="1">
        <f t="array" ref="U17">_xll.FDSZ($R17,"FG_PRICE(0)")</f>
        <v>390.67165999999997</v>
      </c>
      <c r="V17" s="7" cm="1">
        <f t="array" ref="V17">_xll.FDSZ($R17,"FG_PRICE(0)")</f>
        <v>390.67165999999997</v>
      </c>
    </row>
    <row r="19" spans="1:22" x14ac:dyDescent="0.35">
      <c r="K19" s="1" t="s">
        <v>906</v>
      </c>
      <c r="L19" s="1">
        <f>SUM(L5:L17)</f>
        <v>4</v>
      </c>
      <c r="M19" s="1">
        <f t="shared" ref="M19:N19" si="4">SUM(M5:M17)</f>
        <v>11</v>
      </c>
      <c r="N19" s="1">
        <f t="shared" si="4"/>
        <v>12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0.30769230769230771</v>
      </c>
      <c r="M22" s="182">
        <f t="shared" ref="M22:N22" si="6">M19/M20</f>
        <v>0.84615384615384615</v>
      </c>
      <c r="N22" s="182">
        <f t="shared" si="6"/>
        <v>0.92307692307692313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104.71</v>
      </c>
      <c r="D3" cm="1">
        <f t="array" ref="D3">_xll.FDS($A3,"FG_PRICE_MAVG(0,,,,30)")</f>
        <v>109.89867</v>
      </c>
      <c r="E3" s="47" cm="1">
        <f t="array" ref="E3">_xll.FDS($A3,"FG_PRICE_CHANGE(0,-1AM)")</f>
        <v>-7.3362831858407098</v>
      </c>
      <c r="F3" s="47" cm="1">
        <f t="array" ref="F3">_xll.FDS($A3,"FG_PRICE_CHANGE(0,-3AM)")</f>
        <v>-24.587684551674499</v>
      </c>
      <c r="G3" s="47" cm="1">
        <f t="array" ref="G3">_xll.FDS($A3,"FG_PRICE_CHANGE(0,-6AM)")</f>
        <v>-11.495224410447101</v>
      </c>
      <c r="H3" s="47" cm="1">
        <f t="array" ref="H3">_xll.FDS($A3,"FG_PRICE_CHANGE(0,-1AY)")</f>
        <v>-13.4985543163982</v>
      </c>
      <c r="I3" s="47" cm="1">
        <f t="array" ref="I3">_xll.FDS($A3,"FG_PRICE(0)/MAX(FG_PRICE(0,-1AY))")</f>
        <v>0.72634572697003297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1</v>
      </c>
      <c r="T3">
        <f>S3</f>
        <v>1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4.2519999999999998</v>
      </c>
      <c r="D4" cm="1">
        <f t="array" ref="D4">_xll.FDS($A4,"FG_PRICE_MAVG(0,,,,30)")</f>
        <v>4.0418333999999998</v>
      </c>
      <c r="E4" s="47" cm="1">
        <f t="array" ref="E4">_xll.FDS($A4,"FG_PRICE_CHANGE(0,-1AM)")</f>
        <v>8.4002549394518695</v>
      </c>
      <c r="F4" s="47" cm="1">
        <f t="array" ref="F4">_xll.FDS($A4,"FG_PRICE_CHANGE(0,-3AM)")</f>
        <v>12.591023434396901</v>
      </c>
      <c r="G4" s="47" cm="1">
        <f t="array" ref="G4">_xll.FDS($A4,"FG_PRICE_CHANGE(0,-6AM)")</f>
        <v>17.653569452130601</v>
      </c>
      <c r="H4" s="47" cm="1">
        <f t="array" ref="H4">_xll.FDS($A4,"FG_PRICE_CHANGE(0,-1AY)")</f>
        <v>5.6528761336812003</v>
      </c>
      <c r="I4" s="47" cm="1">
        <f t="array" ref="I4">_xll.FDS($A4,"FG_PRICE(0)/MAX(FG_PRICE(0,-1AY))")</f>
        <v>0.99206719552029898</v>
      </c>
      <c r="J4" cm="1">
        <f t="array" ref="J4">_xll.FDS($A4,"MAX(FG_PRICE(0,-5AY))")</f>
        <v>4.9290000000000003</v>
      </c>
      <c r="P4" t="s">
        <v>27</v>
      </c>
      <c r="Q4" t="s">
        <v>433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-5.4717604315754702</v>
      </c>
      <c r="H5" s="47" cm="1">
        <f t="array" ref="H5">_xll.FDS($A5,"FG_PRICE_CHANGE(0,-1AY)")</f>
        <v>-1.2989998850442499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5.5175000000000001</v>
      </c>
      <c r="D6" cm="1">
        <f t="array" ref="D6">_xll.FDS($A6,"FG_PRICE_MAVG(0,,,,30)")</f>
        <v>5.4774165000000004</v>
      </c>
      <c r="E6" s="47" cm="1">
        <f t="array" ref="E6">_xll.FDS($A6,"FG_PRICE_CHANGE(0,-1AM)")</f>
        <v>2.65116279069768</v>
      </c>
      <c r="F6" s="47" cm="1">
        <f t="array" ref="F6">_xll.FDS($A6,"FG_PRICE_CHANGE(0,-3AM)")</f>
        <v>-8.6128364389233898</v>
      </c>
      <c r="G6" s="47" cm="1">
        <f t="array" ref="G6">_xll.FDS($A6,"FG_PRICE_CHANGE(0,-6AM)")</f>
        <v>-0.76438848920862301</v>
      </c>
      <c r="H6" s="47" cm="1">
        <f t="array" ref="H6">_xll.FDS($A6,"FG_PRICE_CHANGE(0,-1AY)")</f>
        <v>-18.137982195845701</v>
      </c>
      <c r="I6" s="47" cm="1">
        <f t="array" ref="I6">_xll.FDS($A6,"FG_PRICE(0)/MAX(FG_PRICE(0,-1AY))")</f>
        <v>0.72574810917461396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4517</v>
      </c>
      <c r="D7" cm="1">
        <f t="array" ref="D7">_xll.FDS($A7,"FG_PRICE_MAVG(0,,,,30)")</f>
        <v>4313.3999999999996</v>
      </c>
      <c r="E7" s="47" cm="1">
        <f t="array" ref="E7">_xll.FDS($A7,"FG_PRICE_CHANGE(0,-1AM)")</f>
        <v>7.3431558935361103</v>
      </c>
      <c r="F7" s="47" cm="1">
        <f t="array" ref="F7">_xll.FDS($A7,"FG_PRICE_CHANGE(0,-3AM)")</f>
        <v>20.775401069518701</v>
      </c>
      <c r="G7" s="47" cm="1">
        <f t="array" ref="G7">_xll.FDS($A7,"FG_PRICE_CHANGE(0,-6AM)")</f>
        <v>27.960339943342799</v>
      </c>
      <c r="H7" s="47" cm="1">
        <f t="array" ref="H7">_xll.FDS($A7,"FG_PRICE_CHANGE(0,-1AY)")</f>
        <v>5.5373831775700904</v>
      </c>
      <c r="I7" s="47" cm="1">
        <f t="array" ref="I7">_xll.FDS($A7,"FG_PRICE(0)/MAX(FG_PRICE(0,-1AY))")</f>
        <v>0.98645992574798003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981</v>
      </c>
      <c r="D8" cm="1">
        <f t="array" ref="D8">_xll.FDS($A8,"FG_PRICE_MAVG(0,,,,30)")</f>
        <v>924.9</v>
      </c>
      <c r="E8" s="47" cm="1">
        <f t="array" ref="E8">_xll.FDS($A8,"FG_PRICE_CHANGE(0,-1AM)")</f>
        <v>4.9197860962566997</v>
      </c>
      <c r="F8" s="47" cm="1">
        <f t="array" ref="F8">_xll.FDS($A8,"FG_PRICE_CHANGE(0,-3AM)")</f>
        <v>5.4838709677419404</v>
      </c>
      <c r="G8" s="47" cm="1">
        <f t="array" ref="G8">_xll.FDS($A8,"FG_PRICE_CHANGE(0,-6AM)")</f>
        <v>10.8474576271187</v>
      </c>
      <c r="H8" s="47" cm="1">
        <f t="array" ref="H8">_xll.FDS($A8,"FG_PRICE_CHANGE(0,-1AY)")</f>
        <v>-2.3880597014925402</v>
      </c>
      <c r="I8" s="47" cm="1">
        <f t="array" ref="I8">_xll.FDS($A8,"FG_PRICE(0)/MAX(FG_PRICE(0,-1AY))")</f>
        <v>0.86431718061674001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17715</v>
      </c>
      <c r="D9" cm="1">
        <f t="array" ref="D9">_xll.FDS($A9,"FG_PRICE_MAVG(0,,,,30)")</f>
        <v>17432.5</v>
      </c>
      <c r="E9" s="47" cm="1">
        <f t="array" ref="E9">_xll.FDS($A9,"FG_PRICE_CHANGE(0,-1AM)")</f>
        <v>-1.0887772194304799</v>
      </c>
      <c r="F9" s="47" cm="1">
        <f t="array" ref="F9">_xll.FDS($A9,"FG_PRICE_CHANGE(0,-3AM)")</f>
        <v>9.0153846153846295</v>
      </c>
      <c r="G9" s="47" cm="1">
        <f t="array" ref="G9">_xll.FDS($A9,"FG_PRICE_CHANGE(0,-6AM)")</f>
        <v>-2.98466593647316</v>
      </c>
      <c r="H9" s="47" cm="1">
        <f t="array" ref="H9">_xll.FDS($A9,"FG_PRICE_CHANGE(0,-1AY)")</f>
        <v>-22.472647702406999</v>
      </c>
      <c r="I9" s="47" cm="1">
        <f t="array" ref="I9">_xll.FDS($A9,"FG_PRICE(0)/MAX(FG_PRICE(0,-1AY))")</f>
        <v>0.693617854346124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1068</v>
      </c>
      <c r="D10" cm="1">
        <f t="array" ref="D10">_xll.FDS($A10,"FG_PRICE_MAVG(0,,,,30)")</f>
        <v>1029.8334</v>
      </c>
      <c r="E10" s="47" cm="1">
        <f t="array" ref="E10">_xll.FDS($A10,"FG_PRICE_CHANGE(0,-1AM)")</f>
        <v>1.71428571428571</v>
      </c>
      <c r="F10" s="47" cm="1">
        <f t="array" ref="F10">_xll.FDS($A10,"FG_PRICE_CHANGE(0,-3AM)")</f>
        <v>5.32544378698225</v>
      </c>
      <c r="G10" s="47" cm="1">
        <f t="array" ref="G10">_xll.FDS($A10,"FG_PRICE_CHANGE(0,-6AM)")</f>
        <v>-9.1063829787233992</v>
      </c>
      <c r="H10" s="47" cm="1">
        <f t="array" ref="H10">_xll.FDS($A10,"FG_PRICE_CHANGE(0,-1AY)")</f>
        <v>-26.089965397923901</v>
      </c>
      <c r="I10" s="47" cm="1">
        <f t="array" ref="I10">_xll.FDS($A10,"FG_PRICE(0)/MAX(FG_PRICE(0,-1AY))")</f>
        <v>0.65121951219512197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628.1</v>
      </c>
      <c r="D11" cm="1">
        <f t="array" ref="D11">_xll.FDS($A11,"FG_PRICE_MAVG(0,,,,30)")</f>
        <v>627.54</v>
      </c>
      <c r="E11" s="47" cm="1">
        <f t="array" ref="E11">_xll.FDS($A11,"FG_PRICE_CHANGE(0,-1AM)")</f>
        <v>1.7825311942958999</v>
      </c>
      <c r="F11" s="47" cm="1">
        <f t="array" ref="F11">_xll.FDS($A11,"FG_PRICE_CHANGE(0,-3AM)")</f>
        <v>0.83480494461392096</v>
      </c>
      <c r="G11" s="47" cm="1">
        <f t="array" ref="G11">_xll.FDS($A11,"FG_PRICE_CHANGE(0,-6AM)")</f>
        <v>-11.4479063865783</v>
      </c>
      <c r="H11" s="47" cm="1">
        <f t="array" ref="H11">_xll.FDS($A11,"FG_PRICE_CHANGE(0,-1AY)")</f>
        <v>-10.5907473309608</v>
      </c>
      <c r="I11" s="47" cm="1">
        <f t="array" ref="I11">_xll.FDS($A11,"FG_PRICE(0)/MAX(FG_PRICE(0,-1AY))")</f>
        <v>0.82276657060518699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0.97170339999999999</v>
      </c>
      <c r="D12" cm="1">
        <f t="array" ref="D12">_xll.FDS($A12,"FG_PRICE_MAVG(0,,,,30)")</f>
        <v>0.96390306999999997</v>
      </c>
      <c r="E12" s="47" cm="1">
        <f t="array" ref="E12">_xll.FDS($A12,"FG_PRICE_CHANGE(0,-1AM)")</f>
        <v>0.90369603015905098</v>
      </c>
      <c r="F12" s="47" cm="1">
        <f t="array" ref="F12">_xll.FDS($A12,"FG_PRICE_CHANGE(0,-3AM)")</f>
        <v>-2.1369461596967998</v>
      </c>
      <c r="G12" s="47" cm="1">
        <f t="array" ref="G12">_xll.FDS($A12,"FG_PRICE_CHANGE(0,-6AM)")</f>
        <v>-3.2729792813576699</v>
      </c>
      <c r="H12" s="47" cm="1">
        <f t="array" ref="H12">_xll.FDS($A12,"FG_PRICE_CHANGE(0,-1AY)")</f>
        <v>-12.605817912066099</v>
      </c>
      <c r="I12" s="47" cm="1">
        <f t="array" ref="I12">_xll.FDS($A12,"FG_PRICE(0)/MAX(FG_PRICE(0,-1AY))")</f>
        <v>0.87394182087933903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41740</v>
      </c>
      <c r="B2" s="3" cm="1">
        <f t="array" ref="B2:B122">_xll.FDS(B1,"FMA_PE(LTMA,-10AY,0,AM,""PORTAGG"",""MEANR"")")</f>
        <v>17.910454107629299</v>
      </c>
      <c r="C2" s="3" cm="1">
        <f t="array" ref="C2:C122">_xll.FDS(C1,"FMA_PE(LTMA,-10AY,0,AM,""PORTAGG"",""MEANR"")")</f>
        <v>15.2986413278699</v>
      </c>
      <c r="D2" s="3" cm="1">
        <f t="array" ref="D2:D122">_xll.FDS(D1,"FMA_PE(LTMA,-10AY,0,AM,""PORTAGG"",""MEANR"")")</f>
        <v>16.3257349648222</v>
      </c>
      <c r="E2" s="3" cm="1">
        <f t="array" ref="E2:E122">_xll.FDS(E1,"FMA_PE(LTMA,-10AY,0,AM,""PORTAGG"",""MEANR"")")</f>
        <v>14.607654316739501</v>
      </c>
      <c r="F2" s="3" cm="1">
        <f t="array" ref="F2:F122">_xll.FDS(F1,"FMA_PE(LTMA,-10AY,0,AM,""PORTAGG"",""MEANR"")")</f>
        <v>15.2797395733791</v>
      </c>
      <c r="G2" s="3" cm="1">
        <f t="array" ref="G2:G122">_xll.FDS(G1,"FMA_PE(LTMA,-10AY,0,AM,""PORTAGG"",""MEANR"")")</f>
        <v>17.019930237896599</v>
      </c>
      <c r="H2" s="3" cm="1">
        <f t="array" ref="H2:H122">_xll.FDS(H1,"FMA_PE(LTMA,-10AY,0,AM,""PORTAGG"",""MEANR"")")</f>
        <v>14.262033135370199</v>
      </c>
      <c r="I2" s="3" cm="1">
        <f t="array" ref="I2:I122">_xll.FDS(I1,"FMA_PE(LTMA,-10AY,0,AM,""PORTAGG"",""MEANR"")")</f>
        <v>18.795379386165301</v>
      </c>
      <c r="J2" s="3" cm="1">
        <f t="array" ref="J2:J122">_xll.FDS(J1,"FMA_PE(LTMA,-10AY,0,AM,""PORTAGG"",""MEANR"")")</f>
        <v>16.172779429592602</v>
      </c>
      <c r="K2" s="3" cm="1">
        <f t="array" ref="K2:K122">_xll.FDS(K1,"FMA_PE(LTMA,-10AY,0,AM,""PORTAGG"",""MEANR"")")</f>
        <v>15.8067203263592</v>
      </c>
      <c r="L2" s="3" cm="1">
        <f t="array" ref="L2:L122">_xll.FDS(L1,"FMA_PE(LTMA,-10AY,0,AM,""PORTAGG"",""MEANR"")")</f>
        <v>17.0392779419427</v>
      </c>
      <c r="M2" s="3" cm="1">
        <f t="array" ref="M2:M122">_xll.FDS(M1,"FMA_PE(LTMA,-10AY,0,AM,""PORTAGG"",""MEANR"")")</f>
        <v>15.324792668381299</v>
      </c>
      <c r="N2" s="3" cm="1">
        <f t="array" ref="N2:N122">_xll.FDS(N1,"FMA_PE(LTMA,-10AY,0,AM,""PORTAGG"",""MEANR"")")</f>
        <v>17.157508094498301</v>
      </c>
    </row>
    <row r="3" spans="1:14" x14ac:dyDescent="0.35">
      <c r="A3" s="2">
        <v>41768</v>
      </c>
      <c r="B3" s="3">
        <v>18.012446399680599</v>
      </c>
      <c r="C3" s="3">
        <v>15.2140957094035</v>
      </c>
      <c r="D3" s="3">
        <v>16.242258858257902</v>
      </c>
      <c r="E3" s="3">
        <v>14.599836795730701</v>
      </c>
      <c r="F3" s="3">
        <v>15.1688181548055</v>
      </c>
      <c r="G3" s="3">
        <v>17.147510423644398</v>
      </c>
      <c r="H3" s="3">
        <v>14.3859734416984</v>
      </c>
      <c r="I3" s="3">
        <v>18.683179805962101</v>
      </c>
      <c r="J3" s="3">
        <v>16.2035090824088</v>
      </c>
      <c r="K3" s="3">
        <v>15.8082287657263</v>
      </c>
      <c r="L3" s="3">
        <v>16.8531231483305</v>
      </c>
      <c r="M3" s="3">
        <v>15.476945962359499</v>
      </c>
      <c r="N3" s="3">
        <v>17.0669320017407</v>
      </c>
    </row>
    <row r="4" spans="1:14" x14ac:dyDescent="0.35">
      <c r="A4" s="2">
        <v>41801</v>
      </c>
      <c r="B4" s="3">
        <v>17.952461053823399</v>
      </c>
      <c r="C4" s="3">
        <v>15.181139446359699</v>
      </c>
      <c r="D4" s="3">
        <v>16.206858464195498</v>
      </c>
      <c r="E4" s="3">
        <v>14.6954217446802</v>
      </c>
      <c r="F4" s="3">
        <v>15.313644288506501</v>
      </c>
      <c r="G4" s="3">
        <v>17.232884191131902</v>
      </c>
      <c r="H4" s="3">
        <v>14.383879402650299</v>
      </c>
      <c r="I4" s="3">
        <v>18.987130265896202</v>
      </c>
      <c r="J4" s="3">
        <v>16.343954694482001</v>
      </c>
      <c r="K4" s="3">
        <v>15.8821554350856</v>
      </c>
      <c r="L4" s="3">
        <v>16.883832948705201</v>
      </c>
      <c r="M4" s="3">
        <v>15.7747867184975</v>
      </c>
      <c r="N4" s="3">
        <v>17.372757315739999</v>
      </c>
    </row>
    <row r="5" spans="1:14" x14ac:dyDescent="0.35">
      <c r="A5" s="2">
        <v>41831</v>
      </c>
      <c r="B5" s="3">
        <v>17.909637835618099</v>
      </c>
      <c r="C5" s="3">
        <v>15.2998893822455</v>
      </c>
      <c r="D5" s="3">
        <v>16.266517579643001</v>
      </c>
      <c r="E5" s="3">
        <v>14.4068300416694</v>
      </c>
      <c r="F5" s="3">
        <v>15.187666793849299</v>
      </c>
      <c r="G5" s="3">
        <v>17.057274401968101</v>
      </c>
      <c r="H5" s="3">
        <v>14.274449399348301</v>
      </c>
      <c r="I5" s="3">
        <v>19.139868290309199</v>
      </c>
      <c r="J5" s="3">
        <v>16.406171362147099</v>
      </c>
      <c r="K5" s="3">
        <v>15.4514760346479</v>
      </c>
      <c r="L5" s="3">
        <v>16.494715893554702</v>
      </c>
      <c r="M5" s="3">
        <v>15.6998568725583</v>
      </c>
      <c r="N5" s="3">
        <v>17.093273847979901</v>
      </c>
    </row>
    <row r="6" spans="1:14" x14ac:dyDescent="0.35">
      <c r="A6" s="2">
        <v>41862</v>
      </c>
      <c r="B6" s="3">
        <v>17.801663600251398</v>
      </c>
      <c r="C6" s="3">
        <v>15.194919802542101</v>
      </c>
      <c r="D6" s="3">
        <v>16.270096288703702</v>
      </c>
      <c r="E6" s="3">
        <v>13.9833000182288</v>
      </c>
      <c r="F6" s="3">
        <v>14.966038803851401</v>
      </c>
      <c r="G6" s="3">
        <v>17.020194386528601</v>
      </c>
      <c r="H6" s="3">
        <v>14.1302479473592</v>
      </c>
      <c r="I6" s="3">
        <v>18.971168843266899</v>
      </c>
      <c r="J6" s="3">
        <v>16.180774657679901</v>
      </c>
      <c r="K6" s="3">
        <v>15.133010515883599</v>
      </c>
      <c r="L6" s="3">
        <v>16.215316085429102</v>
      </c>
      <c r="M6" s="3">
        <v>15.861409053252601</v>
      </c>
      <c r="N6" s="3">
        <v>16.703365182642099</v>
      </c>
    </row>
    <row r="7" spans="1:14" x14ac:dyDescent="0.35">
      <c r="A7" s="2">
        <v>41893</v>
      </c>
      <c r="B7" s="3">
        <v>17.9639098580911</v>
      </c>
      <c r="C7" s="3">
        <v>15.3017169657748</v>
      </c>
      <c r="D7" s="3">
        <v>16.4244225978026</v>
      </c>
      <c r="E7" s="3">
        <v>14.312660230648</v>
      </c>
      <c r="F7" s="3">
        <v>15.2328550519898</v>
      </c>
      <c r="G7" s="3">
        <v>17.4383490665364</v>
      </c>
      <c r="H7" s="3">
        <v>14.1573206623118</v>
      </c>
      <c r="I7" s="3">
        <v>19.477775235824598</v>
      </c>
      <c r="J7" s="3">
        <v>16.5236381699875</v>
      </c>
      <c r="K7" s="3">
        <v>15.5159009265747</v>
      </c>
      <c r="L7" s="3">
        <v>16.7601673258715</v>
      </c>
      <c r="M7" s="3">
        <v>15.842087214443801</v>
      </c>
      <c r="N7" s="3">
        <v>17.983004573897901</v>
      </c>
    </row>
    <row r="8" spans="1:14" x14ac:dyDescent="0.35">
      <c r="A8" s="2">
        <v>41922</v>
      </c>
      <c r="B8" s="3">
        <v>17.8689048706871</v>
      </c>
      <c r="C8" s="3">
        <v>14.562083777308199</v>
      </c>
      <c r="D8" s="3">
        <v>15.356646062208201</v>
      </c>
      <c r="E8" s="3">
        <v>13.268877833426499</v>
      </c>
      <c r="F8" s="3">
        <v>14.6983497259631</v>
      </c>
      <c r="G8" s="3">
        <v>16.628228287655801</v>
      </c>
      <c r="H8" s="3">
        <v>13.4268495849335</v>
      </c>
      <c r="I8" s="3">
        <v>18.659835265207398</v>
      </c>
      <c r="J8" s="3">
        <v>15.976446953628599</v>
      </c>
      <c r="K8" s="3">
        <v>14.526124386528499</v>
      </c>
      <c r="L8" s="3">
        <v>16.045665143192601</v>
      </c>
      <c r="M8" s="3">
        <v>15.2323805172852</v>
      </c>
      <c r="N8" s="3">
        <v>16.605797020246101</v>
      </c>
    </row>
    <row r="9" spans="1:14" x14ac:dyDescent="0.35">
      <c r="A9" s="2">
        <v>41954</v>
      </c>
      <c r="B9" s="3">
        <v>18.823908508377102</v>
      </c>
      <c r="C9" s="3">
        <v>15.24846172731</v>
      </c>
      <c r="D9" s="3">
        <v>15.750741322387499</v>
      </c>
      <c r="E9" s="3">
        <v>13.788094023743399</v>
      </c>
      <c r="F9" s="3">
        <v>15.743784624160201</v>
      </c>
      <c r="G9" s="3">
        <v>17.465950818508901</v>
      </c>
      <c r="H9" s="3">
        <v>13.9403205851875</v>
      </c>
      <c r="I9" s="3">
        <v>19.8650901283137</v>
      </c>
      <c r="J9" s="3">
        <v>16.888876556431299</v>
      </c>
      <c r="K9" s="3">
        <v>14.9742342718932</v>
      </c>
      <c r="L9" s="3">
        <v>17.233954698804201</v>
      </c>
      <c r="M9" s="3">
        <v>16.788239641362999</v>
      </c>
      <c r="N9" s="3">
        <v>17.229461535100601</v>
      </c>
    </row>
    <row r="10" spans="1:14" x14ac:dyDescent="0.35">
      <c r="A10" s="2">
        <v>41984</v>
      </c>
      <c r="B10" s="3">
        <v>18.868990328245399</v>
      </c>
      <c r="C10" s="3">
        <v>14.174290896717601</v>
      </c>
      <c r="D10" s="3">
        <v>14.972677744549699</v>
      </c>
      <c r="E10" s="3">
        <v>14.400179928309299</v>
      </c>
      <c r="F10" s="3">
        <v>15.6419922454167</v>
      </c>
      <c r="G10" s="3">
        <v>17.367672942273</v>
      </c>
      <c r="H10" s="3">
        <v>13.594785621957801</v>
      </c>
      <c r="I10" s="3">
        <v>20.151972420382702</v>
      </c>
      <c r="J10" s="3">
        <v>16.929079450566899</v>
      </c>
      <c r="K10" s="3">
        <v>14.9872964885129</v>
      </c>
      <c r="L10" s="3">
        <v>17.527866393952301</v>
      </c>
      <c r="M10" s="3">
        <v>17.392622184739999</v>
      </c>
      <c r="N10" s="3">
        <v>18.252994323886899</v>
      </c>
    </row>
    <row r="11" spans="1:14" x14ac:dyDescent="0.35">
      <c r="A11" s="2">
        <v>42013</v>
      </c>
      <c r="B11" s="3">
        <v>19.2938661591459</v>
      </c>
      <c r="C11" s="3">
        <v>14.9696334262436</v>
      </c>
      <c r="D11" s="3">
        <v>15.3376035407089</v>
      </c>
      <c r="E11" s="3">
        <v>14.0789368329184</v>
      </c>
      <c r="F11" s="3">
        <v>15.562590144006499</v>
      </c>
      <c r="G11" s="3">
        <v>17.2204408039944</v>
      </c>
      <c r="H11" s="3">
        <v>13.477067340513299</v>
      </c>
      <c r="I11" s="3">
        <v>19.946715321454398</v>
      </c>
      <c r="J11" s="3">
        <v>17.1803597250845</v>
      </c>
      <c r="K11" s="3">
        <v>14.7245678776234</v>
      </c>
      <c r="L11" s="3">
        <v>17.316934398598601</v>
      </c>
      <c r="M11" s="3">
        <v>17.350184584236501</v>
      </c>
      <c r="N11" s="3">
        <v>17.984734061112899</v>
      </c>
    </row>
    <row r="12" spans="1:14" x14ac:dyDescent="0.35">
      <c r="A12" s="2">
        <v>42046</v>
      </c>
      <c r="B12" s="3">
        <v>20.003414354310301</v>
      </c>
      <c r="C12" s="3">
        <v>15.6754765824677</v>
      </c>
      <c r="D12" s="3">
        <v>16.430721653930402</v>
      </c>
      <c r="E12" s="3">
        <v>15.5248918928687</v>
      </c>
      <c r="F12" s="3">
        <v>15.775651640085</v>
      </c>
      <c r="G12" s="3">
        <v>17.089564495323799</v>
      </c>
      <c r="H12" s="3">
        <v>14.5096383025039</v>
      </c>
      <c r="I12" s="3">
        <v>20.0320867441236</v>
      </c>
      <c r="J12" s="3">
        <v>17.310951339954201</v>
      </c>
      <c r="K12" s="3">
        <v>16.4329592574129</v>
      </c>
      <c r="L12" s="3">
        <v>18.942718126882799</v>
      </c>
      <c r="M12" s="3">
        <v>19.2334706712006</v>
      </c>
      <c r="N12" s="3">
        <v>32.053494285761197</v>
      </c>
    </row>
    <row r="13" spans="1:14" x14ac:dyDescent="0.35">
      <c r="A13" s="2">
        <v>42074</v>
      </c>
      <c r="B13" s="3">
        <v>20.463762849640101</v>
      </c>
      <c r="C13" s="3">
        <v>16.134533257974802</v>
      </c>
      <c r="D13" s="3">
        <v>16.965018153459798</v>
      </c>
      <c r="E13" s="3">
        <v>16.5350042881932</v>
      </c>
      <c r="F13" s="3">
        <v>16.877853360049698</v>
      </c>
      <c r="G13" s="3">
        <v>17.957736553264699</v>
      </c>
      <c r="H13" s="3">
        <v>15.1059044391867</v>
      </c>
      <c r="I13" s="3">
        <v>20.593357100167999</v>
      </c>
      <c r="J13" s="3">
        <v>17.482346189732802</v>
      </c>
      <c r="K13" s="3">
        <v>17.541824095445101</v>
      </c>
      <c r="L13" s="3">
        <v>20.122531875867999</v>
      </c>
      <c r="M13" s="3">
        <v>20.152288092165801</v>
      </c>
      <c r="N13" s="3">
        <v>44.267137892761703</v>
      </c>
    </row>
    <row r="14" spans="1:14" x14ac:dyDescent="0.35">
      <c r="A14" s="2">
        <v>42104</v>
      </c>
      <c r="B14" s="3">
        <v>20.204217829573899</v>
      </c>
      <c r="C14" s="3">
        <v>16.375470396403401</v>
      </c>
      <c r="D14" s="3">
        <v>17.2093417824561</v>
      </c>
      <c r="E14" s="3">
        <v>16.646122667962999</v>
      </c>
      <c r="F14" s="3">
        <v>16.908602466763899</v>
      </c>
      <c r="G14" s="3">
        <v>18.201860561594401</v>
      </c>
      <c r="H14" s="3">
        <v>15.465341526354701</v>
      </c>
      <c r="I14" s="3">
        <v>20.516593478429499</v>
      </c>
      <c r="J14" s="3">
        <v>17.560362644701101</v>
      </c>
      <c r="K14" s="3">
        <v>17.7251653235171</v>
      </c>
      <c r="L14" s="3">
        <v>20.027344155424299</v>
      </c>
      <c r="M14" s="3">
        <v>19.901053358803701</v>
      </c>
      <c r="N14" s="3">
        <v>41.630709008208001</v>
      </c>
    </row>
    <row r="15" spans="1:14" x14ac:dyDescent="0.35">
      <c r="A15" s="2">
        <v>42135</v>
      </c>
      <c r="B15" s="3">
        <v>20.0563270299678</v>
      </c>
      <c r="C15" s="3">
        <v>16.165013163060799</v>
      </c>
      <c r="D15" s="3">
        <v>17.268233528801701</v>
      </c>
      <c r="E15" s="3">
        <v>16.186194398227698</v>
      </c>
      <c r="F15" s="3">
        <v>16.959580829180101</v>
      </c>
      <c r="G15" s="3">
        <v>18.014820574141101</v>
      </c>
      <c r="H15" s="3">
        <v>15.7176650214959</v>
      </c>
      <c r="I15" s="3">
        <v>20.277630928227001</v>
      </c>
      <c r="J15" s="3">
        <v>17.531065808011999</v>
      </c>
      <c r="K15" s="3">
        <v>17.449874125981299</v>
      </c>
      <c r="L15" s="3">
        <v>19.590358839133302</v>
      </c>
      <c r="M15" s="3">
        <v>18.960818603643201</v>
      </c>
      <c r="N15" s="3">
        <v>38.7064316763568</v>
      </c>
    </row>
    <row r="16" spans="1:14" x14ac:dyDescent="0.35">
      <c r="A16" s="2">
        <v>42166</v>
      </c>
      <c r="B16" s="3">
        <v>19.9695865019611</v>
      </c>
      <c r="C16" s="3">
        <v>15.9907021984802</v>
      </c>
      <c r="D16" s="3">
        <v>17.171768964208301</v>
      </c>
      <c r="E16" s="3">
        <v>15.7748816427991</v>
      </c>
      <c r="F16" s="3">
        <v>17.0082793018715</v>
      </c>
      <c r="G16" s="3">
        <v>18.005926126886202</v>
      </c>
      <c r="H16" s="3">
        <v>15.698358007868</v>
      </c>
      <c r="I16" s="3">
        <v>20.170203886767101</v>
      </c>
      <c r="J16" s="3">
        <v>17.5135167855186</v>
      </c>
      <c r="K16" s="3">
        <v>17.3187269773629</v>
      </c>
      <c r="L16" s="3">
        <v>19.207274601808599</v>
      </c>
      <c r="M16" s="3">
        <v>18.976965786049998</v>
      </c>
      <c r="N16" s="3">
        <v>35.660311538519103</v>
      </c>
    </row>
    <row r="17" spans="1:14" x14ac:dyDescent="0.35">
      <c r="A17" s="2">
        <v>42195</v>
      </c>
      <c r="B17" s="3">
        <v>19.6258591634084</v>
      </c>
      <c r="C17" s="3">
        <v>15.860344603900799</v>
      </c>
      <c r="D17" s="3">
        <v>16.9457934484426</v>
      </c>
      <c r="E17" s="3">
        <v>15.555457482869199</v>
      </c>
      <c r="F17" s="3">
        <v>16.477722150236701</v>
      </c>
      <c r="G17" s="3">
        <v>17.970729065286299</v>
      </c>
      <c r="H17" s="3">
        <v>15.582214763222501</v>
      </c>
      <c r="I17" s="3">
        <v>19.848639849408102</v>
      </c>
      <c r="J17" s="3">
        <v>17.377537476163202</v>
      </c>
      <c r="K17" s="3">
        <v>17.0925287416513</v>
      </c>
      <c r="L17" s="3">
        <v>18.943854333491501</v>
      </c>
      <c r="M17" s="3">
        <v>18.642304051881698</v>
      </c>
      <c r="N17" s="3">
        <v>32.8268562504785</v>
      </c>
    </row>
    <row r="18" spans="1:14" x14ac:dyDescent="0.35">
      <c r="A18" s="2">
        <v>42227</v>
      </c>
      <c r="B18" s="3">
        <v>19.6481427717267</v>
      </c>
      <c r="C18" s="3">
        <v>15.8792735670211</v>
      </c>
      <c r="D18" s="3">
        <v>17.008388373271899</v>
      </c>
      <c r="E18" s="3">
        <v>15.3046880678917</v>
      </c>
      <c r="F18" s="3">
        <v>16.951351208309202</v>
      </c>
      <c r="G18" s="3">
        <v>18.073800099185</v>
      </c>
      <c r="H18" s="3">
        <v>15.7710393146924</v>
      </c>
      <c r="I18" s="3">
        <v>20.208957254686698</v>
      </c>
      <c r="J18" s="3">
        <v>17.4340284254423</v>
      </c>
      <c r="K18" s="3">
        <v>17.1244216746713</v>
      </c>
      <c r="L18" s="3">
        <v>18.809128870239999</v>
      </c>
      <c r="M18" s="3">
        <v>18.538852356943799</v>
      </c>
      <c r="N18" s="3">
        <v>30.485346399749002</v>
      </c>
    </row>
    <row r="19" spans="1:14" x14ac:dyDescent="0.35">
      <c r="A19" s="2">
        <v>42258</v>
      </c>
      <c r="B19" s="3">
        <v>19.0525039041733</v>
      </c>
      <c r="C19" s="3">
        <v>15.2345937139231</v>
      </c>
      <c r="D19" s="3">
        <v>16.445158907232901</v>
      </c>
      <c r="E19" s="3">
        <v>14.1879545370979</v>
      </c>
      <c r="F19" s="3">
        <v>15.455487207127501</v>
      </c>
      <c r="G19" s="3">
        <v>17.304875112428999</v>
      </c>
      <c r="H19" s="3">
        <v>15.018967059324</v>
      </c>
      <c r="I19" s="3">
        <v>19.5311811452464</v>
      </c>
      <c r="J19" s="3">
        <v>16.738054289114199</v>
      </c>
      <c r="K19" s="3">
        <v>15.847970967571801</v>
      </c>
      <c r="L19" s="3">
        <v>17.088862481413699</v>
      </c>
      <c r="M19" s="3">
        <v>17.279303963411099</v>
      </c>
      <c r="N19" s="3">
        <v>26.819784968498801</v>
      </c>
    </row>
    <row r="20" spans="1:14" x14ac:dyDescent="0.35">
      <c r="A20" s="2">
        <v>42286</v>
      </c>
      <c r="B20" s="3">
        <v>18.6646324256699</v>
      </c>
      <c r="C20" s="3">
        <v>15.768634104197201</v>
      </c>
      <c r="D20" s="3">
        <v>17.048287079156701</v>
      </c>
      <c r="E20" s="3">
        <v>13.977451513567299</v>
      </c>
      <c r="F20" s="3">
        <v>15.6083422029541</v>
      </c>
      <c r="G20" s="3">
        <v>17.429364244710399</v>
      </c>
      <c r="H20" s="3">
        <v>15.755362555997699</v>
      </c>
      <c r="I20" s="3">
        <v>19.5756943326247</v>
      </c>
      <c r="J20" s="3">
        <v>17.085438942492701</v>
      </c>
      <c r="K20" s="3">
        <v>16.078070171554199</v>
      </c>
      <c r="L20" s="3">
        <v>16.966378047972601</v>
      </c>
      <c r="M20" s="3">
        <v>17.074673912028299</v>
      </c>
      <c r="N20" s="3">
        <v>24.798071596921702</v>
      </c>
    </row>
    <row r="21" spans="1:14" x14ac:dyDescent="0.35">
      <c r="A21" s="2">
        <v>42319</v>
      </c>
      <c r="B21" s="3">
        <v>19.483926495824001</v>
      </c>
      <c r="C21" s="3">
        <v>15.277421510740799</v>
      </c>
      <c r="D21" s="3">
        <v>16.626538555630201</v>
      </c>
      <c r="E21" s="3">
        <v>14.531874186567199</v>
      </c>
      <c r="F21" s="3">
        <v>16.192336555219601</v>
      </c>
      <c r="G21" s="3">
        <v>17.586716598037</v>
      </c>
      <c r="H21" s="3">
        <v>15.767700845707401</v>
      </c>
      <c r="I21" s="3">
        <v>20.296116740275998</v>
      </c>
      <c r="J21" s="3">
        <v>17.391475581382601</v>
      </c>
      <c r="K21" s="3">
        <v>16.510884776397901</v>
      </c>
      <c r="L21" s="3">
        <v>18.186237101351601</v>
      </c>
      <c r="M21" s="3">
        <v>16.9312876515718</v>
      </c>
      <c r="N21" s="3">
        <v>22.5530256906716</v>
      </c>
    </row>
    <row r="22" spans="1:14" x14ac:dyDescent="0.35">
      <c r="A22" s="2">
        <v>42349</v>
      </c>
      <c r="B22" s="3">
        <v>19.473205954471201</v>
      </c>
      <c r="C22" s="3">
        <v>15.1460539267285</v>
      </c>
      <c r="D22" s="3">
        <v>15.8825064152861</v>
      </c>
      <c r="E22" s="3">
        <v>13.7111668565447</v>
      </c>
      <c r="F22" s="3">
        <v>15.734426555517899</v>
      </c>
      <c r="G22" s="3">
        <v>17.009780886121</v>
      </c>
      <c r="H22" s="3">
        <v>15.0845130535522</v>
      </c>
      <c r="I22" s="3">
        <v>19.8636286828396</v>
      </c>
      <c r="J22" s="3">
        <v>16.874155521536601</v>
      </c>
      <c r="K22" s="3">
        <v>15.2843130643889</v>
      </c>
      <c r="L22" s="3">
        <v>16.9058584507065</v>
      </c>
      <c r="M22" s="3">
        <v>15.838998612314001</v>
      </c>
      <c r="N22" s="3">
        <v>19.344343780991899</v>
      </c>
    </row>
    <row r="23" spans="1:14" x14ac:dyDescent="0.35">
      <c r="A23" s="2">
        <v>42380</v>
      </c>
      <c r="B23" s="3">
        <v>19.094603716769601</v>
      </c>
      <c r="C23" s="3">
        <v>14.8500195356016</v>
      </c>
      <c r="D23" s="3">
        <v>14.896945056693401</v>
      </c>
      <c r="E23" s="3">
        <v>12.7825812102268</v>
      </c>
      <c r="F23" s="3">
        <v>14.6395682307881</v>
      </c>
      <c r="G23" s="3">
        <v>16.21699574218</v>
      </c>
      <c r="H23" s="3">
        <v>14.754490425776901</v>
      </c>
      <c r="I23" s="3">
        <v>18.934111950737901</v>
      </c>
      <c r="J23" s="3">
        <v>16.146599154873599</v>
      </c>
      <c r="K23" s="3">
        <v>14.389106986775399</v>
      </c>
      <c r="L23" s="3">
        <v>15.732744166659501</v>
      </c>
      <c r="M23" s="3">
        <v>14.854847397095201</v>
      </c>
      <c r="N23" s="3">
        <v>16.824921050229499</v>
      </c>
    </row>
    <row r="24" spans="1:14" x14ac:dyDescent="0.35">
      <c r="A24" s="2">
        <v>42411</v>
      </c>
      <c r="B24" s="3">
        <v>18.561911199990401</v>
      </c>
      <c r="C24" s="3">
        <v>14.739159869367199</v>
      </c>
      <c r="D24" s="3">
        <v>14.568204182912501</v>
      </c>
      <c r="E24" s="3">
        <v>11.6041301356356</v>
      </c>
      <c r="F24" s="3">
        <v>13.0545657044529</v>
      </c>
      <c r="G24" s="3">
        <v>15.755327166834901</v>
      </c>
      <c r="H24" s="3">
        <v>13.9936954392155</v>
      </c>
      <c r="I24" s="3">
        <v>17.360061995441399</v>
      </c>
      <c r="J24" s="3">
        <v>16.2966838906097</v>
      </c>
      <c r="K24" s="3">
        <v>13.6404128596657</v>
      </c>
      <c r="L24" s="3">
        <v>14.4969750345718</v>
      </c>
      <c r="M24" s="3">
        <v>13.8840395946582</v>
      </c>
      <c r="N24" s="3">
        <v>13.9975632101423</v>
      </c>
    </row>
    <row r="25" spans="1:14" x14ac:dyDescent="0.35">
      <c r="A25" s="2">
        <v>42440</v>
      </c>
      <c r="B25" s="3">
        <v>19.335646029564799</v>
      </c>
      <c r="C25" s="3">
        <v>15.155161120515899</v>
      </c>
      <c r="D25" s="3">
        <v>15.905055466823701</v>
      </c>
      <c r="E25" s="3">
        <v>12.7194321345345</v>
      </c>
      <c r="F25" s="3">
        <v>13.898062195756101</v>
      </c>
      <c r="G25" s="3">
        <v>16.665841029193299</v>
      </c>
      <c r="H25" s="3">
        <v>15.6255820413721</v>
      </c>
      <c r="I25" s="3">
        <v>18.266448060217801</v>
      </c>
      <c r="J25" s="3">
        <v>16.188193427520002</v>
      </c>
      <c r="K25" s="3">
        <v>15.218487822890101</v>
      </c>
      <c r="L25" s="3">
        <v>16.423990037399498</v>
      </c>
      <c r="M25" s="3">
        <v>15.6817963226905</v>
      </c>
      <c r="N25" s="3">
        <v>15.491198863705</v>
      </c>
    </row>
    <row r="26" spans="1:14" x14ac:dyDescent="0.35">
      <c r="A26" s="2">
        <v>42471</v>
      </c>
      <c r="B26" s="3">
        <v>19.313266562390599</v>
      </c>
      <c r="C26" s="3">
        <v>15.0466853873834</v>
      </c>
      <c r="D26" s="3">
        <v>16.012509596499001</v>
      </c>
      <c r="E26" s="3">
        <v>12.6975217488305</v>
      </c>
      <c r="F26" s="3">
        <v>13.625816405833801</v>
      </c>
      <c r="G26" s="3">
        <v>16.654973376306</v>
      </c>
      <c r="H26" s="3">
        <v>15.808640990115199</v>
      </c>
      <c r="I26" s="3">
        <v>18.368179952457002</v>
      </c>
      <c r="J26" s="3">
        <v>16.445215307047398</v>
      </c>
      <c r="K26" s="3">
        <v>15.0776518722822</v>
      </c>
      <c r="L26" s="3">
        <v>16.2808235893838</v>
      </c>
      <c r="M26" s="3">
        <v>15.594040337442401</v>
      </c>
      <c r="N26" s="3">
        <v>15.187246882382301</v>
      </c>
    </row>
    <row r="27" spans="1:14" x14ac:dyDescent="0.35">
      <c r="A27" s="2">
        <v>42501</v>
      </c>
      <c r="B27" s="3">
        <v>19.629697487089501</v>
      </c>
      <c r="C27" s="3">
        <v>15.669861508333</v>
      </c>
      <c r="D27" s="3">
        <v>16.359402000722</v>
      </c>
      <c r="E27" s="3">
        <v>12.8120559615309</v>
      </c>
      <c r="F27" s="3">
        <v>13.8376359310508</v>
      </c>
      <c r="G27" s="3">
        <v>16.867741129858</v>
      </c>
      <c r="H27" s="3">
        <v>15.8689019711773</v>
      </c>
      <c r="I27" s="3">
        <v>18.363188620575301</v>
      </c>
      <c r="J27" s="3">
        <v>16.565182572190999</v>
      </c>
      <c r="K27" s="3">
        <v>15.0629603303781</v>
      </c>
      <c r="L27" s="3">
        <v>16.171300823718202</v>
      </c>
      <c r="M27" s="3">
        <v>15.5143507452138</v>
      </c>
      <c r="N27" s="3">
        <v>15.218876392314099</v>
      </c>
    </row>
    <row r="28" spans="1:14" x14ac:dyDescent="0.35">
      <c r="A28" s="2">
        <v>42531</v>
      </c>
      <c r="B28" s="3">
        <v>19.7688926499115</v>
      </c>
      <c r="C28" s="3">
        <v>15.752377022043699</v>
      </c>
      <c r="D28" s="3">
        <v>16.7352595149435</v>
      </c>
      <c r="E28" s="3">
        <v>12.7200029920131</v>
      </c>
      <c r="F28" s="3">
        <v>14.030157073505499</v>
      </c>
      <c r="G28" s="3">
        <v>16.9699568280293</v>
      </c>
      <c r="H28" s="3">
        <v>15.893127707577801</v>
      </c>
      <c r="I28" s="3">
        <v>18.541920771119699</v>
      </c>
      <c r="J28" s="3">
        <v>16.790339090958501</v>
      </c>
      <c r="K28" s="3">
        <v>14.9770349644531</v>
      </c>
      <c r="L28" s="3">
        <v>16.0153692848959</v>
      </c>
      <c r="M28" s="3">
        <v>15.325557318010601</v>
      </c>
      <c r="N28" s="3">
        <v>14.794178916983601</v>
      </c>
    </row>
    <row r="29" spans="1:14" x14ac:dyDescent="0.35">
      <c r="A29" s="2">
        <v>42562</v>
      </c>
      <c r="B29" s="3">
        <v>19.983087377656599</v>
      </c>
      <c r="C29" s="3">
        <v>15.940670403655</v>
      </c>
      <c r="D29" s="3">
        <v>17.032936687600699</v>
      </c>
      <c r="E29" s="3">
        <v>12.762714090559699</v>
      </c>
      <c r="F29" s="3">
        <v>13.7526772907481</v>
      </c>
      <c r="G29" s="3">
        <v>17.2562268892292</v>
      </c>
      <c r="H29" s="3">
        <v>16.4170151633055</v>
      </c>
      <c r="I29" s="3">
        <v>18.929078894544599</v>
      </c>
      <c r="J29" s="3">
        <v>17.125827582884199</v>
      </c>
      <c r="K29" s="3">
        <v>14.819196572071601</v>
      </c>
      <c r="L29" s="3">
        <v>15.884112428589599</v>
      </c>
      <c r="M29" s="3">
        <v>15.5117631170618</v>
      </c>
      <c r="N29" s="3">
        <v>14.355187658064899</v>
      </c>
    </row>
    <row r="30" spans="1:14" x14ac:dyDescent="0.35">
      <c r="A30" s="2">
        <v>42593</v>
      </c>
      <c r="B30" s="3">
        <v>20.671026448181099</v>
      </c>
      <c r="C30" s="3">
        <v>16.5571943871816</v>
      </c>
      <c r="D30" s="3">
        <v>17.4971179708227</v>
      </c>
      <c r="E30" s="3">
        <v>13.464717227055701</v>
      </c>
      <c r="F30" s="3">
        <v>14.0870045472117</v>
      </c>
      <c r="G30" s="3">
        <v>17.936608414095701</v>
      </c>
      <c r="H30" s="3">
        <v>16.962644437087601</v>
      </c>
      <c r="I30" s="3">
        <v>19.552642898144299</v>
      </c>
      <c r="J30" s="3">
        <v>17.526263341994699</v>
      </c>
      <c r="K30" s="3">
        <v>15.1077149950153</v>
      </c>
      <c r="L30" s="3">
        <v>16.243049483814101</v>
      </c>
      <c r="M30" s="3">
        <v>16.064634449611301</v>
      </c>
      <c r="N30" s="3">
        <v>15.1500544707604</v>
      </c>
    </row>
    <row r="31" spans="1:14" x14ac:dyDescent="0.35">
      <c r="A31" s="2">
        <v>42622</v>
      </c>
      <c r="B31" s="3">
        <v>21.283528621764699</v>
      </c>
      <c r="C31" s="3">
        <v>16.3410469681811</v>
      </c>
      <c r="D31" s="3">
        <v>17.526059808015599</v>
      </c>
      <c r="E31" s="3">
        <v>13.533234412315499</v>
      </c>
      <c r="F31" s="3">
        <v>14.4021382193022</v>
      </c>
      <c r="G31" s="3">
        <v>18.0029716744111</v>
      </c>
      <c r="H31" s="3">
        <v>16.851203979754001</v>
      </c>
      <c r="I31" s="3">
        <v>19.301173470897201</v>
      </c>
      <c r="J31" s="3">
        <v>17.3883673167525</v>
      </c>
      <c r="K31" s="3">
        <v>15.0337553651864</v>
      </c>
      <c r="L31" s="3">
        <v>16.042003750556599</v>
      </c>
      <c r="M31" s="3">
        <v>16.085063009533801</v>
      </c>
      <c r="N31" s="3">
        <v>15.093280623359901</v>
      </c>
    </row>
    <row r="32" spans="1:14" x14ac:dyDescent="0.35">
      <c r="A32" s="2">
        <v>42654</v>
      </c>
      <c r="B32" s="3">
        <v>20.432438858576099</v>
      </c>
      <c r="C32" s="3">
        <v>16.906521198646502</v>
      </c>
      <c r="D32" s="3">
        <v>17.869931432310299</v>
      </c>
      <c r="E32" s="3">
        <v>13.6641639492056</v>
      </c>
      <c r="F32" s="3">
        <v>14.454131966210101</v>
      </c>
      <c r="G32" s="3">
        <v>17.951749213218701</v>
      </c>
      <c r="H32" s="3">
        <v>17.046982294095599</v>
      </c>
      <c r="I32" s="3">
        <v>19.852926684989299</v>
      </c>
      <c r="J32" s="3">
        <v>17.613526367988801</v>
      </c>
      <c r="K32" s="3">
        <v>14.8985534941708</v>
      </c>
      <c r="L32" s="3">
        <v>15.857744722464799</v>
      </c>
      <c r="M32" s="3">
        <v>16.6385516139404</v>
      </c>
      <c r="N32" s="3">
        <v>14.614728575658599</v>
      </c>
    </row>
    <row r="33" spans="1:14" x14ac:dyDescent="0.35">
      <c r="A33" s="2">
        <v>42685</v>
      </c>
      <c r="B33" s="3">
        <v>19.512437207791098</v>
      </c>
      <c r="C33" s="3">
        <v>16.999167312351499</v>
      </c>
      <c r="D33" s="3">
        <v>18.267031202304</v>
      </c>
      <c r="E33" s="3">
        <v>13.7021570143689</v>
      </c>
      <c r="F33" s="3">
        <v>14.726368354767001</v>
      </c>
      <c r="G33" s="3">
        <v>17.609316617434299</v>
      </c>
      <c r="H33" s="3">
        <v>16.317418282621102</v>
      </c>
      <c r="I33" s="3">
        <v>19.597928995487798</v>
      </c>
      <c r="J33" s="3">
        <v>17.9034217539695</v>
      </c>
      <c r="K33" s="3">
        <v>14.7815856200756</v>
      </c>
      <c r="L33" s="3">
        <v>15.4974932696237</v>
      </c>
      <c r="M33" s="3">
        <v>17.041238710600499</v>
      </c>
      <c r="N33" s="3">
        <v>14.4928546227796</v>
      </c>
    </row>
    <row r="34" spans="1:14" x14ac:dyDescent="0.35">
      <c r="A34" s="2">
        <v>42713</v>
      </c>
      <c r="B34" s="3">
        <v>19.9085519685142</v>
      </c>
      <c r="C34" s="3">
        <v>17.472439647350701</v>
      </c>
      <c r="D34" s="3">
        <v>19.151296267397498</v>
      </c>
      <c r="E34" s="3">
        <v>14.3636267024595</v>
      </c>
      <c r="F34" s="3">
        <v>16.400754707546199</v>
      </c>
      <c r="G34" s="3">
        <v>17.865488676799998</v>
      </c>
      <c r="H34" s="3">
        <v>16.886847417880201</v>
      </c>
      <c r="I34" s="3">
        <v>20.2460574627044</v>
      </c>
      <c r="J34" s="3">
        <v>18.790744094241099</v>
      </c>
      <c r="K34" s="3">
        <v>15.490792462809599</v>
      </c>
      <c r="L34" s="3">
        <v>15.9210527944989</v>
      </c>
      <c r="M34" s="3">
        <v>18.0715369323263</v>
      </c>
      <c r="N34" s="3">
        <v>15.600308867887</v>
      </c>
    </row>
    <row r="35" spans="1:14" x14ac:dyDescent="0.35">
      <c r="A35" s="2">
        <v>42746</v>
      </c>
      <c r="B35" s="3">
        <v>20.5088174860674</v>
      </c>
      <c r="C35" s="3">
        <v>18.030136214739802</v>
      </c>
      <c r="D35" s="3">
        <v>19.5581475063379</v>
      </c>
      <c r="E35" s="3">
        <v>14.9751977455918</v>
      </c>
      <c r="F35" s="3">
        <v>16.713686608171599</v>
      </c>
      <c r="G35" s="3">
        <v>18.581290538773999</v>
      </c>
      <c r="H35" s="3">
        <v>17.2688579985609</v>
      </c>
      <c r="I35" s="3">
        <v>21.012517826020499</v>
      </c>
      <c r="J35" s="3">
        <v>19.064614096924899</v>
      </c>
      <c r="K35" s="3">
        <v>15.8582063995181</v>
      </c>
      <c r="L35" s="3">
        <v>16.384221922674499</v>
      </c>
      <c r="M35" s="3">
        <v>18.114971126978499</v>
      </c>
      <c r="N35" s="3">
        <v>28.070591432934499</v>
      </c>
    </row>
    <row r="36" spans="1:14" x14ac:dyDescent="0.35">
      <c r="A36" s="2">
        <v>42776</v>
      </c>
      <c r="B36" s="3">
        <v>20.552229099609701</v>
      </c>
      <c r="C36" s="3">
        <v>17.766398579478601</v>
      </c>
      <c r="D36" s="3">
        <v>19.8096750901768</v>
      </c>
      <c r="E36" s="3">
        <v>14.924578858411801</v>
      </c>
      <c r="F36" s="3">
        <v>16.3935407048128</v>
      </c>
      <c r="G36" s="3">
        <v>18.696486085032902</v>
      </c>
      <c r="H36" s="3">
        <v>17.3356477048108</v>
      </c>
      <c r="I36" s="3">
        <v>21.5272966967445</v>
      </c>
      <c r="J36" s="3">
        <v>19.1890335371885</v>
      </c>
      <c r="K36" s="3">
        <v>15.447801357946</v>
      </c>
      <c r="L36" s="3">
        <v>16.204090443971701</v>
      </c>
      <c r="M36" s="3">
        <v>18.467689087689902</v>
      </c>
      <c r="N36" s="3">
        <v>20.211300803290801</v>
      </c>
    </row>
    <row r="37" spans="1:14" x14ac:dyDescent="0.35">
      <c r="A37" s="2">
        <v>42804</v>
      </c>
      <c r="B37" s="3">
        <v>19.793036856123699</v>
      </c>
      <c r="C37" s="3">
        <v>17.486200019872001</v>
      </c>
      <c r="D37" s="3">
        <v>19.3120615915666</v>
      </c>
      <c r="E37" s="3">
        <v>14.9697675917959</v>
      </c>
      <c r="F37" s="3">
        <v>15.9556360058039</v>
      </c>
      <c r="G37" s="3">
        <v>19.641862742266099</v>
      </c>
      <c r="H37" s="3">
        <v>17.2791303258414</v>
      </c>
      <c r="I37" s="3">
        <v>21.701282469196101</v>
      </c>
      <c r="J37" s="3">
        <v>19.461242377578301</v>
      </c>
      <c r="K37" s="3">
        <v>15.6137152627227</v>
      </c>
      <c r="L37" s="3">
        <v>16.504209484772701</v>
      </c>
      <c r="M37" s="3">
        <v>17.519675769980498</v>
      </c>
      <c r="N37" s="3">
        <v>83.693688577698495</v>
      </c>
    </row>
    <row r="38" spans="1:14" x14ac:dyDescent="0.35">
      <c r="A38" s="2">
        <v>42836</v>
      </c>
      <c r="B38" s="3">
        <v>19.835074624779399</v>
      </c>
      <c r="C38" s="3">
        <v>17.351352406274501</v>
      </c>
      <c r="D38" s="3">
        <v>19.047255778855099</v>
      </c>
      <c r="E38" s="3">
        <v>14.8968341920428</v>
      </c>
      <c r="F38" s="3">
        <v>15.6079172909583</v>
      </c>
      <c r="G38" s="3">
        <v>19.423575447179498</v>
      </c>
      <c r="H38" s="3">
        <v>17.053971564092802</v>
      </c>
      <c r="I38" s="3">
        <v>21.587088600169299</v>
      </c>
      <c r="J38" s="3">
        <v>19.271422797250299</v>
      </c>
      <c r="K38" s="3">
        <v>15.639713560220899</v>
      </c>
      <c r="L38" s="3">
        <v>16.558856935621399</v>
      </c>
      <c r="M38" s="3">
        <v>17.553014469067701</v>
      </c>
      <c r="N38" s="3">
        <v>76.144508354337205</v>
      </c>
    </row>
    <row r="39" spans="1:14" x14ac:dyDescent="0.35">
      <c r="A39" s="2">
        <v>42866</v>
      </c>
      <c r="B39" s="3">
        <v>20.062859021638602</v>
      </c>
      <c r="C39" s="3">
        <v>17.162012043737199</v>
      </c>
      <c r="D39" s="3">
        <v>18.6623098230171</v>
      </c>
      <c r="E39" s="3">
        <v>14.900014178326799</v>
      </c>
      <c r="F39" s="3">
        <v>15.722803842500801</v>
      </c>
      <c r="G39" s="3">
        <v>19.519342666178101</v>
      </c>
      <c r="H39" s="3">
        <v>16.858552691486999</v>
      </c>
      <c r="I39" s="3">
        <v>21.825701926476899</v>
      </c>
      <c r="J39" s="3">
        <v>19.1986653927497</v>
      </c>
      <c r="K39" s="3">
        <v>15.8354416668715</v>
      </c>
      <c r="L39" s="3">
        <v>16.722914392233701</v>
      </c>
      <c r="M39" s="3">
        <v>17.669188145415699</v>
      </c>
      <c r="N39" s="3">
        <v>69.3685409616605</v>
      </c>
    </row>
    <row r="40" spans="1:14" x14ac:dyDescent="0.35">
      <c r="A40" s="2">
        <v>42895</v>
      </c>
      <c r="B40" s="3">
        <v>19.946115112116001</v>
      </c>
      <c r="C40" s="3">
        <v>16.771107705738402</v>
      </c>
      <c r="D40" s="3">
        <v>18.373167450692801</v>
      </c>
      <c r="E40" s="3">
        <v>14.8163297120057</v>
      </c>
      <c r="F40" s="3">
        <v>15.650420849847301</v>
      </c>
      <c r="G40" s="3">
        <v>19.444060745297101</v>
      </c>
      <c r="H40" s="3">
        <v>16.694006769294699</v>
      </c>
      <c r="I40" s="3">
        <v>21.874801358703401</v>
      </c>
      <c r="J40" s="3">
        <v>19.1942620012913</v>
      </c>
      <c r="K40" s="3">
        <v>15.755551725532101</v>
      </c>
      <c r="L40" s="3">
        <v>16.7603890824502</v>
      </c>
      <c r="M40" s="3">
        <v>17.646861459841698</v>
      </c>
      <c r="N40" s="3">
        <v>62.445649144494901</v>
      </c>
    </row>
    <row r="41" spans="1:14" x14ac:dyDescent="0.35">
      <c r="A41" s="2">
        <v>42927</v>
      </c>
      <c r="B41" s="3">
        <v>20.102967419293101</v>
      </c>
      <c r="C41" s="3">
        <v>16.742967527266401</v>
      </c>
      <c r="D41" s="3">
        <v>17.982609260564299</v>
      </c>
      <c r="E41" s="3">
        <v>14.5331920416681</v>
      </c>
      <c r="F41" s="3">
        <v>15.5345717234751</v>
      </c>
      <c r="G41" s="3">
        <v>19.2546954714736</v>
      </c>
      <c r="H41" s="3">
        <v>16.3471164254866</v>
      </c>
      <c r="I41" s="3">
        <v>21.7524161586236</v>
      </c>
      <c r="J41" s="3">
        <v>19.0599517066698</v>
      </c>
      <c r="K41" s="3">
        <v>15.5563081379224</v>
      </c>
      <c r="L41" s="3">
        <v>16.5451756953989</v>
      </c>
      <c r="M41" s="3">
        <v>17.595165462782401</v>
      </c>
      <c r="N41" s="3">
        <v>54.965192205774699</v>
      </c>
    </row>
    <row r="42" spans="1:14" x14ac:dyDescent="0.35">
      <c r="A42" s="2">
        <v>42958</v>
      </c>
      <c r="B42" s="3">
        <v>20.494670637444798</v>
      </c>
      <c r="C42" s="3">
        <v>16.667988537797498</v>
      </c>
      <c r="D42" s="3">
        <v>17.747573770022601</v>
      </c>
      <c r="E42" s="3">
        <v>14.1397285354081</v>
      </c>
      <c r="F42" s="3">
        <v>15.1952121941301</v>
      </c>
      <c r="G42" s="3">
        <v>19.1066122872748</v>
      </c>
      <c r="H42" s="3">
        <v>16.132960714296601</v>
      </c>
      <c r="I42" s="3">
        <v>21.941226155273899</v>
      </c>
      <c r="J42" s="3">
        <v>18.996217932583001</v>
      </c>
      <c r="K42" s="3">
        <v>15.398844769082499</v>
      </c>
      <c r="L42" s="3">
        <v>16.548118592389201</v>
      </c>
      <c r="M42" s="3">
        <v>16.846638162441</v>
      </c>
      <c r="N42" s="3">
        <v>47.6640328840124</v>
      </c>
    </row>
    <row r="43" spans="1:14" x14ac:dyDescent="0.35">
      <c r="A43" s="2">
        <v>42989</v>
      </c>
      <c r="B43" s="3">
        <v>20.706565384617399</v>
      </c>
      <c r="C43" s="3">
        <v>16.548766292691099</v>
      </c>
      <c r="D43" s="3">
        <v>17.316404074025201</v>
      </c>
      <c r="E43" s="3">
        <v>14.3288921007457</v>
      </c>
      <c r="F43" s="3">
        <v>14.785083433244401</v>
      </c>
      <c r="G43" s="3">
        <v>19.258488562957201</v>
      </c>
      <c r="H43" s="3">
        <v>16.023551030392699</v>
      </c>
      <c r="I43" s="3">
        <v>22.296535370320299</v>
      </c>
      <c r="J43" s="3">
        <v>19.1373269003786</v>
      </c>
      <c r="K43" s="3">
        <v>15.653298168875001</v>
      </c>
      <c r="L43" s="3">
        <v>16.724964142305499</v>
      </c>
      <c r="M43" s="3">
        <v>17.0670498444975</v>
      </c>
      <c r="N43" s="3">
        <v>40.655174287296099</v>
      </c>
    </row>
    <row r="44" spans="1:14" x14ac:dyDescent="0.35">
      <c r="A44" s="2">
        <v>43019</v>
      </c>
      <c r="B44" s="3">
        <v>20.847710058707101</v>
      </c>
      <c r="C44" s="3">
        <v>16.430322569722701</v>
      </c>
      <c r="D44" s="3">
        <v>17.624011148414301</v>
      </c>
      <c r="E44" s="3">
        <v>14.746073828781601</v>
      </c>
      <c r="F44" s="3">
        <v>15.056927876850001</v>
      </c>
      <c r="G44" s="3">
        <v>19.681860377443801</v>
      </c>
      <c r="H44" s="3">
        <v>15.8670953374715</v>
      </c>
      <c r="I44" s="3">
        <v>22.6075718142814</v>
      </c>
      <c r="J44" s="3">
        <v>19.569269730758698</v>
      </c>
      <c r="K44" s="3">
        <v>16.063836000868601</v>
      </c>
      <c r="L44" s="3">
        <v>17.1808549962693</v>
      </c>
      <c r="M44" s="3">
        <v>17.664696477335202</v>
      </c>
      <c r="N44" s="3">
        <v>33.924552152593797</v>
      </c>
    </row>
    <row r="45" spans="1:14" x14ac:dyDescent="0.35">
      <c r="A45" s="2">
        <v>43049</v>
      </c>
      <c r="B45" s="3">
        <v>21.039163469555401</v>
      </c>
      <c r="C45" s="3">
        <v>16.8909540358367</v>
      </c>
      <c r="D45" s="3">
        <v>17.433253123435499</v>
      </c>
      <c r="E45" s="3">
        <v>15.2540062124712</v>
      </c>
      <c r="F45" s="3">
        <v>15.8660551661815</v>
      </c>
      <c r="G45" s="3">
        <v>20.078257799543898</v>
      </c>
      <c r="H45" s="3">
        <v>15.4004427733942</v>
      </c>
      <c r="I45" s="3">
        <v>22.9601709104262</v>
      </c>
      <c r="J45" s="3">
        <v>19.5975181931334</v>
      </c>
      <c r="K45" s="3">
        <v>15.992135723024999</v>
      </c>
      <c r="L45" s="3">
        <v>17.337530232899098</v>
      </c>
      <c r="M45" s="3">
        <v>18.2248621997234</v>
      </c>
      <c r="N45" s="3">
        <v>27.035698622015399</v>
      </c>
    </row>
    <row r="46" spans="1:14" x14ac:dyDescent="0.35">
      <c r="A46" s="2">
        <v>43080</v>
      </c>
      <c r="B46" s="3">
        <v>21.934064215207599</v>
      </c>
      <c r="C46" s="3">
        <v>16.5907472768174</v>
      </c>
      <c r="D46" s="3">
        <v>17.295161310461701</v>
      </c>
      <c r="E46" s="3">
        <v>15.4644535213951</v>
      </c>
      <c r="F46" s="3">
        <v>16.2671424816563</v>
      </c>
      <c r="G46" s="3">
        <v>20.413540026549899</v>
      </c>
      <c r="H46" s="3">
        <v>15.2274109877955</v>
      </c>
      <c r="I46" s="3">
        <v>23.2972725377325</v>
      </c>
      <c r="J46" s="3">
        <v>20.130229688828098</v>
      </c>
      <c r="K46" s="3">
        <v>16.180411148189901</v>
      </c>
      <c r="L46" s="3">
        <v>17.287092577902701</v>
      </c>
      <c r="M46" s="3">
        <v>18.1457671171149</v>
      </c>
      <c r="N46" s="3">
        <v>20.259856634501599</v>
      </c>
    </row>
    <row r="47" spans="1:14" x14ac:dyDescent="0.35">
      <c r="A47" s="2">
        <v>43111</v>
      </c>
      <c r="B47" s="3">
        <v>21.8608735172736</v>
      </c>
      <c r="C47" s="3">
        <v>16.767378506703999</v>
      </c>
      <c r="D47" s="3">
        <v>17.2527918257056</v>
      </c>
      <c r="E47" s="3">
        <v>15.510361949262499</v>
      </c>
      <c r="F47" s="3">
        <v>17.0347338282773</v>
      </c>
      <c r="G47" s="3">
        <v>20.9909598295731</v>
      </c>
      <c r="H47" s="3">
        <v>15.6516379168601</v>
      </c>
      <c r="I47" s="3">
        <v>24.625546463547199</v>
      </c>
      <c r="J47" s="3">
        <v>20.865445398802599</v>
      </c>
      <c r="K47" s="3">
        <v>16.449776891291801</v>
      </c>
      <c r="L47" s="3">
        <v>17.481396246380498</v>
      </c>
      <c r="M47" s="3">
        <v>18.5284232113559</v>
      </c>
      <c r="N47" s="3">
        <v>15.8715529519577</v>
      </c>
    </row>
    <row r="48" spans="1:14" x14ac:dyDescent="0.35">
      <c r="A48" s="2">
        <v>43140</v>
      </c>
      <c r="B48" s="3">
        <v>20.491844623097599</v>
      </c>
      <c r="C48" s="3">
        <v>16.120923748452899</v>
      </c>
      <c r="D48" s="3">
        <v>15.7055638038075</v>
      </c>
      <c r="E48" s="3">
        <v>14.0776883634533</v>
      </c>
      <c r="F48" s="3">
        <v>15.187424759020001</v>
      </c>
      <c r="G48" s="3">
        <v>19.972893372101201</v>
      </c>
      <c r="H48" s="3">
        <v>14.2238916401885</v>
      </c>
      <c r="I48" s="3">
        <v>22.759455568099401</v>
      </c>
      <c r="J48" s="3">
        <v>19.2822126347187</v>
      </c>
      <c r="K48" s="3">
        <v>15.3835866010904</v>
      </c>
      <c r="L48" s="3">
        <v>16.381345542391301</v>
      </c>
      <c r="M48" s="3">
        <v>16.165481367316701</v>
      </c>
      <c r="N48" s="3">
        <v>14.288060606790101</v>
      </c>
    </row>
    <row r="49" spans="1:14" x14ac:dyDescent="0.35">
      <c r="A49" s="2">
        <v>43168</v>
      </c>
      <c r="B49" s="3">
        <v>22.560370549709798</v>
      </c>
      <c r="C49" s="3">
        <v>16.502246099838001</v>
      </c>
      <c r="D49" s="3">
        <v>15.8189162920825</v>
      </c>
      <c r="E49" s="3">
        <v>14.229153280713</v>
      </c>
      <c r="F49" s="3">
        <v>14.382892448093701</v>
      </c>
      <c r="G49" s="3">
        <v>21.091539060839601</v>
      </c>
      <c r="H49" s="3">
        <v>13.9813350069092</v>
      </c>
      <c r="I49" s="3">
        <v>24.176639276379099</v>
      </c>
      <c r="J49" s="3">
        <v>19.8054180333876</v>
      </c>
      <c r="K49" s="3">
        <v>15.5902164776156</v>
      </c>
      <c r="L49" s="3">
        <v>16.680892486094098</v>
      </c>
      <c r="M49" s="3">
        <v>16.980711173082899</v>
      </c>
      <c r="N49" s="3">
        <v>14.213166354276</v>
      </c>
    </row>
    <row r="50" spans="1:14" x14ac:dyDescent="0.35">
      <c r="A50" s="2">
        <v>43201</v>
      </c>
      <c r="B50" s="3">
        <v>22.4100821352874</v>
      </c>
      <c r="C50" s="3">
        <v>16.288181612104601</v>
      </c>
      <c r="D50" s="3">
        <v>15.589656960701401</v>
      </c>
      <c r="E50" s="3">
        <v>14.110348058783901</v>
      </c>
      <c r="F50" s="3">
        <v>14.2361664154318</v>
      </c>
      <c r="G50" s="3">
        <v>20.5115136336468</v>
      </c>
      <c r="H50" s="3">
        <v>13.9868660919576</v>
      </c>
      <c r="I50" s="3">
        <v>23.491353643367901</v>
      </c>
      <c r="J50" s="3">
        <v>19.3070416948025</v>
      </c>
      <c r="K50" s="3">
        <v>15.5034994149709</v>
      </c>
      <c r="L50" s="3">
        <v>16.591476286513799</v>
      </c>
      <c r="M50" s="3">
        <v>16.6973055615486</v>
      </c>
      <c r="N50" s="3">
        <v>14.105870203086001</v>
      </c>
    </row>
    <row r="51" spans="1:14" x14ac:dyDescent="0.35">
      <c r="A51" s="2">
        <v>43231</v>
      </c>
      <c r="B51" s="3">
        <v>22.4615906030511</v>
      </c>
      <c r="C51" s="3">
        <v>16.370851383081401</v>
      </c>
      <c r="D51" s="3">
        <v>15.629074682320599</v>
      </c>
      <c r="E51" s="3">
        <v>14.2223580899837</v>
      </c>
      <c r="F51" s="3">
        <v>14.306577150591901</v>
      </c>
      <c r="G51" s="3">
        <v>20.224376876977399</v>
      </c>
      <c r="H51" s="3">
        <v>14.1292551417902</v>
      </c>
      <c r="I51" s="3">
        <v>23.366229577558599</v>
      </c>
      <c r="J51" s="3">
        <v>19.119224165829198</v>
      </c>
      <c r="K51" s="3">
        <v>15.612696251900999</v>
      </c>
      <c r="L51" s="3">
        <v>16.5893750068721</v>
      </c>
      <c r="M51" s="3">
        <v>16.828270239738899</v>
      </c>
      <c r="N51" s="3">
        <v>14.134232565194599</v>
      </c>
    </row>
    <row r="52" spans="1:14" x14ac:dyDescent="0.35">
      <c r="A52" s="2">
        <v>43262</v>
      </c>
      <c r="B52" s="3">
        <v>22.759823088727298</v>
      </c>
      <c r="C52" s="3">
        <v>16.160222160826599</v>
      </c>
      <c r="D52" s="3">
        <v>15.6030696953749</v>
      </c>
      <c r="E52" s="3">
        <v>14.154632356217199</v>
      </c>
      <c r="F52" s="3">
        <v>14.175383971735901</v>
      </c>
      <c r="G52" s="3">
        <v>19.573803109059</v>
      </c>
      <c r="H52" s="3">
        <v>13.995324350890799</v>
      </c>
      <c r="I52" s="3">
        <v>23.312139501754501</v>
      </c>
      <c r="J52" s="3">
        <v>18.971161771575801</v>
      </c>
      <c r="K52" s="3">
        <v>15.380133954723</v>
      </c>
      <c r="L52" s="3">
        <v>16.734541478818802</v>
      </c>
      <c r="M52" s="3">
        <v>16.577660633812702</v>
      </c>
      <c r="N52" s="3">
        <v>13.5013598616347</v>
      </c>
    </row>
    <row r="53" spans="1:14" x14ac:dyDescent="0.35">
      <c r="A53" s="2">
        <v>43292</v>
      </c>
      <c r="B53" s="3">
        <v>22.8883966048082</v>
      </c>
      <c r="C53" s="3">
        <v>16.254701438816699</v>
      </c>
      <c r="D53" s="3">
        <v>15.495076922132601</v>
      </c>
      <c r="E53" s="3">
        <v>13.964772801404701</v>
      </c>
      <c r="F53" s="3">
        <v>13.767442891890401</v>
      </c>
      <c r="G53" s="3">
        <v>19.232321474762401</v>
      </c>
      <c r="H53" s="3">
        <v>13.7849751675198</v>
      </c>
      <c r="I53" s="3">
        <v>23.2061739855578</v>
      </c>
      <c r="J53" s="3">
        <v>18.684431984470798</v>
      </c>
      <c r="K53" s="3">
        <v>15.2006382883166</v>
      </c>
      <c r="L53" s="3">
        <v>16.547377720711999</v>
      </c>
      <c r="M53" s="3">
        <v>16.3588714364117</v>
      </c>
      <c r="N53" s="3">
        <v>13.221974672977</v>
      </c>
    </row>
    <row r="54" spans="1:14" x14ac:dyDescent="0.35">
      <c r="A54" s="2">
        <v>43322</v>
      </c>
      <c r="B54" s="3">
        <v>23.052191441990701</v>
      </c>
      <c r="C54" s="3">
        <v>16.340906688419601</v>
      </c>
      <c r="D54" s="3">
        <v>15.3916115569486</v>
      </c>
      <c r="E54" s="3">
        <v>13.982584312957799</v>
      </c>
      <c r="F54" s="3">
        <v>13.689895227783101</v>
      </c>
      <c r="G54" s="3">
        <v>19.009428697098201</v>
      </c>
      <c r="H54" s="3">
        <v>13.7790666178708</v>
      </c>
      <c r="I54" s="3">
        <v>23.116235181513499</v>
      </c>
      <c r="J54" s="3">
        <v>18.581264583345799</v>
      </c>
      <c r="K54" s="3">
        <v>15.093310534529399</v>
      </c>
      <c r="L54" s="3">
        <v>16.630635721873698</v>
      </c>
      <c r="M54" s="3">
        <v>16.597937316627</v>
      </c>
      <c r="N54" s="3">
        <v>12.9147783640993</v>
      </c>
    </row>
    <row r="55" spans="1:14" x14ac:dyDescent="0.35">
      <c r="A55" s="2">
        <v>43354</v>
      </c>
      <c r="B55" s="3">
        <v>23.531391152480701</v>
      </c>
      <c r="C55" s="3">
        <v>16.017179367787602</v>
      </c>
      <c r="D55" s="3">
        <v>15.0719847970612</v>
      </c>
      <c r="E55" s="3">
        <v>13.739445857383901</v>
      </c>
      <c r="F55" s="3">
        <v>13.404973597324901</v>
      </c>
      <c r="G55" s="3">
        <v>18.583234107820399</v>
      </c>
      <c r="H55" s="3">
        <v>13.316893577580901</v>
      </c>
      <c r="I55" s="3">
        <v>23.083833731716801</v>
      </c>
      <c r="J55" s="3">
        <v>18.563901603207501</v>
      </c>
      <c r="K55" s="3">
        <v>14.774645289673799</v>
      </c>
      <c r="L55" s="3">
        <v>16.2421255061107</v>
      </c>
      <c r="M55" s="3">
        <v>16.5650137302279</v>
      </c>
      <c r="N55" s="3">
        <v>12.522499859043799</v>
      </c>
    </row>
    <row r="56" spans="1:14" x14ac:dyDescent="0.35">
      <c r="A56" s="2">
        <v>43384</v>
      </c>
      <c r="B56" s="3">
        <v>22.4501599788018</v>
      </c>
      <c r="C56" s="3">
        <v>15.4013940276661</v>
      </c>
      <c r="D56" s="3">
        <v>14.4487395701509</v>
      </c>
      <c r="E56" s="3">
        <v>13.256897794497901</v>
      </c>
      <c r="F56" s="3">
        <v>13.258192629918501</v>
      </c>
      <c r="G56" s="3">
        <v>17.6376097795367</v>
      </c>
      <c r="H56" s="3">
        <v>12.945817387582601</v>
      </c>
      <c r="I56" s="3">
        <v>21.669259069721399</v>
      </c>
      <c r="J56" s="3">
        <v>17.6375108501461</v>
      </c>
      <c r="K56" s="3">
        <v>14.243130201005799</v>
      </c>
      <c r="L56" s="3">
        <v>15.517511500415001</v>
      </c>
      <c r="M56" s="3">
        <v>15.777192543978099</v>
      </c>
      <c r="N56" s="3">
        <v>11.704134393150101</v>
      </c>
    </row>
    <row r="57" spans="1:14" x14ac:dyDescent="0.35">
      <c r="A57" s="2">
        <v>43413</v>
      </c>
      <c r="B57" s="3">
        <v>23.100848781512202</v>
      </c>
      <c r="C57" s="3">
        <v>15.4997242575337</v>
      </c>
      <c r="D57" s="3">
        <v>14.193902072836099</v>
      </c>
      <c r="E57" s="3">
        <v>13.1517536795005</v>
      </c>
      <c r="F57" s="3">
        <v>12.924374932581101</v>
      </c>
      <c r="G57" s="3">
        <v>17.999914402914101</v>
      </c>
      <c r="H57" s="3">
        <v>12.885322582042701</v>
      </c>
      <c r="I57" s="3">
        <v>21.192970596821802</v>
      </c>
      <c r="J57" s="3">
        <v>17.5514468335417</v>
      </c>
      <c r="K57" s="3">
        <v>14.1703250775406</v>
      </c>
      <c r="L57" s="3">
        <v>15.708900722768901</v>
      </c>
      <c r="M57" s="3">
        <v>15.2068225607652</v>
      </c>
      <c r="N57" s="3">
        <v>11.455461812967499</v>
      </c>
    </row>
    <row r="58" spans="1:14" x14ac:dyDescent="0.35">
      <c r="A58" s="2">
        <v>43445</v>
      </c>
      <c r="B58" s="3">
        <v>22.591087844193702</v>
      </c>
      <c r="C58" s="3">
        <v>14.569761411342199</v>
      </c>
      <c r="D58" s="3">
        <v>13.549670844126</v>
      </c>
      <c r="E58" s="3">
        <v>12.4158188470605</v>
      </c>
      <c r="F58" s="3">
        <v>12.1755550802937</v>
      </c>
      <c r="G58" s="3">
        <v>17.022927226066699</v>
      </c>
      <c r="H58" s="3">
        <v>12.115068665535899</v>
      </c>
      <c r="I58" s="3">
        <v>19.946237399313901</v>
      </c>
      <c r="J58" s="3">
        <v>16.4556637048479</v>
      </c>
      <c r="K58" s="3">
        <v>13.2370960996699</v>
      </c>
      <c r="L58" s="3">
        <v>14.784457791052301</v>
      </c>
      <c r="M58" s="3">
        <v>14.314601465770201</v>
      </c>
      <c r="N58" s="3">
        <v>10.7283946613168</v>
      </c>
    </row>
    <row r="59" spans="1:14" x14ac:dyDescent="0.35">
      <c r="A59" s="2">
        <v>43476</v>
      </c>
      <c r="B59" s="3">
        <v>23.2702327107766</v>
      </c>
      <c r="C59" s="3">
        <v>14.9955251256875</v>
      </c>
      <c r="D59" s="3">
        <v>13.730512975445199</v>
      </c>
      <c r="E59" s="3">
        <v>12.428601960199099</v>
      </c>
      <c r="F59" s="3">
        <v>11.791634012400801</v>
      </c>
      <c r="G59" s="3">
        <v>16.970166277381999</v>
      </c>
      <c r="H59" s="3">
        <v>12.303393323161901</v>
      </c>
      <c r="I59" s="3">
        <v>19.547982918936601</v>
      </c>
      <c r="J59" s="3">
        <v>16.0581802784709</v>
      </c>
      <c r="K59" s="3">
        <v>13.1270548197616</v>
      </c>
      <c r="L59" s="3">
        <v>14.670371538714001</v>
      </c>
      <c r="M59" s="3">
        <v>14.482977662131301</v>
      </c>
      <c r="N59" s="3">
        <v>10.924546920709499</v>
      </c>
    </row>
    <row r="60" spans="1:14" x14ac:dyDescent="0.35">
      <c r="A60" s="2">
        <v>43507</v>
      </c>
      <c r="B60" s="3">
        <v>23.840287651887699</v>
      </c>
      <c r="C60" s="3">
        <v>15.6424433502083</v>
      </c>
      <c r="D60" s="3">
        <v>14.5642052870875</v>
      </c>
      <c r="E60" s="3">
        <v>12.7450540775733</v>
      </c>
      <c r="F60" s="3">
        <v>12.054706773505</v>
      </c>
      <c r="G60" s="3">
        <v>17.563329796259101</v>
      </c>
      <c r="H60" s="3">
        <v>12.669311504626799</v>
      </c>
      <c r="I60" s="3">
        <v>20.3380034634141</v>
      </c>
      <c r="J60" s="3">
        <v>16.673631515935099</v>
      </c>
      <c r="K60" s="3">
        <v>13.828205470415201</v>
      </c>
      <c r="L60" s="3">
        <v>15.541337395272899</v>
      </c>
      <c r="M60" s="3">
        <v>16.924548950881402</v>
      </c>
      <c r="N60" s="3">
        <v>10.896959032323799</v>
      </c>
    </row>
    <row r="61" spans="1:14" x14ac:dyDescent="0.35">
      <c r="A61" s="2">
        <v>43535</v>
      </c>
      <c r="B61" s="3">
        <v>24.131526964647701</v>
      </c>
      <c r="C61" s="3">
        <v>15.874966566369499</v>
      </c>
      <c r="D61" s="3">
        <v>14.730469755919501</v>
      </c>
      <c r="E61" s="3">
        <v>13.206408387952401</v>
      </c>
      <c r="F61" s="3">
        <v>12.6577263890739</v>
      </c>
      <c r="G61" s="3">
        <v>18.2801141625831</v>
      </c>
      <c r="H61" s="3">
        <v>12.9142227518401</v>
      </c>
      <c r="I61" s="3">
        <v>20.910057006127602</v>
      </c>
      <c r="J61" s="3">
        <v>17.087750452164201</v>
      </c>
      <c r="K61" s="3">
        <v>14.5448016591283</v>
      </c>
      <c r="L61" s="3">
        <v>16.111737357736601</v>
      </c>
      <c r="M61" s="3">
        <v>18.040518627933</v>
      </c>
      <c r="N61" s="3">
        <v>11.2747853136852</v>
      </c>
    </row>
    <row r="62" spans="1:14" x14ac:dyDescent="0.35">
      <c r="A62" s="2">
        <v>43566</v>
      </c>
      <c r="B62" s="3">
        <v>24.0631204979166</v>
      </c>
      <c r="C62" s="3">
        <v>15.828333712240999</v>
      </c>
      <c r="D62" s="3">
        <v>14.7543549919735</v>
      </c>
      <c r="E62" s="3">
        <v>13.267070821424999</v>
      </c>
      <c r="F62" s="3">
        <v>12.728154872546201</v>
      </c>
      <c r="G62" s="3">
        <v>18.2988873417235</v>
      </c>
      <c r="H62" s="3">
        <v>13.011942061055899</v>
      </c>
      <c r="I62" s="3">
        <v>21.208936088242499</v>
      </c>
      <c r="J62" s="3">
        <v>17.227672158569099</v>
      </c>
      <c r="K62" s="3">
        <v>14.6201328160308</v>
      </c>
      <c r="L62" s="3">
        <v>16.230803097253801</v>
      </c>
      <c r="M62" s="3">
        <v>17.834537893970602</v>
      </c>
      <c r="N62" s="3">
        <v>11.3344615174932</v>
      </c>
    </row>
    <row r="63" spans="1:14" x14ac:dyDescent="0.35">
      <c r="A63" s="2">
        <v>43595</v>
      </c>
      <c r="B63" s="3">
        <v>24.242953851455699</v>
      </c>
      <c r="C63" s="3">
        <v>15.8579948762101</v>
      </c>
      <c r="D63" s="3">
        <v>14.510113844369</v>
      </c>
      <c r="E63" s="3">
        <v>13.277154526636799</v>
      </c>
      <c r="F63" s="3">
        <v>12.6222250151243</v>
      </c>
      <c r="G63" s="3">
        <v>18.096693669385999</v>
      </c>
      <c r="H63" s="3">
        <v>12.8687263753885</v>
      </c>
      <c r="I63" s="3">
        <v>21.283619471061499</v>
      </c>
      <c r="J63" s="3">
        <v>17.201681632198799</v>
      </c>
      <c r="K63" s="3">
        <v>14.4692526783722</v>
      </c>
      <c r="L63" s="3">
        <v>16.178946511848601</v>
      </c>
      <c r="M63" s="3">
        <v>17.5561521936487</v>
      </c>
      <c r="N63" s="3">
        <v>11.1527200179335</v>
      </c>
    </row>
    <row r="64" spans="1:14" x14ac:dyDescent="0.35">
      <c r="A64" s="2">
        <v>43627</v>
      </c>
      <c r="B64" s="3">
        <v>24.222283608965999</v>
      </c>
      <c r="C64" s="3">
        <v>16.1061937728592</v>
      </c>
      <c r="D64" s="3">
        <v>14.433998929859801</v>
      </c>
      <c r="E64" s="3">
        <v>13.23640124351</v>
      </c>
      <c r="F64" s="3">
        <v>12.8288345007114</v>
      </c>
      <c r="G64" s="3">
        <v>18.295489719190499</v>
      </c>
      <c r="H64" s="3">
        <v>13.0018402050607</v>
      </c>
      <c r="I64" s="3">
        <v>21.272768332310601</v>
      </c>
      <c r="J64" s="3">
        <v>17.2169221662895</v>
      </c>
      <c r="K64" s="3">
        <v>14.531309282609699</v>
      </c>
      <c r="L64" s="3">
        <v>16.289395004902499</v>
      </c>
      <c r="M64" s="3">
        <v>17.172357050380601</v>
      </c>
      <c r="N64" s="3">
        <v>10.984220108895601</v>
      </c>
    </row>
    <row r="65" spans="1:14" x14ac:dyDescent="0.35">
      <c r="A65" s="2">
        <v>43657</v>
      </c>
      <c r="B65" s="3">
        <v>25.005768190013399</v>
      </c>
      <c r="C65" s="3">
        <v>16.269105909689898</v>
      </c>
      <c r="D65" s="3">
        <v>14.503509889299</v>
      </c>
      <c r="E65" s="3">
        <v>13.507235528023999</v>
      </c>
      <c r="F65" s="3">
        <v>12.9937824423541</v>
      </c>
      <c r="G65" s="3">
        <v>18.304302754126201</v>
      </c>
      <c r="H65" s="3">
        <v>13.1055730336784</v>
      </c>
      <c r="I65" s="3">
        <v>21.9925756536615</v>
      </c>
      <c r="J65" s="3">
        <v>17.649570855248299</v>
      </c>
      <c r="K65" s="3">
        <v>14.741440195185</v>
      </c>
      <c r="L65" s="3">
        <v>16.410911957767102</v>
      </c>
      <c r="M65" s="3">
        <v>17.040219592899501</v>
      </c>
      <c r="N65" s="3">
        <v>11.354003200851499</v>
      </c>
    </row>
    <row r="66" spans="1:14" x14ac:dyDescent="0.35">
      <c r="A66" s="2">
        <v>43686</v>
      </c>
      <c r="B66" s="3">
        <v>25.442255133865402</v>
      </c>
      <c r="C66" s="3">
        <v>16.263679974199299</v>
      </c>
      <c r="D66" s="3">
        <v>14.3899521995027</v>
      </c>
      <c r="E66" s="3">
        <v>13.3144695032251</v>
      </c>
      <c r="F66" s="3">
        <v>12.7371439303625</v>
      </c>
      <c r="G66" s="3">
        <v>18.191742701197601</v>
      </c>
      <c r="H66" s="3">
        <v>12.779792158539699</v>
      </c>
      <c r="I66" s="3">
        <v>21.684763677812999</v>
      </c>
      <c r="J66" s="3">
        <v>17.484037458179099</v>
      </c>
      <c r="K66" s="3">
        <v>14.5334875072987</v>
      </c>
      <c r="L66" s="3">
        <v>16.199228983281301</v>
      </c>
      <c r="M66" s="3">
        <v>15.968751873692799</v>
      </c>
      <c r="N66" s="3">
        <v>10.820632994551801</v>
      </c>
    </row>
    <row r="67" spans="1:14" x14ac:dyDescent="0.35">
      <c r="A67" s="2">
        <v>43719</v>
      </c>
      <c r="B67" s="3">
        <v>28.445712487874601</v>
      </c>
      <c r="C67" s="3">
        <v>16.613564227755699</v>
      </c>
      <c r="D67" s="3">
        <v>14.5826610520479</v>
      </c>
      <c r="E67" s="3">
        <v>14.003391509222199</v>
      </c>
      <c r="F67" s="3">
        <v>13.3407384211866</v>
      </c>
      <c r="G67" s="3">
        <v>18.500047694566899</v>
      </c>
      <c r="H67" s="3">
        <v>13.0517784669457</v>
      </c>
      <c r="I67" s="3">
        <v>22.2731389079769</v>
      </c>
      <c r="J67" s="3">
        <v>17.8870852617056</v>
      </c>
      <c r="K67" s="3">
        <v>15.0166746648552</v>
      </c>
      <c r="L67" s="3">
        <v>16.997188302679099</v>
      </c>
      <c r="M67" s="3">
        <v>16.2513926399279</v>
      </c>
      <c r="N67" s="3">
        <v>11.2737088570381</v>
      </c>
    </row>
    <row r="68" spans="1:14" x14ac:dyDescent="0.35">
      <c r="A68" s="2">
        <v>43749</v>
      </c>
      <c r="B68" s="3">
        <v>28.712591973249499</v>
      </c>
      <c r="C68" s="3">
        <v>16.817885529516101</v>
      </c>
      <c r="D68" s="3">
        <v>14.561994378523099</v>
      </c>
      <c r="E68" s="3">
        <v>14.2074658759574</v>
      </c>
      <c r="F68" s="3">
        <v>13.5026267430712</v>
      </c>
      <c r="G68" s="3">
        <v>18.423805499766502</v>
      </c>
      <c r="H68" s="3">
        <v>13.1207443706702</v>
      </c>
      <c r="I68" s="3">
        <v>22.359016129461502</v>
      </c>
      <c r="J68" s="3">
        <v>17.946124957514598</v>
      </c>
      <c r="K68" s="3">
        <v>15.232056180331901</v>
      </c>
      <c r="L68" s="3">
        <v>17.209138105193201</v>
      </c>
      <c r="M68" s="3">
        <v>16.448379445513201</v>
      </c>
      <c r="N68" s="3">
        <v>11.4178771454536</v>
      </c>
    </row>
    <row r="69" spans="1:14" x14ac:dyDescent="0.35">
      <c r="A69" s="2">
        <v>43780</v>
      </c>
      <c r="B69" s="3">
        <v>29.2626714460513</v>
      </c>
      <c r="C69" s="3">
        <v>17.5868738522244</v>
      </c>
      <c r="D69" s="3">
        <v>15.0408233666358</v>
      </c>
      <c r="E69" s="3">
        <v>15.1185855759996</v>
      </c>
      <c r="F69" s="3">
        <v>14.445232267343201</v>
      </c>
      <c r="G69" s="3">
        <v>18.855282770609001</v>
      </c>
      <c r="H69" s="3">
        <v>13.3683372851557</v>
      </c>
      <c r="I69" s="3">
        <v>23.425484706787302</v>
      </c>
      <c r="J69" s="3">
        <v>18.669557174190199</v>
      </c>
      <c r="K69" s="3">
        <v>15.9625644818169</v>
      </c>
      <c r="L69" s="3">
        <v>17.8679689386259</v>
      </c>
      <c r="M69" s="3">
        <v>16.991353577232498</v>
      </c>
      <c r="N69" s="3">
        <v>11.964313046867799</v>
      </c>
    </row>
    <row r="70" spans="1:14" x14ac:dyDescent="0.35">
      <c r="A70" s="2">
        <v>43810</v>
      </c>
      <c r="B70" s="3">
        <v>31.378550988075801</v>
      </c>
      <c r="C70" s="3">
        <v>17.6941479577353</v>
      </c>
      <c r="D70" s="3">
        <v>15.078669702455</v>
      </c>
      <c r="E70" s="3">
        <v>15.2248307994576</v>
      </c>
      <c r="F70" s="3">
        <v>15.0425609801813</v>
      </c>
      <c r="G70" s="3">
        <v>19.074720801507901</v>
      </c>
      <c r="H70" s="3">
        <v>13.4590011683763</v>
      </c>
      <c r="I70" s="3">
        <v>24.262873535605401</v>
      </c>
      <c r="J70" s="3">
        <v>19.198454863128202</v>
      </c>
      <c r="K70" s="3">
        <v>16.080133682826101</v>
      </c>
      <c r="L70" s="3">
        <v>18.3064450263523</v>
      </c>
      <c r="M70" s="3">
        <v>15.8850444701058</v>
      </c>
      <c r="N70" s="3">
        <v>11.8678634970201</v>
      </c>
    </row>
    <row r="71" spans="1:14" x14ac:dyDescent="0.35">
      <c r="A71" s="2">
        <v>43840</v>
      </c>
      <c r="B71" s="3">
        <v>32.370285686661397</v>
      </c>
      <c r="C71" s="3">
        <v>18.300328693677798</v>
      </c>
      <c r="D71" s="3">
        <v>15.3662787589315</v>
      </c>
      <c r="E71" s="3">
        <v>15.765729475299301</v>
      </c>
      <c r="F71" s="3">
        <v>15.4591426689193</v>
      </c>
      <c r="G71" s="3">
        <v>19.6126700682027</v>
      </c>
      <c r="H71" s="3">
        <v>14.204105089319899</v>
      </c>
      <c r="I71" s="3">
        <v>26.0678813503417</v>
      </c>
      <c r="J71" s="3">
        <v>20.099902023771499</v>
      </c>
      <c r="K71" s="3">
        <v>16.636785113873401</v>
      </c>
      <c r="L71" s="3">
        <v>18.724452700654801</v>
      </c>
      <c r="M71" s="3">
        <v>16.353553770310501</v>
      </c>
      <c r="N71" s="3">
        <v>12.349510586470499</v>
      </c>
    </row>
    <row r="72" spans="1:14" x14ac:dyDescent="0.35">
      <c r="A72" s="2">
        <v>43872</v>
      </c>
      <c r="B72" s="3">
        <v>33.147875401126598</v>
      </c>
      <c r="C72" s="3">
        <v>18.575611366524001</v>
      </c>
      <c r="D72" s="3">
        <v>15.769524404069401</v>
      </c>
      <c r="E72" s="3">
        <v>16.160931804712199</v>
      </c>
      <c r="F72" s="3">
        <v>15.356914390653101</v>
      </c>
      <c r="G72" s="3">
        <v>20.181332252040701</v>
      </c>
      <c r="H72" s="3">
        <v>14.023052214976</v>
      </c>
      <c r="I72" s="3">
        <v>26.8991956589675</v>
      </c>
      <c r="J72" s="3">
        <v>20.4319526127823</v>
      </c>
      <c r="K72" s="3">
        <v>16.596958305769199</v>
      </c>
      <c r="L72" s="3">
        <v>19.896885799709299</v>
      </c>
      <c r="M72" s="3">
        <v>14.3781738320339</v>
      </c>
      <c r="N72" s="3">
        <v>12.7138930251127</v>
      </c>
    </row>
    <row r="73" spans="1:14" x14ac:dyDescent="0.35">
      <c r="A73" s="2">
        <v>43901</v>
      </c>
      <c r="B73" s="3">
        <v>30.753201507957002</v>
      </c>
      <c r="C73" s="3">
        <v>16.620112453369899</v>
      </c>
      <c r="D73" s="3">
        <v>14.072294704171799</v>
      </c>
      <c r="E73" s="3">
        <v>13.720005144252401</v>
      </c>
      <c r="F73" s="3">
        <v>13.768313273133799</v>
      </c>
      <c r="G73" s="3">
        <v>17.786530586430899</v>
      </c>
      <c r="H73" s="3">
        <v>12.146253044805301</v>
      </c>
      <c r="I73" s="3">
        <v>23.5223291289198</v>
      </c>
      <c r="J73" s="3">
        <v>17.686062455528599</v>
      </c>
      <c r="K73" s="3">
        <v>14.3654198905203</v>
      </c>
      <c r="L73" s="3">
        <v>17.0160415475133</v>
      </c>
      <c r="M73" s="3">
        <v>12.675110538114099</v>
      </c>
      <c r="N73" s="3">
        <v>10.9819137612749</v>
      </c>
    </row>
    <row r="74" spans="1:14" x14ac:dyDescent="0.35">
      <c r="A74" s="2">
        <v>43930</v>
      </c>
      <c r="B74" s="3">
        <v>30.789089398490599</v>
      </c>
      <c r="C74" s="3">
        <v>16.7400853802088</v>
      </c>
      <c r="D74" s="3">
        <v>14.702422411932201</v>
      </c>
      <c r="E74" s="3">
        <v>14.2755371533434</v>
      </c>
      <c r="F74" s="3">
        <v>13.893091028132901</v>
      </c>
      <c r="G74" s="3">
        <v>18.127303300799401</v>
      </c>
      <c r="H74" s="3">
        <v>12.7909100078683</v>
      </c>
      <c r="I74" s="3">
        <v>23.958636862035501</v>
      </c>
      <c r="J74" s="3">
        <v>18.311654499547501</v>
      </c>
      <c r="K74" s="3">
        <v>14.9613602640288</v>
      </c>
      <c r="L74" s="3">
        <v>17.296378021840798</v>
      </c>
      <c r="M74" s="3">
        <v>13.616371147560001</v>
      </c>
      <c r="N74" s="3">
        <v>11.3594125527211</v>
      </c>
    </row>
    <row r="75" spans="1:14" x14ac:dyDescent="0.35">
      <c r="A75" s="2">
        <v>43962</v>
      </c>
      <c r="B75" s="3">
        <v>32.049644500705902</v>
      </c>
      <c r="C75" s="3">
        <v>17.419124314654201</v>
      </c>
      <c r="D75" s="3">
        <v>16.297853064986899</v>
      </c>
      <c r="E75" s="3">
        <v>15.2613336102803</v>
      </c>
      <c r="F75" s="3">
        <v>14.510203004770799</v>
      </c>
      <c r="G75" s="3">
        <v>18.694114558330199</v>
      </c>
      <c r="H75" s="3">
        <v>13.892193254263599</v>
      </c>
      <c r="I75" s="3">
        <v>25.803611220460201</v>
      </c>
      <c r="J75" s="3">
        <v>19.748146899060998</v>
      </c>
      <c r="K75" s="3">
        <v>16.100718605622099</v>
      </c>
      <c r="L75" s="3">
        <v>18.0142139388991</v>
      </c>
      <c r="M75" s="3">
        <v>15.2590377731084</v>
      </c>
      <c r="N75" s="3">
        <v>13.503991716412299</v>
      </c>
    </row>
    <row r="76" spans="1:14" x14ac:dyDescent="0.35">
      <c r="A76" s="2">
        <v>43993</v>
      </c>
      <c r="B76" s="3">
        <v>32.239198207275997</v>
      </c>
      <c r="C76" s="3">
        <v>18.505901845260802</v>
      </c>
      <c r="D76" s="3">
        <v>16.916873555132199</v>
      </c>
      <c r="E76" s="3">
        <v>16.878905938771499</v>
      </c>
      <c r="F76" s="3">
        <v>16.321289877687502</v>
      </c>
      <c r="G76" s="3">
        <v>19.1599178522134</v>
      </c>
      <c r="H76" s="3">
        <v>14.8259335623917</v>
      </c>
      <c r="I76" s="3">
        <v>26.723948538583802</v>
      </c>
      <c r="J76" s="3">
        <v>20.530367377127199</v>
      </c>
      <c r="K76" s="3">
        <v>17.576847725939398</v>
      </c>
      <c r="L76" s="3">
        <v>18.947320174402801</v>
      </c>
      <c r="M76" s="3">
        <v>16.085739620618298</v>
      </c>
      <c r="N76" s="3">
        <v>15.5136867638008</v>
      </c>
    </row>
    <row r="77" spans="1:14" x14ac:dyDescent="0.35">
      <c r="A77" s="2">
        <v>44022</v>
      </c>
      <c r="B77" s="3">
        <v>33.207964346798903</v>
      </c>
      <c r="C77" s="3">
        <v>18.5377572839866</v>
      </c>
      <c r="D77" s="3">
        <v>17.549638862644901</v>
      </c>
      <c r="E77" s="3">
        <v>18.425786850475699</v>
      </c>
      <c r="F77" s="3">
        <v>17.117584969969101</v>
      </c>
      <c r="G77" s="3">
        <v>19.8789830894742</v>
      </c>
      <c r="H77" s="3">
        <v>15.211302695093901</v>
      </c>
      <c r="I77" s="3">
        <v>28.9351543944863</v>
      </c>
      <c r="J77" s="3">
        <v>21.813095183542899</v>
      </c>
      <c r="K77" s="3">
        <v>19.307346748143502</v>
      </c>
      <c r="L77" s="3">
        <v>20.065137442440001</v>
      </c>
      <c r="M77" s="3">
        <v>17.666268304206898</v>
      </c>
      <c r="N77" s="3">
        <v>16.845709727507501</v>
      </c>
    </row>
    <row r="78" spans="1:14" x14ac:dyDescent="0.35">
      <c r="A78" s="2">
        <v>44054</v>
      </c>
      <c r="B78" s="3">
        <v>33.981926807847401</v>
      </c>
      <c r="C78" s="3">
        <v>19.509748123914001</v>
      </c>
      <c r="D78" s="3">
        <v>18.180804880845699</v>
      </c>
      <c r="E78" s="3">
        <v>19.434360793213799</v>
      </c>
      <c r="F78" s="3">
        <v>18.298150769350499</v>
      </c>
      <c r="G78" s="3">
        <v>20.256575282792301</v>
      </c>
      <c r="H78" s="3">
        <v>16.301502824355602</v>
      </c>
      <c r="I78" s="3">
        <v>28.726317811094301</v>
      </c>
      <c r="J78" s="3">
        <v>22.554981401403101</v>
      </c>
      <c r="K78" s="3">
        <v>22.069585458550002</v>
      </c>
      <c r="L78" s="3">
        <v>20.739959238072501</v>
      </c>
      <c r="M78" s="3">
        <v>17.698778125826401</v>
      </c>
      <c r="N78" s="3">
        <v>17.845135480753498</v>
      </c>
    </row>
    <row r="79" spans="1:14" x14ac:dyDescent="0.35">
      <c r="A79" s="2">
        <v>44085</v>
      </c>
      <c r="B79" s="3">
        <v>33.7593155996043</v>
      </c>
      <c r="C79" s="3">
        <v>19.209427890328602</v>
      </c>
      <c r="D79" s="3">
        <v>18.215291526295299</v>
      </c>
      <c r="E79" s="3">
        <v>20.441704710027601</v>
      </c>
      <c r="F79" s="3">
        <v>19.524945383708999</v>
      </c>
      <c r="G79" s="3">
        <v>20.8774630508209</v>
      </c>
      <c r="H79" s="3">
        <v>16.773763409107001</v>
      </c>
      <c r="I79" s="3">
        <v>29.758948895246299</v>
      </c>
      <c r="J79" s="3">
        <v>23.092383935923198</v>
      </c>
      <c r="K79" s="3">
        <v>23.2315444036001</v>
      </c>
      <c r="L79" s="3">
        <v>21.524317413473501</v>
      </c>
      <c r="M79" s="3">
        <v>17.637933303776599</v>
      </c>
      <c r="N79" s="3">
        <v>18.2445832226643</v>
      </c>
    </row>
    <row r="80" spans="1:14" x14ac:dyDescent="0.35">
      <c r="A80" s="2">
        <v>44113</v>
      </c>
      <c r="B80" s="3">
        <v>35.036135797800299</v>
      </c>
      <c r="C80" s="3">
        <v>19.9101742863037</v>
      </c>
      <c r="D80" s="3">
        <v>18.8406299275922</v>
      </c>
      <c r="E80" s="3">
        <v>20.669953424989501</v>
      </c>
      <c r="F80" s="3">
        <v>20.471041683059301</v>
      </c>
      <c r="G80" s="3">
        <v>20.992011783146602</v>
      </c>
      <c r="H80" s="3">
        <v>17.213382064138401</v>
      </c>
      <c r="I80" s="3">
        <v>31.715920391883198</v>
      </c>
      <c r="J80" s="3">
        <v>24.371161205587001</v>
      </c>
      <c r="K80" s="3">
        <v>23.953796273334401</v>
      </c>
      <c r="L80" s="3">
        <v>22.634051680146499</v>
      </c>
      <c r="M80" s="3">
        <v>18.304568641108201</v>
      </c>
      <c r="N80" s="3">
        <v>18.764734268899399</v>
      </c>
    </row>
    <row r="81" spans="1:14" x14ac:dyDescent="0.35">
      <c r="A81" s="2">
        <v>44146</v>
      </c>
      <c r="B81" s="3">
        <v>35.819768709220902</v>
      </c>
      <c r="C81" s="3">
        <v>21.348314550574099</v>
      </c>
      <c r="D81" s="3">
        <v>19.225386711404798</v>
      </c>
      <c r="E81" s="3">
        <v>20.512267380912501</v>
      </c>
      <c r="F81" s="3">
        <v>21.9176193200833</v>
      </c>
      <c r="G81" s="3">
        <v>21.211152185793399</v>
      </c>
      <c r="H81" s="3">
        <v>17.9536322868959</v>
      </c>
      <c r="I81" s="3">
        <v>31.869156598224599</v>
      </c>
      <c r="J81" s="3">
        <v>24.790833121225301</v>
      </c>
      <c r="K81" s="3">
        <v>26.892902976019698</v>
      </c>
      <c r="L81" s="3">
        <v>24.557785948184002</v>
      </c>
      <c r="M81" s="3">
        <v>16.428595906642801</v>
      </c>
      <c r="N81" s="3">
        <v>20.557332427112701</v>
      </c>
    </row>
    <row r="82" spans="1:14" x14ac:dyDescent="0.35">
      <c r="A82" s="2">
        <v>44176</v>
      </c>
      <c r="B82" s="3">
        <v>37.121253672062601</v>
      </c>
      <c r="C82" s="3">
        <v>22.528460991955999</v>
      </c>
      <c r="D82" s="3">
        <v>20.211759591420002</v>
      </c>
      <c r="E82" s="3">
        <v>20.739279283860199</v>
      </c>
      <c r="F82" s="3">
        <v>22.732381393674601</v>
      </c>
      <c r="G82" s="3">
        <v>21.0825476154386</v>
      </c>
      <c r="H82" s="3">
        <v>19.283586082266002</v>
      </c>
      <c r="I82" s="3">
        <v>33.705663456505597</v>
      </c>
      <c r="J82" s="3">
        <v>25.8258469480777</v>
      </c>
      <c r="K82" s="3">
        <v>27.872200941920301</v>
      </c>
      <c r="L82" s="3">
        <v>25.980191260841998</v>
      </c>
      <c r="M82" s="3">
        <v>17.042835975669799</v>
      </c>
      <c r="N82" s="3">
        <v>22.271072725982801</v>
      </c>
    </row>
    <row r="83" spans="1:14" x14ac:dyDescent="0.35">
      <c r="A83" s="2">
        <v>44207</v>
      </c>
      <c r="B83" s="3">
        <v>38.269166121396701</v>
      </c>
      <c r="C83" s="3">
        <v>23.341242684214901</v>
      </c>
      <c r="D83" s="3">
        <v>21.201369143818699</v>
      </c>
      <c r="E83" s="3">
        <v>22.1237587362216</v>
      </c>
      <c r="F83" s="3">
        <v>23.989511754684901</v>
      </c>
      <c r="G83" s="3">
        <v>22.051571823304801</v>
      </c>
      <c r="H83" s="3">
        <v>20.300725197372198</v>
      </c>
      <c r="I83" s="3">
        <v>35.065970305526001</v>
      </c>
      <c r="J83" s="3">
        <v>27.5628806289509</v>
      </c>
      <c r="K83" s="3">
        <v>29.083252302143201</v>
      </c>
      <c r="L83" s="3">
        <v>27.745848142828699</v>
      </c>
      <c r="M83" s="3">
        <v>18.5235757237425</v>
      </c>
      <c r="N83" s="3">
        <v>23.6152581957571</v>
      </c>
    </row>
    <row r="84" spans="1:14" x14ac:dyDescent="0.35">
      <c r="A84" s="2">
        <v>44238</v>
      </c>
      <c r="B84" s="3">
        <v>35.365414714488402</v>
      </c>
      <c r="C84" s="3">
        <v>23.100557532638401</v>
      </c>
      <c r="D84" s="3">
        <v>21.037255121497299</v>
      </c>
      <c r="E84" s="3">
        <v>21.551881343733299</v>
      </c>
      <c r="F84" s="3">
        <v>23.739758776375599</v>
      </c>
      <c r="G84" s="3">
        <v>21.202255745518102</v>
      </c>
      <c r="H84" s="3">
        <v>19.338524515351001</v>
      </c>
      <c r="I84" s="3">
        <v>35.403501190078103</v>
      </c>
      <c r="J84" s="3">
        <v>27.336122129442199</v>
      </c>
      <c r="K84" s="3">
        <v>27.350753410981302</v>
      </c>
      <c r="L84" s="3">
        <v>30.0091917088386</v>
      </c>
      <c r="M84" s="3">
        <v>17.499522347147199</v>
      </c>
      <c r="N84" s="3">
        <v>20.655476703707599</v>
      </c>
    </row>
    <row r="85" spans="1:14" x14ac:dyDescent="0.35">
      <c r="A85" s="2">
        <v>44266</v>
      </c>
      <c r="B85" s="3">
        <v>34.372200535645597</v>
      </c>
      <c r="C85" s="3">
        <v>21.6503772072194</v>
      </c>
      <c r="D85" s="3">
        <v>19.8889177035317</v>
      </c>
      <c r="E85" s="3">
        <v>20.246617223273901</v>
      </c>
      <c r="F85" s="3">
        <v>21.550224043221501</v>
      </c>
      <c r="G85" s="3">
        <v>20.488170065452</v>
      </c>
      <c r="H85" s="3">
        <v>18.679258742600901</v>
      </c>
      <c r="I85" s="3">
        <v>32.805815319753798</v>
      </c>
      <c r="J85" s="3">
        <v>26.252572802641499</v>
      </c>
      <c r="K85" s="3">
        <v>26.8528021384945</v>
      </c>
      <c r="L85" s="3">
        <v>28.817979726756199</v>
      </c>
      <c r="M85" s="3">
        <v>17.903994006807899</v>
      </c>
      <c r="N85" s="3">
        <v>20.149551351665099</v>
      </c>
    </row>
    <row r="86" spans="1:14" x14ac:dyDescent="0.35">
      <c r="A86" s="2">
        <v>44295</v>
      </c>
      <c r="B86" s="3">
        <v>34.475465548886802</v>
      </c>
      <c r="C86" s="3">
        <v>21.312188187047902</v>
      </c>
      <c r="D86" s="3">
        <v>19.528842341223601</v>
      </c>
      <c r="E86" s="3">
        <v>19.9979916286525</v>
      </c>
      <c r="F86" s="3">
        <v>21.210984667137598</v>
      </c>
      <c r="G86" s="3">
        <v>20.629868606695702</v>
      </c>
      <c r="H86" s="3">
        <v>18.117631958510501</v>
      </c>
      <c r="I86" s="3">
        <v>32.885490905610602</v>
      </c>
      <c r="J86" s="3">
        <v>26.112976443045898</v>
      </c>
      <c r="K86" s="3">
        <v>26.110249841675198</v>
      </c>
      <c r="L86" s="3">
        <v>28.563993917726599</v>
      </c>
      <c r="M86" s="3">
        <v>18.349470590264001</v>
      </c>
      <c r="N86" s="3">
        <v>19.5983226751671</v>
      </c>
    </row>
    <row r="87" spans="1:14" x14ac:dyDescent="0.35">
      <c r="A87" s="2">
        <v>44327</v>
      </c>
      <c r="B87" s="3">
        <v>34.918058506712001</v>
      </c>
      <c r="C87" s="3">
        <v>20.929364741298901</v>
      </c>
      <c r="D87" s="3">
        <v>19.081108814594</v>
      </c>
      <c r="E87" s="3">
        <v>19.063389851937799</v>
      </c>
      <c r="F87" s="3">
        <v>20.563975905687698</v>
      </c>
      <c r="G87" s="3">
        <v>20.375835607984001</v>
      </c>
      <c r="H87" s="3">
        <v>17.448822169578101</v>
      </c>
      <c r="I87" s="3">
        <v>31.5792958792983</v>
      </c>
      <c r="J87" s="3">
        <v>25.336566185001299</v>
      </c>
      <c r="K87" s="3">
        <v>25.018047222324501</v>
      </c>
      <c r="L87" s="3">
        <v>27.389376955251201</v>
      </c>
      <c r="M87" s="3">
        <v>17.421857538330901</v>
      </c>
      <c r="N87" s="3">
        <v>18.768233333425002</v>
      </c>
    </row>
    <row r="88" spans="1:14" x14ac:dyDescent="0.35">
      <c r="A88" s="2">
        <v>44358</v>
      </c>
      <c r="B88" s="3">
        <v>35.367087335165699</v>
      </c>
      <c r="C88" s="3">
        <v>20.573340417432298</v>
      </c>
      <c r="D88" s="3">
        <v>18.677681258182101</v>
      </c>
      <c r="E88" s="3">
        <v>18.748333927020202</v>
      </c>
      <c r="F88" s="3">
        <v>20.117824408641798</v>
      </c>
      <c r="G88" s="3">
        <v>20.8677443160311</v>
      </c>
      <c r="H88" s="3">
        <v>16.953976701841899</v>
      </c>
      <c r="I88" s="3">
        <v>31.558010404828</v>
      </c>
      <c r="J88" s="3">
        <v>25.023548408848999</v>
      </c>
      <c r="K88" s="3">
        <v>24.4090888568476</v>
      </c>
      <c r="L88" s="3">
        <v>27.073149438931299</v>
      </c>
      <c r="M88" s="3">
        <v>17.905099909467999</v>
      </c>
      <c r="N88" s="3">
        <v>18.478375208142499</v>
      </c>
    </row>
    <row r="89" spans="1:14" x14ac:dyDescent="0.35">
      <c r="A89" s="2">
        <v>44386</v>
      </c>
      <c r="B89" s="3">
        <v>36.422849785520299</v>
      </c>
      <c r="C89" s="3">
        <v>19.624520693059701</v>
      </c>
      <c r="D89" s="3">
        <v>18.3030045215367</v>
      </c>
      <c r="E89" s="3">
        <v>18.196707489224099</v>
      </c>
      <c r="F89" s="3">
        <v>19.4675773440235</v>
      </c>
      <c r="G89" s="3">
        <v>20.894420910079901</v>
      </c>
      <c r="H89" s="3">
        <v>16.186239215782098</v>
      </c>
      <c r="I89" s="3">
        <v>32.052181663669401</v>
      </c>
      <c r="J89" s="3">
        <v>24.902145229461699</v>
      </c>
      <c r="K89" s="3">
        <v>23.289068904314099</v>
      </c>
      <c r="L89" s="3">
        <v>26.3643705945127</v>
      </c>
      <c r="M89" s="3">
        <v>18.130150880806699</v>
      </c>
      <c r="N89" s="3">
        <v>17.703134076901001</v>
      </c>
    </row>
    <row r="90" spans="1:14" x14ac:dyDescent="0.35">
      <c r="A90" s="2">
        <v>44419</v>
      </c>
      <c r="B90" s="3">
        <v>36.832027502881097</v>
      </c>
      <c r="C90" s="3">
        <v>19.320965779916602</v>
      </c>
      <c r="D90" s="3">
        <v>17.612546806815899</v>
      </c>
      <c r="E90" s="3">
        <v>17.3165862233338</v>
      </c>
      <c r="F90" s="3">
        <v>19.030019108104099</v>
      </c>
      <c r="G90" s="3">
        <v>21.106813380552701</v>
      </c>
      <c r="H90" s="3">
        <v>15.299631964302501</v>
      </c>
      <c r="I90" s="3">
        <v>31.232039995050901</v>
      </c>
      <c r="J90" s="3">
        <v>24.105564441115799</v>
      </c>
      <c r="K90" s="3">
        <v>22.016851396983899</v>
      </c>
      <c r="L90" s="3">
        <v>26.218176304957201</v>
      </c>
      <c r="M90" s="3">
        <v>17.645036283337198</v>
      </c>
      <c r="N90" s="3">
        <v>16.417523725548801</v>
      </c>
    </row>
    <row r="91" spans="1:14" x14ac:dyDescent="0.35">
      <c r="A91" s="2">
        <v>44449</v>
      </c>
      <c r="B91" s="3">
        <v>38.3842548037291</v>
      </c>
      <c r="C91" s="3">
        <v>18.788300771824101</v>
      </c>
      <c r="D91" s="3">
        <v>17.0214922372313</v>
      </c>
      <c r="E91" s="3">
        <v>16.619907170286499</v>
      </c>
      <c r="F91" s="3">
        <v>18.820843990196501</v>
      </c>
      <c r="G91" s="3">
        <v>20.810106493595399</v>
      </c>
      <c r="H91" s="3">
        <v>14.4050657476379</v>
      </c>
      <c r="I91" s="3">
        <v>31.449193341876398</v>
      </c>
      <c r="J91" s="3">
        <v>23.6900634966802</v>
      </c>
      <c r="K91" s="3">
        <v>20.691443725946701</v>
      </c>
      <c r="L91" s="3">
        <v>25.666575671063399</v>
      </c>
      <c r="M91" s="3">
        <v>17.459139952145598</v>
      </c>
      <c r="N91" s="3">
        <v>15.264180025746599</v>
      </c>
    </row>
    <row r="92" spans="1:14" x14ac:dyDescent="0.35">
      <c r="A92" s="2">
        <v>44480</v>
      </c>
      <c r="B92" s="3">
        <v>38.414320543874503</v>
      </c>
      <c r="C92" s="3">
        <v>18.556452631314901</v>
      </c>
      <c r="D92" s="3">
        <v>16.445342804250402</v>
      </c>
      <c r="E92" s="3">
        <v>15.819343934799599</v>
      </c>
      <c r="F92" s="3">
        <v>17.735888998898499</v>
      </c>
      <c r="G92" s="3">
        <v>20.2151664231137</v>
      </c>
      <c r="H92" s="3">
        <v>13.897885416890899</v>
      </c>
      <c r="I92" s="3">
        <v>30.137327157445799</v>
      </c>
      <c r="J92" s="3">
        <v>22.955650389656999</v>
      </c>
      <c r="K92" s="3">
        <v>19.2114175013443</v>
      </c>
      <c r="L92" s="3">
        <v>23.9119517404433</v>
      </c>
      <c r="M92" s="3">
        <v>16.852965340017398</v>
      </c>
      <c r="N92" s="3">
        <v>14.444175530843699</v>
      </c>
    </row>
    <row r="93" spans="1:14" x14ac:dyDescent="0.35">
      <c r="A93" s="2">
        <v>44511</v>
      </c>
      <c r="B93" s="3">
        <v>39.191809237276303</v>
      </c>
      <c r="C93" s="3">
        <v>18.2466947039735</v>
      </c>
      <c r="D93" s="3">
        <v>16.533393286636201</v>
      </c>
      <c r="E93" s="3">
        <v>15.3977272358646</v>
      </c>
      <c r="F93" s="3">
        <v>17.416536526386398</v>
      </c>
      <c r="G93" s="3">
        <v>20.945249862809401</v>
      </c>
      <c r="H93" s="3">
        <v>13.3652069556637</v>
      </c>
      <c r="I93" s="3">
        <v>31.641434581147401</v>
      </c>
      <c r="J93" s="3">
        <v>23.311556793138401</v>
      </c>
      <c r="K93" s="3">
        <v>18.669632413816402</v>
      </c>
      <c r="L93" s="3">
        <v>24.467272914470701</v>
      </c>
      <c r="M93" s="3">
        <v>16.781638157258602</v>
      </c>
      <c r="N93" s="3">
        <v>13.91922246715</v>
      </c>
    </row>
    <row r="94" spans="1:14" x14ac:dyDescent="0.35">
      <c r="A94" s="2">
        <v>44540</v>
      </c>
      <c r="B94" s="3">
        <v>39.306031645682303</v>
      </c>
      <c r="C94" s="3">
        <v>17.8301644683925</v>
      </c>
      <c r="D94" s="3">
        <v>15.546549303892901</v>
      </c>
      <c r="E94" s="3">
        <v>14.3821253049469</v>
      </c>
      <c r="F94" s="3">
        <v>16.408091246132201</v>
      </c>
      <c r="G94" s="3">
        <v>21.098797142336601</v>
      </c>
      <c r="H94" s="3">
        <v>12.518250406532299</v>
      </c>
      <c r="I94" s="3">
        <v>31.891218105609699</v>
      </c>
      <c r="J94" s="3">
        <v>23.180201959787901</v>
      </c>
      <c r="K94" s="3">
        <v>17.508543610242398</v>
      </c>
      <c r="L94" s="3">
        <v>22.6955153680946</v>
      </c>
      <c r="M94" s="3">
        <v>16.575995898296402</v>
      </c>
      <c r="N94" s="3">
        <v>12.361884312128799</v>
      </c>
    </row>
    <row r="95" spans="1:14" x14ac:dyDescent="0.35">
      <c r="A95" s="2">
        <v>44572</v>
      </c>
      <c r="B95" s="3">
        <v>38.5275557468118</v>
      </c>
      <c r="C95" s="3">
        <v>17.637852733163498</v>
      </c>
      <c r="D95" s="3">
        <v>15.4631108271139</v>
      </c>
      <c r="E95" s="3">
        <v>14.113509730134</v>
      </c>
      <c r="F95" s="3">
        <v>16.010230366201402</v>
      </c>
      <c r="G95" s="3">
        <v>21.065287849843902</v>
      </c>
      <c r="H95" s="3">
        <v>12.563572970091601</v>
      </c>
      <c r="I95" s="3">
        <v>30.8708483247425</v>
      </c>
      <c r="J95" s="3">
        <v>22.9245456952582</v>
      </c>
      <c r="K95" s="3">
        <v>17.151084797836599</v>
      </c>
      <c r="L95" s="3">
        <v>21.8745422549555</v>
      </c>
      <c r="M95" s="3">
        <v>16.079437486571202</v>
      </c>
      <c r="N95" s="3">
        <v>12.2069172441674</v>
      </c>
    </row>
    <row r="96" spans="1:14" x14ac:dyDescent="0.35">
      <c r="A96" s="2">
        <v>44603</v>
      </c>
      <c r="B96" s="3">
        <v>36.833960226324002</v>
      </c>
      <c r="C96" s="3">
        <v>16.114745618012901</v>
      </c>
      <c r="D96" s="3">
        <v>15.702805996948101</v>
      </c>
      <c r="E96" s="3">
        <v>13.354391763453901</v>
      </c>
      <c r="F96" s="3">
        <v>15.411752202864299</v>
      </c>
      <c r="G96" s="3">
        <v>18.684306645798902</v>
      </c>
      <c r="H96" s="3">
        <v>12.889710124714799</v>
      </c>
      <c r="I96" s="3">
        <v>26.918513066035199</v>
      </c>
      <c r="J96" s="3">
        <v>21.0826183158321</v>
      </c>
      <c r="K96" s="3">
        <v>16.1183624060622</v>
      </c>
      <c r="L96" s="3">
        <v>20.009613872918901</v>
      </c>
      <c r="M96" s="3">
        <v>12.3356387498622</v>
      </c>
      <c r="N96" s="3">
        <v>11.7749939214889</v>
      </c>
    </row>
    <row r="97" spans="1:14" x14ac:dyDescent="0.35">
      <c r="A97" s="2">
        <v>44631</v>
      </c>
      <c r="B97" s="3">
        <v>35.072985904634997</v>
      </c>
      <c r="C97" s="3">
        <v>15.6568677021589</v>
      </c>
      <c r="D97" s="3">
        <v>15.1225456270506</v>
      </c>
      <c r="E97" s="3">
        <v>12.368141613607399</v>
      </c>
      <c r="F97" s="3">
        <v>14.5151455940302</v>
      </c>
      <c r="G97" s="3">
        <v>18.3477996915388</v>
      </c>
      <c r="H97" s="3">
        <v>12.4077864190642</v>
      </c>
      <c r="I97" s="3">
        <v>26.327299759465198</v>
      </c>
      <c r="J97" s="3">
        <v>20.521474200773302</v>
      </c>
      <c r="K97" s="3">
        <v>15.2607374139873</v>
      </c>
      <c r="L97" s="3">
        <v>18.162327032761802</v>
      </c>
      <c r="M97" s="3">
        <v>11.7190134410172</v>
      </c>
      <c r="N97" s="3">
        <v>10.499769005712601</v>
      </c>
    </row>
    <row r="98" spans="1:14" x14ac:dyDescent="0.35">
      <c r="A98" s="2">
        <v>44662</v>
      </c>
      <c r="B98" s="3">
        <v>34.551111915668798</v>
      </c>
      <c r="C98" s="3">
        <v>15.7076326352541</v>
      </c>
      <c r="D98" s="3">
        <v>14.942568247227401</v>
      </c>
      <c r="E98" s="3">
        <v>12.3700472878685</v>
      </c>
      <c r="F98" s="3">
        <v>14.456268239646599</v>
      </c>
      <c r="G98" s="3">
        <v>18.711264243115998</v>
      </c>
      <c r="H98" s="3">
        <v>12.264769782644301</v>
      </c>
      <c r="I98" s="3">
        <v>26.400019529809601</v>
      </c>
      <c r="J98" s="3">
        <v>20.542455173594298</v>
      </c>
      <c r="K98" s="3">
        <v>15.0992546172268</v>
      </c>
      <c r="L98" s="3">
        <v>18.395321499541701</v>
      </c>
      <c r="M98" s="3">
        <v>12.152926456117299</v>
      </c>
      <c r="N98" s="3">
        <v>10.522821639467701</v>
      </c>
    </row>
    <row r="99" spans="1:14" x14ac:dyDescent="0.35">
      <c r="A99" s="2">
        <v>44692</v>
      </c>
      <c r="B99" s="3">
        <v>34.276066739199699</v>
      </c>
      <c r="C99" s="3">
        <v>15.0978516046875</v>
      </c>
      <c r="D99" s="3">
        <v>14.253543996977299</v>
      </c>
      <c r="E99" s="3">
        <v>12.050525374025</v>
      </c>
      <c r="F99" s="3">
        <v>14.1452240997895</v>
      </c>
      <c r="G99" s="3">
        <v>18.148877955530399</v>
      </c>
      <c r="H99" s="3">
        <v>11.7619494565594</v>
      </c>
      <c r="I99" s="3">
        <v>25.106371780868301</v>
      </c>
      <c r="J99" s="3">
        <v>19.627262389333598</v>
      </c>
      <c r="K99" s="3">
        <v>14.488825679148899</v>
      </c>
      <c r="L99" s="3">
        <v>17.860951313143801</v>
      </c>
      <c r="M99" s="3">
        <v>13.1326528226029</v>
      </c>
      <c r="N99" s="3">
        <v>10.2563673925551</v>
      </c>
    </row>
    <row r="100" spans="1:14" x14ac:dyDescent="0.35">
      <c r="A100" s="2">
        <v>44722</v>
      </c>
      <c r="B100" s="3">
        <v>33.295324649265503</v>
      </c>
      <c r="C100" s="3">
        <v>14.635138294422701</v>
      </c>
      <c r="D100" s="3">
        <v>14.0463034229785</v>
      </c>
      <c r="E100" s="3">
        <v>11.868478810046501</v>
      </c>
      <c r="F100" s="3">
        <v>14.224568852715199</v>
      </c>
      <c r="G100" s="3">
        <v>17.742327155282101</v>
      </c>
      <c r="H100" s="3">
        <v>11.4787511232505</v>
      </c>
      <c r="I100" s="3">
        <v>24.588492273850498</v>
      </c>
      <c r="J100" s="3">
        <v>19.212350126112899</v>
      </c>
      <c r="K100" s="3">
        <v>14.0424657057897</v>
      </c>
      <c r="L100" s="3">
        <v>18.294588948371299</v>
      </c>
      <c r="M100" s="3">
        <v>13.453056602391801</v>
      </c>
      <c r="N100" s="3">
        <v>9.6772776234804496</v>
      </c>
    </row>
    <row r="101" spans="1:14" x14ac:dyDescent="0.35">
      <c r="A101" s="2">
        <v>44753</v>
      </c>
      <c r="B101" s="3">
        <v>32.991773726115703</v>
      </c>
      <c r="C101" s="3">
        <v>13.9968562838986</v>
      </c>
      <c r="D101" s="3">
        <v>13.256474173388799</v>
      </c>
      <c r="E101" s="3">
        <v>11.3417251564392</v>
      </c>
      <c r="F101" s="3">
        <v>13.9318940257478</v>
      </c>
      <c r="G101" s="3">
        <v>17.7259797990964</v>
      </c>
      <c r="H101" s="3">
        <v>10.943126458699901</v>
      </c>
      <c r="I101" s="3">
        <v>24.311018893446398</v>
      </c>
      <c r="J101" s="3">
        <v>18.789925733512899</v>
      </c>
      <c r="K101" s="3">
        <v>13.3517844967486</v>
      </c>
      <c r="L101" s="3">
        <v>18.174725425772099</v>
      </c>
      <c r="M101" s="3">
        <v>13.7578411960893</v>
      </c>
      <c r="N101" s="3">
        <v>9.2641774747207108</v>
      </c>
    </row>
    <row r="102" spans="1:14" x14ac:dyDescent="0.35">
      <c r="A102" s="2">
        <v>44784</v>
      </c>
      <c r="B102" s="3">
        <v>33.455298733390002</v>
      </c>
      <c r="C102" s="3">
        <v>14.6563458012222</v>
      </c>
      <c r="D102" s="3">
        <v>13.2974674045777</v>
      </c>
      <c r="E102" s="3">
        <v>11.290206351321</v>
      </c>
      <c r="F102" s="3">
        <v>13.8745139084395</v>
      </c>
      <c r="G102" s="3">
        <v>18.434725457343799</v>
      </c>
      <c r="H102" s="3">
        <v>10.842824292777101</v>
      </c>
      <c r="I102" s="3">
        <v>26.111922255501401</v>
      </c>
      <c r="J102" s="3">
        <v>19.532992154289499</v>
      </c>
      <c r="K102" s="3">
        <v>13.2760881456446</v>
      </c>
      <c r="L102" s="3">
        <v>19.650135835319698</v>
      </c>
      <c r="M102" s="3">
        <v>14.819029044974201</v>
      </c>
      <c r="N102" s="3">
        <v>8.8924881609970203</v>
      </c>
    </row>
    <row r="103" spans="1:14" x14ac:dyDescent="0.35">
      <c r="A103" s="2">
        <v>44813</v>
      </c>
      <c r="B103" s="3">
        <v>34.322327634276597</v>
      </c>
      <c r="C103" s="3">
        <v>14.1354768250674</v>
      </c>
      <c r="D103" s="3">
        <v>12.9163798040129</v>
      </c>
      <c r="E103" s="3">
        <v>10.8861467137065</v>
      </c>
      <c r="F103" s="3">
        <v>13.764446851638599</v>
      </c>
      <c r="G103" s="3">
        <v>17.984044308428601</v>
      </c>
      <c r="H103" s="3">
        <v>10.2646011355064</v>
      </c>
      <c r="I103" s="3">
        <v>25.0694818397014</v>
      </c>
      <c r="J103" s="3">
        <v>18.9356519714546</v>
      </c>
      <c r="K103" s="3">
        <v>12.5201862487638</v>
      </c>
      <c r="L103" s="3">
        <v>18.732643435736499</v>
      </c>
      <c r="M103" s="3">
        <v>14.753028344195901</v>
      </c>
      <c r="N103" s="3">
        <v>8.4789112696545406</v>
      </c>
    </row>
    <row r="104" spans="1:14" x14ac:dyDescent="0.35">
      <c r="A104" s="2">
        <v>44845</v>
      </c>
      <c r="B104" s="3">
        <v>31.419389603838901</v>
      </c>
      <c r="C104" s="3">
        <v>13.2906286691942</v>
      </c>
      <c r="D104" s="3">
        <v>11.931869561475899</v>
      </c>
      <c r="E104" s="3">
        <v>10.023834567432401</v>
      </c>
      <c r="F104" s="3">
        <v>13.047505884679699</v>
      </c>
      <c r="G104" s="3">
        <v>16.7412266473744</v>
      </c>
      <c r="H104" s="3">
        <v>9.3827332607550105</v>
      </c>
      <c r="I104" s="3">
        <v>22.3183325237266</v>
      </c>
      <c r="J104" s="3">
        <v>17.191795637197401</v>
      </c>
      <c r="K104" s="3">
        <v>11.4027123345581</v>
      </c>
      <c r="L104" s="3">
        <v>16.820075550878499</v>
      </c>
      <c r="M104" s="3">
        <v>14.4156958514378</v>
      </c>
      <c r="N104" s="3">
        <v>7.9287247942918997</v>
      </c>
    </row>
    <row r="105" spans="1:14" x14ac:dyDescent="0.35">
      <c r="A105" s="2">
        <v>44876</v>
      </c>
      <c r="B105" s="3">
        <v>31.294800957603101</v>
      </c>
      <c r="C105" s="3">
        <v>14.1967677109023</v>
      </c>
      <c r="D105" s="3">
        <v>12.704139651641</v>
      </c>
      <c r="E105" s="3">
        <v>11.0079789720346</v>
      </c>
      <c r="F105" s="3">
        <v>13.5397537565322</v>
      </c>
      <c r="G105" s="3">
        <v>19.750684915010101</v>
      </c>
      <c r="H105" s="3">
        <v>9.6873200719888892</v>
      </c>
      <c r="I105" s="3">
        <v>23.936888406096799</v>
      </c>
      <c r="J105" s="3">
        <v>18.4770823687168</v>
      </c>
      <c r="K105" s="3">
        <v>12.231551467336301</v>
      </c>
      <c r="L105" s="3">
        <v>18.4667032164155</v>
      </c>
      <c r="M105" s="3">
        <v>14.2776205837731</v>
      </c>
      <c r="N105" s="3">
        <v>8.4650800712173506</v>
      </c>
    </row>
    <row r="106" spans="1:14" x14ac:dyDescent="0.35">
      <c r="A106" s="2">
        <v>44904</v>
      </c>
      <c r="B106" s="3">
        <v>29.533625619538199</v>
      </c>
      <c r="C106" s="3">
        <v>14.291287379939201</v>
      </c>
      <c r="D106" s="3">
        <v>12.537394119697501</v>
      </c>
      <c r="E106" s="3">
        <v>10.830270371817001</v>
      </c>
      <c r="F106" s="3">
        <v>13.3748551246887</v>
      </c>
      <c r="G106" s="3">
        <v>20.3501562987224</v>
      </c>
      <c r="H106" s="3">
        <v>9.8868490280746997</v>
      </c>
      <c r="I106" s="3">
        <v>23.161152757011401</v>
      </c>
      <c r="J106" s="3">
        <v>18.014514400243801</v>
      </c>
      <c r="K106" s="3">
        <v>12.0529206772783</v>
      </c>
      <c r="L106" s="3">
        <v>18.6015610131616</v>
      </c>
      <c r="M106" s="3">
        <v>15.72715305939</v>
      </c>
      <c r="N106" s="3">
        <v>7.7161479398413499</v>
      </c>
    </row>
    <row r="107" spans="1:14" x14ac:dyDescent="0.35">
      <c r="A107" s="2">
        <v>44937</v>
      </c>
      <c r="B107" s="3">
        <v>29.430977385565001</v>
      </c>
      <c r="C107" s="3">
        <v>14.204294315963701</v>
      </c>
      <c r="D107" s="3">
        <v>12.389836385694901</v>
      </c>
      <c r="E107" s="3">
        <v>11.283543700226099</v>
      </c>
      <c r="F107" s="3">
        <v>12.8774995289419</v>
      </c>
      <c r="G107" s="3">
        <v>21.145482930809401</v>
      </c>
      <c r="H107" s="3">
        <v>9.98337146263788</v>
      </c>
      <c r="I107" s="3">
        <v>23.628359117869099</v>
      </c>
      <c r="J107" s="3">
        <v>18.030019831662301</v>
      </c>
      <c r="K107" s="3">
        <v>12.3708240964532</v>
      </c>
      <c r="L107" s="3">
        <v>19.305799494051701</v>
      </c>
      <c r="M107" s="3">
        <v>16.618998707701198</v>
      </c>
      <c r="N107" s="3">
        <v>7.9348522047297196</v>
      </c>
    </row>
    <row r="108" spans="1:14" x14ac:dyDescent="0.35">
      <c r="A108" s="2">
        <v>44967</v>
      </c>
      <c r="B108" s="3">
        <v>30.110523204903402</v>
      </c>
      <c r="C108" s="3">
        <v>14.660398601413499</v>
      </c>
      <c r="D108" s="3">
        <v>12.847337426531601</v>
      </c>
      <c r="E108" s="3">
        <v>11.5527919164621</v>
      </c>
      <c r="F108" s="3">
        <v>13.5554161059805</v>
      </c>
      <c r="G108" s="3">
        <v>21.1586703077434</v>
      </c>
      <c r="H108" s="3">
        <v>10.1168719940604</v>
      </c>
      <c r="I108" s="3">
        <v>25.638827014183001</v>
      </c>
      <c r="J108" s="3">
        <v>18.604452324619199</v>
      </c>
      <c r="K108" s="3">
        <v>12.610865541903699</v>
      </c>
      <c r="L108" s="3">
        <v>20.707762600374402</v>
      </c>
      <c r="M108" s="3">
        <v>25.904075398052299</v>
      </c>
      <c r="N108" s="3">
        <v>8.2605335123049404</v>
      </c>
    </row>
    <row r="109" spans="1:14" x14ac:dyDescent="0.35">
      <c r="A109" s="2">
        <v>44995</v>
      </c>
      <c r="B109" s="3">
        <v>29.281977351298899</v>
      </c>
      <c r="C109" s="3">
        <v>14.2048637400215</v>
      </c>
      <c r="D109" s="3">
        <v>12.548846537565799</v>
      </c>
      <c r="E109" s="3">
        <v>11.3525866726257</v>
      </c>
      <c r="F109" s="3">
        <v>13.680716873481201</v>
      </c>
      <c r="G109" s="3">
        <v>20.5237710261808</v>
      </c>
      <c r="H109" s="3">
        <v>10.2321546277501</v>
      </c>
      <c r="I109" s="3">
        <v>25.1199688549742</v>
      </c>
      <c r="J109" s="3">
        <v>17.972895625607901</v>
      </c>
      <c r="K109" s="3">
        <v>12.9104189633583</v>
      </c>
      <c r="L109" s="3">
        <v>20.492173787793998</v>
      </c>
      <c r="M109" s="3">
        <v>25.221585981352298</v>
      </c>
      <c r="N109" s="3">
        <v>8.2920659420718703</v>
      </c>
    </row>
    <row r="110" spans="1:14" x14ac:dyDescent="0.35">
      <c r="A110" s="2">
        <v>45027</v>
      </c>
      <c r="B110" s="3">
        <v>28.7393326297613</v>
      </c>
      <c r="C110" s="3">
        <v>14.320335345215399</v>
      </c>
      <c r="D110" s="3">
        <v>12.702304291470201</v>
      </c>
      <c r="E110" s="3">
        <v>11.389760341952501</v>
      </c>
      <c r="F110" s="3">
        <v>13.6354495721319</v>
      </c>
      <c r="G110" s="3">
        <v>20.3925097652976</v>
      </c>
      <c r="H110" s="3">
        <v>10.349509430051899</v>
      </c>
      <c r="I110" s="3">
        <v>25.589396854972001</v>
      </c>
      <c r="J110" s="3">
        <v>18.269041124343499</v>
      </c>
      <c r="K110" s="3">
        <v>13.069496736973001</v>
      </c>
      <c r="L110" s="3">
        <v>20.190883404924101</v>
      </c>
      <c r="M110" s="3">
        <v>23.979507122460301</v>
      </c>
      <c r="N110" s="3">
        <v>8.3610144567648295</v>
      </c>
    </row>
    <row r="111" spans="1:14" x14ac:dyDescent="0.35">
      <c r="A111" s="2">
        <v>45057</v>
      </c>
      <c r="B111" s="3">
        <v>28.233435988415302</v>
      </c>
      <c r="C111" s="3">
        <v>14.364726939001301</v>
      </c>
      <c r="D111" s="3">
        <v>12.8266696231676</v>
      </c>
      <c r="E111" s="3">
        <v>11.331337477219201</v>
      </c>
      <c r="F111" s="3">
        <v>13.8294651158514</v>
      </c>
      <c r="G111" s="3">
        <v>20.2033334670339</v>
      </c>
      <c r="H111" s="3">
        <v>10.3455462123123</v>
      </c>
      <c r="I111" s="3">
        <v>25.773142653325799</v>
      </c>
      <c r="J111" s="3">
        <v>18.323749752876399</v>
      </c>
      <c r="K111" s="3">
        <v>13.133181266890899</v>
      </c>
      <c r="L111" s="3">
        <v>19.640756616872402</v>
      </c>
      <c r="M111" s="3">
        <v>22.809705399465901</v>
      </c>
      <c r="N111" s="3">
        <v>8.2764621651199697</v>
      </c>
    </row>
    <row r="112" spans="1:14" x14ac:dyDescent="0.35">
      <c r="A112" s="2">
        <v>45086</v>
      </c>
      <c r="B112" s="3">
        <v>26.476695542162599</v>
      </c>
      <c r="C112" s="3">
        <v>14.382888054159199</v>
      </c>
      <c r="D112" s="3">
        <v>12.876394451056001</v>
      </c>
      <c r="E112" s="3">
        <v>11.232163882908299</v>
      </c>
      <c r="F112" s="3">
        <v>14.3039727170093</v>
      </c>
      <c r="G112" s="3">
        <v>19.482153682187299</v>
      </c>
      <c r="H112" s="3">
        <v>10.3122070744627</v>
      </c>
      <c r="I112" s="3">
        <v>26.647369497161801</v>
      </c>
      <c r="J112" s="3">
        <v>18.684339257397099</v>
      </c>
      <c r="K112" s="3">
        <v>13.089870439275799</v>
      </c>
      <c r="L112" s="3">
        <v>19.330597820548501</v>
      </c>
      <c r="M112" s="3">
        <v>21.757885313536601</v>
      </c>
      <c r="N112" s="3">
        <v>8.4437226725269099</v>
      </c>
    </row>
    <row r="113" spans="1:25" x14ac:dyDescent="0.35">
      <c r="A113" s="2">
        <v>45118</v>
      </c>
      <c r="B113" s="3">
        <v>25.799401909814101</v>
      </c>
      <c r="C113" s="3">
        <v>14.533455188680101</v>
      </c>
      <c r="D113" s="3">
        <v>13.020656812473799</v>
      </c>
      <c r="E113" s="3">
        <v>11.1532968548896</v>
      </c>
      <c r="F113" s="3">
        <v>14.423456492150001</v>
      </c>
      <c r="G113" s="3">
        <v>19.049803697643</v>
      </c>
      <c r="H113" s="3">
        <v>10.231584696916499</v>
      </c>
      <c r="I113" s="3">
        <v>27.327221118385999</v>
      </c>
      <c r="J113" s="3">
        <v>19.229959202660901</v>
      </c>
      <c r="K113" s="3">
        <v>13.153978334784201</v>
      </c>
      <c r="L113" s="3">
        <v>19.0021997221519</v>
      </c>
      <c r="M113" s="3">
        <v>20.3232702787286</v>
      </c>
      <c r="N113" s="3">
        <v>8.5661529341386693</v>
      </c>
    </row>
    <row r="114" spans="1:25" x14ac:dyDescent="0.35">
      <c r="A114" s="2">
        <v>45149</v>
      </c>
      <c r="B114" s="3">
        <v>24.874991764904902</v>
      </c>
      <c r="C114" s="3">
        <v>15.010201799914601</v>
      </c>
      <c r="D114" s="3">
        <v>13.4838949897522</v>
      </c>
      <c r="E114" s="3">
        <v>11.196223614725</v>
      </c>
      <c r="F114" s="3">
        <v>14.6602932244956</v>
      </c>
      <c r="G114" s="3">
        <v>18.9493671637251</v>
      </c>
      <c r="H114" s="3">
        <v>10.5401951139032</v>
      </c>
      <c r="I114" s="3">
        <v>26.334652878837201</v>
      </c>
      <c r="J114" s="3">
        <v>19.3824664664103</v>
      </c>
      <c r="K114" s="3">
        <v>13.3328973846059</v>
      </c>
      <c r="L114" s="3">
        <v>18.3333591104983</v>
      </c>
      <c r="M114" s="3">
        <v>18.9411603345931</v>
      </c>
      <c r="N114" s="3">
        <v>8.2448394774171891</v>
      </c>
    </row>
    <row r="115" spans="1:25" x14ac:dyDescent="0.35">
      <c r="A115" s="2">
        <v>45180</v>
      </c>
      <c r="B115" s="3">
        <v>24.119067250312</v>
      </c>
      <c r="C115" s="3">
        <v>15.0363833781349</v>
      </c>
      <c r="D115" s="3">
        <v>13.536503156108999</v>
      </c>
      <c r="E115" s="3">
        <v>11.2328511137835</v>
      </c>
      <c r="F115" s="3">
        <v>14.9221474652885</v>
      </c>
      <c r="G115" s="3">
        <v>18.619259421930899</v>
      </c>
      <c r="H115" s="3">
        <v>10.530960726185199</v>
      </c>
      <c r="I115" s="3">
        <v>26.804468909579601</v>
      </c>
      <c r="J115" s="3">
        <v>19.580896206193302</v>
      </c>
      <c r="K115" s="3">
        <v>13.2429731120189</v>
      </c>
      <c r="L115" s="3">
        <v>17.3978245787433</v>
      </c>
      <c r="M115" s="3">
        <v>17.5503544071554</v>
      </c>
      <c r="N115" s="3">
        <v>8.3712596759651596</v>
      </c>
    </row>
    <row r="116" spans="1:25" x14ac:dyDescent="0.35">
      <c r="A116" s="2">
        <v>45210</v>
      </c>
      <c r="B116" s="3">
        <v>23.5003573867012</v>
      </c>
      <c r="C116" s="3">
        <v>14.8181841687786</v>
      </c>
      <c r="D116" s="3">
        <v>13.354211882473701</v>
      </c>
      <c r="E116" s="3">
        <v>11.0843362801285</v>
      </c>
      <c r="F116" s="3">
        <v>14.7689873529261</v>
      </c>
      <c r="G116" s="3">
        <v>18.498190346416099</v>
      </c>
      <c r="H116" s="3">
        <v>10.658983279405099</v>
      </c>
      <c r="I116" s="3">
        <v>26.707670938183899</v>
      </c>
      <c r="J116" s="3">
        <v>19.441548543614001</v>
      </c>
      <c r="K116" s="3">
        <v>12.983052784266899</v>
      </c>
      <c r="L116" s="3">
        <v>16.6341125345478</v>
      </c>
      <c r="M116" s="3">
        <v>16.4523219313797</v>
      </c>
      <c r="N116" s="3">
        <v>8.2429865171084309</v>
      </c>
    </row>
    <row r="117" spans="1:25" x14ac:dyDescent="0.35">
      <c r="A117" s="2">
        <v>45240</v>
      </c>
      <c r="B117" s="3">
        <v>22.682577030795599</v>
      </c>
      <c r="C117" s="3">
        <v>14.844325676166299</v>
      </c>
      <c r="D117" s="3">
        <v>13.380407412893801</v>
      </c>
      <c r="E117" s="3">
        <v>10.977045870205</v>
      </c>
      <c r="F117" s="3">
        <v>14.9993346125903</v>
      </c>
      <c r="G117" s="3">
        <v>17.620237926825599</v>
      </c>
      <c r="H117" s="3">
        <v>10.3999045735038</v>
      </c>
      <c r="I117" s="3">
        <v>26.999836690998599</v>
      </c>
      <c r="J117" s="3">
        <v>19.758803511704102</v>
      </c>
      <c r="K117" s="3">
        <v>12.884460826898801</v>
      </c>
      <c r="L117" s="3">
        <v>16.127745002670299</v>
      </c>
      <c r="M117" s="3">
        <v>15.5902894726472</v>
      </c>
      <c r="N117" s="3">
        <v>8.1045404184156595</v>
      </c>
    </row>
    <row r="118" spans="1:25" x14ac:dyDescent="0.35">
      <c r="A118" s="2">
        <v>45271</v>
      </c>
      <c r="B118" s="3">
        <v>23.457958861834101</v>
      </c>
      <c r="C118" s="3">
        <v>15.3932230374865</v>
      </c>
      <c r="D118" s="3">
        <v>14.021915958853601</v>
      </c>
      <c r="E118" s="3">
        <v>11.9396654997217</v>
      </c>
      <c r="F118" s="3">
        <v>15.1332591105222</v>
      </c>
      <c r="G118" s="3">
        <v>18.262899126931899</v>
      </c>
      <c r="H118" s="3">
        <v>10.910589528992899</v>
      </c>
      <c r="I118" s="3">
        <v>28.161566429255501</v>
      </c>
      <c r="J118" s="3">
        <v>20.797579348046</v>
      </c>
      <c r="K118" s="3">
        <v>13.916117888176201</v>
      </c>
      <c r="L118" s="3">
        <v>16.679391387364099</v>
      </c>
      <c r="M118" s="3">
        <v>17.895919179653902</v>
      </c>
      <c r="N118" s="3">
        <v>8.8060075518134795</v>
      </c>
    </row>
    <row r="119" spans="1:25" x14ac:dyDescent="0.35">
      <c r="A119" s="2">
        <v>45302</v>
      </c>
      <c r="B119" s="3">
        <v>24.002167398294599</v>
      </c>
      <c r="C119" s="3">
        <v>16.248264319007099</v>
      </c>
      <c r="D119" s="3">
        <v>14.5526046461283</v>
      </c>
      <c r="E119" s="3">
        <v>11.788322613386301</v>
      </c>
      <c r="F119" s="3">
        <v>16.115440756206699</v>
      </c>
      <c r="G119" s="3">
        <v>18.285450095014198</v>
      </c>
      <c r="H119" s="3">
        <v>11.160059270613999</v>
      </c>
      <c r="I119" s="3">
        <v>29.057616520584901</v>
      </c>
      <c r="J119" s="3">
        <v>21.7749254795506</v>
      </c>
      <c r="K119" s="3">
        <v>13.9102211422056</v>
      </c>
      <c r="L119" s="3">
        <v>16.3184271611693</v>
      </c>
      <c r="M119" s="3">
        <v>17.229145052156699</v>
      </c>
      <c r="N119" s="3">
        <v>8.8842702745191495</v>
      </c>
    </row>
    <row r="120" spans="1:25" x14ac:dyDescent="0.35">
      <c r="A120" s="2">
        <v>45331</v>
      </c>
      <c r="B120" s="3">
        <v>23.29424360869</v>
      </c>
      <c r="C120" s="3">
        <v>16.506774236971602</v>
      </c>
      <c r="D120" s="3">
        <v>14.630014963771201</v>
      </c>
      <c r="E120" s="3">
        <v>12.026555019017801</v>
      </c>
      <c r="F120" s="3">
        <v>16.4728499440848</v>
      </c>
      <c r="G120" s="3">
        <v>18.690606863587401</v>
      </c>
      <c r="H120" s="3">
        <v>11.181431173401</v>
      </c>
      <c r="I120" s="3">
        <v>30.4397476818719</v>
      </c>
      <c r="J120" s="3">
        <v>22.6193465106014</v>
      </c>
      <c r="K120" s="3">
        <v>14.6912316938565</v>
      </c>
      <c r="L120" s="3">
        <v>17.970995576360799</v>
      </c>
      <c r="M120" s="3">
        <v>15.226547781000701</v>
      </c>
      <c r="N120" s="3">
        <v>9.0843759536885997</v>
      </c>
    </row>
    <row r="121" spans="1:25" x14ac:dyDescent="0.35">
      <c r="A121" s="2">
        <v>45362</v>
      </c>
      <c r="B121" s="3">
        <v>23.7831691565117</v>
      </c>
      <c r="C121" s="3">
        <v>16.617612693337001</v>
      </c>
      <c r="D121" s="3">
        <v>14.912888369180701</v>
      </c>
      <c r="E121" s="3">
        <v>12.5180251583105</v>
      </c>
      <c r="F121" s="3">
        <v>16.975899878581199</v>
      </c>
      <c r="G121" s="3">
        <v>19.2134984263005</v>
      </c>
      <c r="H121" s="3">
        <v>11.456236394332</v>
      </c>
      <c r="I121" s="3">
        <v>30.165210365476302</v>
      </c>
      <c r="J121" s="3">
        <v>22.745401229914201</v>
      </c>
      <c r="K121" s="3">
        <v>15.492878242740099</v>
      </c>
      <c r="L121" s="3">
        <v>18.491624185981699</v>
      </c>
      <c r="M121" s="3">
        <v>15.996072816286301</v>
      </c>
      <c r="N121" s="3">
        <v>9.3794239934112493</v>
      </c>
    </row>
    <row r="122" spans="1:25" x14ac:dyDescent="0.35">
      <c r="A122" s="2">
        <v>45390</v>
      </c>
      <c r="B122" s="3">
        <v>24.044557229448898</v>
      </c>
      <c r="C122" s="3">
        <v>16.663329341503399</v>
      </c>
      <c r="D122" s="3">
        <v>14.9886359881478</v>
      </c>
      <c r="E122" s="3">
        <v>12.5852273078983</v>
      </c>
      <c r="F122" s="3">
        <v>16.925507371433</v>
      </c>
      <c r="G122" s="3">
        <v>19.0377844569805</v>
      </c>
      <c r="H122" s="3">
        <v>11.5469960185284</v>
      </c>
      <c r="I122" s="3">
        <v>29.8434642216226</v>
      </c>
      <c r="J122" s="3">
        <v>22.680473260792201</v>
      </c>
      <c r="K122" s="3">
        <v>15.4881017835175</v>
      </c>
      <c r="L122" s="3">
        <v>18.438150114009002</v>
      </c>
      <c r="M122" s="3">
        <v>16.064143333611401</v>
      </c>
      <c r="N122" s="3">
        <v>9.4682848480989108</v>
      </c>
    </row>
    <row r="124" spans="1:25" x14ac:dyDescent="0.35">
      <c r="A124" s="2" t="s">
        <v>91</v>
      </c>
      <c r="B124" s="3" cm="1">
        <f t="array" ref="B124">MIN(_xlfn._xlws.FILTER(B1:B122, ISNUMBER(B1:B122)))</f>
        <v>17.801663600251398</v>
      </c>
      <c r="C124" s="3" cm="1">
        <f t="array" ref="C124">MIN(_xlfn._xlws.FILTER(C1:C122, ISNUMBER(C1:C122)))</f>
        <v>13.2906286691942</v>
      </c>
      <c r="D124" s="3" cm="1">
        <f t="array" ref="D124">MIN(_xlfn._xlws.FILTER(D1:D122, ISNUMBER(D1:D122)))</f>
        <v>11.931869561475899</v>
      </c>
      <c r="E124" s="3" cm="1">
        <f t="array" ref="E124">MIN(_xlfn._xlws.FILTER(E1:E122, ISNUMBER(E1:E122)))</f>
        <v>10.023834567432401</v>
      </c>
      <c r="F124" s="3" cm="1">
        <f t="array" ref="F124">MIN(_xlfn._xlws.FILTER(F1:F122, ISNUMBER(F1:F122)))</f>
        <v>11.791634012400801</v>
      </c>
      <c r="G124" s="3" cm="1">
        <f t="array" ref="G124">MIN(_xlfn._xlws.FILTER(G1:G122, ISNUMBER(G1:G122)))</f>
        <v>15.755327166834901</v>
      </c>
      <c r="H124" s="3" cm="1">
        <f t="array" ref="H124">MIN(_xlfn._xlws.FILTER(H1:H122, ISNUMBER(H1:H122)))</f>
        <v>9.3827332607550105</v>
      </c>
      <c r="I124" s="3" cm="1">
        <f t="array" ref="I124">MIN(_xlfn._xlws.FILTER(I1:I122, ISNUMBER(I1:I122)))</f>
        <v>17.360061995441399</v>
      </c>
      <c r="J124" s="3" cm="1">
        <f t="array" ref="J124">MIN(_xlfn._xlws.FILTER(J1:J122, ISNUMBER(J1:J122)))</f>
        <v>15.976446953628599</v>
      </c>
      <c r="K124" s="3" cm="1">
        <f t="array" ref="K124">MIN(_xlfn._xlws.FILTER(K1:K122, ISNUMBER(K1:K122)))</f>
        <v>11.4027123345581</v>
      </c>
      <c r="L124" s="3" cm="1">
        <f t="array" ref="L124">MIN(_xlfn._xlws.FILTER(L1:L122, ISNUMBER(L1:L122)))</f>
        <v>14.4969750345718</v>
      </c>
      <c r="M124" s="3" cm="1">
        <f t="array" ref="M124">MIN(_xlfn._xlws.FILTER(M1:M122, ISNUMBER(M1:M122)))</f>
        <v>11.7190134410172</v>
      </c>
      <c r="N124" s="3" cm="1">
        <f t="array" ref="N124">MIN(_xlfn._xlws.FILTER(N1:N122, ISNUMBER(N1:N122)))</f>
        <v>7.7161479398413499</v>
      </c>
    </row>
    <row r="125" spans="1:25" x14ac:dyDescent="0.35">
      <c r="A125" s="2" t="s">
        <v>92</v>
      </c>
      <c r="B125" s="3" cm="1">
        <f t="array" ref="B125">MAX(_xlfn._xlws.FILTER(B1:B122, ISNUMBER(B1:B122)))</f>
        <v>39.306031645682303</v>
      </c>
      <c r="C125" s="3" cm="1">
        <f t="array" ref="C125">MAX(_xlfn._xlws.FILTER(C1:C122, ISNUMBER(C1:C122)))</f>
        <v>23.341242684214901</v>
      </c>
      <c r="D125" s="3" cm="1">
        <f t="array" ref="D125">MAX(_xlfn._xlws.FILTER(D1:D122, ISNUMBER(D1:D122)))</f>
        <v>21.201369143818699</v>
      </c>
      <c r="E125" s="3" cm="1">
        <f t="array" ref="E125">MAX(_xlfn._xlws.FILTER(E1:E122, ISNUMBER(E1:E122)))</f>
        <v>22.1237587362216</v>
      </c>
      <c r="F125" s="3" cm="1">
        <f t="array" ref="F125">MAX(_xlfn._xlws.FILTER(F1:F122, ISNUMBER(F1:F122)))</f>
        <v>23.989511754684901</v>
      </c>
      <c r="G125" s="3" cm="1">
        <f t="array" ref="G125">MAX(_xlfn._xlws.FILTER(G1:G122, ISNUMBER(G1:G122)))</f>
        <v>22.051571823304801</v>
      </c>
      <c r="H125" s="3" cm="1">
        <f t="array" ref="H125">MAX(_xlfn._xlws.FILTER(H1:H122, ISNUMBER(H1:H122)))</f>
        <v>20.300725197372198</v>
      </c>
      <c r="I125" s="3" cm="1">
        <f t="array" ref="I125">MAX(_xlfn._xlws.FILTER(I1:I122, ISNUMBER(I1:I122)))</f>
        <v>35.403501190078103</v>
      </c>
      <c r="J125" s="3" cm="1">
        <f t="array" ref="J125">MAX(_xlfn._xlws.FILTER(J1:J122, ISNUMBER(J1:J122)))</f>
        <v>27.5628806289509</v>
      </c>
      <c r="K125" s="3" cm="1">
        <f t="array" ref="K125">MAX(_xlfn._xlws.FILTER(K1:K122, ISNUMBER(K1:K122)))</f>
        <v>29.083252302143201</v>
      </c>
      <c r="L125" s="3" cm="1">
        <f t="array" ref="L125">MAX(_xlfn._xlws.FILTER(L1:L122, ISNUMBER(L1:L122)))</f>
        <v>30.0091917088386</v>
      </c>
      <c r="M125" s="3" cm="1">
        <f t="array" ref="M125">MAX(_xlfn._xlws.FILTER(M1:M122, ISNUMBER(M1:M122)))</f>
        <v>25.904075398052299</v>
      </c>
      <c r="N125" s="3" cm="1">
        <f t="array" ref="N125">MAX(_xlfn._xlws.FILTER(N1:N122, ISNUMBER(N1:N122)))</f>
        <v>83.693688577698495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0.51600000000000001</v>
      </c>
      <c r="C127" s="9" cm="1">
        <f t="array" ref="C127">_xlfn.PERCENTRANK.EXC(_xlfn._xlws.FILTER(C1:C122, ISNUMBER(C1:C122)),C121)</f>
        <v>0.64700000000000002</v>
      </c>
      <c r="D127" s="9" cm="1">
        <f t="array" ref="D127">_xlfn.PERCENTRANK.EXC(_xlfn._xlws.FILTER(D1:D122, ISNUMBER(D1:D122)),D121)</f>
        <v>0.32700000000000001</v>
      </c>
      <c r="E127" s="9" cm="1">
        <f t="array" ref="E127">_xlfn.PERCENTRANK.EXC(_xlfn._xlws.FILTER(E1:E122, ISNUMBER(E1:E122)),E121)</f>
        <v>0.22900000000000001</v>
      </c>
      <c r="F127" s="9" cm="1">
        <f t="array" ref="F127">_xlfn.PERCENTRANK.EXC(_xlfn._xlws.FILTER(F1:F122, ISNUMBER(F1:F122)),F121)</f>
        <v>0.83599999999999997</v>
      </c>
      <c r="G127" s="9" cm="1">
        <f t="array" ref="G127">_xlfn.PERCENTRANK.EXC(_xlfn._xlws.FILTER(G1:G122, ISNUMBER(G1:G122)),G121)</f>
        <v>0.622</v>
      </c>
      <c r="H127" s="9" cm="1">
        <f t="array" ref="H127">_xlfn.PERCENTRANK.EXC(_xlfn._xlws.FILTER(H1:H122, ISNUMBER(H1:H122)),H121)</f>
        <v>0.17199999999999999</v>
      </c>
      <c r="I127" s="9" cm="1">
        <f t="array" ref="I127">_xlfn.PERCENTRANK.EXC(_xlfn._xlws.FILTER(I1:I122, ISNUMBER(I1:I122)),I121)</f>
        <v>0.86</v>
      </c>
      <c r="J127" s="9" cm="1">
        <f t="array" ref="J127">_xlfn.PERCENTRANK.EXC(_xlfn._xlws.FILTER(J1:J122, ISNUMBER(J1:J122)),J121)</f>
        <v>0.85199999999999998</v>
      </c>
      <c r="K127" s="9" cm="1">
        <f t="array" ref="K127">_xlfn.PERCENTRANK.EXC(_xlfn._xlws.FILTER(K1:K122, ISNUMBER(K1:K122)),K121)</f>
        <v>0.54900000000000004</v>
      </c>
      <c r="L127" s="9" cm="1">
        <f t="array" ref="L127">_xlfn.PERCENTRANK.EXC(_xlfn._xlws.FILTER(L1:L122, ISNUMBER(L1:L122)),L121)</f>
        <v>0.66300000000000003</v>
      </c>
      <c r="M127" s="9" cm="1">
        <f t="array" ref="M127">_xlfn.PERCENTRANK.EXC(_xlfn._xlws.FILTER(M1:M122, ISNUMBER(M1:M122)),M121)</f>
        <v>0.31900000000000001</v>
      </c>
      <c r="N127" s="9" cm="1">
        <f t="array" ref="N127">_xlfn.PERCENTRANK.EXC(_xlfn._xlws.FILTER(N1:N122, ISNUMBER(N1:N122)),N121)</f>
        <v>0.17199999999999999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41740</v>
      </c>
      <c r="B2" s="3" cm="1">
        <f t="array" ref="B2:B122">_xll.FDS(B1,"FMA_PE(NTMA,-10AY,0,AM,""PORTAGG"",""MEANR"")")</f>
        <v>17.139795129169599</v>
      </c>
      <c r="C2" s="3" cm="1">
        <f t="array" ref="C2:C122">_xll.FDS(C1,"FMA_PE(NTMA,-10AY,0,AM,""PORTAGG"",""MEANR"")")</f>
        <v>14.3665960513262</v>
      </c>
      <c r="D2" s="3" cm="1">
        <f t="array" ref="D2:D122">_xll.FDS(D1,"FMA_PE(NTMA,-10AY,0,AM,""PORTAGG"",""MEANR"")")</f>
        <v>14.702302683839299</v>
      </c>
      <c r="E2" s="3" cm="1">
        <f t="array" ref="E2:E122">_xll.FDS(E1,"FMA_PE(NTMA,-10AY,0,AM,""PORTAGG"",""MEANR"")")</f>
        <v>12.7080869894138</v>
      </c>
      <c r="F2" s="3" cm="1">
        <f t="array" ref="F2:F122">_xll.FDS(F1,"FMA_PE(NTMA,-10AY,0,AM,""PORTAGG"",""MEANR"")")</f>
        <v>12.5227386026173</v>
      </c>
      <c r="G2" s="3" cm="1">
        <f t="array" ref="G2:G122">_xll.FDS(G1,"FMA_PE(NTMA,-10AY,0,AM,""PORTAGG"",""MEANR"")")</f>
        <v>15.793394674902</v>
      </c>
      <c r="H2" s="3" cm="1">
        <f t="array" ref="H2:H122">_xll.FDS(H1,"FMA_PE(NTMA,-10AY,0,AM,""PORTAGG"",""MEANR"")")</f>
        <v>13.0762560623144</v>
      </c>
      <c r="I2" s="3" cm="1">
        <f t="array" ref="I2:I122">_xll.FDS(I1,"FMA_PE(NTMA,-10AY,0,AM,""PORTAGG"",""MEANR"")")</f>
        <v>16.390544932364399</v>
      </c>
      <c r="J2" s="3" cm="1">
        <f t="array" ref="J2:J122">_xll.FDS(J1,"FMA_PE(NTMA,-10AY,0,AM,""PORTAGG"",""MEANR"")")</f>
        <v>14.606489911749399</v>
      </c>
      <c r="K2" s="3" cm="1">
        <f t="array" ref="K2:K122">_xll.FDS(K1,"FMA_PE(NTMA,-10AY,0,AM,""PORTAGG"",""MEANR"")")</f>
        <v>13.696116679634001</v>
      </c>
      <c r="L2" s="3" cm="1">
        <f t="array" ref="L2:L122">_xll.FDS(L1,"FMA_PE(NTMA,-10AY,0,AM,""PORTAGG"",""MEANR"")")</f>
        <v>14.008838220186099</v>
      </c>
      <c r="M2" s="3" cm="1">
        <f t="array" ref="M2:M122">_xll.FDS(M1,"FMA_PE(NTMA,-10AY,0,AM,""PORTAGG"",""MEANR"")")</f>
        <v>15.565803816402299</v>
      </c>
      <c r="N2" s="3" cm="1">
        <f t="array" ref="N2:N122">_xll.FDS(N1,"FMA_PE(NTMA,-10AY,0,AM,""PORTAGG"",""MEANR"")")</f>
        <v>13.521791076057999</v>
      </c>
    </row>
    <row r="3" spans="1:14" x14ac:dyDescent="0.35">
      <c r="A3" s="2">
        <v>41768</v>
      </c>
      <c r="B3" s="3">
        <v>17.416391152499799</v>
      </c>
      <c r="C3" s="3">
        <v>14.2700358497457</v>
      </c>
      <c r="D3" s="3">
        <v>14.7275150967361</v>
      </c>
      <c r="E3" s="3">
        <v>12.9818036726908</v>
      </c>
      <c r="F3" s="3">
        <v>12.849457304449899</v>
      </c>
      <c r="G3" s="3">
        <v>16.236566448000701</v>
      </c>
      <c r="H3" s="3">
        <v>13.6092472610369</v>
      </c>
      <c r="I3" s="3">
        <v>16.487651728431999</v>
      </c>
      <c r="J3" s="3">
        <v>14.920144284790799</v>
      </c>
      <c r="K3" s="3">
        <v>14.061197410716501</v>
      </c>
      <c r="L3" s="3">
        <v>14.088259655616699</v>
      </c>
      <c r="M3" s="3">
        <v>15.6068609554671</v>
      </c>
      <c r="N3" s="3">
        <v>13.820767752798799</v>
      </c>
    </row>
    <row r="4" spans="1:14" x14ac:dyDescent="0.35">
      <c r="A4" s="2">
        <v>41801</v>
      </c>
      <c r="B4" s="3">
        <v>17.195077547841599</v>
      </c>
      <c r="C4" s="3">
        <v>14.328701308064099</v>
      </c>
      <c r="D4" s="3">
        <v>14.8339196572435</v>
      </c>
      <c r="E4" s="3">
        <v>13.3291179827119</v>
      </c>
      <c r="F4" s="3">
        <v>13.6312305042908</v>
      </c>
      <c r="G4" s="3">
        <v>16.363341139850299</v>
      </c>
      <c r="H4" s="3">
        <v>13.664898982564299</v>
      </c>
      <c r="I4" s="3">
        <v>17.3765258593101</v>
      </c>
      <c r="J4" s="3">
        <v>15.299200821452599</v>
      </c>
      <c r="K4" s="3">
        <v>14.3453089686976</v>
      </c>
      <c r="L4" s="3">
        <v>14.58460750439</v>
      </c>
      <c r="M4" s="3">
        <v>15.820717606286401</v>
      </c>
      <c r="N4" s="3">
        <v>14.610933816683801</v>
      </c>
    </row>
    <row r="5" spans="1:14" x14ac:dyDescent="0.35">
      <c r="A5" s="2">
        <v>41831</v>
      </c>
      <c r="B5" s="3">
        <v>17.104599473607799</v>
      </c>
      <c r="C5" s="3">
        <v>14.634583411235599</v>
      </c>
      <c r="D5" s="3">
        <v>14.999089709596101</v>
      </c>
      <c r="E5" s="3">
        <v>12.842789239977</v>
      </c>
      <c r="F5" s="3">
        <v>13.626301398241401</v>
      </c>
      <c r="G5" s="3">
        <v>15.8759194942779</v>
      </c>
      <c r="H5" s="3">
        <v>13.4705476197054</v>
      </c>
      <c r="I5" s="3">
        <v>17.611067068309101</v>
      </c>
      <c r="J5" s="3">
        <v>15.3433437721194</v>
      </c>
      <c r="K5" s="3">
        <v>13.588114167799599</v>
      </c>
      <c r="L5" s="3">
        <v>14.0701072000707</v>
      </c>
      <c r="M5" s="3">
        <v>15.2762404082585</v>
      </c>
      <c r="N5" s="3">
        <v>13.8617157517757</v>
      </c>
    </row>
    <row r="6" spans="1:14" x14ac:dyDescent="0.35">
      <c r="A6" s="2">
        <v>41862</v>
      </c>
      <c r="B6" s="3">
        <v>16.834209035957301</v>
      </c>
      <c r="C6" s="3">
        <v>14.4824954408226</v>
      </c>
      <c r="D6" s="3">
        <v>14.9275366338774</v>
      </c>
      <c r="E6" s="3">
        <v>12.2608350206265</v>
      </c>
      <c r="F6" s="3">
        <v>13.436295766999301</v>
      </c>
      <c r="G6" s="3">
        <v>15.6850965645641</v>
      </c>
      <c r="H6" s="3">
        <v>13.288946583881399</v>
      </c>
      <c r="I6" s="3">
        <v>17.232698838315098</v>
      </c>
      <c r="J6" s="3">
        <v>14.911178096053</v>
      </c>
      <c r="K6" s="3">
        <v>13.203470159929701</v>
      </c>
      <c r="L6" s="3">
        <v>13.812391956606501</v>
      </c>
      <c r="M6" s="3">
        <v>15.120042761399599</v>
      </c>
      <c r="N6" s="3">
        <v>13.0501676734161</v>
      </c>
    </row>
    <row r="7" spans="1:14" x14ac:dyDescent="0.35">
      <c r="A7" s="2">
        <v>41893</v>
      </c>
      <c r="B7" s="3">
        <v>17.332820441001399</v>
      </c>
      <c r="C7" s="3">
        <v>14.6519973626464</v>
      </c>
      <c r="D7" s="3">
        <v>15.1253873944008</v>
      </c>
      <c r="E7" s="3">
        <v>12.8097101702167</v>
      </c>
      <c r="F7" s="3">
        <v>13.910954889313899</v>
      </c>
      <c r="G7" s="3">
        <v>16.199620224247301</v>
      </c>
      <c r="H7" s="3">
        <v>13.3706986723975</v>
      </c>
      <c r="I7" s="3">
        <v>17.790403863959099</v>
      </c>
      <c r="J7" s="3">
        <v>15.270087137268799</v>
      </c>
      <c r="K7" s="3">
        <v>13.7605765986515</v>
      </c>
      <c r="L7" s="3">
        <v>14.6303597529757</v>
      </c>
      <c r="M7" s="3">
        <v>14.613659192772401</v>
      </c>
      <c r="N7" s="3">
        <v>14.075993161282501</v>
      </c>
    </row>
    <row r="8" spans="1:14" x14ac:dyDescent="0.35">
      <c r="A8" s="2">
        <v>41922</v>
      </c>
      <c r="B8" s="3">
        <v>17.079922742082999</v>
      </c>
      <c r="C8" s="3">
        <v>13.640520379406899</v>
      </c>
      <c r="D8" s="3">
        <v>13.756697344018299</v>
      </c>
      <c r="E8" s="3">
        <v>11.6096709554332</v>
      </c>
      <c r="F8" s="3">
        <v>13.1596564540028</v>
      </c>
      <c r="G8" s="3">
        <v>15.1180215919904</v>
      </c>
      <c r="H8" s="3">
        <v>12.506996740650401</v>
      </c>
      <c r="I8" s="3">
        <v>16.590143960872499</v>
      </c>
      <c r="J8" s="3">
        <v>14.5264828399597</v>
      </c>
      <c r="K8" s="3">
        <v>12.6193460181865</v>
      </c>
      <c r="L8" s="3">
        <v>13.8188359071062</v>
      </c>
      <c r="M8" s="3">
        <v>13.574358497269699</v>
      </c>
      <c r="N8" s="3">
        <v>12.515040725635499</v>
      </c>
    </row>
    <row r="9" spans="1:14" x14ac:dyDescent="0.35">
      <c r="A9" s="2">
        <v>41954</v>
      </c>
      <c r="B9" s="3">
        <v>18.191747917382902</v>
      </c>
      <c r="C9" s="3">
        <v>14.5153528099667</v>
      </c>
      <c r="D9" s="3">
        <v>14.5445853863277</v>
      </c>
      <c r="E9" s="3">
        <v>12.351012542325901</v>
      </c>
      <c r="F9" s="3">
        <v>14.4133810712487</v>
      </c>
      <c r="G9" s="3">
        <v>16.017169938659499</v>
      </c>
      <c r="H9" s="3">
        <v>13.3917479464262</v>
      </c>
      <c r="I9" s="3">
        <v>17.7946329147507</v>
      </c>
      <c r="J9" s="3">
        <v>15.629654253249001</v>
      </c>
      <c r="K9" s="3">
        <v>13.2773254318945</v>
      </c>
      <c r="L9" s="3">
        <v>14.7337717604417</v>
      </c>
      <c r="M9" s="3">
        <v>15.4067685165563</v>
      </c>
      <c r="N9" s="3">
        <v>12.6794841454221</v>
      </c>
    </row>
    <row r="10" spans="1:14" x14ac:dyDescent="0.35">
      <c r="A10" s="2">
        <v>41984</v>
      </c>
      <c r="B10" s="3">
        <v>17.962098875325001</v>
      </c>
      <c r="C10" s="3">
        <v>13.8229396404654</v>
      </c>
      <c r="D10" s="3">
        <v>14.357763242894499</v>
      </c>
      <c r="E10" s="3">
        <v>12.949184231844001</v>
      </c>
      <c r="F10" s="3">
        <v>14.222929110902999</v>
      </c>
      <c r="G10" s="3">
        <v>15.8844671221898</v>
      </c>
      <c r="H10" s="3">
        <v>13.528226612622801</v>
      </c>
      <c r="I10" s="3">
        <v>17.7956949581197</v>
      </c>
      <c r="J10" s="3">
        <v>15.6943080585517</v>
      </c>
      <c r="K10" s="3">
        <v>13.5775812964051</v>
      </c>
      <c r="L10" s="3">
        <v>14.8608766344374</v>
      </c>
      <c r="M10" s="3">
        <v>15.5779463083836</v>
      </c>
      <c r="N10" s="3">
        <v>12.5771436691365</v>
      </c>
    </row>
    <row r="11" spans="1:14" x14ac:dyDescent="0.35">
      <c r="A11" s="2">
        <v>42013</v>
      </c>
      <c r="B11" s="3">
        <v>18.425153265231799</v>
      </c>
      <c r="C11" s="3">
        <v>14.7910246106693</v>
      </c>
      <c r="D11" s="3">
        <v>15.314983069742899</v>
      </c>
      <c r="E11" s="3">
        <v>12.6855910791261</v>
      </c>
      <c r="F11" s="3">
        <v>13.922453698624601</v>
      </c>
      <c r="G11" s="3">
        <v>15.756515836934099</v>
      </c>
      <c r="H11" s="3">
        <v>13.6574947514962</v>
      </c>
      <c r="I11" s="3">
        <v>17.305556239870899</v>
      </c>
      <c r="J11" s="3">
        <v>16.0157856576161</v>
      </c>
      <c r="K11" s="3">
        <v>13.5183553642329</v>
      </c>
      <c r="L11" s="3">
        <v>14.594353983902</v>
      </c>
      <c r="M11" s="3">
        <v>15.4187242794354</v>
      </c>
      <c r="N11" s="3">
        <v>11.756665961575999</v>
      </c>
    </row>
    <row r="12" spans="1:14" x14ac:dyDescent="0.35">
      <c r="A12" s="2">
        <v>42046</v>
      </c>
      <c r="B12" s="3">
        <v>19.102638488416101</v>
      </c>
      <c r="C12" s="3">
        <v>15.7533452056629</v>
      </c>
      <c r="D12" s="3">
        <v>17.242852979671</v>
      </c>
      <c r="E12" s="3">
        <v>14.0071864268729</v>
      </c>
      <c r="F12" s="3">
        <v>14.170991455079299</v>
      </c>
      <c r="G12" s="3">
        <v>16.768840558576802</v>
      </c>
      <c r="H12" s="3">
        <v>15.336208644109</v>
      </c>
      <c r="I12" s="3">
        <v>17.527667026957499</v>
      </c>
      <c r="J12" s="3">
        <v>16.627058798884399</v>
      </c>
      <c r="K12" s="3">
        <v>15.5465980907725</v>
      </c>
      <c r="L12" s="3">
        <v>15.8929376378321</v>
      </c>
      <c r="M12" s="3">
        <v>16.298873437850901</v>
      </c>
      <c r="N12" s="3">
        <v>14.097001353956999</v>
      </c>
    </row>
    <row r="13" spans="1:14" x14ac:dyDescent="0.35">
      <c r="A13" s="2">
        <v>42074</v>
      </c>
      <c r="B13" s="3">
        <v>19.0889007357545</v>
      </c>
      <c r="C13" s="3">
        <v>15.8074675603033</v>
      </c>
      <c r="D13" s="3">
        <v>16.894706940950002</v>
      </c>
      <c r="E13" s="3">
        <v>15.3035799927152</v>
      </c>
      <c r="F13" s="3">
        <v>15.0933031416665</v>
      </c>
      <c r="G13" s="3">
        <v>17.430784293927399</v>
      </c>
      <c r="H13" s="3">
        <v>15.1335206255697</v>
      </c>
      <c r="I13" s="3">
        <v>17.4826444052859</v>
      </c>
      <c r="J13" s="3">
        <v>16.3545738307633</v>
      </c>
      <c r="K13" s="3">
        <v>16.4012653524154</v>
      </c>
      <c r="L13" s="3">
        <v>17.451439233474002</v>
      </c>
      <c r="M13" s="3">
        <v>17.095716747103101</v>
      </c>
      <c r="N13" s="3">
        <v>15.6873068172108</v>
      </c>
    </row>
    <row r="14" spans="1:14" x14ac:dyDescent="0.35">
      <c r="A14" s="2">
        <v>42104</v>
      </c>
      <c r="B14" s="3">
        <v>18.401874526003201</v>
      </c>
      <c r="C14" s="3">
        <v>16.583015198882499</v>
      </c>
      <c r="D14" s="3">
        <v>17.3889493103798</v>
      </c>
      <c r="E14" s="3">
        <v>15.90603691566</v>
      </c>
      <c r="F14" s="3">
        <v>15.6172877626872</v>
      </c>
      <c r="G14" s="3">
        <v>18.287365841318898</v>
      </c>
      <c r="H14" s="3">
        <v>16.080304276995498</v>
      </c>
      <c r="I14" s="3">
        <v>17.9983431695291</v>
      </c>
      <c r="J14" s="3">
        <v>16.750617980344799</v>
      </c>
      <c r="K14" s="3">
        <v>17.1212684363433</v>
      </c>
      <c r="L14" s="3">
        <v>17.799055538552899</v>
      </c>
      <c r="M14" s="3">
        <v>17.103165084414901</v>
      </c>
      <c r="N14" s="3">
        <v>16.238930682903199</v>
      </c>
    </row>
    <row r="15" spans="1:14" x14ac:dyDescent="0.35">
      <c r="A15" s="2">
        <v>42135</v>
      </c>
      <c r="B15" s="3">
        <v>18.291521688372502</v>
      </c>
      <c r="C15" s="3">
        <v>15.7693163286506</v>
      </c>
      <c r="D15" s="3">
        <v>16.933720739617002</v>
      </c>
      <c r="E15" s="3">
        <v>14.5938137322233</v>
      </c>
      <c r="F15" s="3">
        <v>15.8649527554514</v>
      </c>
      <c r="G15" s="3">
        <v>17.58207468929</v>
      </c>
      <c r="H15" s="3">
        <v>16.247935620918799</v>
      </c>
      <c r="I15" s="3">
        <v>17.829595899981701</v>
      </c>
      <c r="J15" s="3">
        <v>16.6242589328258</v>
      </c>
      <c r="K15" s="3">
        <v>16.252362895652301</v>
      </c>
      <c r="L15" s="3">
        <v>16.994371350245199</v>
      </c>
      <c r="M15" s="3">
        <v>15.459893602036701</v>
      </c>
      <c r="N15" s="3">
        <v>15.849683704831399</v>
      </c>
    </row>
    <row r="16" spans="1:14" x14ac:dyDescent="0.35">
      <c r="A16" s="2">
        <v>42166</v>
      </c>
      <c r="B16" s="3">
        <v>18.266485641263699</v>
      </c>
      <c r="C16" s="3">
        <v>15.3122804398733</v>
      </c>
      <c r="D16" s="3">
        <v>16.327797957145201</v>
      </c>
      <c r="E16" s="3">
        <v>13.9054443079359</v>
      </c>
      <c r="F16" s="3">
        <v>15.8944301363612</v>
      </c>
      <c r="G16" s="3">
        <v>17.450772212449699</v>
      </c>
      <c r="H16" s="3">
        <v>15.715969769033499</v>
      </c>
      <c r="I16" s="3">
        <v>17.900455092277799</v>
      </c>
      <c r="J16" s="3">
        <v>16.506397022640801</v>
      </c>
      <c r="K16" s="3">
        <v>15.939695531496</v>
      </c>
      <c r="L16" s="3">
        <v>16.606450956846999</v>
      </c>
      <c r="M16" s="3">
        <v>15.996486433288201</v>
      </c>
      <c r="N16" s="3">
        <v>15.398033552802101</v>
      </c>
    </row>
    <row r="17" spans="1:14" x14ac:dyDescent="0.35">
      <c r="A17" s="2">
        <v>42195</v>
      </c>
      <c r="B17" s="3">
        <v>17.805612125920199</v>
      </c>
      <c r="C17" s="3">
        <v>15.1095200696876</v>
      </c>
      <c r="D17" s="3">
        <v>15.650755207904499</v>
      </c>
      <c r="E17" s="3">
        <v>13.7483321944471</v>
      </c>
      <c r="F17" s="3">
        <v>14.9094105664143</v>
      </c>
      <c r="G17" s="3">
        <v>17.3141890608346</v>
      </c>
      <c r="H17" s="3">
        <v>15.2118083680274</v>
      </c>
      <c r="I17" s="3">
        <v>17.511051871763001</v>
      </c>
      <c r="J17" s="3">
        <v>16.184584271081899</v>
      </c>
      <c r="K17" s="3">
        <v>15.502702290150401</v>
      </c>
      <c r="L17" s="3">
        <v>16.449163423840901</v>
      </c>
      <c r="M17" s="3">
        <v>15.902158617015299</v>
      </c>
      <c r="N17" s="3">
        <v>14.977426109166201</v>
      </c>
    </row>
    <row r="18" spans="1:14" x14ac:dyDescent="0.35">
      <c r="A18" s="2">
        <v>42227</v>
      </c>
      <c r="B18" s="3">
        <v>18.0702673860077</v>
      </c>
      <c r="C18" s="3">
        <v>15.1347073694528</v>
      </c>
      <c r="D18" s="3">
        <v>15.5731427351293</v>
      </c>
      <c r="E18" s="3">
        <v>13.632640015787899</v>
      </c>
      <c r="F18" s="3">
        <v>15.690743455700201</v>
      </c>
      <c r="G18" s="3">
        <v>17.532974826151602</v>
      </c>
      <c r="H18" s="3">
        <v>15.3723210295655</v>
      </c>
      <c r="I18" s="3">
        <v>18.295257726721999</v>
      </c>
      <c r="J18" s="3">
        <v>16.2621647863037</v>
      </c>
      <c r="K18" s="3">
        <v>15.706054636652199</v>
      </c>
      <c r="L18" s="3">
        <v>16.629381347608302</v>
      </c>
      <c r="M18" s="3">
        <v>16.142034083653002</v>
      </c>
      <c r="N18" s="3">
        <v>15.594321332886899</v>
      </c>
    </row>
    <row r="19" spans="1:14" x14ac:dyDescent="0.35">
      <c r="A19" s="2">
        <v>42258</v>
      </c>
      <c r="B19" s="3">
        <v>17.321012404112398</v>
      </c>
      <c r="C19" s="3">
        <v>14.302800692076501</v>
      </c>
      <c r="D19" s="3">
        <v>14.6495285211832</v>
      </c>
      <c r="E19" s="3">
        <v>12.272080495621401</v>
      </c>
      <c r="F19" s="3">
        <v>13.6481190642019</v>
      </c>
      <c r="G19" s="3">
        <v>16.438363475601101</v>
      </c>
      <c r="H19" s="3">
        <v>14.325634596936</v>
      </c>
      <c r="I19" s="3">
        <v>17.422084545231002</v>
      </c>
      <c r="J19" s="3">
        <v>15.2817631966567</v>
      </c>
      <c r="K19" s="3">
        <v>14.1123860445249</v>
      </c>
      <c r="L19" s="3">
        <v>14.559729005272001</v>
      </c>
      <c r="M19" s="3">
        <v>14.810978363045299</v>
      </c>
      <c r="N19" s="3">
        <v>14.3746031426826</v>
      </c>
    </row>
    <row r="20" spans="1:14" x14ac:dyDescent="0.35">
      <c r="A20" s="2">
        <v>42286</v>
      </c>
      <c r="B20" s="3">
        <v>17.031612061579601</v>
      </c>
      <c r="C20" s="3">
        <v>15.1554685743865</v>
      </c>
      <c r="D20" s="3">
        <v>15.217111641436301</v>
      </c>
      <c r="E20" s="3">
        <v>12.411436294847601</v>
      </c>
      <c r="F20" s="3">
        <v>14.0086136298185</v>
      </c>
      <c r="G20" s="3">
        <v>16.514842923924299</v>
      </c>
      <c r="H20" s="3">
        <v>15.3093024904814</v>
      </c>
      <c r="I20" s="3">
        <v>17.575455015094299</v>
      </c>
      <c r="J20" s="3">
        <v>15.7512636421626</v>
      </c>
      <c r="K20" s="3">
        <v>14.6264557862971</v>
      </c>
      <c r="L20" s="3">
        <v>14.864067789783499</v>
      </c>
      <c r="M20" s="3">
        <v>15.076400971001901</v>
      </c>
      <c r="N20" s="3">
        <v>14.597173581211599</v>
      </c>
    </row>
    <row r="21" spans="1:14" x14ac:dyDescent="0.35">
      <c r="A21" s="2">
        <v>42319</v>
      </c>
      <c r="B21" s="3">
        <v>18.004283830298998</v>
      </c>
      <c r="C21" s="3">
        <v>14.7288041770361</v>
      </c>
      <c r="D21" s="3">
        <v>14.5905254796864</v>
      </c>
      <c r="E21" s="3">
        <v>13.5167808945896</v>
      </c>
      <c r="F21" s="3">
        <v>14.7293037420449</v>
      </c>
      <c r="G21" s="3">
        <v>16.9195713641884</v>
      </c>
      <c r="H21" s="3">
        <v>15.2086428510713</v>
      </c>
      <c r="I21" s="3">
        <v>18.588817776427302</v>
      </c>
      <c r="J21" s="3">
        <v>16.266071793900199</v>
      </c>
      <c r="K21" s="3">
        <v>15.3558216511101</v>
      </c>
      <c r="L21" s="3">
        <v>16.326053300659101</v>
      </c>
      <c r="M21" s="3">
        <v>15.527181313019801</v>
      </c>
      <c r="N21" s="3">
        <v>14.8171529052627</v>
      </c>
    </row>
    <row r="22" spans="1:14" x14ac:dyDescent="0.35">
      <c r="A22" s="2">
        <v>42349</v>
      </c>
      <c r="B22" s="3">
        <v>18.072781372492699</v>
      </c>
      <c r="C22" s="3">
        <v>14.7746093515713</v>
      </c>
      <c r="D22" s="3">
        <v>13.9753990109654</v>
      </c>
      <c r="E22" s="3">
        <v>12.9023751221756</v>
      </c>
      <c r="F22" s="3">
        <v>14.1751031803682</v>
      </c>
      <c r="G22" s="3">
        <v>16.362903978108498</v>
      </c>
      <c r="H22" s="3">
        <v>14.5504639555129</v>
      </c>
      <c r="I22" s="3">
        <v>18.1011851659073</v>
      </c>
      <c r="J22" s="3">
        <v>15.7300489831403</v>
      </c>
      <c r="K22" s="3">
        <v>14.2868704415095</v>
      </c>
      <c r="L22" s="3">
        <v>15.2061614074946</v>
      </c>
      <c r="M22" s="3">
        <v>14.455218149881899</v>
      </c>
      <c r="N22" s="3">
        <v>13.899697213056101</v>
      </c>
    </row>
    <row r="23" spans="1:14" x14ac:dyDescent="0.35">
      <c r="A23" s="2">
        <v>42380</v>
      </c>
      <c r="B23" s="3">
        <v>17.5835165878356</v>
      </c>
      <c r="C23" s="3">
        <v>14.651498770841799</v>
      </c>
      <c r="D23" s="3">
        <v>13.429947166069301</v>
      </c>
      <c r="E23" s="3">
        <v>12.161826660102401</v>
      </c>
      <c r="F23" s="3">
        <v>13.096959716825401</v>
      </c>
      <c r="G23" s="3">
        <v>15.8714021057983</v>
      </c>
      <c r="H23" s="3">
        <v>14.4149357757584</v>
      </c>
      <c r="I23" s="3">
        <v>17.207371393548801</v>
      </c>
      <c r="J23" s="3">
        <v>15.0965716788976</v>
      </c>
      <c r="K23" s="3">
        <v>13.6063345345065</v>
      </c>
      <c r="L23" s="3">
        <v>14.410949356219501</v>
      </c>
      <c r="M23" s="3">
        <v>14.0184570305259</v>
      </c>
      <c r="N23" s="3">
        <v>13.320868564344201</v>
      </c>
    </row>
    <row r="24" spans="1:14" x14ac:dyDescent="0.35">
      <c r="A24" s="2">
        <v>42411</v>
      </c>
      <c r="B24" s="3">
        <v>16.86631790205</v>
      </c>
      <c r="C24" s="3">
        <v>14.757898499176299</v>
      </c>
      <c r="D24" s="3">
        <v>13.8540433656348</v>
      </c>
      <c r="E24" s="3">
        <v>11.100026615974</v>
      </c>
      <c r="F24" s="3">
        <v>11.6158565025075</v>
      </c>
      <c r="G24" s="3">
        <v>15.343807823222299</v>
      </c>
      <c r="H24" s="3">
        <v>14.345943354490201</v>
      </c>
      <c r="I24" s="3">
        <v>16.016312574444498</v>
      </c>
      <c r="J24" s="3">
        <v>15.5099438140132</v>
      </c>
      <c r="K24" s="3">
        <v>12.757815792003401</v>
      </c>
      <c r="L24" s="3">
        <v>13.3741320426759</v>
      </c>
      <c r="M24" s="3">
        <v>13.764219185379</v>
      </c>
      <c r="N24" s="3">
        <v>11.3227524659391</v>
      </c>
    </row>
    <row r="25" spans="1:14" x14ac:dyDescent="0.35">
      <c r="A25" s="2">
        <v>42440</v>
      </c>
      <c r="B25" s="3">
        <v>18.153055509205</v>
      </c>
      <c r="C25" s="3">
        <v>16.116603670777199</v>
      </c>
      <c r="D25" s="3">
        <v>15.764855796023999</v>
      </c>
      <c r="E25" s="3">
        <v>12.541298654621199</v>
      </c>
      <c r="F25" s="3">
        <v>12.948215571104599</v>
      </c>
      <c r="G25" s="3">
        <v>16.685050964592602</v>
      </c>
      <c r="H25" s="3">
        <v>16.020247807802001</v>
      </c>
      <c r="I25" s="3">
        <v>17.434393650333401</v>
      </c>
      <c r="J25" s="3">
        <v>15.516736353630501</v>
      </c>
      <c r="K25" s="3">
        <v>14.675120516163499</v>
      </c>
      <c r="L25" s="3">
        <v>15.303880693061</v>
      </c>
      <c r="M25" s="3">
        <v>15.6747655272162</v>
      </c>
      <c r="N25" s="3">
        <v>13.7408450918804</v>
      </c>
    </row>
    <row r="26" spans="1:14" x14ac:dyDescent="0.35">
      <c r="A26" s="2">
        <v>42471</v>
      </c>
      <c r="B26" s="3">
        <v>18.4070110583007</v>
      </c>
      <c r="C26" s="3">
        <v>15.159083135023799</v>
      </c>
      <c r="D26" s="3">
        <v>15.8029088203313</v>
      </c>
      <c r="E26" s="3">
        <v>12.350598264384301</v>
      </c>
      <c r="F26" s="3">
        <v>12.177422687757399</v>
      </c>
      <c r="G26" s="3">
        <v>16.3693736019375</v>
      </c>
      <c r="H26" s="3">
        <v>16.104139870292901</v>
      </c>
      <c r="I26" s="3">
        <v>17.727155705710999</v>
      </c>
      <c r="J26" s="3">
        <v>16.500463546018398</v>
      </c>
      <c r="K26" s="3">
        <v>14.1454799319496</v>
      </c>
      <c r="L26" s="3">
        <v>14.978748634947401</v>
      </c>
      <c r="M26" s="3">
        <v>15.131549673209101</v>
      </c>
      <c r="N26" s="3">
        <v>12.905730800551501</v>
      </c>
    </row>
    <row r="27" spans="1:14" x14ac:dyDescent="0.35">
      <c r="A27" s="2">
        <v>42501</v>
      </c>
      <c r="B27" s="3">
        <v>19.261372566235298</v>
      </c>
      <c r="C27" s="3">
        <v>16.573253035326399</v>
      </c>
      <c r="D27" s="3">
        <v>16.296189177830399</v>
      </c>
      <c r="E27" s="3">
        <v>12.5265451761279</v>
      </c>
      <c r="F27" s="3">
        <v>12.978261304033801</v>
      </c>
      <c r="G27" s="3">
        <v>16.721841076532499</v>
      </c>
      <c r="H27" s="3">
        <v>15.804992213133501</v>
      </c>
      <c r="I27" s="3">
        <v>17.526763978103599</v>
      </c>
      <c r="J27" s="3">
        <v>16.522677016730398</v>
      </c>
      <c r="K27" s="3">
        <v>14.1592695070849</v>
      </c>
      <c r="L27" s="3">
        <v>14.805616815808399</v>
      </c>
      <c r="M27" s="3">
        <v>14.873774023359401</v>
      </c>
      <c r="N27" s="3">
        <v>13.138113469434099</v>
      </c>
    </row>
    <row r="28" spans="1:14" x14ac:dyDescent="0.35">
      <c r="A28" s="2">
        <v>42531</v>
      </c>
      <c r="B28" s="3">
        <v>19.325858525158701</v>
      </c>
      <c r="C28" s="3">
        <v>16.2466950378194</v>
      </c>
      <c r="D28" s="3">
        <v>16.5638660182303</v>
      </c>
      <c r="E28" s="3">
        <v>12.1514418532897</v>
      </c>
      <c r="F28" s="3">
        <v>13.3577855484663</v>
      </c>
      <c r="G28" s="3">
        <v>16.665406035274199</v>
      </c>
      <c r="H28" s="3">
        <v>15.456618916031999</v>
      </c>
      <c r="I28" s="3">
        <v>17.724918026053398</v>
      </c>
      <c r="J28" s="3">
        <v>16.533254702551702</v>
      </c>
      <c r="K28" s="3">
        <v>13.891646825214901</v>
      </c>
      <c r="L28" s="3">
        <v>14.525945561051101</v>
      </c>
      <c r="M28" s="3">
        <v>14.415651769368001</v>
      </c>
      <c r="N28" s="3">
        <v>12.490673351837501</v>
      </c>
    </row>
    <row r="29" spans="1:14" x14ac:dyDescent="0.35">
      <c r="A29" s="2">
        <v>42562</v>
      </c>
      <c r="B29" s="3">
        <v>19.537175612481001</v>
      </c>
      <c r="C29" s="3">
        <v>16.136615702889099</v>
      </c>
      <c r="D29" s="3">
        <v>16.495144255070201</v>
      </c>
      <c r="E29" s="3">
        <v>12.148584751631301</v>
      </c>
      <c r="F29" s="3">
        <v>12.7816112765091</v>
      </c>
      <c r="G29" s="3">
        <v>16.890929615897701</v>
      </c>
      <c r="H29" s="3">
        <v>16.038794519724298</v>
      </c>
      <c r="I29" s="3">
        <v>18.151621364455401</v>
      </c>
      <c r="J29" s="3">
        <v>16.7895077164128</v>
      </c>
      <c r="K29" s="3">
        <v>13.6675695651591</v>
      </c>
      <c r="L29" s="3">
        <v>14.3420045489848</v>
      </c>
      <c r="M29" s="3">
        <v>14.830783368694499</v>
      </c>
      <c r="N29" s="3">
        <v>11.8298291647199</v>
      </c>
    </row>
    <row r="30" spans="1:14" x14ac:dyDescent="0.35">
      <c r="A30" s="2">
        <v>42593</v>
      </c>
      <c r="B30" s="3">
        <v>20.320301331654299</v>
      </c>
      <c r="C30" s="3">
        <v>16.7145837992522</v>
      </c>
      <c r="D30" s="3">
        <v>16.597783304682299</v>
      </c>
      <c r="E30" s="3">
        <v>13.2010690973247</v>
      </c>
      <c r="F30" s="3">
        <v>13.355987288380501</v>
      </c>
      <c r="G30" s="3">
        <v>17.632974680332001</v>
      </c>
      <c r="H30" s="3">
        <v>16.3529542493336</v>
      </c>
      <c r="I30" s="3">
        <v>18.8327012653276</v>
      </c>
      <c r="J30" s="3">
        <v>17.0120438063636</v>
      </c>
      <c r="K30" s="3">
        <v>14.2262639764753</v>
      </c>
      <c r="L30" s="3">
        <v>15.054401137051901</v>
      </c>
      <c r="M30" s="3">
        <v>15.5708713496777</v>
      </c>
      <c r="N30" s="3">
        <v>12.7968485458617</v>
      </c>
    </row>
    <row r="31" spans="1:14" x14ac:dyDescent="0.35">
      <c r="A31" s="2">
        <v>42622</v>
      </c>
      <c r="B31" s="3">
        <v>20.985895910256001</v>
      </c>
      <c r="C31" s="3">
        <v>16.067738212727701</v>
      </c>
      <c r="D31" s="3">
        <v>16.105541077750001</v>
      </c>
      <c r="E31" s="3">
        <v>12.982670768163301</v>
      </c>
      <c r="F31" s="3">
        <v>13.623194582680799</v>
      </c>
      <c r="G31" s="3">
        <v>17.3492168529548</v>
      </c>
      <c r="H31" s="3">
        <v>15.786246641616801</v>
      </c>
      <c r="I31" s="3">
        <v>18.090205728453199</v>
      </c>
      <c r="J31" s="3">
        <v>16.443516067558999</v>
      </c>
      <c r="K31" s="3">
        <v>14.081852774977699</v>
      </c>
      <c r="L31" s="3">
        <v>14.874296463428299</v>
      </c>
      <c r="M31" s="3">
        <v>15.4947158805012</v>
      </c>
      <c r="N31" s="3">
        <v>12.4798024463263</v>
      </c>
    </row>
    <row r="32" spans="1:14" x14ac:dyDescent="0.35">
      <c r="A32" s="2">
        <v>42654</v>
      </c>
      <c r="B32" s="3">
        <v>19.524082687774801</v>
      </c>
      <c r="C32" s="3">
        <v>16.3355035757947</v>
      </c>
      <c r="D32" s="3">
        <v>15.942254304831</v>
      </c>
      <c r="E32" s="3">
        <v>12.9232060016651</v>
      </c>
      <c r="F32" s="3">
        <v>13.558754989926699</v>
      </c>
      <c r="G32" s="3">
        <v>16.947284416337101</v>
      </c>
      <c r="H32" s="3">
        <v>15.5253735063551</v>
      </c>
      <c r="I32" s="3">
        <v>18.388429294010599</v>
      </c>
      <c r="J32" s="3">
        <v>16.378285030845301</v>
      </c>
      <c r="K32" s="3">
        <v>13.8509123610012</v>
      </c>
      <c r="L32" s="3">
        <v>14.799252925478401</v>
      </c>
      <c r="M32" s="3">
        <v>15.9130016960997</v>
      </c>
      <c r="N32" s="3">
        <v>11.728082178670601</v>
      </c>
    </row>
    <row r="33" spans="1:14" x14ac:dyDescent="0.35">
      <c r="A33" s="2">
        <v>42685</v>
      </c>
      <c r="B33" s="3">
        <v>18.2548768664489</v>
      </c>
      <c r="C33" s="3">
        <v>15.9164664958631</v>
      </c>
      <c r="D33" s="3">
        <v>15.6758626920737</v>
      </c>
      <c r="E33" s="3">
        <v>12.8149234703325</v>
      </c>
      <c r="F33" s="3">
        <v>13.688755478082401</v>
      </c>
      <c r="G33" s="3">
        <v>16.458958123938402</v>
      </c>
      <c r="H33" s="3">
        <v>14.374385281030101</v>
      </c>
      <c r="I33" s="3">
        <v>17.936490780206501</v>
      </c>
      <c r="J33" s="3">
        <v>16.526103060481901</v>
      </c>
      <c r="K33" s="3">
        <v>13.6999609196774</v>
      </c>
      <c r="L33" s="3">
        <v>14.410159051439701</v>
      </c>
      <c r="M33" s="3">
        <v>15.953479396277899</v>
      </c>
      <c r="N33" s="3">
        <v>11.8434378398969</v>
      </c>
    </row>
    <row r="34" spans="1:14" x14ac:dyDescent="0.35">
      <c r="A34" s="2">
        <v>42713</v>
      </c>
      <c r="B34" s="3">
        <v>18.596965123911499</v>
      </c>
      <c r="C34" s="3">
        <v>15.902515362013</v>
      </c>
      <c r="D34" s="3">
        <v>15.996948232407901</v>
      </c>
      <c r="E34" s="3">
        <v>13.3932021891696</v>
      </c>
      <c r="F34" s="3">
        <v>14.988333420923301</v>
      </c>
      <c r="G34" s="3">
        <v>16.6379478574713</v>
      </c>
      <c r="H34" s="3">
        <v>14.4597164461922</v>
      </c>
      <c r="I34" s="3">
        <v>18.283669809778001</v>
      </c>
      <c r="J34" s="3">
        <v>17.081772933173902</v>
      </c>
      <c r="K34" s="3">
        <v>14.396355790909899</v>
      </c>
      <c r="L34" s="3">
        <v>14.7895848907391</v>
      </c>
      <c r="M34" s="3">
        <v>16.650737117459801</v>
      </c>
      <c r="N34" s="3">
        <v>12.8113917756079</v>
      </c>
    </row>
    <row r="35" spans="1:14" x14ac:dyDescent="0.35">
      <c r="A35" s="2">
        <v>42746</v>
      </c>
      <c r="B35" s="3">
        <v>19.015599938572599</v>
      </c>
      <c r="C35" s="3">
        <v>16.024046797540301</v>
      </c>
      <c r="D35" s="3">
        <v>15.9306054538742</v>
      </c>
      <c r="E35" s="3">
        <v>13.7984669251419</v>
      </c>
      <c r="F35" s="3">
        <v>14.9310463794758</v>
      </c>
      <c r="G35" s="3">
        <v>17.1329667105597</v>
      </c>
      <c r="H35" s="3">
        <v>14.412741185201901</v>
      </c>
      <c r="I35" s="3">
        <v>18.684358083426002</v>
      </c>
      <c r="J35" s="3">
        <v>17.0133824231897</v>
      </c>
      <c r="K35" s="3">
        <v>14.5879543865023</v>
      </c>
      <c r="L35" s="3">
        <v>15.008732219788</v>
      </c>
      <c r="M35" s="3">
        <v>16.391810986332501</v>
      </c>
      <c r="N35" s="3">
        <v>13.4855074143449</v>
      </c>
    </row>
    <row r="36" spans="1:14" x14ac:dyDescent="0.35">
      <c r="A36" s="2">
        <v>42776</v>
      </c>
      <c r="B36" s="3">
        <v>19.171644371050999</v>
      </c>
      <c r="C36" s="3">
        <v>15.8687074156165</v>
      </c>
      <c r="D36" s="3">
        <v>16.237924967249501</v>
      </c>
      <c r="E36" s="3">
        <v>13.629762368562099</v>
      </c>
      <c r="F36" s="3">
        <v>14.4869528859572</v>
      </c>
      <c r="G36" s="3">
        <v>17.380002483009498</v>
      </c>
      <c r="H36" s="3">
        <v>14.5121104342617</v>
      </c>
      <c r="I36" s="3">
        <v>19.752540610370499</v>
      </c>
      <c r="J36" s="3">
        <v>17.357313516161799</v>
      </c>
      <c r="K36" s="3">
        <v>14.2086830911331</v>
      </c>
      <c r="L36" s="3">
        <v>15.2732373653177</v>
      </c>
      <c r="M36" s="3">
        <v>16.053573845926401</v>
      </c>
      <c r="N36" s="3">
        <v>13.0473965591938</v>
      </c>
    </row>
    <row r="37" spans="1:14" x14ac:dyDescent="0.35">
      <c r="A37" s="2">
        <v>42804</v>
      </c>
      <c r="B37" s="3">
        <v>18.956193852494899</v>
      </c>
      <c r="C37" s="3">
        <v>15.8277049015119</v>
      </c>
      <c r="D37" s="3">
        <v>15.9114596927576</v>
      </c>
      <c r="E37" s="3">
        <v>13.8574938465021</v>
      </c>
      <c r="F37" s="3">
        <v>14.403819184986</v>
      </c>
      <c r="G37" s="3">
        <v>17.639037454638501</v>
      </c>
      <c r="H37" s="3">
        <v>14.341533303434099</v>
      </c>
      <c r="I37" s="3">
        <v>20.128858016644099</v>
      </c>
      <c r="J37" s="3">
        <v>17.6868555093764</v>
      </c>
      <c r="K37" s="3">
        <v>14.520479109223601</v>
      </c>
      <c r="L37" s="3">
        <v>16.065830795563301</v>
      </c>
      <c r="M37" s="3">
        <v>16.852744495405901</v>
      </c>
      <c r="N37" s="3">
        <v>13.286304268017901</v>
      </c>
    </row>
    <row r="38" spans="1:14" x14ac:dyDescent="0.35">
      <c r="A38" s="2">
        <v>42836</v>
      </c>
      <c r="B38" s="3">
        <v>19.1983999009394</v>
      </c>
      <c r="C38" s="3">
        <v>15.909579233854799</v>
      </c>
      <c r="D38" s="3">
        <v>15.9734362876492</v>
      </c>
      <c r="E38" s="3">
        <v>13.842746436495601</v>
      </c>
      <c r="F38" s="3">
        <v>13.5847484796143</v>
      </c>
      <c r="G38" s="3">
        <v>17.3655432380124</v>
      </c>
      <c r="H38" s="3">
        <v>14.4925347863581</v>
      </c>
      <c r="I38" s="3">
        <v>19.9390544478359</v>
      </c>
      <c r="J38" s="3">
        <v>17.388586186115401</v>
      </c>
      <c r="K38" s="3">
        <v>14.8031882976187</v>
      </c>
      <c r="L38" s="3">
        <v>16.183603503157801</v>
      </c>
      <c r="M38" s="3">
        <v>16.911318215519302</v>
      </c>
      <c r="N38" s="3">
        <v>13.204779617522499</v>
      </c>
    </row>
    <row r="39" spans="1:14" x14ac:dyDescent="0.35">
      <c r="A39" s="2">
        <v>42866</v>
      </c>
      <c r="B39" s="3">
        <v>19.796154381164499</v>
      </c>
      <c r="C39" s="3">
        <v>15.719232491698699</v>
      </c>
      <c r="D39" s="3">
        <v>15.618645777461801</v>
      </c>
      <c r="E39" s="3">
        <v>14.011767657901</v>
      </c>
      <c r="F39" s="3">
        <v>14.366506611773101</v>
      </c>
      <c r="G39" s="3">
        <v>17.963634243040701</v>
      </c>
      <c r="H39" s="3">
        <v>14.5895890380697</v>
      </c>
      <c r="I39" s="3">
        <v>20.671117852708601</v>
      </c>
      <c r="J39" s="3">
        <v>17.4609592662087</v>
      </c>
      <c r="K39" s="3">
        <v>15.3663404721992</v>
      </c>
      <c r="L39" s="3">
        <v>16.463425896530399</v>
      </c>
      <c r="M39" s="3">
        <v>17.105246351462</v>
      </c>
      <c r="N39" s="3">
        <v>13.8339827809243</v>
      </c>
    </row>
    <row r="40" spans="1:14" x14ac:dyDescent="0.35">
      <c r="A40" s="2">
        <v>42895</v>
      </c>
      <c r="B40" s="3">
        <v>19.341945265785199</v>
      </c>
      <c r="C40" s="3">
        <v>15.1595002902089</v>
      </c>
      <c r="D40" s="3">
        <v>15.526547027327499</v>
      </c>
      <c r="E40" s="3">
        <v>13.8798517892156</v>
      </c>
      <c r="F40" s="3">
        <v>14.354416422436</v>
      </c>
      <c r="G40" s="3">
        <v>17.85127543502</v>
      </c>
      <c r="H40" s="3">
        <v>14.7216397543999</v>
      </c>
      <c r="I40" s="3">
        <v>20.640936077665199</v>
      </c>
      <c r="J40" s="3">
        <v>17.589292207425601</v>
      </c>
      <c r="K40" s="3">
        <v>15.0857833266054</v>
      </c>
      <c r="L40" s="3">
        <v>16.3278039027341</v>
      </c>
      <c r="M40" s="3">
        <v>16.912913838454202</v>
      </c>
      <c r="N40" s="3">
        <v>13.3966175320939</v>
      </c>
    </row>
    <row r="41" spans="1:14" x14ac:dyDescent="0.35">
      <c r="A41" s="2">
        <v>42927</v>
      </c>
      <c r="B41" s="3">
        <v>19.4592623057958</v>
      </c>
      <c r="C41" s="3">
        <v>15.432855913832601</v>
      </c>
      <c r="D41" s="3">
        <v>15.254434093692399</v>
      </c>
      <c r="E41" s="3">
        <v>13.405520091582501</v>
      </c>
      <c r="F41" s="3">
        <v>14.3388340762752</v>
      </c>
      <c r="G41" s="3">
        <v>17.5884797474274</v>
      </c>
      <c r="H41" s="3">
        <v>14.396914413108901</v>
      </c>
      <c r="I41" s="3">
        <v>20.2103927074971</v>
      </c>
      <c r="J41" s="3">
        <v>17.395062540132098</v>
      </c>
      <c r="K41" s="3">
        <v>14.6040341489278</v>
      </c>
      <c r="L41" s="3">
        <v>15.7466602926556</v>
      </c>
      <c r="M41" s="3">
        <v>16.573929261823999</v>
      </c>
      <c r="N41" s="3">
        <v>13.2858010619716</v>
      </c>
    </row>
    <row r="42" spans="1:14" x14ac:dyDescent="0.35">
      <c r="A42" s="2">
        <v>42958</v>
      </c>
      <c r="B42" s="3">
        <v>19.807790712729702</v>
      </c>
      <c r="C42" s="3">
        <v>15.5353954973803</v>
      </c>
      <c r="D42" s="3">
        <v>15.434874862793899</v>
      </c>
      <c r="E42" s="3">
        <v>12.9152603873323</v>
      </c>
      <c r="F42" s="3">
        <v>13.959277085652801</v>
      </c>
      <c r="G42" s="3">
        <v>17.4298361216625</v>
      </c>
      <c r="H42" s="3">
        <v>14.4243020492942</v>
      </c>
      <c r="I42" s="3">
        <v>20.349037668167</v>
      </c>
      <c r="J42" s="3">
        <v>17.371682975951099</v>
      </c>
      <c r="K42" s="3">
        <v>14.375045067435501</v>
      </c>
      <c r="L42" s="3">
        <v>15.700577475079999</v>
      </c>
      <c r="M42" s="3">
        <v>15.7500476247099</v>
      </c>
      <c r="N42" s="3">
        <v>13.1548267937409</v>
      </c>
    </row>
    <row r="43" spans="1:14" x14ac:dyDescent="0.35">
      <c r="A43" s="2">
        <v>42989</v>
      </c>
      <c r="B43" s="3">
        <v>19.953951147409601</v>
      </c>
      <c r="C43" s="3">
        <v>15.5792195528617</v>
      </c>
      <c r="D43" s="3">
        <v>15.180890040695299</v>
      </c>
      <c r="E43" s="3">
        <v>13.322021843813699</v>
      </c>
      <c r="F43" s="3">
        <v>13.577881022662</v>
      </c>
      <c r="G43" s="3">
        <v>17.624489182334798</v>
      </c>
      <c r="H43" s="3">
        <v>14.6419703772834</v>
      </c>
      <c r="I43" s="3">
        <v>20.578631071178499</v>
      </c>
      <c r="J43" s="3">
        <v>17.565052976254101</v>
      </c>
      <c r="K43" s="3">
        <v>14.7563592044011</v>
      </c>
      <c r="L43" s="3">
        <v>15.788375649841001</v>
      </c>
      <c r="M43" s="3">
        <v>16.0972210170825</v>
      </c>
      <c r="N43" s="3">
        <v>13.410112197033399</v>
      </c>
    </row>
    <row r="44" spans="1:14" x14ac:dyDescent="0.35">
      <c r="A44" s="2">
        <v>43019</v>
      </c>
      <c r="B44" s="3">
        <v>20.006851047366599</v>
      </c>
      <c r="C44" s="3">
        <v>15.5466707966009</v>
      </c>
      <c r="D44" s="3">
        <v>15.8415611904095</v>
      </c>
      <c r="E44" s="3">
        <v>13.796413819958399</v>
      </c>
      <c r="F44" s="3">
        <v>14.0988393887013</v>
      </c>
      <c r="G44" s="3">
        <v>17.9228212917989</v>
      </c>
      <c r="H44" s="3">
        <v>14.626277357359299</v>
      </c>
      <c r="I44" s="3">
        <v>20.627316087286999</v>
      </c>
      <c r="J44" s="3">
        <v>17.935227602339499</v>
      </c>
      <c r="K44" s="3">
        <v>15.1907856279079</v>
      </c>
      <c r="L44" s="3">
        <v>16.136728738471</v>
      </c>
      <c r="M44" s="3">
        <v>16.7057657375322</v>
      </c>
      <c r="N44" s="3">
        <v>13.634354487772301</v>
      </c>
    </row>
    <row r="45" spans="1:14" x14ac:dyDescent="0.35">
      <c r="A45" s="2">
        <v>43049</v>
      </c>
      <c r="B45" s="3">
        <v>20.025792988519999</v>
      </c>
      <c r="C45" s="3">
        <v>16.131743422553001</v>
      </c>
      <c r="D45" s="3">
        <v>15.9309487680888</v>
      </c>
      <c r="E45" s="3">
        <v>13.971175985629101</v>
      </c>
      <c r="F45" s="3">
        <v>14.8770236369231</v>
      </c>
      <c r="G45" s="3">
        <v>17.613219778274701</v>
      </c>
      <c r="H45" s="3">
        <v>14.370770244548201</v>
      </c>
      <c r="I45" s="3">
        <v>20.873642674146399</v>
      </c>
      <c r="J45" s="3">
        <v>17.915816601730398</v>
      </c>
      <c r="K45" s="3">
        <v>15.0117688428659</v>
      </c>
      <c r="L45" s="3">
        <v>16.1161194546651</v>
      </c>
      <c r="M45" s="3">
        <v>16.899718848763602</v>
      </c>
      <c r="N45" s="3">
        <v>13.446000596365799</v>
      </c>
    </row>
    <row r="46" spans="1:14" x14ac:dyDescent="0.35">
      <c r="A46" s="2">
        <v>43080</v>
      </c>
      <c r="B46" s="3">
        <v>20.637288870393899</v>
      </c>
      <c r="C46" s="3">
        <v>15.8507053868471</v>
      </c>
      <c r="D46" s="3">
        <v>15.985656626958701</v>
      </c>
      <c r="E46" s="3">
        <v>13.980524004807</v>
      </c>
      <c r="F46" s="3">
        <v>14.746323867689201</v>
      </c>
      <c r="G46" s="3">
        <v>17.568442691950299</v>
      </c>
      <c r="H46" s="3">
        <v>14.3561488322185</v>
      </c>
      <c r="I46" s="3">
        <v>20.880469135846202</v>
      </c>
      <c r="J46" s="3">
        <v>18.2513691551672</v>
      </c>
      <c r="K46" s="3">
        <v>15.0449558953683</v>
      </c>
      <c r="L46" s="3">
        <v>16.049551834763001</v>
      </c>
      <c r="M46" s="3">
        <v>16.518240588650499</v>
      </c>
      <c r="N46" s="3">
        <v>13.5620771047574</v>
      </c>
    </row>
    <row r="47" spans="1:14" x14ac:dyDescent="0.35">
      <c r="A47" s="2">
        <v>43111</v>
      </c>
      <c r="B47" s="3">
        <v>20.421253289033601</v>
      </c>
      <c r="C47" s="3">
        <v>15.9728125145996</v>
      </c>
      <c r="D47" s="3">
        <v>15.860088498449199</v>
      </c>
      <c r="E47" s="3">
        <v>13.9948531093446</v>
      </c>
      <c r="F47" s="3">
        <v>15.3895464285226</v>
      </c>
      <c r="G47" s="3">
        <v>17.8194456158752</v>
      </c>
      <c r="H47" s="3">
        <v>14.758940105758899</v>
      </c>
      <c r="I47" s="3">
        <v>21.625189277383601</v>
      </c>
      <c r="J47" s="3">
        <v>18.313330505318699</v>
      </c>
      <c r="K47" s="3">
        <v>15.1754615893931</v>
      </c>
      <c r="L47" s="3">
        <v>16.194850332880499</v>
      </c>
      <c r="M47" s="3">
        <v>16.658768254657701</v>
      </c>
      <c r="N47" s="3">
        <v>13.589191798577399</v>
      </c>
    </row>
    <row r="48" spans="1:14" x14ac:dyDescent="0.35">
      <c r="A48" s="2">
        <v>43140</v>
      </c>
      <c r="B48" s="3">
        <v>19.182985607953899</v>
      </c>
      <c r="C48" s="3">
        <v>15.156225273290699</v>
      </c>
      <c r="D48" s="3">
        <v>14.2710920811937</v>
      </c>
      <c r="E48" s="3">
        <v>12.829917061255699</v>
      </c>
      <c r="F48" s="3">
        <v>13.724401386297799</v>
      </c>
      <c r="G48" s="3">
        <v>16.264885605742101</v>
      </c>
      <c r="H48" s="3">
        <v>13.3277442334801</v>
      </c>
      <c r="I48" s="3">
        <v>19.656531410308599</v>
      </c>
      <c r="J48" s="3">
        <v>16.431939713911301</v>
      </c>
      <c r="K48" s="3">
        <v>14.030264621436499</v>
      </c>
      <c r="L48" s="3">
        <v>15.1646814553608</v>
      </c>
      <c r="M48" s="3">
        <v>15.5817227402787</v>
      </c>
      <c r="N48" s="3">
        <v>12.426312143246999</v>
      </c>
    </row>
    <row r="49" spans="1:14" x14ac:dyDescent="0.35">
      <c r="A49" s="2">
        <v>43168</v>
      </c>
      <c r="B49" s="3">
        <v>20.323956360460802</v>
      </c>
      <c r="C49" s="3">
        <v>15.4056068152723</v>
      </c>
      <c r="D49" s="3">
        <v>14.4567043259723</v>
      </c>
      <c r="E49" s="3">
        <v>13.088952967584101</v>
      </c>
      <c r="F49" s="3">
        <v>12.841037980382101</v>
      </c>
      <c r="G49" s="3">
        <v>16.4759389556176</v>
      </c>
      <c r="H49" s="3">
        <v>13.5669654160062</v>
      </c>
      <c r="I49" s="3">
        <v>21.475115815503798</v>
      </c>
      <c r="J49" s="3">
        <v>17.2975432074564</v>
      </c>
      <c r="K49" s="3">
        <v>14.556108266567801</v>
      </c>
      <c r="L49" s="3">
        <v>15.7741675501155</v>
      </c>
      <c r="M49" s="3">
        <v>16.381201992008901</v>
      </c>
      <c r="N49" s="3">
        <v>12.717101374817</v>
      </c>
    </row>
    <row r="50" spans="1:14" x14ac:dyDescent="0.35">
      <c r="A50" s="2">
        <v>43201</v>
      </c>
      <c r="B50" s="3">
        <v>20.2202499204706</v>
      </c>
      <c r="C50" s="3">
        <v>14.956776002940799</v>
      </c>
      <c r="D50" s="3">
        <v>13.9631541236636</v>
      </c>
      <c r="E50" s="3">
        <v>12.934281179508799</v>
      </c>
      <c r="F50" s="3">
        <v>12.839661859536401</v>
      </c>
      <c r="G50" s="3">
        <v>15.9882902806959</v>
      </c>
      <c r="H50" s="3">
        <v>13.622976399497199</v>
      </c>
      <c r="I50" s="3">
        <v>19.707579693730299</v>
      </c>
      <c r="J50" s="3">
        <v>16.251410222260901</v>
      </c>
      <c r="K50" s="3">
        <v>14.439874412685</v>
      </c>
      <c r="L50" s="3">
        <v>15.5797520988146</v>
      </c>
      <c r="M50" s="3">
        <v>15.416482708367401</v>
      </c>
      <c r="N50" s="3">
        <v>12.715387258635699</v>
      </c>
    </row>
    <row r="51" spans="1:14" x14ac:dyDescent="0.35">
      <c r="A51" s="2">
        <v>43231</v>
      </c>
      <c r="B51" s="3">
        <v>20.552967536494599</v>
      </c>
      <c r="C51" s="3">
        <v>15.507339788188499</v>
      </c>
      <c r="D51" s="3">
        <v>14.3439645129227</v>
      </c>
      <c r="E51" s="3">
        <v>13.4341788607517</v>
      </c>
      <c r="F51" s="3">
        <v>13.3479615239113</v>
      </c>
      <c r="G51" s="3">
        <v>16.331958952854102</v>
      </c>
      <c r="H51" s="3">
        <v>13.989143912593599</v>
      </c>
      <c r="I51" s="3">
        <v>20.196240228417999</v>
      </c>
      <c r="J51" s="3">
        <v>16.450508145846399</v>
      </c>
      <c r="K51" s="3">
        <v>14.843720225171101</v>
      </c>
      <c r="L51" s="3">
        <v>15.7079210668555</v>
      </c>
      <c r="M51" s="3">
        <v>16.012922068086599</v>
      </c>
      <c r="N51" s="3">
        <v>12.9419183625077</v>
      </c>
    </row>
    <row r="52" spans="1:14" x14ac:dyDescent="0.35">
      <c r="A52" s="2">
        <v>43262</v>
      </c>
      <c r="B52" s="3">
        <v>21.2378351186799</v>
      </c>
      <c r="C52" s="3">
        <v>15.1267339329547</v>
      </c>
      <c r="D52" s="3">
        <v>14.3856922031861</v>
      </c>
      <c r="E52" s="3">
        <v>13.2933333278259</v>
      </c>
      <c r="F52" s="3">
        <v>13.2141139861734</v>
      </c>
      <c r="G52" s="3">
        <v>15.717729924614799</v>
      </c>
      <c r="H52" s="3">
        <v>13.618191830355</v>
      </c>
      <c r="I52" s="3">
        <v>20.561271489953299</v>
      </c>
      <c r="J52" s="3">
        <v>16.6011132635123</v>
      </c>
      <c r="K52" s="3">
        <v>14.4140285714724</v>
      </c>
      <c r="L52" s="3">
        <v>16.025183970832199</v>
      </c>
      <c r="M52" s="3">
        <v>15.5197271687816</v>
      </c>
      <c r="N52" s="3">
        <v>11.6542418697284</v>
      </c>
    </row>
    <row r="53" spans="1:14" x14ac:dyDescent="0.35">
      <c r="A53" s="2">
        <v>43292</v>
      </c>
      <c r="B53" s="3">
        <v>21.193739418590798</v>
      </c>
      <c r="C53" s="3">
        <v>15.455828867082101</v>
      </c>
      <c r="D53" s="3">
        <v>14.2384652717835</v>
      </c>
      <c r="E53" s="3">
        <v>12.8634241458736</v>
      </c>
      <c r="F53" s="3">
        <v>12.5869207000207</v>
      </c>
      <c r="G53" s="3">
        <v>15.7493936931123</v>
      </c>
      <c r="H53" s="3">
        <v>13.159129243960701</v>
      </c>
      <c r="I53" s="3">
        <v>20.618871661934101</v>
      </c>
      <c r="J53" s="3">
        <v>16.3985340136262</v>
      </c>
      <c r="K53" s="3">
        <v>13.9761408451209</v>
      </c>
      <c r="L53" s="3">
        <v>15.5216592746206</v>
      </c>
      <c r="M53" s="3">
        <v>15.1730816867006</v>
      </c>
      <c r="N53" s="3">
        <v>11.3582594777778</v>
      </c>
    </row>
    <row r="54" spans="1:14" x14ac:dyDescent="0.35">
      <c r="A54" s="2">
        <v>43322</v>
      </c>
      <c r="B54" s="3">
        <v>21.268626498125801</v>
      </c>
      <c r="C54" s="3">
        <v>15.601110355645501</v>
      </c>
      <c r="D54" s="3">
        <v>14.0206898622599</v>
      </c>
      <c r="E54" s="3">
        <v>12.8581373553285</v>
      </c>
      <c r="F54" s="3">
        <v>12.6502865565222</v>
      </c>
      <c r="G54" s="3">
        <v>16.027255560649799</v>
      </c>
      <c r="H54" s="3">
        <v>13.0323955034441</v>
      </c>
      <c r="I54" s="3">
        <v>20.58621890021</v>
      </c>
      <c r="J54" s="3">
        <v>16.502657469115199</v>
      </c>
      <c r="K54" s="3">
        <v>13.8598306658398</v>
      </c>
      <c r="L54" s="3">
        <v>15.640740861733001</v>
      </c>
      <c r="M54" s="3">
        <v>15.569101598569899</v>
      </c>
      <c r="N54" s="3">
        <v>11.0899770874372</v>
      </c>
    </row>
    <row r="55" spans="1:14" x14ac:dyDescent="0.35">
      <c r="A55" s="2">
        <v>43354</v>
      </c>
      <c r="B55" s="3">
        <v>21.643584477201301</v>
      </c>
      <c r="C55" s="3">
        <v>15.2022605041444</v>
      </c>
      <c r="D55" s="3">
        <v>13.5875683893646</v>
      </c>
      <c r="E55" s="3">
        <v>12.432418608155499</v>
      </c>
      <c r="F55" s="3">
        <v>12.4188164443487</v>
      </c>
      <c r="G55" s="3">
        <v>15.8603191003457</v>
      </c>
      <c r="H55" s="3">
        <v>12.353942522969501</v>
      </c>
      <c r="I55" s="3">
        <v>20.6175204794942</v>
      </c>
      <c r="J55" s="3">
        <v>16.666776456979701</v>
      </c>
      <c r="K55" s="3">
        <v>13.4380188300971</v>
      </c>
      <c r="L55" s="3">
        <v>14.936914636377599</v>
      </c>
      <c r="M55" s="3">
        <v>15.489517546686001</v>
      </c>
      <c r="N55" s="3">
        <v>10.742584693412701</v>
      </c>
    </row>
    <row r="56" spans="1:14" x14ac:dyDescent="0.35">
      <c r="A56" s="2">
        <v>43384</v>
      </c>
      <c r="B56" s="3">
        <v>20.055970245241301</v>
      </c>
      <c r="C56" s="3">
        <v>14.3832098140669</v>
      </c>
      <c r="D56" s="3">
        <v>12.8070533140333</v>
      </c>
      <c r="E56" s="3">
        <v>11.8814087807551</v>
      </c>
      <c r="F56" s="3">
        <v>12.4206107536519</v>
      </c>
      <c r="G56" s="3">
        <v>15.099561828975</v>
      </c>
      <c r="H56" s="3">
        <v>11.8834158727692</v>
      </c>
      <c r="I56" s="3">
        <v>19.009146828458</v>
      </c>
      <c r="J56" s="3">
        <v>15.6512502728195</v>
      </c>
      <c r="K56" s="3">
        <v>12.789961410945301</v>
      </c>
      <c r="L56" s="3">
        <v>14.0371414103715</v>
      </c>
      <c r="M56" s="3">
        <v>14.668603243743901</v>
      </c>
      <c r="N56" s="3">
        <v>9.9291555027653207</v>
      </c>
    </row>
    <row r="57" spans="1:14" x14ac:dyDescent="0.35">
      <c r="A57" s="2">
        <v>43413</v>
      </c>
      <c r="B57" s="3">
        <v>20.5368053214283</v>
      </c>
      <c r="C57" s="3">
        <v>14.647037538523</v>
      </c>
      <c r="D57" s="3">
        <v>12.6934806330384</v>
      </c>
      <c r="E57" s="3">
        <v>11.8044807401602</v>
      </c>
      <c r="F57" s="3">
        <v>12.1830320458456</v>
      </c>
      <c r="G57" s="3">
        <v>15.776399258642201</v>
      </c>
      <c r="H57" s="3">
        <v>11.931797352236501</v>
      </c>
      <c r="I57" s="3">
        <v>19.046710566253999</v>
      </c>
      <c r="J57" s="3">
        <v>15.893384522402901</v>
      </c>
      <c r="K57" s="3">
        <v>12.8255122560701</v>
      </c>
      <c r="L57" s="3">
        <v>14.369722066343099</v>
      </c>
      <c r="M57" s="3">
        <v>14.3961772472307</v>
      </c>
      <c r="N57" s="3">
        <v>9.8325002246017306</v>
      </c>
    </row>
    <row r="58" spans="1:14" x14ac:dyDescent="0.35">
      <c r="A58" s="2">
        <v>43445</v>
      </c>
      <c r="B58" s="3">
        <v>19.795519826201598</v>
      </c>
      <c r="C58" s="3">
        <v>13.830385769617999</v>
      </c>
      <c r="D58" s="3">
        <v>12.3666107161248</v>
      </c>
      <c r="E58" s="3">
        <v>11.1793499057058</v>
      </c>
      <c r="F58" s="3">
        <v>11.628603927806999</v>
      </c>
      <c r="G58" s="3">
        <v>15.0717087920287</v>
      </c>
      <c r="H58" s="3">
        <v>11.3641677993985</v>
      </c>
      <c r="I58" s="3">
        <v>18.119461015513998</v>
      </c>
      <c r="J58" s="3">
        <v>15.0545656237265</v>
      </c>
      <c r="K58" s="3">
        <v>12.0963683408196</v>
      </c>
      <c r="L58" s="3">
        <v>13.5306330965405</v>
      </c>
      <c r="M58" s="3">
        <v>13.710364692443999</v>
      </c>
      <c r="N58" s="3">
        <v>9.2622542527981508</v>
      </c>
    </row>
    <row r="59" spans="1:14" x14ac:dyDescent="0.35">
      <c r="A59" s="2">
        <v>43476</v>
      </c>
      <c r="B59" s="3">
        <v>20.3463813494912</v>
      </c>
      <c r="C59" s="3">
        <v>14.4239379752127</v>
      </c>
      <c r="D59" s="3">
        <v>12.912822728411101</v>
      </c>
      <c r="E59" s="3">
        <v>11.320512875057799</v>
      </c>
      <c r="F59" s="3">
        <v>11.464576670402099</v>
      </c>
      <c r="G59" s="3">
        <v>15.2151961802266</v>
      </c>
      <c r="H59" s="3">
        <v>11.8642334111706</v>
      </c>
      <c r="I59" s="3">
        <v>18.137204718204799</v>
      </c>
      <c r="J59" s="3">
        <v>15.0726387797725</v>
      </c>
      <c r="K59" s="3">
        <v>12.224642076677799</v>
      </c>
      <c r="L59" s="3">
        <v>13.4132960063511</v>
      </c>
      <c r="M59" s="3">
        <v>13.963117162935299</v>
      </c>
      <c r="N59" s="3">
        <v>9.6942155158619698</v>
      </c>
    </row>
    <row r="60" spans="1:14" x14ac:dyDescent="0.35">
      <c r="A60" s="2">
        <v>43507</v>
      </c>
      <c r="B60" s="3">
        <v>21.018048082461</v>
      </c>
      <c r="C60" s="3">
        <v>15.0143237482287</v>
      </c>
      <c r="D60" s="3">
        <v>13.714506295609</v>
      </c>
      <c r="E60" s="3">
        <v>11.623631606715501</v>
      </c>
      <c r="F60" s="3">
        <v>11.7866121654903</v>
      </c>
      <c r="G60" s="3">
        <v>15.642013385746001</v>
      </c>
      <c r="H60" s="3">
        <v>12.299172957813701</v>
      </c>
      <c r="I60" s="3">
        <v>19.089682290998699</v>
      </c>
      <c r="J60" s="3">
        <v>15.782871229039401</v>
      </c>
      <c r="K60" s="3">
        <v>12.864210379575599</v>
      </c>
      <c r="L60" s="3">
        <v>14.496105265076899</v>
      </c>
      <c r="M60" s="3">
        <v>14.5966803943034</v>
      </c>
      <c r="N60" s="3">
        <v>10.0729848571755</v>
      </c>
    </row>
    <row r="61" spans="1:14" x14ac:dyDescent="0.35">
      <c r="A61" s="2">
        <v>43535</v>
      </c>
      <c r="B61" s="3">
        <v>21.690350108097601</v>
      </c>
      <c r="C61" s="3">
        <v>15.242092725835599</v>
      </c>
      <c r="D61" s="3">
        <v>14.185150615116999</v>
      </c>
      <c r="E61" s="3">
        <v>12.1782239728969</v>
      </c>
      <c r="F61" s="3">
        <v>12.334280269502701</v>
      </c>
      <c r="G61" s="3">
        <v>16.2407004674962</v>
      </c>
      <c r="H61" s="3">
        <v>12.344600939153899</v>
      </c>
      <c r="I61" s="3">
        <v>19.8067663480177</v>
      </c>
      <c r="J61" s="3">
        <v>16.164915302123401</v>
      </c>
      <c r="K61" s="3">
        <v>13.4573991283777</v>
      </c>
      <c r="L61" s="3">
        <v>14.841497872486199</v>
      </c>
      <c r="M61" s="3">
        <v>14.759937828688701</v>
      </c>
      <c r="N61" s="3">
        <v>10.475005669469001</v>
      </c>
    </row>
    <row r="62" spans="1:14" x14ac:dyDescent="0.35">
      <c r="A62" s="2">
        <v>43566</v>
      </c>
      <c r="B62" s="3">
        <v>22.061504208796102</v>
      </c>
      <c r="C62" s="3">
        <v>15.218423072911699</v>
      </c>
      <c r="D62" s="3">
        <v>14.246338178553399</v>
      </c>
      <c r="E62" s="3">
        <v>12.5848991666603</v>
      </c>
      <c r="F62" s="3">
        <v>12.610160769338201</v>
      </c>
      <c r="G62" s="3">
        <v>16.821493592493798</v>
      </c>
      <c r="H62" s="3">
        <v>12.7521685424105</v>
      </c>
      <c r="I62" s="3">
        <v>20.865180660382599</v>
      </c>
      <c r="J62" s="3">
        <v>16.735658159890999</v>
      </c>
      <c r="K62" s="3">
        <v>13.9291600121577</v>
      </c>
      <c r="L62" s="3">
        <v>15.467297042716</v>
      </c>
      <c r="M62" s="3">
        <v>15.141418135700899</v>
      </c>
      <c r="N62" s="3">
        <v>10.8716695057461</v>
      </c>
    </row>
    <row r="63" spans="1:14" x14ac:dyDescent="0.35">
      <c r="A63" s="2">
        <v>43595</v>
      </c>
      <c r="B63" s="3">
        <v>22.865927315471101</v>
      </c>
      <c r="C63" s="3">
        <v>15.3891090344512</v>
      </c>
      <c r="D63" s="3">
        <v>13.600233920858001</v>
      </c>
      <c r="E63" s="3">
        <v>12.5783091446634</v>
      </c>
      <c r="F63" s="3">
        <v>12.2375211216242</v>
      </c>
      <c r="G63" s="3">
        <v>16.454854266911699</v>
      </c>
      <c r="H63" s="3">
        <v>12.2672687034365</v>
      </c>
      <c r="I63" s="3">
        <v>20.715539920337498</v>
      </c>
      <c r="J63" s="3">
        <v>16.536485846026999</v>
      </c>
      <c r="K63" s="3">
        <v>13.493352237088899</v>
      </c>
      <c r="L63" s="3">
        <v>15.2539616935744</v>
      </c>
      <c r="M63" s="3">
        <v>14.9813018503785</v>
      </c>
      <c r="N63" s="3">
        <v>10.391440239369601</v>
      </c>
    </row>
    <row r="64" spans="1:14" x14ac:dyDescent="0.35">
      <c r="A64" s="2">
        <v>43627</v>
      </c>
      <c r="B64" s="3">
        <v>22.831613384570201</v>
      </c>
      <c r="C64" s="3">
        <v>15.935346846117501</v>
      </c>
      <c r="D64" s="3">
        <v>13.523076052580601</v>
      </c>
      <c r="E64" s="3">
        <v>12.4397800289799</v>
      </c>
      <c r="F64" s="3">
        <v>12.711493016808699</v>
      </c>
      <c r="G64" s="3">
        <v>17.033285112198499</v>
      </c>
      <c r="H64" s="3">
        <v>12.537344189938199</v>
      </c>
      <c r="I64" s="3">
        <v>20.335385277983399</v>
      </c>
      <c r="J64" s="3">
        <v>16.440560229451599</v>
      </c>
      <c r="K64" s="3">
        <v>13.6376120132946</v>
      </c>
      <c r="L64" s="3">
        <v>15.373177048038</v>
      </c>
      <c r="M64" s="3">
        <v>14.768470662612501</v>
      </c>
      <c r="N64" s="3">
        <v>10.1395791921148</v>
      </c>
    </row>
    <row r="65" spans="1:14" x14ac:dyDescent="0.35">
      <c r="A65" s="2">
        <v>43657</v>
      </c>
      <c r="B65" s="3">
        <v>24.2845775339852</v>
      </c>
      <c r="C65" s="3">
        <v>16.1393043559798</v>
      </c>
      <c r="D65" s="3">
        <v>13.7223338957749</v>
      </c>
      <c r="E65" s="3">
        <v>12.8250601798765</v>
      </c>
      <c r="F65" s="3">
        <v>12.947720518009801</v>
      </c>
      <c r="G65" s="3">
        <v>17.047807147461501</v>
      </c>
      <c r="H65" s="3">
        <v>12.634055409678099</v>
      </c>
      <c r="I65" s="3">
        <v>21.329660458394201</v>
      </c>
      <c r="J65" s="3">
        <v>17.0834075101636</v>
      </c>
      <c r="K65" s="3">
        <v>13.9382808269109</v>
      </c>
      <c r="L65" s="3">
        <v>15.488770557348101</v>
      </c>
      <c r="M65" s="3">
        <v>14.988914572632201</v>
      </c>
      <c r="N65" s="3">
        <v>10.936789592336501</v>
      </c>
    </row>
    <row r="66" spans="1:14" x14ac:dyDescent="0.35">
      <c r="A66" s="2">
        <v>43686</v>
      </c>
      <c r="B66" s="3">
        <v>24.659804053511099</v>
      </c>
      <c r="C66" s="3">
        <v>15.9716847105929</v>
      </c>
      <c r="D66" s="3">
        <v>13.5866796270719</v>
      </c>
      <c r="E66" s="3">
        <v>12.3727481152197</v>
      </c>
      <c r="F66" s="3">
        <v>12.391694440799901</v>
      </c>
      <c r="G66" s="3">
        <v>16.845491991456701</v>
      </c>
      <c r="H66" s="3">
        <v>11.9960559987459</v>
      </c>
      <c r="I66" s="3">
        <v>20.474755489203901</v>
      </c>
      <c r="J66" s="3">
        <v>16.625554908322599</v>
      </c>
      <c r="K66" s="3">
        <v>13.503200642367901</v>
      </c>
      <c r="L66" s="3">
        <v>15.0337846425899</v>
      </c>
      <c r="M66" s="3">
        <v>13.668692796081899</v>
      </c>
      <c r="N66" s="3">
        <v>10.017967986368699</v>
      </c>
    </row>
    <row r="67" spans="1:14" x14ac:dyDescent="0.35">
      <c r="A67" s="2">
        <v>43719</v>
      </c>
      <c r="B67" s="3">
        <v>25.919959323824301</v>
      </c>
      <c r="C67" s="3">
        <v>16.434082270763199</v>
      </c>
      <c r="D67" s="3">
        <v>13.881043634262699</v>
      </c>
      <c r="E67" s="3">
        <v>13.0750316134367</v>
      </c>
      <c r="F67" s="3">
        <v>13.2140153726926</v>
      </c>
      <c r="G67" s="3">
        <v>17.241635005573301</v>
      </c>
      <c r="H67" s="3">
        <v>12.340201401351299</v>
      </c>
      <c r="I67" s="3">
        <v>20.8917234551968</v>
      </c>
      <c r="J67" s="3">
        <v>16.974041668189301</v>
      </c>
      <c r="K67" s="3">
        <v>14.09377095018</v>
      </c>
      <c r="L67" s="3">
        <v>15.974315060753501</v>
      </c>
      <c r="M67" s="3">
        <v>14.529270555492801</v>
      </c>
      <c r="N67" s="3">
        <v>10.7296148385626</v>
      </c>
    </row>
    <row r="68" spans="1:14" x14ac:dyDescent="0.35">
      <c r="A68" s="2">
        <v>43749</v>
      </c>
      <c r="B68" s="3">
        <v>25.265198976926001</v>
      </c>
      <c r="C68" s="3">
        <v>16.510480801007599</v>
      </c>
      <c r="D68" s="3">
        <v>13.769537392674</v>
      </c>
      <c r="E68" s="3">
        <v>13.1175008100439</v>
      </c>
      <c r="F68" s="3">
        <v>13.267493953767</v>
      </c>
      <c r="G68" s="3">
        <v>17.0625929798254</v>
      </c>
      <c r="H68" s="3">
        <v>12.439901702038201</v>
      </c>
      <c r="I68" s="3">
        <v>20.6079454175599</v>
      </c>
      <c r="J68" s="3">
        <v>16.813510916865201</v>
      </c>
      <c r="K68" s="3">
        <v>14.229437614491999</v>
      </c>
      <c r="L68" s="3">
        <v>16.202814675440901</v>
      </c>
      <c r="M68" s="3">
        <v>15.0667745220517</v>
      </c>
      <c r="N68" s="3">
        <v>10.857192979290399</v>
      </c>
    </row>
    <row r="69" spans="1:14" x14ac:dyDescent="0.35">
      <c r="A69" s="2">
        <v>43780</v>
      </c>
      <c r="B69" s="3">
        <v>24.922221790836598</v>
      </c>
      <c r="C69" s="3">
        <v>17.255301596915999</v>
      </c>
      <c r="D69" s="3">
        <v>14.295945242106001</v>
      </c>
      <c r="E69" s="3">
        <v>13.8728768692879</v>
      </c>
      <c r="F69" s="3">
        <v>14.157682514482801</v>
      </c>
      <c r="G69" s="3">
        <v>17.397591235939998</v>
      </c>
      <c r="H69" s="3">
        <v>12.7847128518943</v>
      </c>
      <c r="I69" s="3">
        <v>21.503862349608099</v>
      </c>
      <c r="J69" s="3">
        <v>17.449580735137602</v>
      </c>
      <c r="K69" s="3">
        <v>14.7417130126539</v>
      </c>
      <c r="L69" s="3">
        <v>16.666884114175001</v>
      </c>
      <c r="M69" s="3">
        <v>15.902842403351199</v>
      </c>
      <c r="N69" s="3">
        <v>11.3806577159949</v>
      </c>
    </row>
    <row r="70" spans="1:14" x14ac:dyDescent="0.35">
      <c r="A70" s="2">
        <v>43810</v>
      </c>
      <c r="B70" s="3">
        <v>25.579062941533302</v>
      </c>
      <c r="C70" s="3">
        <v>17.2335091596144</v>
      </c>
      <c r="D70" s="3">
        <v>14.2739681310682</v>
      </c>
      <c r="E70" s="3">
        <v>13.9866212019194</v>
      </c>
      <c r="F70" s="3">
        <v>14.474187904139299</v>
      </c>
      <c r="G70" s="3">
        <v>17.447566371325699</v>
      </c>
      <c r="H70" s="3">
        <v>12.8665603196985</v>
      </c>
      <c r="I70" s="3">
        <v>21.914214053391799</v>
      </c>
      <c r="J70" s="3">
        <v>17.709008757589</v>
      </c>
      <c r="K70" s="3">
        <v>14.631461023106199</v>
      </c>
      <c r="L70" s="3">
        <v>16.813938631909199</v>
      </c>
      <c r="M70" s="3">
        <v>15.7709771107635</v>
      </c>
      <c r="N70" s="3">
        <v>11.224247609952601</v>
      </c>
    </row>
    <row r="71" spans="1:14" x14ac:dyDescent="0.35">
      <c r="A71" s="2">
        <v>43840</v>
      </c>
      <c r="B71" s="3">
        <v>25.78077041741</v>
      </c>
      <c r="C71" s="3">
        <v>17.697331398395601</v>
      </c>
      <c r="D71" s="3">
        <v>14.4543699521625</v>
      </c>
      <c r="E71" s="3">
        <v>14.355246360408101</v>
      </c>
      <c r="F71" s="3">
        <v>14.6490004959646</v>
      </c>
      <c r="G71" s="3">
        <v>17.7647889301834</v>
      </c>
      <c r="H71" s="3">
        <v>13.4547045043235</v>
      </c>
      <c r="I71" s="3">
        <v>23.252654745134699</v>
      </c>
      <c r="J71" s="3">
        <v>18.338381839656499</v>
      </c>
      <c r="K71" s="3">
        <v>14.9987341894689</v>
      </c>
      <c r="L71" s="3">
        <v>17.162064365412999</v>
      </c>
      <c r="M71" s="3">
        <v>16.26520039507</v>
      </c>
      <c r="N71" s="3">
        <v>11.6285504676505</v>
      </c>
    </row>
    <row r="72" spans="1:14" x14ac:dyDescent="0.35">
      <c r="A72" s="2">
        <v>43872</v>
      </c>
      <c r="B72" s="3">
        <v>26.715295596041098</v>
      </c>
      <c r="C72" s="3">
        <v>18.034629795972201</v>
      </c>
      <c r="D72" s="3">
        <v>14.8830097279104</v>
      </c>
      <c r="E72" s="3">
        <v>14.449495299775601</v>
      </c>
      <c r="F72" s="3">
        <v>14.4689547347021</v>
      </c>
      <c r="G72" s="3">
        <v>18.456408949185601</v>
      </c>
      <c r="H72" s="3">
        <v>13.432665796561601</v>
      </c>
      <c r="I72" s="3">
        <v>24.106767404802401</v>
      </c>
      <c r="J72" s="3">
        <v>18.8568789038377</v>
      </c>
      <c r="K72" s="3">
        <v>15.075355658555599</v>
      </c>
      <c r="L72" s="3">
        <v>18.018331827307499</v>
      </c>
      <c r="M72" s="3">
        <v>16.999579163430901</v>
      </c>
      <c r="N72" s="3">
        <v>11.8042046385782</v>
      </c>
    </row>
    <row r="73" spans="1:14" x14ac:dyDescent="0.35">
      <c r="A73" s="2">
        <v>43901</v>
      </c>
      <c r="B73" s="3">
        <v>24.896876028643899</v>
      </c>
      <c r="C73" s="3">
        <v>14.8577018102295</v>
      </c>
      <c r="D73" s="3">
        <v>12.3609884938578</v>
      </c>
      <c r="E73" s="3">
        <v>11.2420323231631</v>
      </c>
      <c r="F73" s="3">
        <v>12.0433411624242</v>
      </c>
      <c r="G73" s="3">
        <v>15.5532674730645</v>
      </c>
      <c r="H73" s="3">
        <v>10.9508504682805</v>
      </c>
      <c r="I73" s="3">
        <v>20.242459975589998</v>
      </c>
      <c r="J73" s="3">
        <v>15.491952516579801</v>
      </c>
      <c r="K73" s="3">
        <v>12.1559399765045</v>
      </c>
      <c r="L73" s="3">
        <v>14.2445133943651</v>
      </c>
      <c r="M73" s="3">
        <v>13.5133720539388</v>
      </c>
      <c r="N73" s="3">
        <v>8.7559871226185493</v>
      </c>
    </row>
    <row r="74" spans="1:14" x14ac:dyDescent="0.35">
      <c r="A74" s="2">
        <v>43930</v>
      </c>
      <c r="B74" s="3">
        <v>26.4067438196473</v>
      </c>
      <c r="C74" s="3">
        <v>15.7640645999622</v>
      </c>
      <c r="D74" s="3">
        <v>14.693336572665901</v>
      </c>
      <c r="E74" s="3">
        <v>13.5012910233363</v>
      </c>
      <c r="F74" s="3">
        <v>12.8765985722734</v>
      </c>
      <c r="G74" s="3">
        <v>17.201386624659001</v>
      </c>
      <c r="H74" s="3">
        <v>13.2268588411147</v>
      </c>
      <c r="I74" s="3">
        <v>22.278983367504399</v>
      </c>
      <c r="J74" s="3">
        <v>17.992098639316499</v>
      </c>
      <c r="K74" s="3">
        <v>14.490862313497701</v>
      </c>
      <c r="L74" s="3">
        <v>15.830023979878099</v>
      </c>
      <c r="M74" s="3">
        <v>15.6659802455603</v>
      </c>
      <c r="N74" s="3">
        <v>10.5489472602225</v>
      </c>
    </row>
    <row r="75" spans="1:14" x14ac:dyDescent="0.35">
      <c r="A75" s="2">
        <v>43962</v>
      </c>
      <c r="B75" s="3">
        <v>30.2453716660557</v>
      </c>
      <c r="C75" s="3">
        <v>17.413832662833698</v>
      </c>
      <c r="D75" s="3">
        <v>17.674745069575302</v>
      </c>
      <c r="E75" s="3">
        <v>15.2945283110361</v>
      </c>
      <c r="F75" s="3">
        <v>14.4032324505189</v>
      </c>
      <c r="G75" s="3">
        <v>18.4684854374838</v>
      </c>
      <c r="H75" s="3">
        <v>15.127820986487</v>
      </c>
      <c r="I75" s="3">
        <v>26.6691373875042</v>
      </c>
      <c r="J75" s="3">
        <v>20.856103858406001</v>
      </c>
      <c r="K75" s="3">
        <v>16.5512753544335</v>
      </c>
      <c r="L75" s="3">
        <v>17.534548504570999</v>
      </c>
      <c r="M75" s="3">
        <v>18.046923904405901</v>
      </c>
      <c r="N75" s="3">
        <v>14.9128710219147</v>
      </c>
    </row>
    <row r="76" spans="1:14" x14ac:dyDescent="0.35">
      <c r="A76" s="2">
        <v>43993</v>
      </c>
      <c r="B76" s="3">
        <v>30.295418824275298</v>
      </c>
      <c r="C76" s="3">
        <v>19.3763788261573</v>
      </c>
      <c r="D76" s="3">
        <v>17.5365475514038</v>
      </c>
      <c r="E76" s="3">
        <v>17.3699323788362</v>
      </c>
      <c r="F76" s="3">
        <v>17.335600170527801</v>
      </c>
      <c r="G76" s="3">
        <v>18.9415663556914</v>
      </c>
      <c r="H76" s="3">
        <v>15.9053278761599</v>
      </c>
      <c r="I76" s="3">
        <v>27.232048694027402</v>
      </c>
      <c r="J76" s="3">
        <v>21.204887355433598</v>
      </c>
      <c r="K76" s="3">
        <v>18.232328944508701</v>
      </c>
      <c r="L76" s="3">
        <v>18.827555379869999</v>
      </c>
      <c r="M76" s="3">
        <v>18.438395840149202</v>
      </c>
      <c r="N76" s="3">
        <v>17.116784832088602</v>
      </c>
    </row>
    <row r="77" spans="1:14" x14ac:dyDescent="0.35">
      <c r="A77" s="2">
        <v>44022</v>
      </c>
      <c r="B77" s="3">
        <v>31.497270905286602</v>
      </c>
      <c r="C77" s="3">
        <v>18.816503995777701</v>
      </c>
      <c r="D77" s="3">
        <v>17.5855953729004</v>
      </c>
      <c r="E77" s="3">
        <v>18.308896687491899</v>
      </c>
      <c r="F77" s="3">
        <v>17.493828123336598</v>
      </c>
      <c r="G77" s="3">
        <v>19.6272246483842</v>
      </c>
      <c r="H77" s="3">
        <v>15.611971592685</v>
      </c>
      <c r="I77" s="3">
        <v>30.070499292837699</v>
      </c>
      <c r="J77" s="3">
        <v>22.2065892553628</v>
      </c>
      <c r="K77" s="3">
        <v>19.181058157803299</v>
      </c>
      <c r="L77" s="3">
        <v>20.107883740016199</v>
      </c>
      <c r="M77" s="3">
        <v>19.518337902133101</v>
      </c>
      <c r="N77" s="3">
        <v>17.324407478026998</v>
      </c>
    </row>
    <row r="78" spans="1:14" x14ac:dyDescent="0.35">
      <c r="A78" s="2">
        <v>44054</v>
      </c>
      <c r="B78" s="3">
        <v>32.151854986707797</v>
      </c>
      <c r="C78" s="3">
        <v>19.527874151212899</v>
      </c>
      <c r="D78" s="3">
        <v>17.570813336177199</v>
      </c>
      <c r="E78" s="3">
        <v>18.086313537972501</v>
      </c>
      <c r="F78" s="3">
        <v>17.9964213850254</v>
      </c>
      <c r="G78" s="3">
        <v>19.447616201949899</v>
      </c>
      <c r="H78" s="3">
        <v>15.7583813548374</v>
      </c>
      <c r="I78" s="3">
        <v>28.557921330381198</v>
      </c>
      <c r="J78" s="3">
        <v>22.163913936704599</v>
      </c>
      <c r="K78" s="3">
        <v>20.044610679640201</v>
      </c>
      <c r="L78" s="3">
        <v>19.934859034442098</v>
      </c>
      <c r="M78" s="3">
        <v>18.923300691637799</v>
      </c>
      <c r="N78" s="3">
        <v>16.7733821331543</v>
      </c>
    </row>
    <row r="79" spans="1:14" x14ac:dyDescent="0.35">
      <c r="A79" s="2">
        <v>44085</v>
      </c>
      <c r="B79" s="3">
        <v>32.100482047173301</v>
      </c>
      <c r="C79" s="3">
        <v>18.473219825056599</v>
      </c>
      <c r="D79" s="3">
        <v>16.747630176198999</v>
      </c>
      <c r="E79" s="3">
        <v>17.749547414012302</v>
      </c>
      <c r="F79" s="3">
        <v>18.368963465181199</v>
      </c>
      <c r="G79" s="3">
        <v>19.554147192866399</v>
      </c>
      <c r="H79" s="3">
        <v>15.0329870958657</v>
      </c>
      <c r="I79" s="3">
        <v>28.645969421719101</v>
      </c>
      <c r="J79" s="3">
        <v>21.676224830929801</v>
      </c>
      <c r="K79" s="3">
        <v>19.271567153787998</v>
      </c>
      <c r="L79" s="3">
        <v>19.558688029677299</v>
      </c>
      <c r="M79" s="3">
        <v>18.262524215823198</v>
      </c>
      <c r="N79" s="3">
        <v>15.7376439361044</v>
      </c>
    </row>
    <row r="80" spans="1:14" x14ac:dyDescent="0.35">
      <c r="A80" s="2">
        <v>44113</v>
      </c>
      <c r="B80" s="3">
        <v>33.165620467497902</v>
      </c>
      <c r="C80" s="3">
        <v>18.786548073320201</v>
      </c>
      <c r="D80" s="3">
        <v>16.4952905881851</v>
      </c>
      <c r="E80" s="3">
        <v>16.9524946131353</v>
      </c>
      <c r="F80" s="3">
        <v>18.203171155479101</v>
      </c>
      <c r="G80" s="3">
        <v>19.1489146403025</v>
      </c>
      <c r="H80" s="3">
        <v>14.5779776535393</v>
      </c>
      <c r="I80" s="3">
        <v>29.8249901906179</v>
      </c>
      <c r="J80" s="3">
        <v>22.102794035485498</v>
      </c>
      <c r="K80" s="3">
        <v>18.447469153100499</v>
      </c>
      <c r="L80" s="3">
        <v>19.8932719844796</v>
      </c>
      <c r="M80" s="3">
        <v>18.3315300423344</v>
      </c>
      <c r="N80" s="3">
        <v>14.815388534663599</v>
      </c>
    </row>
    <row r="81" spans="1:14" x14ac:dyDescent="0.35">
      <c r="A81" s="2">
        <v>44146</v>
      </c>
      <c r="B81" s="3">
        <v>32.9937032055781</v>
      </c>
      <c r="C81" s="3">
        <v>19.261795449331402</v>
      </c>
      <c r="D81" s="3">
        <v>16.145760442999102</v>
      </c>
      <c r="E81" s="3">
        <v>16.162697493570899</v>
      </c>
      <c r="F81" s="3">
        <v>18.5160882290347</v>
      </c>
      <c r="G81" s="3">
        <v>19.048940851757099</v>
      </c>
      <c r="H81" s="3">
        <v>14.858434212399001</v>
      </c>
      <c r="I81" s="3">
        <v>29.1315704201755</v>
      </c>
      <c r="J81" s="3">
        <v>21.860496441155998</v>
      </c>
      <c r="K81" s="3">
        <v>19.1714286778471</v>
      </c>
      <c r="L81" s="3">
        <v>20.619540166499998</v>
      </c>
      <c r="M81" s="3">
        <v>17.143305182729801</v>
      </c>
      <c r="N81" s="3">
        <v>14.8602130540076</v>
      </c>
    </row>
    <row r="82" spans="1:14" x14ac:dyDescent="0.35">
      <c r="A82" s="2">
        <v>44176</v>
      </c>
      <c r="B82" s="3">
        <v>33.229776290467001</v>
      </c>
      <c r="C82" s="3">
        <v>19.254131767378301</v>
      </c>
      <c r="D82" s="3">
        <v>16.1704747839626</v>
      </c>
      <c r="E82" s="3">
        <v>15.7103252375938</v>
      </c>
      <c r="F82" s="3">
        <v>18.482922240209799</v>
      </c>
      <c r="G82" s="3">
        <v>18.409198605718601</v>
      </c>
      <c r="H82" s="3">
        <v>14.799699780026099</v>
      </c>
      <c r="I82" s="3">
        <v>29.6192077554355</v>
      </c>
      <c r="J82" s="3">
        <v>21.860331550008201</v>
      </c>
      <c r="K82" s="3">
        <v>18.481865124815702</v>
      </c>
      <c r="L82" s="3">
        <v>20.201165814405002</v>
      </c>
      <c r="M82" s="3">
        <v>17.170569765512798</v>
      </c>
      <c r="N82" s="3">
        <v>14.7921811915182</v>
      </c>
    </row>
    <row r="83" spans="1:14" x14ac:dyDescent="0.35">
      <c r="A83" s="2">
        <v>44207</v>
      </c>
      <c r="B83" s="3">
        <v>34.3189478681902</v>
      </c>
      <c r="C83" s="3">
        <v>19.273089005235999</v>
      </c>
      <c r="D83" s="3">
        <v>16.1667006994007</v>
      </c>
      <c r="E83" s="3">
        <v>16.175994774214399</v>
      </c>
      <c r="F83" s="3">
        <v>18.7209638282424</v>
      </c>
      <c r="G83" s="3">
        <v>19.033005451417001</v>
      </c>
      <c r="H83" s="3">
        <v>14.7103256562065</v>
      </c>
      <c r="I83" s="3">
        <v>29.9074238277943</v>
      </c>
      <c r="J83" s="3">
        <v>22.505749952758499</v>
      </c>
      <c r="K83" s="3">
        <v>18.1052229641259</v>
      </c>
      <c r="L83" s="3">
        <v>21.026909025418298</v>
      </c>
      <c r="M83" s="3">
        <v>18.638234351234999</v>
      </c>
      <c r="N83" s="3">
        <v>14.9427126998914</v>
      </c>
    </row>
    <row r="84" spans="1:14" x14ac:dyDescent="0.35">
      <c r="A84" s="2">
        <v>44238</v>
      </c>
      <c r="B84" s="3">
        <v>31.961673698861599</v>
      </c>
      <c r="C84" s="3">
        <v>19.189058662722498</v>
      </c>
      <c r="D84" s="3">
        <v>16.182230763625402</v>
      </c>
      <c r="E84" s="3">
        <v>15.873965354587</v>
      </c>
      <c r="F84" s="3">
        <v>18.917572661218301</v>
      </c>
      <c r="G84" s="3">
        <v>18.942724000044699</v>
      </c>
      <c r="H84" s="3">
        <v>13.949476834647299</v>
      </c>
      <c r="I84" s="3">
        <v>30.150357578062501</v>
      </c>
      <c r="J84" s="3">
        <v>22.1979802458882</v>
      </c>
      <c r="K84" s="3">
        <v>17.8465357435994</v>
      </c>
      <c r="L84" s="3">
        <v>22.466099111179901</v>
      </c>
      <c r="M84" s="3">
        <v>18.723297822688401</v>
      </c>
      <c r="N84" s="3">
        <v>14.3289421919993</v>
      </c>
    </row>
    <row r="85" spans="1:14" x14ac:dyDescent="0.35">
      <c r="A85" s="2">
        <v>44266</v>
      </c>
      <c r="B85" s="3">
        <v>31.8353417216934</v>
      </c>
      <c r="C85" s="3">
        <v>17.981785040402499</v>
      </c>
      <c r="D85" s="3">
        <v>15.5852539170192</v>
      </c>
      <c r="E85" s="3">
        <v>15.979753299864599</v>
      </c>
      <c r="F85" s="3">
        <v>17.702728937507999</v>
      </c>
      <c r="G85" s="3">
        <v>18.636689898246299</v>
      </c>
      <c r="H85" s="3">
        <v>14.082387117383901</v>
      </c>
      <c r="I85" s="3">
        <v>27.994959664030901</v>
      </c>
      <c r="J85" s="3">
        <v>21.929211732625799</v>
      </c>
      <c r="K85" s="3">
        <v>18.437440558128401</v>
      </c>
      <c r="L85" s="3">
        <v>21.9352286901822</v>
      </c>
      <c r="M85" s="3">
        <v>20.092939355077601</v>
      </c>
      <c r="N85" s="3">
        <v>13.984067020280801</v>
      </c>
    </row>
    <row r="86" spans="1:14" x14ac:dyDescent="0.35">
      <c r="A86" s="2">
        <v>44295</v>
      </c>
      <c r="B86" s="3">
        <v>32.257058569745801</v>
      </c>
      <c r="C86" s="3">
        <v>18.082195436540498</v>
      </c>
      <c r="D86" s="3">
        <v>15.601776375753801</v>
      </c>
      <c r="E86" s="3">
        <v>16.2407683184531</v>
      </c>
      <c r="F86" s="3">
        <v>17.4869297669471</v>
      </c>
      <c r="G86" s="3">
        <v>19.431866213927499</v>
      </c>
      <c r="H86" s="3">
        <v>13.539406011859899</v>
      </c>
      <c r="I86" s="3">
        <v>29.443319384506498</v>
      </c>
      <c r="J86" s="3">
        <v>22.5335517030286</v>
      </c>
      <c r="K86" s="3">
        <v>18.335129129347099</v>
      </c>
      <c r="L86" s="3">
        <v>22.884572394940498</v>
      </c>
      <c r="M86" s="3">
        <v>20.608298676586799</v>
      </c>
      <c r="N86" s="3">
        <v>13.8515871782921</v>
      </c>
    </row>
    <row r="87" spans="1:14" x14ac:dyDescent="0.35">
      <c r="A87" s="2">
        <v>44327</v>
      </c>
      <c r="B87" s="3">
        <v>32.902193180933402</v>
      </c>
      <c r="C87" s="3">
        <v>18.0681195699038</v>
      </c>
      <c r="D87" s="3">
        <v>15.438227557426799</v>
      </c>
      <c r="E87" s="3">
        <v>14.7275098968174</v>
      </c>
      <c r="F87" s="3">
        <v>16.6088308315788</v>
      </c>
      <c r="G87" s="3">
        <v>18.756354951486902</v>
      </c>
      <c r="H87" s="3">
        <v>13.1801255662324</v>
      </c>
      <c r="I87" s="3">
        <v>26.553975086384501</v>
      </c>
      <c r="J87" s="3">
        <v>21.274945175356901</v>
      </c>
      <c r="K87" s="3">
        <v>17.585243563891801</v>
      </c>
      <c r="L87" s="3">
        <v>21.064274245399599</v>
      </c>
      <c r="M87" s="3">
        <v>17.745147048646</v>
      </c>
      <c r="N87" s="3">
        <v>13.1546707212197</v>
      </c>
    </row>
    <row r="88" spans="1:14" x14ac:dyDescent="0.35">
      <c r="A88" s="2">
        <v>44358</v>
      </c>
      <c r="B88" s="3">
        <v>33.149293119320198</v>
      </c>
      <c r="C88" s="3">
        <v>18.127207576317499</v>
      </c>
      <c r="D88" s="3">
        <v>15.582146778551101</v>
      </c>
      <c r="E88" s="3">
        <v>15.0181175056891</v>
      </c>
      <c r="F88" s="3">
        <v>16.480393294794201</v>
      </c>
      <c r="G88" s="3">
        <v>19.893438159997402</v>
      </c>
      <c r="H88" s="3">
        <v>13.2186602462703</v>
      </c>
      <c r="I88" s="3">
        <v>27.400508478961999</v>
      </c>
      <c r="J88" s="3">
        <v>21.346899473336801</v>
      </c>
      <c r="K88" s="3">
        <v>17.9958551420346</v>
      </c>
      <c r="L88" s="3">
        <v>21.637078633033099</v>
      </c>
      <c r="M88" s="3">
        <v>18.695757495204699</v>
      </c>
      <c r="N88" s="3">
        <v>13.7436947531938</v>
      </c>
    </row>
    <row r="89" spans="1:14" x14ac:dyDescent="0.35">
      <c r="A89" s="2">
        <v>44386</v>
      </c>
      <c r="B89" s="3">
        <v>34.323605971582801</v>
      </c>
      <c r="C89" s="3">
        <v>17.0199912304574</v>
      </c>
      <c r="D89" s="3">
        <v>15.5256302553181</v>
      </c>
      <c r="E89" s="3">
        <v>14.7021255947833</v>
      </c>
      <c r="F89" s="3">
        <v>15.8682688870286</v>
      </c>
      <c r="G89" s="3">
        <v>19.7674143902215</v>
      </c>
      <c r="H89" s="3">
        <v>12.6549612460289</v>
      </c>
      <c r="I89" s="3">
        <v>28.735735486431601</v>
      </c>
      <c r="J89" s="3">
        <v>21.637481115717002</v>
      </c>
      <c r="K89" s="3">
        <v>17.249547010602502</v>
      </c>
      <c r="L89" s="3">
        <v>21.094524208068101</v>
      </c>
      <c r="M89" s="3">
        <v>18.886115646779899</v>
      </c>
      <c r="N89" s="3">
        <v>13.134379470346801</v>
      </c>
    </row>
    <row r="90" spans="1:14" x14ac:dyDescent="0.35">
      <c r="A90" s="2">
        <v>44419</v>
      </c>
      <c r="B90" s="3">
        <v>33.786966955077801</v>
      </c>
      <c r="C90" s="3">
        <v>17.221766617484601</v>
      </c>
      <c r="D90" s="3">
        <v>15.1078359664142</v>
      </c>
      <c r="E90" s="3">
        <v>14.3061093032758</v>
      </c>
      <c r="F90" s="3">
        <v>15.813586303757001</v>
      </c>
      <c r="G90" s="3">
        <v>19.912565258322999</v>
      </c>
      <c r="H90" s="3">
        <v>12.4487261259886</v>
      </c>
      <c r="I90" s="3">
        <v>27.812755613841599</v>
      </c>
      <c r="J90" s="3">
        <v>21.070823654683899</v>
      </c>
      <c r="K90" s="3">
        <v>16.8733901886837</v>
      </c>
      <c r="L90" s="3">
        <v>21.799261229106001</v>
      </c>
      <c r="M90" s="3">
        <v>18.705274099694101</v>
      </c>
      <c r="N90" s="3">
        <v>12.4119748862931</v>
      </c>
    </row>
    <row r="91" spans="1:14" x14ac:dyDescent="0.35">
      <c r="A91" s="2">
        <v>44449</v>
      </c>
      <c r="B91" s="3">
        <v>34.688577725070502</v>
      </c>
      <c r="C91" s="3">
        <v>17.016473567125701</v>
      </c>
      <c r="D91" s="3">
        <v>14.8635048274522</v>
      </c>
      <c r="E91" s="3">
        <v>14.026782700161201</v>
      </c>
      <c r="F91" s="3">
        <v>16.123062592950198</v>
      </c>
      <c r="G91" s="3">
        <v>19.291137408154999</v>
      </c>
      <c r="H91" s="3">
        <v>11.976314990376901</v>
      </c>
      <c r="I91" s="3">
        <v>28.255653784657401</v>
      </c>
      <c r="J91" s="3">
        <v>20.882397423597801</v>
      </c>
      <c r="K91" s="3">
        <v>16.211765706019001</v>
      </c>
      <c r="L91" s="3">
        <v>21.7374728854113</v>
      </c>
      <c r="M91" s="3">
        <v>18.474485128865201</v>
      </c>
      <c r="N91" s="3">
        <v>11.719117586318299</v>
      </c>
    </row>
    <row r="92" spans="1:14" x14ac:dyDescent="0.35">
      <c r="A92" s="2">
        <v>44480</v>
      </c>
      <c r="B92" s="3">
        <v>33.589693216148802</v>
      </c>
      <c r="C92" s="3">
        <v>17.254234465607102</v>
      </c>
      <c r="D92" s="3">
        <v>14.557841287259301</v>
      </c>
      <c r="E92" s="3">
        <v>13.4696918437782</v>
      </c>
      <c r="F92" s="3">
        <v>15.1710522281862</v>
      </c>
      <c r="G92" s="3">
        <v>18.440787499336</v>
      </c>
      <c r="H92" s="3">
        <v>12.1561525044762</v>
      </c>
      <c r="I92" s="3">
        <v>26.8525758160796</v>
      </c>
      <c r="J92" s="3">
        <v>20.3027266116136</v>
      </c>
      <c r="K92" s="3">
        <v>15.5196468788436</v>
      </c>
      <c r="L92" s="3">
        <v>20.171555133662199</v>
      </c>
      <c r="M92" s="3">
        <v>17.6308297371889</v>
      </c>
      <c r="N92" s="3">
        <v>11.615399947347001</v>
      </c>
    </row>
    <row r="93" spans="1:14" x14ac:dyDescent="0.35">
      <c r="A93" s="2">
        <v>44511</v>
      </c>
      <c r="B93" s="3">
        <v>33.386919179028602</v>
      </c>
      <c r="C93" s="3">
        <v>17.340521166986601</v>
      </c>
      <c r="D93" s="3">
        <v>14.981237394112901</v>
      </c>
      <c r="E93" s="3">
        <v>13.7916031509668</v>
      </c>
      <c r="F93" s="3">
        <v>15.2131549163465</v>
      </c>
      <c r="G93" s="3">
        <v>19.3351641493919</v>
      </c>
      <c r="H93" s="3">
        <v>12.1852295371646</v>
      </c>
      <c r="I93" s="3">
        <v>29.101237116900901</v>
      </c>
      <c r="J93" s="3">
        <v>21.254332139861098</v>
      </c>
      <c r="K93" s="3">
        <v>15.916357502391699</v>
      </c>
      <c r="L93" s="3">
        <v>21.423722732946199</v>
      </c>
      <c r="M93" s="3">
        <v>18.7555549968734</v>
      </c>
      <c r="N93" s="3">
        <v>11.751245684555601</v>
      </c>
    </row>
    <row r="94" spans="1:14" x14ac:dyDescent="0.35">
      <c r="A94" s="2">
        <v>44540</v>
      </c>
      <c r="B94" s="3">
        <v>32.437050414224998</v>
      </c>
      <c r="C94" s="3">
        <v>17.2270474645054</v>
      </c>
      <c r="D94" s="3">
        <v>14.2121602392571</v>
      </c>
      <c r="E94" s="3">
        <v>13.2988018746995</v>
      </c>
      <c r="F94" s="3">
        <v>14.532284279505401</v>
      </c>
      <c r="G94" s="3">
        <v>19.339885545801799</v>
      </c>
      <c r="H94" s="3">
        <v>11.937358230028</v>
      </c>
      <c r="I94" s="3">
        <v>29.1991789256011</v>
      </c>
      <c r="J94" s="3">
        <v>21.212495594000401</v>
      </c>
      <c r="K94" s="3">
        <v>15.556016209513199</v>
      </c>
      <c r="L94" s="3">
        <v>20.2110600110374</v>
      </c>
      <c r="M94" s="3">
        <v>18.996049988237601</v>
      </c>
      <c r="N94" s="3">
        <v>10.8563034542595</v>
      </c>
    </row>
    <row r="95" spans="1:14" x14ac:dyDescent="0.35">
      <c r="A95" s="2">
        <v>44572</v>
      </c>
      <c r="B95" s="3">
        <v>31.5721355438606</v>
      </c>
      <c r="C95" s="3">
        <v>17.296331608498701</v>
      </c>
      <c r="D95" s="3">
        <v>14.394473156410101</v>
      </c>
      <c r="E95" s="3">
        <v>13.3637051163303</v>
      </c>
      <c r="F95" s="3">
        <v>14.4476577894256</v>
      </c>
      <c r="G95" s="3">
        <v>19.1540521443617</v>
      </c>
      <c r="H95" s="3">
        <v>12.3552529551934</v>
      </c>
      <c r="I95" s="3">
        <v>28.2028649927346</v>
      </c>
      <c r="J95" s="3">
        <v>21.010031975472401</v>
      </c>
      <c r="K95" s="3">
        <v>15.6782467912998</v>
      </c>
      <c r="L95" s="3">
        <v>19.867914997265299</v>
      </c>
      <c r="M95" s="3">
        <v>17.7119673528988</v>
      </c>
      <c r="N95" s="3">
        <v>11.1790075066485</v>
      </c>
    </row>
    <row r="96" spans="1:14" x14ac:dyDescent="0.35">
      <c r="A96" s="2">
        <v>44603</v>
      </c>
      <c r="B96" s="3">
        <v>30.002821874121</v>
      </c>
      <c r="C96" s="3">
        <v>15.9710431809822</v>
      </c>
      <c r="D96" s="3">
        <v>14.3682561642342</v>
      </c>
      <c r="E96" s="3">
        <v>12.8247843396248</v>
      </c>
      <c r="F96" s="3">
        <v>13.910999708534099</v>
      </c>
      <c r="G96" s="3">
        <v>18.345573487205002</v>
      </c>
      <c r="H96" s="3">
        <v>12.4026246652188</v>
      </c>
      <c r="I96" s="3">
        <v>25.076205103321001</v>
      </c>
      <c r="J96" s="3">
        <v>19.4379540316197</v>
      </c>
      <c r="K96" s="3">
        <v>14.6430222366706</v>
      </c>
      <c r="L96" s="3">
        <v>18.4049098023489</v>
      </c>
      <c r="M96" s="3">
        <v>16.430317413912299</v>
      </c>
      <c r="N96" s="3">
        <v>10.6758535162701</v>
      </c>
    </row>
    <row r="97" spans="1:14" x14ac:dyDescent="0.35">
      <c r="A97" s="2">
        <v>44631</v>
      </c>
      <c r="B97" s="3">
        <v>28.666404040804601</v>
      </c>
      <c r="C97" s="3">
        <v>15.4753693266256</v>
      </c>
      <c r="D97" s="3">
        <v>13.5264539735141</v>
      </c>
      <c r="E97" s="3">
        <v>11.076821683006299</v>
      </c>
      <c r="F97" s="3">
        <v>12.3255869714372</v>
      </c>
      <c r="G97" s="3">
        <v>17.2783782289093</v>
      </c>
      <c r="H97" s="3">
        <v>11.300241350372801</v>
      </c>
      <c r="I97" s="3">
        <v>23.047884399698098</v>
      </c>
      <c r="J97" s="3">
        <v>18.20852016684</v>
      </c>
      <c r="K97" s="3">
        <v>13.0021870454752</v>
      </c>
      <c r="L97" s="3">
        <v>16.6233333865882</v>
      </c>
      <c r="M97" s="3">
        <v>14.7317379487327</v>
      </c>
      <c r="N97" s="3">
        <v>9.1821889784922401</v>
      </c>
    </row>
    <row r="98" spans="1:14" x14ac:dyDescent="0.35">
      <c r="A98" s="2">
        <v>44662</v>
      </c>
      <c r="B98" s="3">
        <v>28.3278762567478</v>
      </c>
      <c r="C98" s="3">
        <v>15.8531807318743</v>
      </c>
      <c r="D98" s="3">
        <v>13.3920569808281</v>
      </c>
      <c r="E98" s="3">
        <v>11.394441027312601</v>
      </c>
      <c r="F98" s="3">
        <v>12.843639920229</v>
      </c>
      <c r="G98" s="3">
        <v>18.681740447829402</v>
      </c>
      <c r="H98" s="3">
        <v>11.240085705904001</v>
      </c>
      <c r="I98" s="3">
        <v>24.073458384705699</v>
      </c>
      <c r="J98" s="3">
        <v>18.8756467470762</v>
      </c>
      <c r="K98" s="3">
        <v>13.206569887355</v>
      </c>
      <c r="L98" s="3">
        <v>17.610059280484801</v>
      </c>
      <c r="M98" s="3">
        <v>14.971730038163599</v>
      </c>
      <c r="N98" s="3">
        <v>9.6939694123404898</v>
      </c>
    </row>
    <row r="99" spans="1:14" x14ac:dyDescent="0.35">
      <c r="A99" s="2">
        <v>44692</v>
      </c>
      <c r="B99" s="3">
        <v>27.843531172671302</v>
      </c>
      <c r="C99" s="3">
        <v>14.149024800812001</v>
      </c>
      <c r="D99" s="3">
        <v>11.920747477160001</v>
      </c>
      <c r="E99" s="3">
        <v>10.6817189736856</v>
      </c>
      <c r="F99" s="3">
        <v>12.4213160872843</v>
      </c>
      <c r="G99" s="3">
        <v>16.840987814800901</v>
      </c>
      <c r="H99" s="3">
        <v>10.1903512516835</v>
      </c>
      <c r="I99" s="3">
        <v>20.773539200071401</v>
      </c>
      <c r="J99" s="3">
        <v>16.645157524025699</v>
      </c>
      <c r="K99" s="3">
        <v>12.1127900918689</v>
      </c>
      <c r="L99" s="3">
        <v>15.993537500248401</v>
      </c>
      <c r="M99" s="3">
        <v>15.6339949636196</v>
      </c>
      <c r="N99" s="3">
        <v>9.1260550893480801</v>
      </c>
    </row>
    <row r="100" spans="1:14" x14ac:dyDescent="0.35">
      <c r="A100" s="2">
        <v>44722</v>
      </c>
      <c r="B100" s="3">
        <v>26.025025820899</v>
      </c>
      <c r="C100" s="3">
        <v>13.453368530673499</v>
      </c>
      <c r="D100" s="3">
        <v>12.059516001118601</v>
      </c>
      <c r="E100" s="3">
        <v>10.4899894503914</v>
      </c>
      <c r="F100" s="3">
        <v>12.938835153109199</v>
      </c>
      <c r="G100" s="3">
        <v>15.9733284461668</v>
      </c>
      <c r="H100" s="3">
        <v>9.9884807797579107</v>
      </c>
      <c r="I100" s="3">
        <v>20.374703910448702</v>
      </c>
      <c r="J100" s="3">
        <v>16.317310833789001</v>
      </c>
      <c r="K100" s="3">
        <v>11.750463700128</v>
      </c>
      <c r="L100" s="3">
        <v>16.606528903610801</v>
      </c>
      <c r="M100" s="3">
        <v>15.1911907353676</v>
      </c>
      <c r="N100" s="3">
        <v>8.1645442922353197</v>
      </c>
    </row>
    <row r="101" spans="1:14" x14ac:dyDescent="0.35">
      <c r="A101" s="2">
        <v>44753</v>
      </c>
      <c r="B101" s="3">
        <v>25.864418330061099</v>
      </c>
      <c r="C101" s="3">
        <v>12.702674872909199</v>
      </c>
      <c r="D101" s="3">
        <v>11.092153557795299</v>
      </c>
      <c r="E101" s="3">
        <v>9.8014368453715495</v>
      </c>
      <c r="F101" s="3">
        <v>12.6038858667839</v>
      </c>
      <c r="G101" s="3">
        <v>16.107769001346199</v>
      </c>
      <c r="H101" s="3">
        <v>9.4683732408389307</v>
      </c>
      <c r="I101" s="3">
        <v>20.5467454967065</v>
      </c>
      <c r="J101" s="3">
        <v>16.1056699220279</v>
      </c>
      <c r="K101" s="3">
        <v>11.1083870408876</v>
      </c>
      <c r="L101" s="3">
        <v>16.086037776808801</v>
      </c>
      <c r="M101" s="3">
        <v>14.548442630450801</v>
      </c>
      <c r="N101" s="3">
        <v>7.7839779919698904</v>
      </c>
    </row>
    <row r="102" spans="1:14" x14ac:dyDescent="0.35">
      <c r="A102" s="2">
        <v>44784</v>
      </c>
      <c r="B102" s="3">
        <v>26.571319540855999</v>
      </c>
      <c r="C102" s="3">
        <v>14.164866447333401</v>
      </c>
      <c r="D102" s="3">
        <v>11.7380472650546</v>
      </c>
      <c r="E102" s="3">
        <v>10.2843869331814</v>
      </c>
      <c r="F102" s="3">
        <v>12.694921142030701</v>
      </c>
      <c r="G102" s="3">
        <v>17.012871864002399</v>
      </c>
      <c r="H102" s="3">
        <v>9.8335224881719405</v>
      </c>
      <c r="I102" s="3">
        <v>23.6993197307761</v>
      </c>
      <c r="J102" s="3">
        <v>17.780083778944501</v>
      </c>
      <c r="K102" s="3">
        <v>11.871376384738401</v>
      </c>
      <c r="L102" s="3">
        <v>17.813971361222499</v>
      </c>
      <c r="M102" s="3">
        <v>15.0684263547257</v>
      </c>
      <c r="N102" s="3">
        <v>7.7696884908353399</v>
      </c>
    </row>
    <row r="103" spans="1:14" x14ac:dyDescent="0.35">
      <c r="A103" s="2">
        <v>44813</v>
      </c>
      <c r="B103" s="3">
        <v>27.0220488287042</v>
      </c>
      <c r="C103" s="3">
        <v>13.6558920110344</v>
      </c>
      <c r="D103" s="3">
        <v>11.626240581114899</v>
      </c>
      <c r="E103" s="3">
        <v>9.81140267603935</v>
      </c>
      <c r="F103" s="3">
        <v>12.8495892686772</v>
      </c>
      <c r="G103" s="3">
        <v>16.201735308966601</v>
      </c>
      <c r="H103" s="3">
        <v>9.3115187694151</v>
      </c>
      <c r="I103" s="3">
        <v>22.319863675185299</v>
      </c>
      <c r="J103" s="3">
        <v>17.117750641554</v>
      </c>
      <c r="K103" s="3">
        <v>11.217216178619999</v>
      </c>
      <c r="L103" s="3">
        <v>16.221127531443599</v>
      </c>
      <c r="M103" s="3">
        <v>14.098732493293801</v>
      </c>
      <c r="N103" s="3">
        <v>7.64621193624032</v>
      </c>
    </row>
    <row r="104" spans="1:14" x14ac:dyDescent="0.35">
      <c r="A104" s="2">
        <v>44845</v>
      </c>
      <c r="B104" s="3">
        <v>23.702079487114201</v>
      </c>
      <c r="C104" s="3">
        <v>12.8345208882583</v>
      </c>
      <c r="D104" s="3">
        <v>10.633483834628001</v>
      </c>
      <c r="E104" s="3">
        <v>9.0478316180270397</v>
      </c>
      <c r="F104" s="3">
        <v>12.097459235294499</v>
      </c>
      <c r="G104" s="3">
        <v>14.796269903738001</v>
      </c>
      <c r="H104" s="3">
        <v>8.5711551344645294</v>
      </c>
      <c r="I104" s="3">
        <v>19.232779191454501</v>
      </c>
      <c r="J104" s="3">
        <v>15.207902594518201</v>
      </c>
      <c r="K104" s="3">
        <v>10.352241251922401</v>
      </c>
      <c r="L104" s="3">
        <v>14.0476674222637</v>
      </c>
      <c r="M104" s="3">
        <v>12.9401290765759</v>
      </c>
      <c r="N104" s="3">
        <v>7.2512160855449803</v>
      </c>
    </row>
    <row r="105" spans="1:14" x14ac:dyDescent="0.35">
      <c r="A105" s="2">
        <v>44876</v>
      </c>
      <c r="B105" s="3">
        <v>23.516688413296201</v>
      </c>
      <c r="C105" s="3">
        <v>14.26953039134</v>
      </c>
      <c r="D105" s="3">
        <v>11.9564720952585</v>
      </c>
      <c r="E105" s="3">
        <v>10.704518663433801</v>
      </c>
      <c r="F105" s="3">
        <v>12.881688622212801</v>
      </c>
      <c r="G105" s="3">
        <v>16.979621944777499</v>
      </c>
      <c r="H105" s="3">
        <v>9.39165872909164</v>
      </c>
      <c r="I105" s="3">
        <v>22.0148633063543</v>
      </c>
      <c r="J105" s="3">
        <v>17.325263143234501</v>
      </c>
      <c r="K105" s="3">
        <v>11.885943290822199</v>
      </c>
      <c r="L105" s="3">
        <v>16.293865281339599</v>
      </c>
      <c r="M105" s="3">
        <v>13.2401360851908</v>
      </c>
      <c r="N105" s="3">
        <v>8.2903370569823291</v>
      </c>
    </row>
    <row r="106" spans="1:14" x14ac:dyDescent="0.35">
      <c r="A106" s="2">
        <v>44904</v>
      </c>
      <c r="B106" s="3">
        <v>23.2466483788271</v>
      </c>
      <c r="C106" s="3">
        <v>14.453192080048799</v>
      </c>
      <c r="D106" s="3">
        <v>12.159486171524099</v>
      </c>
      <c r="E106" s="3">
        <v>10.705056573874399</v>
      </c>
      <c r="F106" s="3">
        <v>12.7500404392751</v>
      </c>
      <c r="G106" s="3">
        <v>16.7810872886181</v>
      </c>
      <c r="H106" s="3">
        <v>9.9415192173583407</v>
      </c>
      <c r="I106" s="3">
        <v>21.4621614400432</v>
      </c>
      <c r="J106" s="3">
        <v>17.051782011544201</v>
      </c>
      <c r="K106" s="3">
        <v>12.1441884038369</v>
      </c>
      <c r="L106" s="3">
        <v>16.342847603104701</v>
      </c>
      <c r="M106" s="3">
        <v>13.276182285260999</v>
      </c>
      <c r="N106" s="3">
        <v>7.7910508857829299</v>
      </c>
    </row>
    <row r="107" spans="1:14" x14ac:dyDescent="0.35">
      <c r="A107" s="2">
        <v>44937</v>
      </c>
      <c r="B107" s="3">
        <v>23.431725048813998</v>
      </c>
      <c r="C107" s="3">
        <v>14.2521793611965</v>
      </c>
      <c r="D107" s="3">
        <v>12.398301199064299</v>
      </c>
      <c r="E107" s="3">
        <v>11.302358754811699</v>
      </c>
      <c r="F107" s="3">
        <v>12.3444861113031</v>
      </c>
      <c r="G107" s="3">
        <v>17.123578587953698</v>
      </c>
      <c r="H107" s="3">
        <v>10.209156475051</v>
      </c>
      <c r="I107" s="3">
        <v>21.720094289093598</v>
      </c>
      <c r="J107" s="3">
        <v>17.270951153833401</v>
      </c>
      <c r="K107" s="3">
        <v>12.709037954054301</v>
      </c>
      <c r="L107" s="3">
        <v>16.828350843520798</v>
      </c>
      <c r="M107" s="3">
        <v>13.6234290761236</v>
      </c>
      <c r="N107" s="3">
        <v>8.1583034203766207</v>
      </c>
    </row>
    <row r="108" spans="1:14" x14ac:dyDescent="0.35">
      <c r="A108" s="2">
        <v>44967</v>
      </c>
      <c r="B108" s="3">
        <v>24.4308318321944</v>
      </c>
      <c r="C108" s="3">
        <v>14.822442698247199</v>
      </c>
      <c r="D108" s="3">
        <v>12.8805298087573</v>
      </c>
      <c r="E108" s="3">
        <v>11.637674396539101</v>
      </c>
      <c r="F108" s="3">
        <v>13.0466678335385</v>
      </c>
      <c r="G108" s="3">
        <v>17.033805211601901</v>
      </c>
      <c r="H108" s="3">
        <v>10.5515497273308</v>
      </c>
      <c r="I108" s="3">
        <v>23.789883525283599</v>
      </c>
      <c r="J108" s="3">
        <v>18.062989302959799</v>
      </c>
      <c r="K108" s="3">
        <v>13.1137430238929</v>
      </c>
      <c r="L108" s="3">
        <v>16.8701209528937</v>
      </c>
      <c r="M108" s="3">
        <v>13.9506559932525</v>
      </c>
      <c r="N108" s="3">
        <v>8.4001322415510806</v>
      </c>
    </row>
    <row r="109" spans="1:14" x14ac:dyDescent="0.35">
      <c r="A109" s="2">
        <v>44995</v>
      </c>
      <c r="B109" s="3">
        <v>23.112869183847899</v>
      </c>
      <c r="C109" s="3">
        <v>14.132160683637199</v>
      </c>
      <c r="D109" s="3">
        <v>12.471429894315699</v>
      </c>
      <c r="E109" s="3">
        <v>11.471697448164599</v>
      </c>
      <c r="F109" s="3">
        <v>13.277281242732601</v>
      </c>
      <c r="G109" s="3">
        <v>16.650808198940201</v>
      </c>
      <c r="H109" s="3">
        <v>10.32587977174</v>
      </c>
      <c r="I109" s="3">
        <v>22.620721558453301</v>
      </c>
      <c r="J109" s="3">
        <v>16.973388044129599</v>
      </c>
      <c r="K109" s="3">
        <v>13.145543168300099</v>
      </c>
      <c r="L109" s="3">
        <v>16.186811505690098</v>
      </c>
      <c r="M109" s="3">
        <v>13.6977549415334</v>
      </c>
      <c r="N109" s="3">
        <v>8.5595105920185706</v>
      </c>
    </row>
    <row r="110" spans="1:14" x14ac:dyDescent="0.35">
      <c r="A110" s="2">
        <v>45027</v>
      </c>
      <c r="B110" s="3">
        <v>23.352609508445202</v>
      </c>
      <c r="C110" s="3">
        <v>14.579912865383299</v>
      </c>
      <c r="D110" s="3">
        <v>12.8849376191797</v>
      </c>
      <c r="E110" s="3">
        <v>11.3588256307445</v>
      </c>
      <c r="F110" s="3">
        <v>13.0943028146334</v>
      </c>
      <c r="G110" s="3">
        <v>17.3460177269749</v>
      </c>
      <c r="H110" s="3">
        <v>10.639654040266601</v>
      </c>
      <c r="I110" s="3">
        <v>24.558723453299802</v>
      </c>
      <c r="J110" s="3">
        <v>18.087697671849799</v>
      </c>
      <c r="K110" s="3">
        <v>13.4359107080782</v>
      </c>
      <c r="L110" s="3">
        <v>16.331331335967299</v>
      </c>
      <c r="M110" s="3">
        <v>13.6474612597885</v>
      </c>
      <c r="N110" s="3">
        <v>8.6458488113212706</v>
      </c>
    </row>
    <row r="111" spans="1:14" x14ac:dyDescent="0.35">
      <c r="A111" s="2">
        <v>45057</v>
      </c>
      <c r="B111" s="3">
        <v>23.393652333776501</v>
      </c>
      <c r="C111" s="3">
        <v>14.631264313976001</v>
      </c>
      <c r="D111" s="3">
        <v>13.0102907485771</v>
      </c>
      <c r="E111" s="3">
        <v>11.054908657793501</v>
      </c>
      <c r="F111" s="3">
        <v>13.6364388280124</v>
      </c>
      <c r="G111" s="3">
        <v>17.528841944663601</v>
      </c>
      <c r="H111" s="3">
        <v>10.4763236281283</v>
      </c>
      <c r="I111" s="3">
        <v>24.712168180078901</v>
      </c>
      <c r="J111" s="3">
        <v>17.9929896078119</v>
      </c>
      <c r="K111" s="3">
        <v>13.336534030401401</v>
      </c>
      <c r="L111" s="3">
        <v>15.6083389361486</v>
      </c>
      <c r="M111" s="3">
        <v>13.464634418951601</v>
      </c>
      <c r="N111" s="3">
        <v>8.3172982118222798</v>
      </c>
    </row>
    <row r="112" spans="1:14" x14ac:dyDescent="0.35">
      <c r="A112" s="2">
        <v>45086</v>
      </c>
      <c r="B112" s="3">
        <v>20.686226303935602</v>
      </c>
      <c r="C112" s="3">
        <v>14.5726792864749</v>
      </c>
      <c r="D112" s="3">
        <v>12.853799119325201</v>
      </c>
      <c r="E112" s="3">
        <v>10.7652139496237</v>
      </c>
      <c r="F112" s="3">
        <v>14.558979468112801</v>
      </c>
      <c r="G112" s="3">
        <v>16.4810585102415</v>
      </c>
      <c r="H112" s="3">
        <v>10.296823181435499</v>
      </c>
      <c r="I112" s="3">
        <v>26.084287594660999</v>
      </c>
      <c r="J112" s="3">
        <v>18.520457153583699</v>
      </c>
      <c r="K112" s="3">
        <v>13.0084302380192</v>
      </c>
      <c r="L112" s="3">
        <v>15.6427384838048</v>
      </c>
      <c r="M112" s="3">
        <v>13.710378301908699</v>
      </c>
      <c r="N112" s="3">
        <v>8.5631520822216007</v>
      </c>
    </row>
    <row r="113" spans="1:25" x14ac:dyDescent="0.35">
      <c r="A113" s="2">
        <v>45118</v>
      </c>
      <c r="B113" s="3">
        <v>20.911280705462001</v>
      </c>
      <c r="C113" s="3">
        <v>14.740350790179701</v>
      </c>
      <c r="D113" s="3">
        <v>12.8591963209082</v>
      </c>
      <c r="E113" s="3">
        <v>10.558611885531899</v>
      </c>
      <c r="F113" s="3">
        <v>14.4456472201569</v>
      </c>
      <c r="G113" s="3">
        <v>16.241318696317698</v>
      </c>
      <c r="H113" s="3">
        <v>10.087477332236601</v>
      </c>
      <c r="I113" s="3">
        <v>26.5329616585773</v>
      </c>
      <c r="J113" s="3">
        <v>19.092244089090698</v>
      </c>
      <c r="K113" s="3">
        <v>12.9514657199739</v>
      </c>
      <c r="L113" s="3">
        <v>15.6326495240105</v>
      </c>
      <c r="M113" s="3">
        <v>13.280149700505399</v>
      </c>
      <c r="N113" s="3">
        <v>8.7075451325264392</v>
      </c>
    </row>
    <row r="114" spans="1:25" x14ac:dyDescent="0.35">
      <c r="A114" s="2">
        <v>45149</v>
      </c>
      <c r="B114" s="3">
        <v>20.508116515971501</v>
      </c>
      <c r="C114" s="3">
        <v>15.4037629449184</v>
      </c>
      <c r="D114" s="3">
        <v>13.261257567465799</v>
      </c>
      <c r="E114" s="3">
        <v>10.633286489892299</v>
      </c>
      <c r="F114" s="3">
        <v>14.5337530952953</v>
      </c>
      <c r="G114" s="3">
        <v>16.593396467598499</v>
      </c>
      <c r="H114" s="3">
        <v>10.502159219426501</v>
      </c>
      <c r="I114" s="3">
        <v>24.4459266495466</v>
      </c>
      <c r="J114" s="3">
        <v>18.9224944720957</v>
      </c>
      <c r="K114" s="3">
        <v>13.082538316832</v>
      </c>
      <c r="L114" s="3">
        <v>15.282192407599201</v>
      </c>
      <c r="M114" s="3">
        <v>13.092097576847101</v>
      </c>
      <c r="N114" s="3">
        <v>8.2821661749431392</v>
      </c>
    </row>
    <row r="115" spans="1:25" x14ac:dyDescent="0.35">
      <c r="A115" s="2">
        <v>45180</v>
      </c>
      <c r="B115" s="3">
        <v>20.217469834674699</v>
      </c>
      <c r="C115" s="3">
        <v>15.3374949556746</v>
      </c>
      <c r="D115" s="3">
        <v>13.055090445286799</v>
      </c>
      <c r="E115" s="3">
        <v>10.5947165556053</v>
      </c>
      <c r="F115" s="3">
        <v>14.671481283543701</v>
      </c>
      <c r="G115" s="3">
        <v>16.398226984113499</v>
      </c>
      <c r="H115" s="3">
        <v>10.3838492151111</v>
      </c>
      <c r="I115" s="3">
        <v>24.487732276279601</v>
      </c>
      <c r="J115" s="3">
        <v>18.7325021266488</v>
      </c>
      <c r="K115" s="3">
        <v>12.863510891725699</v>
      </c>
      <c r="L115" s="3">
        <v>14.2719125343793</v>
      </c>
      <c r="M115" s="3">
        <v>13.0245249250898</v>
      </c>
      <c r="N115" s="3">
        <v>8.4333578488603305</v>
      </c>
    </row>
    <row r="116" spans="1:25" x14ac:dyDescent="0.35">
      <c r="A116" s="2">
        <v>45210</v>
      </c>
      <c r="B116" s="3">
        <v>19.9174420064607</v>
      </c>
      <c r="C116" s="3">
        <v>14.872971194338</v>
      </c>
      <c r="D116" s="3">
        <v>12.6471443519169</v>
      </c>
      <c r="E116" s="3">
        <v>10.337356396933099</v>
      </c>
      <c r="F116" s="3">
        <v>14.2572138372403</v>
      </c>
      <c r="G116" s="3">
        <v>16.313917259036401</v>
      </c>
      <c r="H116" s="3">
        <v>10.470732928169101</v>
      </c>
      <c r="I116" s="3">
        <v>23.890159187877298</v>
      </c>
      <c r="J116" s="3">
        <v>18.198456654050901</v>
      </c>
      <c r="K116" s="3">
        <v>12.483470665814099</v>
      </c>
      <c r="L116" s="3">
        <v>13.714806956291699</v>
      </c>
      <c r="M116" s="3">
        <v>13.1373924304804</v>
      </c>
      <c r="N116" s="3">
        <v>8.2367150758833603</v>
      </c>
    </row>
    <row r="117" spans="1:25" x14ac:dyDescent="0.35">
      <c r="A117" s="2">
        <v>45240</v>
      </c>
      <c r="B117" s="3">
        <v>20.092742270674801</v>
      </c>
      <c r="C117" s="3">
        <v>14.7527074569694</v>
      </c>
      <c r="D117" s="3">
        <v>12.4872963005758</v>
      </c>
      <c r="E117" s="3">
        <v>10.2506047215065</v>
      </c>
      <c r="F117" s="3">
        <v>14.224818022187399</v>
      </c>
      <c r="G117" s="3">
        <v>15.721715370953801</v>
      </c>
      <c r="H117" s="3">
        <v>10.0711363812022</v>
      </c>
      <c r="I117" s="3">
        <v>23.9915629316727</v>
      </c>
      <c r="J117" s="3">
        <v>18.278261778553901</v>
      </c>
      <c r="K117" s="3">
        <v>12.435168352519</v>
      </c>
      <c r="L117" s="3">
        <v>14.0587137574942</v>
      </c>
      <c r="M117" s="3">
        <v>12.798485588609701</v>
      </c>
      <c r="N117" s="3">
        <v>8.0898189163754708</v>
      </c>
    </row>
    <row r="118" spans="1:25" x14ac:dyDescent="0.35">
      <c r="A118" s="2">
        <v>45271</v>
      </c>
      <c r="B118" s="3">
        <v>21.7202830387421</v>
      </c>
      <c r="C118" s="3">
        <v>15.400957452178501</v>
      </c>
      <c r="D118" s="3">
        <v>13.161139691665699</v>
      </c>
      <c r="E118" s="3">
        <v>11.2574249399136</v>
      </c>
      <c r="F118" s="3">
        <v>14.076700896177</v>
      </c>
      <c r="G118" s="3">
        <v>16.608224234429599</v>
      </c>
      <c r="H118" s="3">
        <v>10.6217836602048</v>
      </c>
      <c r="I118" s="3">
        <v>24.5044712302245</v>
      </c>
      <c r="J118" s="3">
        <v>18.919426085380799</v>
      </c>
      <c r="K118" s="3">
        <v>13.330406163260999</v>
      </c>
      <c r="L118" s="3">
        <v>14.956333301323999</v>
      </c>
      <c r="M118" s="3">
        <v>15.2494607714009</v>
      </c>
      <c r="N118" s="3">
        <v>8.8451804055830898</v>
      </c>
    </row>
    <row r="119" spans="1:25" x14ac:dyDescent="0.35">
      <c r="A119" s="2">
        <v>45302</v>
      </c>
      <c r="B119" s="3">
        <v>22.898048080623401</v>
      </c>
      <c r="C119" s="3">
        <v>16.1577133434558</v>
      </c>
      <c r="D119" s="3">
        <v>13.5955195424149</v>
      </c>
      <c r="E119" s="3">
        <v>11.009802777317599</v>
      </c>
      <c r="F119" s="3">
        <v>14.712331479189499</v>
      </c>
      <c r="G119" s="3">
        <v>16.887133537321098</v>
      </c>
      <c r="H119" s="3">
        <v>10.900852372556299</v>
      </c>
      <c r="I119" s="3">
        <v>24.9680016891074</v>
      </c>
      <c r="J119" s="3">
        <v>19.557190134205499</v>
      </c>
      <c r="K119" s="3">
        <v>13.1845312090569</v>
      </c>
      <c r="L119" s="3">
        <v>14.6911366573905</v>
      </c>
      <c r="M119" s="3">
        <v>15.236273075380099</v>
      </c>
      <c r="N119" s="3">
        <v>8.8863826269650694</v>
      </c>
    </row>
    <row r="120" spans="1:25" x14ac:dyDescent="0.35">
      <c r="A120" s="2">
        <v>45331</v>
      </c>
      <c r="B120" s="3">
        <v>22.2274988672056</v>
      </c>
      <c r="C120" s="3">
        <v>16.4366464538004</v>
      </c>
      <c r="D120" s="3">
        <v>13.892691925699699</v>
      </c>
      <c r="E120" s="3">
        <v>11.518708227924201</v>
      </c>
      <c r="F120" s="3">
        <v>15.0214209585715</v>
      </c>
      <c r="G120" s="3">
        <v>17.040084853520401</v>
      </c>
      <c r="H120" s="3">
        <v>11.0054962533022</v>
      </c>
      <c r="I120" s="3">
        <v>26.379837766953099</v>
      </c>
      <c r="J120" s="3">
        <v>20.4175825274645</v>
      </c>
      <c r="K120" s="3">
        <v>13.7978627015545</v>
      </c>
      <c r="L120" s="3">
        <v>16.283841278553901</v>
      </c>
      <c r="M120" s="3">
        <v>15.6974883796243</v>
      </c>
      <c r="N120" s="3">
        <v>9.00876216550793</v>
      </c>
    </row>
    <row r="121" spans="1:25" x14ac:dyDescent="0.35">
      <c r="A121" s="2">
        <v>45362</v>
      </c>
      <c r="B121" s="3">
        <v>24.7513899692505</v>
      </c>
      <c r="C121" s="3">
        <v>16.598246296467298</v>
      </c>
      <c r="D121" s="3">
        <v>14.4640422521099</v>
      </c>
      <c r="E121" s="3">
        <v>12.0583449631651</v>
      </c>
      <c r="F121" s="3">
        <v>15.3842353533253</v>
      </c>
      <c r="G121" s="3">
        <v>17.746335098639999</v>
      </c>
      <c r="H121" s="3">
        <v>11.2650526144613</v>
      </c>
      <c r="I121" s="3">
        <v>25.931943666736601</v>
      </c>
      <c r="J121" s="3">
        <v>20.497651436529502</v>
      </c>
      <c r="K121" s="3">
        <v>14.447129202633301</v>
      </c>
      <c r="L121" s="3">
        <v>16.041985028213499</v>
      </c>
      <c r="M121" s="3">
        <v>16.4581442392995</v>
      </c>
      <c r="N121" s="3">
        <v>9.4257279446460398</v>
      </c>
    </row>
    <row r="122" spans="1:25" x14ac:dyDescent="0.35">
      <c r="A122" s="2">
        <v>45390</v>
      </c>
      <c r="B122" s="3">
        <v>24.893485734939901</v>
      </c>
      <c r="C122" s="3">
        <v>16.704600835354402</v>
      </c>
      <c r="D122" s="3">
        <v>14.6644513364516</v>
      </c>
      <c r="E122" s="3">
        <v>12.2531156877155</v>
      </c>
      <c r="F122" s="3">
        <v>15.5870373517673</v>
      </c>
      <c r="G122" s="3">
        <v>17.320283700785101</v>
      </c>
      <c r="H122" s="3">
        <v>11.522912625928001</v>
      </c>
      <c r="I122" s="3">
        <v>25.7118384170649</v>
      </c>
      <c r="J122" s="3">
        <v>20.684165547830499</v>
      </c>
      <c r="K122" s="3">
        <v>14.5812154551984</v>
      </c>
      <c r="L122" s="3">
        <v>16.327005124377798</v>
      </c>
      <c r="M122" s="3">
        <v>16.386712583916999</v>
      </c>
      <c r="N122" s="3">
        <v>9.6879336695509508</v>
      </c>
    </row>
    <row r="124" spans="1:25" x14ac:dyDescent="0.35">
      <c r="A124" s="2" t="s">
        <v>91</v>
      </c>
      <c r="B124" s="3" cm="1">
        <f t="array" ref="B124">MIN(_xlfn._xlws.FILTER(B1:B122, ISNUMBER(B1:B122)))</f>
        <v>16.834209035957301</v>
      </c>
      <c r="C124" s="3" cm="1">
        <f t="array" ref="C124">MIN(_xlfn._xlws.FILTER(C1:C122, ISNUMBER(C1:C122)))</f>
        <v>12.702674872909199</v>
      </c>
      <c r="D124" s="3" cm="1">
        <f t="array" ref="D124">MIN(_xlfn._xlws.FILTER(D1:D122, ISNUMBER(D1:D122)))</f>
        <v>10.633483834628001</v>
      </c>
      <c r="E124" s="3" cm="1">
        <f t="array" ref="E124">MIN(_xlfn._xlws.FILTER(E1:E122, ISNUMBER(E1:E122)))</f>
        <v>9.0478316180270397</v>
      </c>
      <c r="F124" s="3" cm="1">
        <f t="array" ref="F124">MIN(_xlfn._xlws.FILTER(F1:F122, ISNUMBER(F1:F122)))</f>
        <v>11.464576670402099</v>
      </c>
      <c r="G124" s="3" cm="1">
        <f t="array" ref="G124">MIN(_xlfn._xlws.FILTER(G1:G122, ISNUMBER(G1:G122)))</f>
        <v>14.796269903738001</v>
      </c>
      <c r="H124" s="3" cm="1">
        <f t="array" ref="H124">MIN(_xlfn._xlws.FILTER(H1:H122, ISNUMBER(H1:H122)))</f>
        <v>8.5711551344645294</v>
      </c>
      <c r="I124" s="3" cm="1">
        <f t="array" ref="I124">MIN(_xlfn._xlws.FILTER(I1:I122, ISNUMBER(I1:I122)))</f>
        <v>16.016312574444498</v>
      </c>
      <c r="J124" s="3" cm="1">
        <f t="array" ref="J124">MIN(_xlfn._xlws.FILTER(J1:J122, ISNUMBER(J1:J122)))</f>
        <v>14.5264828399597</v>
      </c>
      <c r="K124" s="3" cm="1">
        <f t="array" ref="K124">MIN(_xlfn._xlws.FILTER(K1:K122, ISNUMBER(K1:K122)))</f>
        <v>10.352241251922401</v>
      </c>
      <c r="L124" s="3" cm="1">
        <f t="array" ref="L124">MIN(_xlfn._xlws.FILTER(L1:L122, ISNUMBER(L1:L122)))</f>
        <v>13.3741320426759</v>
      </c>
      <c r="M124" s="3" cm="1">
        <f t="array" ref="M124">MIN(_xlfn._xlws.FILTER(M1:M122, ISNUMBER(M1:M122)))</f>
        <v>12.798485588609701</v>
      </c>
      <c r="N124" s="3" cm="1">
        <f t="array" ref="N124">MIN(_xlfn._xlws.FILTER(N1:N122, ISNUMBER(N1:N122)))</f>
        <v>7.2512160855449803</v>
      </c>
    </row>
    <row r="125" spans="1:25" x14ac:dyDescent="0.35">
      <c r="A125" s="2" t="s">
        <v>92</v>
      </c>
      <c r="B125" s="3" cm="1">
        <f t="array" ref="B125">MAX(_xlfn._xlws.FILTER(B1:B122, ISNUMBER(B1:B122)))</f>
        <v>34.688577725070502</v>
      </c>
      <c r="C125" s="3" cm="1">
        <f t="array" ref="C125">MAX(_xlfn._xlws.FILTER(C1:C122, ISNUMBER(C1:C122)))</f>
        <v>19.527874151212899</v>
      </c>
      <c r="D125" s="3" cm="1">
        <f t="array" ref="D125">MAX(_xlfn._xlws.FILTER(D1:D122, ISNUMBER(D1:D122)))</f>
        <v>17.674745069575302</v>
      </c>
      <c r="E125" s="3" cm="1">
        <f t="array" ref="E125">MAX(_xlfn._xlws.FILTER(E1:E122, ISNUMBER(E1:E122)))</f>
        <v>18.308896687491899</v>
      </c>
      <c r="F125" s="3" cm="1">
        <f t="array" ref="F125">MAX(_xlfn._xlws.FILTER(F1:F122, ISNUMBER(F1:F122)))</f>
        <v>18.917572661218301</v>
      </c>
      <c r="G125" s="3" cm="1">
        <f t="array" ref="G125">MAX(_xlfn._xlws.FILTER(G1:G122, ISNUMBER(G1:G122)))</f>
        <v>19.912565258322999</v>
      </c>
      <c r="H125" s="3" cm="1">
        <f t="array" ref="H125">MAX(_xlfn._xlws.FILTER(H1:H122, ISNUMBER(H1:H122)))</f>
        <v>16.3529542493336</v>
      </c>
      <c r="I125" s="3" cm="1">
        <f t="array" ref="I125">MAX(_xlfn._xlws.FILTER(I1:I122, ISNUMBER(I1:I122)))</f>
        <v>30.150357578062501</v>
      </c>
      <c r="J125" s="3" cm="1">
        <f t="array" ref="J125">MAX(_xlfn._xlws.FILTER(J1:J122, ISNUMBER(J1:J122)))</f>
        <v>22.5335517030286</v>
      </c>
      <c r="K125" s="3" cm="1">
        <f t="array" ref="K125">MAX(_xlfn._xlws.FILTER(K1:K122, ISNUMBER(K1:K122)))</f>
        <v>20.044610679640201</v>
      </c>
      <c r="L125" s="3" cm="1">
        <f t="array" ref="L125">MAX(_xlfn._xlws.FILTER(L1:L122, ISNUMBER(L1:L122)))</f>
        <v>22.884572394940498</v>
      </c>
      <c r="M125" s="3" cm="1">
        <f t="array" ref="M125">MAX(_xlfn._xlws.FILTER(M1:M122, ISNUMBER(M1:M122)))</f>
        <v>20.608298676586799</v>
      </c>
      <c r="N125" s="3" cm="1">
        <f t="array" ref="N125">MAX(_xlfn._xlws.FILTER(N1:N122, ISNUMBER(N1:N122)))</f>
        <v>17.324407478026998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0.68799999999999994</v>
      </c>
      <c r="C127" s="9" cm="1">
        <f t="array" ref="C127">_xlfn.PERCENTRANK.EXC(_xlfn._xlws.FILTER(C1:C122, ISNUMBER(C1:C122)),C122)</f>
        <v>0.77800000000000002</v>
      </c>
      <c r="D127" s="9" cm="1">
        <f t="array" ref="D127">_xlfn.PERCENTRANK.EXC(_xlfn._xlws.FILTER(D1:D122, ISNUMBER(D1:D122)),D122)</f>
        <v>0.51600000000000001</v>
      </c>
      <c r="E127" s="9" cm="1">
        <f t="array" ref="E127">_xlfn.PERCENTRANK.EXC(_xlfn._xlws.FILTER(E1:E122, ISNUMBER(E1:E122)),E122)</f>
        <v>0.311</v>
      </c>
      <c r="F127" s="9" cm="1">
        <f t="array" ref="F127">_xlfn.PERCENTRANK.EXC(_xlfn._xlws.FILTER(F1:F122, ISNUMBER(F1:F122)),F122)</f>
        <v>0.82699999999999996</v>
      </c>
      <c r="G127" s="9" cm="1">
        <f t="array" ref="G127">_xlfn.PERCENTRANK.EXC(_xlfn._xlws.FILTER(G1:G122, ISNUMBER(G1:G122)),G122)</f>
        <v>0.59</v>
      </c>
      <c r="H127" s="9" cm="1">
        <f t="array" ref="H127">_xlfn.PERCENTRANK.EXC(_xlfn._xlws.FILTER(H1:H122, ISNUMBER(H1:H122)),H122)</f>
        <v>0.22900000000000001</v>
      </c>
      <c r="I127" s="9" cm="1">
        <f t="array" ref="I127">_xlfn.PERCENTRANK.EXC(_xlfn._xlws.FILTER(I1:I122, ISNUMBER(I1:I122)),I122)</f>
        <v>0.78600000000000003</v>
      </c>
      <c r="J127" s="9" cm="1">
        <f t="array" ref="J127">_xlfn.PERCENTRANK.EXC(_xlfn._xlws.FILTER(J1:J122, ISNUMBER(J1:J122)),J122)</f>
        <v>0.82699999999999996</v>
      </c>
      <c r="K127" s="9" cm="1">
        <f t="array" ref="K127">_xlfn.PERCENTRANK.EXC(_xlfn._xlws.FILTER(K1:K122, ISNUMBER(K1:K122)),K122)</f>
        <v>0.60599999999999998</v>
      </c>
      <c r="L127" s="9" cm="1">
        <f t="array" ref="L127">_xlfn.PERCENTRANK.EXC(_xlfn._xlws.FILTER(L1:L122, ISNUMBER(L1:L122)),L122)</f>
        <v>0.64700000000000002</v>
      </c>
      <c r="M127" s="9" cm="1">
        <f t="array" ref="M127">_xlfn.PERCENTRANK.EXC(_xlfn._xlws.FILTER(M1:M122, ISNUMBER(M1:M122)),M122)</f>
        <v>0.68799999999999994</v>
      </c>
      <c r="N127" s="9" cm="1">
        <f t="array" ref="N127">_xlfn.PERCENTRANK.EXC(_xlfn._xlws.FILTER(N1:N122, ISNUMBER(N1:N122)),N122)</f>
        <v>0.221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41740</v>
      </c>
      <c r="B2" s="3" cm="1">
        <f t="array" ref="B2:B122">_xll.FDS(B1,"FMA_DIV_YLD(NTMA,-10AY,0,AM,""PORTAGG"",""MEANR"")")</f>
        <v>4.1235629246988799</v>
      </c>
      <c r="C2" s="3" cm="1">
        <f t="array" ref="C2:C122">_xll.FDS(C1,"FMA_DIV_YLD(NTMA,-10AY,0,AM,""PORTAGG"",""MEANR"")")</f>
        <v>4.7771659185697404</v>
      </c>
      <c r="D2" s="3" cm="1">
        <f t="array" ref="D2:D122">_xll.FDS(D1,"FMA_DIV_YLD(NTMA,-10AY,0,AM,""PORTAGG"",""MEANR"")")</f>
        <v>2.9467875543353301</v>
      </c>
      <c r="E2" s="3" cm="1">
        <f t="array" ref="E2:E122">_xll.FDS(E1,"FMA_DIV_YLD(NTMA,-10AY,0,AM,""PORTAGG"",""MEANR"")")</f>
        <v>3.0573596415944899</v>
      </c>
      <c r="F2" s="3" cm="1">
        <f t="array" ref="F2:F122">_xll.FDS(F1,"FMA_DIV_YLD(NTMA,-10AY,0,AM,""PORTAGG"",""MEANR"")")</f>
        <v>2.2340491204300599</v>
      </c>
      <c r="G2" s="3" cm="1">
        <f t="array" ref="G2:G122">_xll.FDS(G1,"FMA_DIV_YLD(NTMA,-10AY,0,AM,""PORTAGG"",""MEANR"")")</f>
        <v>3.2564507377618601</v>
      </c>
      <c r="H2" s="3" cm="1">
        <f t="array" ref="H2:H122">_xll.FDS(H1,"FMA_DIV_YLD(NTMA,-10AY,0,AM,""PORTAGG"",""MEANR"")")</f>
        <v>3.9673491494586499</v>
      </c>
      <c r="I2" s="3" cm="1">
        <f t="array" ref="I2:I122">_xll.FDS(I1,"FMA_DIV_YLD(NTMA,-10AY,0,AM,""PORTAGG"",""MEANR"")")</f>
        <v>1.4617816965017301</v>
      </c>
      <c r="J2" s="3" cm="1">
        <f t="array" ref="J2:J122">_xll.FDS(J1,"FMA_DIV_YLD(NTMA,-10AY,0,AM,""PORTAGG"",""MEANR"")")</f>
        <v>2.2377633820496001</v>
      </c>
      <c r="K2" s="3" cm="1">
        <f t="array" ref="K2:K122">_xll.FDS(K1,"FMA_DIV_YLD(NTMA,-10AY,0,AM,""PORTAGG"",""MEANR"")")</f>
        <v>3.5336341987287798</v>
      </c>
      <c r="L2" s="3" cm="1">
        <f t="array" ref="L2:L122">_xll.FDS(L1,"FMA_DIV_YLD(NTMA,-10AY,0,AM,""PORTAGG"",""MEANR"")")</f>
        <v>2.76931326807123</v>
      </c>
      <c r="M2" s="3" cm="1">
        <f t="array" ref="M2:M122">_xll.FDS(M1,"FMA_DIV_YLD(NTMA,-10AY,0,AM,""PORTAGG"",""MEANR"")")</f>
        <v>4.0788693933349398</v>
      </c>
      <c r="N2" s="3" cm="1">
        <f t="array" ref="N2:N122">_xll.FDS(N1,"FMA_DIV_YLD(NTMA,-10AY,0,AM,""PORTAGG"",""MEANR"")")</f>
        <v>3.4619521984470398</v>
      </c>
    </row>
    <row r="3" spans="1:14" x14ac:dyDescent="0.35">
      <c r="A3" s="2">
        <v>41768</v>
      </c>
      <c r="B3" s="3">
        <v>4.1000118535311296</v>
      </c>
      <c r="C3" s="3">
        <v>4.7698107737624902</v>
      </c>
      <c r="D3" s="3">
        <v>2.8961472519003002</v>
      </c>
      <c r="E3" s="3">
        <v>3.0220110209672901</v>
      </c>
      <c r="F3" s="3">
        <v>2.2063646739935399</v>
      </c>
      <c r="G3" s="3">
        <v>3.2057373871801502</v>
      </c>
      <c r="H3" s="3">
        <v>3.8271595470988</v>
      </c>
      <c r="I3" s="3">
        <v>1.3711747826819201</v>
      </c>
      <c r="J3" s="3">
        <v>2.1644719332915701</v>
      </c>
      <c r="K3" s="3">
        <v>3.44532772786709</v>
      </c>
      <c r="L3" s="3">
        <v>2.81516617120969</v>
      </c>
      <c r="M3" s="3">
        <v>4.1243482592007998</v>
      </c>
      <c r="N3" s="3">
        <v>3.48484039049091</v>
      </c>
    </row>
    <row r="4" spans="1:14" x14ac:dyDescent="0.35">
      <c r="A4" s="2">
        <v>41801</v>
      </c>
      <c r="B4" s="3">
        <v>4.2180422965903999</v>
      </c>
      <c r="C4" s="3">
        <v>4.79420108670414</v>
      </c>
      <c r="D4" s="3">
        <v>2.8490643593621501</v>
      </c>
      <c r="E4" s="3">
        <v>2.9662907007972801</v>
      </c>
      <c r="F4" s="3">
        <v>2.0989115898934898</v>
      </c>
      <c r="G4" s="3">
        <v>3.20913940325759</v>
      </c>
      <c r="H4" s="3">
        <v>3.8435107558057702</v>
      </c>
      <c r="I4" s="3">
        <v>1.2946086419952101</v>
      </c>
      <c r="J4" s="3">
        <v>2.10694597288078</v>
      </c>
      <c r="K4" s="3">
        <v>3.3728687074600101</v>
      </c>
      <c r="L4" s="3">
        <v>2.7832753892411799</v>
      </c>
      <c r="M4" s="3">
        <v>4.07378398788694</v>
      </c>
      <c r="N4" s="3">
        <v>3.3836422373438202</v>
      </c>
    </row>
    <row r="5" spans="1:14" x14ac:dyDescent="0.35">
      <c r="A5" s="2">
        <v>41831</v>
      </c>
      <c r="B5" s="3">
        <v>4.4706559522873697</v>
      </c>
      <c r="C5" s="3">
        <v>4.74636694716592</v>
      </c>
      <c r="D5" s="3">
        <v>2.8071727138462501</v>
      </c>
      <c r="E5" s="3">
        <v>3.1047782099557901</v>
      </c>
      <c r="F5" s="3">
        <v>2.09376186010652</v>
      </c>
      <c r="G5" s="3">
        <v>3.3614189513838602</v>
      </c>
      <c r="H5" s="3">
        <v>3.9071045523781001</v>
      </c>
      <c r="I5" s="3">
        <v>1.25295638039516</v>
      </c>
      <c r="J5" s="3">
        <v>2.09999318935238</v>
      </c>
      <c r="K5" s="3">
        <v>3.5309499366028598</v>
      </c>
      <c r="L5" s="3">
        <v>2.8934778200279099</v>
      </c>
      <c r="M5" s="3">
        <v>4.2206382373416096</v>
      </c>
      <c r="N5" s="3">
        <v>3.5025622944953199</v>
      </c>
    </row>
    <row r="6" spans="1:14" x14ac:dyDescent="0.35">
      <c r="A6" s="2">
        <v>41862</v>
      </c>
      <c r="B6" s="3">
        <v>4.5693588510354397</v>
      </c>
      <c r="C6" s="3">
        <v>4.8102377872130599</v>
      </c>
      <c r="D6" s="3">
        <v>2.8065390556978702</v>
      </c>
      <c r="E6" s="3">
        <v>3.2626553155012901</v>
      </c>
      <c r="F6" s="3">
        <v>2.1122501062420702</v>
      </c>
      <c r="G6" s="3">
        <v>3.4294238429343902</v>
      </c>
      <c r="H6" s="3">
        <v>3.9806874208260199</v>
      </c>
      <c r="I6" s="3">
        <v>1.2629506521424301</v>
      </c>
      <c r="J6" s="3">
        <v>2.1490567428407501</v>
      </c>
      <c r="K6" s="3">
        <v>3.6610390361291998</v>
      </c>
      <c r="L6" s="3">
        <v>3.0614907577211699</v>
      </c>
      <c r="M6" s="3">
        <v>4.2963647150136897</v>
      </c>
      <c r="N6" s="3">
        <v>3.7610097445983901</v>
      </c>
    </row>
    <row r="7" spans="1:14" x14ac:dyDescent="0.35">
      <c r="A7" s="2">
        <v>41893</v>
      </c>
      <c r="B7" s="3">
        <v>4.5333669239743601</v>
      </c>
      <c r="C7" s="3">
        <v>4.7839392023096403</v>
      </c>
      <c r="D7" s="3">
        <v>2.76066052060937</v>
      </c>
      <c r="E7" s="3">
        <v>3.1094442316862398</v>
      </c>
      <c r="F7" s="3">
        <v>2.0366968838124699</v>
      </c>
      <c r="G7" s="3">
        <v>3.2827567540574401</v>
      </c>
      <c r="H7" s="3">
        <v>3.9315634124081802</v>
      </c>
      <c r="I7" s="3">
        <v>1.2103736052229199</v>
      </c>
      <c r="J7" s="3">
        <v>2.0960184849190302</v>
      </c>
      <c r="K7" s="3">
        <v>3.5099484873133102</v>
      </c>
      <c r="L7" s="3">
        <v>3.0010400179035899</v>
      </c>
      <c r="M7" s="3">
        <v>4.2358517168115597</v>
      </c>
      <c r="N7" s="3">
        <v>3.5086756649992101</v>
      </c>
    </row>
    <row r="8" spans="1:14" x14ac:dyDescent="0.35">
      <c r="A8" s="2">
        <v>41922</v>
      </c>
      <c r="B8" s="3">
        <v>4.6080429488613497</v>
      </c>
      <c r="C8" s="3">
        <v>5.16716047928794</v>
      </c>
      <c r="D8" s="3">
        <v>3.0380649890814602</v>
      </c>
      <c r="E8" s="3">
        <v>3.4436631308143402</v>
      </c>
      <c r="F8" s="3">
        <v>2.16223506059452</v>
      </c>
      <c r="G8" s="3">
        <v>3.50999395957838</v>
      </c>
      <c r="H8" s="3">
        <v>4.2420047503523097</v>
      </c>
      <c r="I8" s="3">
        <v>1.2989766103771301</v>
      </c>
      <c r="J8" s="3">
        <v>2.2110482118582699</v>
      </c>
      <c r="K8" s="3">
        <v>3.84671942820626</v>
      </c>
      <c r="L8" s="3">
        <v>3.1775086043443799</v>
      </c>
      <c r="M8" s="3">
        <v>4.5304000248011098</v>
      </c>
      <c r="N8" s="3">
        <v>3.9751912211832301</v>
      </c>
    </row>
    <row r="9" spans="1:14" x14ac:dyDescent="0.35">
      <c r="A9" s="2">
        <v>41954</v>
      </c>
      <c r="B9" s="3">
        <v>4.4387770140195704</v>
      </c>
      <c r="C9" s="3">
        <v>4.8570303764696998</v>
      </c>
      <c r="D9" s="3">
        <v>2.9392538209761301</v>
      </c>
      <c r="E9" s="3">
        <v>3.29287443282985</v>
      </c>
      <c r="F9" s="3">
        <v>1.96294654736754</v>
      </c>
      <c r="G9" s="3">
        <v>3.2902281338877399</v>
      </c>
      <c r="H9" s="3">
        <v>4.0620479855265597</v>
      </c>
      <c r="I9" s="3">
        <v>1.2204705397011599</v>
      </c>
      <c r="J9" s="3">
        <v>2.08943500819661</v>
      </c>
      <c r="K9" s="3">
        <v>3.6862219273000099</v>
      </c>
      <c r="L9" s="3">
        <v>3.0891315608205701</v>
      </c>
      <c r="M9" s="3">
        <v>4.1414590438945602</v>
      </c>
      <c r="N9" s="3">
        <v>3.9650009624393698</v>
      </c>
    </row>
    <row r="10" spans="1:14" x14ac:dyDescent="0.35">
      <c r="A10" s="2">
        <v>41984</v>
      </c>
      <c r="B10" s="3">
        <v>4.4917657762411602</v>
      </c>
      <c r="C10" s="3">
        <v>5.1310688903129504</v>
      </c>
      <c r="D10" s="3">
        <v>3.0932463764297502</v>
      </c>
      <c r="E10" s="3">
        <v>3.1694277495514598</v>
      </c>
      <c r="F10" s="3">
        <v>1.9852166314743001</v>
      </c>
      <c r="G10" s="3">
        <v>3.2715913632931501</v>
      </c>
      <c r="H10" s="3">
        <v>4.1827615726106799</v>
      </c>
      <c r="I10" s="3">
        <v>1.2202785792086099</v>
      </c>
      <c r="J10" s="3">
        <v>2.1145065702026402</v>
      </c>
      <c r="K10" s="3">
        <v>3.6772572744449801</v>
      </c>
      <c r="L10" s="3">
        <v>3.06095932154212</v>
      </c>
      <c r="M10" s="3">
        <v>4.1043410191542096</v>
      </c>
      <c r="N10" s="3">
        <v>3.9953139360256098</v>
      </c>
    </row>
    <row r="11" spans="1:14" x14ac:dyDescent="0.35">
      <c r="A11" s="2">
        <v>42013</v>
      </c>
      <c r="B11" s="3">
        <v>4.42916115987728</v>
      </c>
      <c r="C11" s="3">
        <v>4.92127442003952</v>
      </c>
      <c r="D11" s="3">
        <v>2.99801577403161</v>
      </c>
      <c r="E11" s="3">
        <v>3.2380933413870099</v>
      </c>
      <c r="F11" s="3">
        <v>2.0245622381747199</v>
      </c>
      <c r="G11" s="3">
        <v>3.2964771795412098</v>
      </c>
      <c r="H11" s="3">
        <v>4.2231316795904101</v>
      </c>
      <c r="I11" s="3">
        <v>1.2123606656738199</v>
      </c>
      <c r="J11" s="3">
        <v>2.12001625623554</v>
      </c>
      <c r="K11" s="3">
        <v>3.7138369547049099</v>
      </c>
      <c r="L11" s="3">
        <v>3.13375663660281</v>
      </c>
      <c r="M11" s="3">
        <v>4.1537943816742002</v>
      </c>
      <c r="N11" s="3">
        <v>4.2721827037801603</v>
      </c>
    </row>
    <row r="12" spans="1:14" x14ac:dyDescent="0.35">
      <c r="A12" s="2">
        <v>42046</v>
      </c>
      <c r="B12" s="3">
        <v>4.2700922875562499</v>
      </c>
      <c r="C12" s="3">
        <v>4.7137863836908203</v>
      </c>
      <c r="D12" s="3">
        <v>2.8675086814903898</v>
      </c>
      <c r="E12" s="3">
        <v>2.9443839503697</v>
      </c>
      <c r="F12" s="3">
        <v>1.99431479589481</v>
      </c>
      <c r="G12" s="3">
        <v>3.3064586882823002</v>
      </c>
      <c r="H12" s="3">
        <v>4.0166274986585098</v>
      </c>
      <c r="I12" s="3">
        <v>1.2436272525478</v>
      </c>
      <c r="J12" s="3">
        <v>2.13107715552629</v>
      </c>
      <c r="K12" s="3">
        <v>3.3080710605632202</v>
      </c>
      <c r="L12" s="3">
        <v>2.8814342100663999</v>
      </c>
      <c r="M12" s="3">
        <v>3.7954281760759199</v>
      </c>
      <c r="N12" s="3">
        <v>3.73714986584717</v>
      </c>
    </row>
    <row r="13" spans="1:14" x14ac:dyDescent="0.35">
      <c r="A13" s="2">
        <v>42074</v>
      </c>
      <c r="B13" s="3">
        <v>4.3039722808867404</v>
      </c>
      <c r="C13" s="3">
        <v>4.6979204549114799</v>
      </c>
      <c r="D13" s="3">
        <v>2.94967590743087</v>
      </c>
      <c r="E13" s="3">
        <v>2.6942456522601899</v>
      </c>
      <c r="F13" s="3">
        <v>1.8882312392251099</v>
      </c>
      <c r="G13" s="3">
        <v>3.18457671174765</v>
      </c>
      <c r="H13" s="3">
        <v>4.0527804644594401</v>
      </c>
      <c r="I13" s="3">
        <v>1.2797937716713601</v>
      </c>
      <c r="J13" s="3">
        <v>2.2042811464575101</v>
      </c>
      <c r="K13" s="3">
        <v>3.2089547097095399</v>
      </c>
      <c r="L13" s="3">
        <v>2.6386387075458599</v>
      </c>
      <c r="M13" s="3">
        <v>3.6725445423396801</v>
      </c>
      <c r="N13" s="3">
        <v>3.3936196499097901</v>
      </c>
    </row>
    <row r="14" spans="1:14" x14ac:dyDescent="0.35">
      <c r="A14" s="2">
        <v>42104</v>
      </c>
      <c r="B14" s="3">
        <v>4.4310958647291399</v>
      </c>
      <c r="C14" s="3">
        <v>4.5410517069019702</v>
      </c>
      <c r="D14" s="3">
        <v>2.8222379352445599</v>
      </c>
      <c r="E14" s="3">
        <v>2.6063371978410701</v>
      </c>
      <c r="F14" s="3">
        <v>1.84121609437922</v>
      </c>
      <c r="G14" s="3">
        <v>3.0236438881932699</v>
      </c>
      <c r="H14" s="3">
        <v>3.89618276633237</v>
      </c>
      <c r="I14" s="3">
        <v>1.2530926120260599</v>
      </c>
      <c r="J14" s="3">
        <v>2.1471923019209802</v>
      </c>
      <c r="K14" s="3">
        <v>3.0849576101286602</v>
      </c>
      <c r="L14" s="3">
        <v>2.5831034787212399</v>
      </c>
      <c r="M14" s="3">
        <v>3.6075712904039001</v>
      </c>
      <c r="N14" s="3">
        <v>3.0821105234421502</v>
      </c>
    </row>
    <row r="15" spans="1:14" x14ac:dyDescent="0.35">
      <c r="A15" s="2">
        <v>42135</v>
      </c>
      <c r="B15" s="3">
        <v>4.46684507537055</v>
      </c>
      <c r="C15" s="3">
        <v>4.7767182649225903</v>
      </c>
      <c r="D15" s="3">
        <v>2.8613496354099501</v>
      </c>
      <c r="E15" s="3">
        <v>2.8380717616133699</v>
      </c>
      <c r="F15" s="3">
        <v>1.8758173330885399</v>
      </c>
      <c r="G15" s="3">
        <v>3.1157079918827599</v>
      </c>
      <c r="H15" s="3">
        <v>3.85448538187116</v>
      </c>
      <c r="I15" s="3">
        <v>1.2526952135260401</v>
      </c>
      <c r="J15" s="3">
        <v>2.1571098774583799</v>
      </c>
      <c r="K15" s="3">
        <v>3.2684495284642998</v>
      </c>
      <c r="L15" s="3">
        <v>2.7379114069072701</v>
      </c>
      <c r="M15" s="3">
        <v>3.8416921391436598</v>
      </c>
      <c r="N15" s="3">
        <v>3.17529418561015</v>
      </c>
    </row>
    <row r="16" spans="1:14" x14ac:dyDescent="0.35">
      <c r="A16" s="2">
        <v>42166</v>
      </c>
      <c r="B16" s="3">
        <v>4.4573468434758601</v>
      </c>
      <c r="C16" s="3">
        <v>4.8993750853005098</v>
      </c>
      <c r="D16" s="3">
        <v>2.9350833750585399</v>
      </c>
      <c r="E16" s="3">
        <v>2.9735991790019098</v>
      </c>
      <c r="F16" s="3">
        <v>1.8827762472737799</v>
      </c>
      <c r="G16" s="3">
        <v>3.1514790242324202</v>
      </c>
      <c r="H16" s="3">
        <v>3.9806657336663802</v>
      </c>
      <c r="I16" s="3">
        <v>1.24669843572773</v>
      </c>
      <c r="J16" s="3">
        <v>2.1626499767144298</v>
      </c>
      <c r="K16" s="3">
        <v>3.3192438493692702</v>
      </c>
      <c r="L16" s="3">
        <v>2.8843171760219799</v>
      </c>
      <c r="M16" s="3">
        <v>3.9041324576169001</v>
      </c>
      <c r="N16" s="3">
        <v>3.25948103308547</v>
      </c>
    </row>
    <row r="17" spans="1:14" x14ac:dyDescent="0.35">
      <c r="A17" s="2">
        <v>42195</v>
      </c>
      <c r="B17" s="3">
        <v>4.7104570306395699</v>
      </c>
      <c r="C17" s="3">
        <v>4.9663562887948203</v>
      </c>
      <c r="D17" s="3">
        <v>3.04958986768268</v>
      </c>
      <c r="E17" s="3">
        <v>2.9998593647693701</v>
      </c>
      <c r="F17" s="3">
        <v>1.9819089937400201</v>
      </c>
      <c r="G17" s="3">
        <v>3.1847482100504099</v>
      </c>
      <c r="H17" s="3">
        <v>4.1361340750537998</v>
      </c>
      <c r="I17" s="3">
        <v>1.26815330981798</v>
      </c>
      <c r="J17" s="3">
        <v>2.1948353186870202</v>
      </c>
      <c r="K17" s="3">
        <v>3.37716442667806</v>
      </c>
      <c r="L17" s="3">
        <v>2.9206618986266299</v>
      </c>
      <c r="M17" s="3">
        <v>3.9618229023014102</v>
      </c>
      <c r="N17" s="3">
        <v>3.27861299320685</v>
      </c>
    </row>
    <row r="18" spans="1:14" x14ac:dyDescent="0.35">
      <c r="A18" s="2">
        <v>42227</v>
      </c>
      <c r="B18" s="3">
        <v>4.6374026730323799</v>
      </c>
      <c r="C18" s="3">
        <v>5.0234905150281204</v>
      </c>
      <c r="D18" s="3">
        <v>3.07734746774373</v>
      </c>
      <c r="E18" s="3">
        <v>3.02486378795582</v>
      </c>
      <c r="F18" s="3">
        <v>1.87726875301063</v>
      </c>
      <c r="G18" s="3">
        <v>3.1260975559977999</v>
      </c>
      <c r="H18" s="3">
        <v>4.0927454563587</v>
      </c>
      <c r="I18" s="3">
        <v>1.28562219136825</v>
      </c>
      <c r="J18" s="3">
        <v>2.21782471067056</v>
      </c>
      <c r="K18" s="3">
        <v>3.3007631269595201</v>
      </c>
      <c r="L18" s="3">
        <v>3.05314144297488</v>
      </c>
      <c r="M18" s="3">
        <v>3.9752948209936201</v>
      </c>
      <c r="N18" s="3">
        <v>3.1004747749986499</v>
      </c>
    </row>
    <row r="19" spans="1:14" x14ac:dyDescent="0.35">
      <c r="A19" s="2">
        <v>42258</v>
      </c>
      <c r="B19" s="3">
        <v>5.1486023360600504</v>
      </c>
      <c r="C19" s="3">
        <v>5.4458340373105303</v>
      </c>
      <c r="D19" s="3">
        <v>3.2570279026889501</v>
      </c>
      <c r="E19" s="3">
        <v>3.3728284632024499</v>
      </c>
      <c r="F19" s="3">
        <v>2.1527634328178298</v>
      </c>
      <c r="G19" s="3">
        <v>3.3507392668331399</v>
      </c>
      <c r="H19" s="3">
        <v>4.4886625599263104</v>
      </c>
      <c r="I19" s="3">
        <v>1.3494695638882701</v>
      </c>
      <c r="J19" s="3">
        <v>2.3678583434000999</v>
      </c>
      <c r="K19" s="3">
        <v>3.6971294280582501</v>
      </c>
      <c r="L19" s="3">
        <v>3.5050289078308299</v>
      </c>
      <c r="M19" s="3">
        <v>4.3310705810123702</v>
      </c>
      <c r="N19" s="3">
        <v>3.4114612262337598</v>
      </c>
    </row>
    <row r="20" spans="1:14" x14ac:dyDescent="0.35">
      <c r="A20" s="2">
        <v>42286</v>
      </c>
      <c r="B20" s="3">
        <v>5.25610306562709</v>
      </c>
      <c r="C20" s="3">
        <v>5.1552897042727404</v>
      </c>
      <c r="D20" s="3">
        <v>3.1550501563961602</v>
      </c>
      <c r="E20" s="3">
        <v>3.3047440099960399</v>
      </c>
      <c r="F20" s="3">
        <v>2.1033070475893498</v>
      </c>
      <c r="G20" s="3">
        <v>3.34018456735464</v>
      </c>
      <c r="H20" s="3">
        <v>4.2159246806871904</v>
      </c>
      <c r="I20" s="3">
        <v>1.3388914690956</v>
      </c>
      <c r="J20" s="3">
        <v>2.3097088038473301</v>
      </c>
      <c r="K20" s="3">
        <v>3.5633729323425101</v>
      </c>
      <c r="L20" s="3">
        <v>3.4620863924617602</v>
      </c>
      <c r="M20" s="3">
        <v>4.3101516872700101</v>
      </c>
      <c r="N20" s="3">
        <v>3.5599579937008698</v>
      </c>
    </row>
    <row r="21" spans="1:14" x14ac:dyDescent="0.35">
      <c r="A21" s="2">
        <v>42319</v>
      </c>
      <c r="B21" s="3">
        <v>4.8914851664573398</v>
      </c>
      <c r="C21" s="3">
        <v>5.3618793500795299</v>
      </c>
      <c r="D21" s="3">
        <v>3.3121583055756298</v>
      </c>
      <c r="E21" s="3">
        <v>2.97937048237063</v>
      </c>
      <c r="F21" s="3">
        <v>2.0089739763153598</v>
      </c>
      <c r="G21" s="3">
        <v>3.26423234883833</v>
      </c>
      <c r="H21" s="3">
        <v>4.2710455017678797</v>
      </c>
      <c r="I21" s="3">
        <v>1.2770032228831201</v>
      </c>
      <c r="J21" s="3">
        <v>2.2743415676182699</v>
      </c>
      <c r="K21" s="3">
        <v>3.4087274981011699</v>
      </c>
      <c r="L21" s="3">
        <v>3.14261294474862</v>
      </c>
      <c r="M21" s="3">
        <v>4.1730351287121099</v>
      </c>
      <c r="N21" s="3">
        <v>3.5900991799834601</v>
      </c>
    </row>
    <row r="22" spans="1:14" x14ac:dyDescent="0.35">
      <c r="A22" s="2">
        <v>42349</v>
      </c>
      <c r="B22" s="3">
        <v>4.8069018589791899</v>
      </c>
      <c r="C22" s="3">
        <v>5.4070191142767099</v>
      </c>
      <c r="D22" s="3">
        <v>3.4645427904955</v>
      </c>
      <c r="E22" s="3">
        <v>3.14603142088753</v>
      </c>
      <c r="F22" s="3">
        <v>2.0773737355173498</v>
      </c>
      <c r="G22" s="3">
        <v>3.38242276260618</v>
      </c>
      <c r="H22" s="3">
        <v>4.4715631538906804</v>
      </c>
      <c r="I22" s="3">
        <v>1.31058183502697</v>
      </c>
      <c r="J22" s="3">
        <v>2.3410329467533502</v>
      </c>
      <c r="K22" s="3">
        <v>3.66685130327929</v>
      </c>
      <c r="L22" s="3">
        <v>3.3703178124924</v>
      </c>
      <c r="M22" s="3">
        <v>4.4659113915458004</v>
      </c>
      <c r="N22" s="3">
        <v>3.8695717516854402</v>
      </c>
    </row>
    <row r="23" spans="1:14" x14ac:dyDescent="0.35">
      <c r="A23" s="2">
        <v>42380</v>
      </c>
      <c r="B23" s="3">
        <v>4.9150071039696597</v>
      </c>
      <c r="C23" s="3">
        <v>5.5245834330527703</v>
      </c>
      <c r="D23" s="3">
        <v>3.5671858417309998</v>
      </c>
      <c r="E23" s="3">
        <v>3.3262364506815199</v>
      </c>
      <c r="F23" s="3">
        <v>2.2535110357338999</v>
      </c>
      <c r="G23" s="3">
        <v>3.5161464880745901</v>
      </c>
      <c r="H23" s="3">
        <v>4.5899596051179596</v>
      </c>
      <c r="I23" s="3">
        <v>1.3536844242650801</v>
      </c>
      <c r="J23" s="3">
        <v>2.46484935821878</v>
      </c>
      <c r="K23" s="3">
        <v>3.8628278476906899</v>
      </c>
      <c r="L23" s="3">
        <v>3.3261614406089102</v>
      </c>
      <c r="M23" s="3">
        <v>4.5935019739944902</v>
      </c>
      <c r="N23" s="3">
        <v>4.1661805521312498</v>
      </c>
    </row>
    <row r="24" spans="1:14" x14ac:dyDescent="0.35">
      <c r="A24" s="2">
        <v>42411</v>
      </c>
      <c r="B24" s="3">
        <v>5.0050658777604502</v>
      </c>
      <c r="C24" s="3">
        <v>5.24910746642355</v>
      </c>
      <c r="D24" s="3">
        <v>3.5526449096126198</v>
      </c>
      <c r="E24" s="3">
        <v>3.7487991231714899</v>
      </c>
      <c r="F24" s="3">
        <v>2.5789848815479002</v>
      </c>
      <c r="G24" s="3">
        <v>3.7203992450258001</v>
      </c>
      <c r="H24" s="3">
        <v>4.8499634148795598</v>
      </c>
      <c r="I24" s="3">
        <v>1.49207259848398</v>
      </c>
      <c r="J24" s="3">
        <v>2.4518202590146898</v>
      </c>
      <c r="K24" s="3">
        <v>4.2212002672750701</v>
      </c>
      <c r="L24" s="3">
        <v>3.7308549735685399</v>
      </c>
      <c r="M24" s="3">
        <v>4.8064428121267797</v>
      </c>
      <c r="N24" s="3">
        <v>5.08168473647802</v>
      </c>
    </row>
    <row r="25" spans="1:14" x14ac:dyDescent="0.35">
      <c r="A25" s="2">
        <v>42440</v>
      </c>
      <c r="B25" s="3">
        <v>4.6904502486222102</v>
      </c>
      <c r="C25" s="3">
        <v>4.7275102218109</v>
      </c>
      <c r="D25" s="3">
        <v>3.1324792774025201</v>
      </c>
      <c r="E25" s="3">
        <v>3.3352913116052298</v>
      </c>
      <c r="F25" s="3">
        <v>2.3669027526949198</v>
      </c>
      <c r="G25" s="3">
        <v>3.4683861172342501</v>
      </c>
      <c r="H25" s="3">
        <v>4.3718682996087699</v>
      </c>
      <c r="I25" s="3">
        <v>1.36792810606793</v>
      </c>
      <c r="J25" s="3">
        <v>2.4751977345461702</v>
      </c>
      <c r="K25" s="3">
        <v>3.6914779752048501</v>
      </c>
      <c r="L25" s="3">
        <v>3.3070368016114999</v>
      </c>
      <c r="M25" s="3">
        <v>4.2408242350116101</v>
      </c>
      <c r="N25" s="3">
        <v>4.1769494941506302</v>
      </c>
    </row>
    <row r="26" spans="1:14" x14ac:dyDescent="0.35">
      <c r="A26" s="2">
        <v>42471</v>
      </c>
      <c r="B26" s="3">
        <v>4.5746675999712503</v>
      </c>
      <c r="C26" s="3">
        <v>4.9951060847394597</v>
      </c>
      <c r="D26" s="3">
        <v>3.1807135339543802</v>
      </c>
      <c r="E26" s="3">
        <v>3.3892853609742999</v>
      </c>
      <c r="F26" s="3">
        <v>2.5266463467521798</v>
      </c>
      <c r="G26" s="3">
        <v>3.56164380480201</v>
      </c>
      <c r="H26" s="3">
        <v>4.3476708942253799</v>
      </c>
      <c r="I26" s="3">
        <v>1.3438318667012901</v>
      </c>
      <c r="J26" s="3">
        <v>2.2917987413403398</v>
      </c>
      <c r="K26" s="3">
        <v>3.8258150669134499</v>
      </c>
      <c r="L26" s="3">
        <v>3.3598306330436598</v>
      </c>
      <c r="M26" s="3">
        <v>4.38461017202569</v>
      </c>
      <c r="N26" s="3">
        <v>4.5300070412556401</v>
      </c>
    </row>
    <row r="27" spans="1:14" x14ac:dyDescent="0.35">
      <c r="A27" s="2">
        <v>42501</v>
      </c>
      <c r="B27" s="3">
        <v>4.4868031433250701</v>
      </c>
      <c r="C27" s="3">
        <v>4.5536270509519303</v>
      </c>
      <c r="D27" s="3">
        <v>3.10042399759906</v>
      </c>
      <c r="E27" s="3">
        <v>3.3383000687626301</v>
      </c>
      <c r="F27" s="3">
        <v>2.4007019460297498</v>
      </c>
      <c r="G27" s="3">
        <v>3.5334653645284799</v>
      </c>
      <c r="H27" s="3">
        <v>4.3527992881821396</v>
      </c>
      <c r="I27" s="3">
        <v>1.38816296263704</v>
      </c>
      <c r="J27" s="3">
        <v>2.2927014117324598</v>
      </c>
      <c r="K27" s="3">
        <v>3.8057631727257202</v>
      </c>
      <c r="L27" s="3">
        <v>3.40019443182294</v>
      </c>
      <c r="M27" s="3">
        <v>4.4343962082716004</v>
      </c>
      <c r="N27" s="3">
        <v>4.54673457015378</v>
      </c>
    </row>
    <row r="28" spans="1:14" x14ac:dyDescent="0.35">
      <c r="A28" s="2">
        <v>42531</v>
      </c>
      <c r="B28" s="3">
        <v>4.3649597620195904</v>
      </c>
      <c r="C28" s="3">
        <v>4.6091748829277304</v>
      </c>
      <c r="D28" s="3">
        <v>3.0661596082904099</v>
      </c>
      <c r="E28" s="3">
        <v>3.4186106729555998</v>
      </c>
      <c r="F28" s="3">
        <v>2.3792828658984901</v>
      </c>
      <c r="G28" s="3">
        <v>3.5485109459125201</v>
      </c>
      <c r="H28" s="3">
        <v>4.3872951075890096</v>
      </c>
      <c r="I28" s="3">
        <v>1.3621594770997001</v>
      </c>
      <c r="J28" s="3">
        <v>2.2771095330445799</v>
      </c>
      <c r="K28" s="3">
        <v>3.8509698530239</v>
      </c>
      <c r="L28" s="3">
        <v>3.2714917012433</v>
      </c>
      <c r="M28" s="3">
        <v>4.5578898164159503</v>
      </c>
      <c r="N28" s="3">
        <v>4.7878873173571899</v>
      </c>
    </row>
    <row r="29" spans="1:14" x14ac:dyDescent="0.35">
      <c r="A29" s="2">
        <v>42562</v>
      </c>
      <c r="B29" s="3">
        <v>4.2831841958804802</v>
      </c>
      <c r="C29" s="3">
        <v>4.61161008700289</v>
      </c>
      <c r="D29" s="3">
        <v>3.0261737322197999</v>
      </c>
      <c r="E29" s="3">
        <v>3.4300871154920398</v>
      </c>
      <c r="F29" s="3">
        <v>2.5111312259002099</v>
      </c>
      <c r="G29" s="3">
        <v>3.52193031585186</v>
      </c>
      <c r="H29" s="3">
        <v>4.1813138025015997</v>
      </c>
      <c r="I29" s="3">
        <v>1.32770628270816</v>
      </c>
      <c r="J29" s="3">
        <v>2.24414840435916</v>
      </c>
      <c r="K29" s="3">
        <v>3.8809665454610802</v>
      </c>
      <c r="L29" s="3">
        <v>3.2938390917533198</v>
      </c>
      <c r="M29" s="3">
        <v>4.42365633023973</v>
      </c>
      <c r="N29" s="3">
        <v>4.9581691020530601</v>
      </c>
    </row>
    <row r="30" spans="1:14" x14ac:dyDescent="0.35">
      <c r="A30" s="2">
        <v>42593</v>
      </c>
      <c r="B30" s="3">
        <v>4.1390822276906398</v>
      </c>
      <c r="C30" s="3">
        <v>4.4699532697052096</v>
      </c>
      <c r="D30" s="3">
        <v>2.93621492598905</v>
      </c>
      <c r="E30" s="3">
        <v>3.1339545408624998</v>
      </c>
      <c r="F30" s="3">
        <v>2.3950013673871098</v>
      </c>
      <c r="G30" s="3">
        <v>3.4109046424302401</v>
      </c>
      <c r="H30" s="3">
        <v>4.0542262803787699</v>
      </c>
      <c r="I30" s="3">
        <v>1.27622703615651</v>
      </c>
      <c r="J30" s="3">
        <v>2.20100067632346</v>
      </c>
      <c r="K30" s="3">
        <v>3.6823717137215901</v>
      </c>
      <c r="L30" s="3">
        <v>3.1317785194134902</v>
      </c>
      <c r="M30" s="3">
        <v>4.2108811768811796</v>
      </c>
      <c r="N30" s="3">
        <v>4.6944462352213199</v>
      </c>
    </row>
    <row r="31" spans="1:14" x14ac:dyDescent="0.35">
      <c r="A31" s="2">
        <v>42622</v>
      </c>
      <c r="B31" s="3">
        <v>4.1503589274878303</v>
      </c>
      <c r="C31" s="3">
        <v>4.6205031078713503</v>
      </c>
      <c r="D31" s="3">
        <v>2.98454648841571</v>
      </c>
      <c r="E31" s="3">
        <v>3.1846259917613899</v>
      </c>
      <c r="F31" s="3">
        <v>2.34644872613198</v>
      </c>
      <c r="G31" s="3">
        <v>3.4483318970418</v>
      </c>
      <c r="H31" s="3">
        <v>4.1605879941920696</v>
      </c>
      <c r="I31" s="3">
        <v>1.31642251813892</v>
      </c>
      <c r="J31" s="3">
        <v>2.2631754895949201</v>
      </c>
      <c r="K31" s="3">
        <v>3.6855396281123101</v>
      </c>
      <c r="L31" s="3">
        <v>3.1553595598421502</v>
      </c>
      <c r="M31" s="3">
        <v>4.2212904624640899</v>
      </c>
      <c r="N31" s="3">
        <v>4.7194869864076896</v>
      </c>
    </row>
    <row r="32" spans="1:14" x14ac:dyDescent="0.35">
      <c r="A32" s="2">
        <v>42654</v>
      </c>
      <c r="B32" s="3">
        <v>4.4706226726187301</v>
      </c>
      <c r="C32" s="3">
        <v>4.5104207314270397</v>
      </c>
      <c r="D32" s="3">
        <v>2.9656785649331199</v>
      </c>
      <c r="E32" s="3">
        <v>3.1420778387813399</v>
      </c>
      <c r="F32" s="3">
        <v>2.3499917181000001</v>
      </c>
      <c r="G32" s="3">
        <v>3.5237536413603698</v>
      </c>
      <c r="H32" s="3">
        <v>4.2173278434616703</v>
      </c>
      <c r="I32" s="3">
        <v>1.2756180896615099</v>
      </c>
      <c r="J32" s="3">
        <v>2.2549087532643899</v>
      </c>
      <c r="K32" s="3">
        <v>3.7440031194699501</v>
      </c>
      <c r="L32" s="3">
        <v>3.11936472266154</v>
      </c>
      <c r="M32" s="3">
        <v>4.1472806198077796</v>
      </c>
      <c r="N32" s="3">
        <v>4.9686592842391502</v>
      </c>
    </row>
    <row r="33" spans="1:14" x14ac:dyDescent="0.35">
      <c r="A33" s="2">
        <v>42685</v>
      </c>
      <c r="B33" s="3">
        <v>4.7555114686851798</v>
      </c>
      <c r="C33" s="3">
        <v>4.5986708853671896</v>
      </c>
      <c r="D33" s="3">
        <v>2.9679249249367698</v>
      </c>
      <c r="E33" s="3">
        <v>3.1771732656000302</v>
      </c>
      <c r="F33" s="3">
        <v>2.3274291750015599</v>
      </c>
      <c r="G33" s="3">
        <v>3.6313695520579898</v>
      </c>
      <c r="H33" s="3">
        <v>4.44036754672159</v>
      </c>
      <c r="I33" s="3">
        <v>1.3095585627694699</v>
      </c>
      <c r="J33" s="3">
        <v>2.2389148105699599</v>
      </c>
      <c r="K33" s="3">
        <v>3.7385914600099999</v>
      </c>
      <c r="L33" s="3">
        <v>3.1886850683928398</v>
      </c>
      <c r="M33" s="3">
        <v>4.1067813234676098</v>
      </c>
      <c r="N33" s="3">
        <v>4.7824175439346499</v>
      </c>
    </row>
    <row r="34" spans="1:14" x14ac:dyDescent="0.35">
      <c r="A34" s="2">
        <v>42713</v>
      </c>
      <c r="B34" s="3">
        <v>4.6078893654269004</v>
      </c>
      <c r="C34" s="3">
        <v>4.5290890574088696</v>
      </c>
      <c r="D34" s="3">
        <v>2.8336727189192699</v>
      </c>
      <c r="E34" s="3">
        <v>3.0388274934947002</v>
      </c>
      <c r="F34" s="3">
        <v>2.1008705476222902</v>
      </c>
      <c r="G34" s="3">
        <v>3.5978337402602798</v>
      </c>
      <c r="H34" s="3">
        <v>4.3294080662077796</v>
      </c>
      <c r="I34" s="3">
        <v>1.2868140146648199</v>
      </c>
      <c r="J34" s="3">
        <v>2.1628905059160499</v>
      </c>
      <c r="K34" s="3">
        <v>3.5387359039136501</v>
      </c>
      <c r="L34" s="3">
        <v>3.04139651137152</v>
      </c>
      <c r="M34" s="3">
        <v>3.8795934791461</v>
      </c>
      <c r="N34" s="3">
        <v>4.5355066729458704</v>
      </c>
    </row>
    <row r="35" spans="1:14" x14ac:dyDescent="0.35">
      <c r="A35" s="2">
        <v>42746</v>
      </c>
      <c r="B35" s="3">
        <v>4.4987939179352097</v>
      </c>
      <c r="C35" s="3">
        <v>4.4480679773978604</v>
      </c>
      <c r="D35" s="3">
        <v>2.8135644247507701</v>
      </c>
      <c r="E35" s="3">
        <v>2.9379228836923001</v>
      </c>
      <c r="F35" s="3">
        <v>2.0885332566751602</v>
      </c>
      <c r="G35" s="3">
        <v>3.48744955070643</v>
      </c>
      <c r="H35" s="3">
        <v>4.2471245057569202</v>
      </c>
      <c r="I35" s="3">
        <v>1.25559775260767</v>
      </c>
      <c r="J35" s="3">
        <v>2.15944661425271</v>
      </c>
      <c r="K35" s="3">
        <v>3.4510809273946799</v>
      </c>
      <c r="L35" s="3">
        <v>2.9509043083037199</v>
      </c>
      <c r="M35" s="3">
        <v>3.9147571069179299</v>
      </c>
      <c r="N35" s="3">
        <v>4.3059189368542903</v>
      </c>
    </row>
    <row r="36" spans="1:14" x14ac:dyDescent="0.35">
      <c r="A36" s="2">
        <v>42776</v>
      </c>
      <c r="B36" s="3">
        <v>4.5066770999080497</v>
      </c>
      <c r="C36" s="3">
        <v>4.5227661126483003</v>
      </c>
      <c r="D36" s="3">
        <v>2.7980843190457798</v>
      </c>
      <c r="E36" s="3">
        <v>2.9746206237300399</v>
      </c>
      <c r="F36" s="3">
        <v>2.1241671633640098</v>
      </c>
      <c r="G36" s="3">
        <v>3.4192880236010801</v>
      </c>
      <c r="H36" s="3">
        <v>4.2569869973863996</v>
      </c>
      <c r="I36" s="3">
        <v>1.2402075972484099</v>
      </c>
      <c r="J36" s="3">
        <v>2.1411789885740502</v>
      </c>
      <c r="K36" s="3">
        <v>3.5044872333195398</v>
      </c>
      <c r="L36" s="3">
        <v>2.915858114188</v>
      </c>
      <c r="M36" s="3">
        <v>3.6679564289329898</v>
      </c>
      <c r="N36" s="3">
        <v>4.4459997597640504</v>
      </c>
    </row>
    <row r="37" spans="1:14" x14ac:dyDescent="0.35">
      <c r="A37" s="2">
        <v>42804</v>
      </c>
      <c r="B37" s="3">
        <v>4.5628965855188603</v>
      </c>
      <c r="C37" s="3">
        <v>4.5355825319113299</v>
      </c>
      <c r="D37" s="3">
        <v>2.9046325043350398</v>
      </c>
      <c r="E37" s="3">
        <v>2.9547148932438598</v>
      </c>
      <c r="F37" s="3">
        <v>2.1197184052445399</v>
      </c>
      <c r="G37" s="3">
        <v>3.34952494544337</v>
      </c>
      <c r="H37" s="3">
        <v>4.3278016601036997</v>
      </c>
      <c r="I37" s="3">
        <v>1.2149528090967501</v>
      </c>
      <c r="J37" s="3">
        <v>2.1010324022583902</v>
      </c>
      <c r="K37" s="3">
        <v>3.4274483038200101</v>
      </c>
      <c r="L37" s="3">
        <v>2.7703963195297798</v>
      </c>
      <c r="M37" s="3">
        <v>3.6302758418666201</v>
      </c>
      <c r="N37" s="3">
        <v>4.0675020700204296</v>
      </c>
    </row>
    <row r="38" spans="1:14" x14ac:dyDescent="0.35">
      <c r="A38" s="2">
        <v>42836</v>
      </c>
      <c r="B38" s="3">
        <v>4.5478276524419599</v>
      </c>
      <c r="C38" s="3">
        <v>4.4825261537706904</v>
      </c>
      <c r="D38" s="3">
        <v>2.8975608114154201</v>
      </c>
      <c r="E38" s="3">
        <v>2.93630368038807</v>
      </c>
      <c r="F38" s="3">
        <v>2.24987170835159</v>
      </c>
      <c r="G38" s="3">
        <v>3.4297400567990501</v>
      </c>
      <c r="H38" s="3">
        <v>4.3230777522226003</v>
      </c>
      <c r="I38" s="3">
        <v>1.2200606821811499</v>
      </c>
      <c r="J38" s="3">
        <v>2.1270782557171999</v>
      </c>
      <c r="K38" s="3">
        <v>3.3709049841861498</v>
      </c>
      <c r="L38" s="3">
        <v>2.7656499446578802</v>
      </c>
      <c r="M38" s="3">
        <v>3.66357608593722</v>
      </c>
      <c r="N38" s="3">
        <v>3.9833061519351798</v>
      </c>
    </row>
    <row r="39" spans="1:14" x14ac:dyDescent="0.35">
      <c r="A39" s="2">
        <v>42866</v>
      </c>
      <c r="B39" s="3">
        <v>4.4120669030521</v>
      </c>
      <c r="C39" s="3">
        <v>4.53909731751365</v>
      </c>
      <c r="D39" s="3">
        <v>2.9496373738213002</v>
      </c>
      <c r="E39" s="3">
        <v>2.8783057347672099</v>
      </c>
      <c r="F39" s="3">
        <v>2.1478005285270498</v>
      </c>
      <c r="G39" s="3">
        <v>3.3116751081537501</v>
      </c>
      <c r="H39" s="3">
        <v>4.2869772582001202</v>
      </c>
      <c r="I39" s="3">
        <v>1.1753959862272201</v>
      </c>
      <c r="J39" s="3">
        <v>2.1060133762222302</v>
      </c>
      <c r="K39" s="3">
        <v>3.2135003784679301</v>
      </c>
      <c r="L39" s="3">
        <v>2.7027668625285401</v>
      </c>
      <c r="M39" s="3">
        <v>3.51774103840985</v>
      </c>
      <c r="N39" s="3">
        <v>3.7746095041341499</v>
      </c>
    </row>
    <row r="40" spans="1:14" x14ac:dyDescent="0.35">
      <c r="A40" s="2">
        <v>42895</v>
      </c>
      <c r="B40" s="3">
        <v>4.4598393393556801</v>
      </c>
      <c r="C40" s="3">
        <v>4.6941197291704704</v>
      </c>
      <c r="D40" s="3">
        <v>2.9769386552952599</v>
      </c>
      <c r="E40" s="3">
        <v>2.9050955420522002</v>
      </c>
      <c r="F40" s="3">
        <v>2.1754745053292401</v>
      </c>
      <c r="G40" s="3">
        <v>3.3523527457648399</v>
      </c>
      <c r="H40" s="3">
        <v>4.2551061588346899</v>
      </c>
      <c r="I40" s="3">
        <v>1.1712495905960101</v>
      </c>
      <c r="J40" s="3">
        <v>2.08510706554299</v>
      </c>
      <c r="K40" s="3">
        <v>3.2590683370733702</v>
      </c>
      <c r="L40" s="3">
        <v>2.7011164576511901</v>
      </c>
      <c r="M40" s="3">
        <v>3.5303843169262099</v>
      </c>
      <c r="N40" s="3">
        <v>3.7589785943263601</v>
      </c>
    </row>
    <row r="41" spans="1:14" x14ac:dyDescent="0.35">
      <c r="A41" s="2">
        <v>42927</v>
      </c>
      <c r="B41" s="3">
        <v>4.39765769190603</v>
      </c>
      <c r="C41" s="3">
        <v>4.6239396590606203</v>
      </c>
      <c r="D41" s="3">
        <v>3.0502428272374198</v>
      </c>
      <c r="E41" s="3">
        <v>3.0150900787556298</v>
      </c>
      <c r="F41" s="3">
        <v>2.1540777932914499</v>
      </c>
      <c r="G41" s="3">
        <v>3.3201534010266198</v>
      </c>
      <c r="H41" s="3">
        <v>4.3636399136845396</v>
      </c>
      <c r="I41" s="3">
        <v>1.20431437770814</v>
      </c>
      <c r="J41" s="3">
        <v>2.1164381560793002</v>
      </c>
      <c r="K41" s="3">
        <v>3.3868932581145201</v>
      </c>
      <c r="L41" s="3">
        <v>2.8170095718387498</v>
      </c>
      <c r="M41" s="3">
        <v>3.5747756285883798</v>
      </c>
      <c r="N41" s="3">
        <v>3.8144701371359302</v>
      </c>
    </row>
    <row r="42" spans="1:14" x14ac:dyDescent="0.35">
      <c r="A42" s="2">
        <v>42958</v>
      </c>
      <c r="B42" s="3">
        <v>4.3746201818481802</v>
      </c>
      <c r="C42" s="3">
        <v>4.6380719123600302</v>
      </c>
      <c r="D42" s="3">
        <v>3.0704819754264201</v>
      </c>
      <c r="E42" s="3">
        <v>3.1308945220073898</v>
      </c>
      <c r="F42" s="3">
        <v>2.1869646802361902</v>
      </c>
      <c r="G42" s="3">
        <v>3.3382492609488699</v>
      </c>
      <c r="H42" s="3">
        <v>4.3657053390213303</v>
      </c>
      <c r="I42" s="3">
        <v>1.18881283492331</v>
      </c>
      <c r="J42" s="3">
        <v>2.1152182596982101</v>
      </c>
      <c r="K42" s="3">
        <v>3.4446711197802</v>
      </c>
      <c r="L42" s="3">
        <v>2.8187921463375298</v>
      </c>
      <c r="M42" s="3">
        <v>3.77350324160059</v>
      </c>
      <c r="N42" s="3">
        <v>3.83046937246452</v>
      </c>
    </row>
    <row r="43" spans="1:14" x14ac:dyDescent="0.35">
      <c r="A43" s="2">
        <v>42989</v>
      </c>
      <c r="B43" s="3">
        <v>4.3767492512482402</v>
      </c>
      <c r="C43" s="3">
        <v>4.5890401072701597</v>
      </c>
      <c r="D43" s="3">
        <v>3.1046950538920601</v>
      </c>
      <c r="E43" s="3">
        <v>3.0587141838093199</v>
      </c>
      <c r="F43" s="3">
        <v>2.2265541913354099</v>
      </c>
      <c r="G43" s="3">
        <v>3.2879279732638902</v>
      </c>
      <c r="H43" s="3">
        <v>4.3097858799161397</v>
      </c>
      <c r="I43" s="3">
        <v>1.1626814868071</v>
      </c>
      <c r="J43" s="3">
        <v>2.0849928987163802</v>
      </c>
      <c r="K43" s="3">
        <v>3.3646919146247001</v>
      </c>
      <c r="L43" s="3">
        <v>2.8448515478132101</v>
      </c>
      <c r="M43" s="3">
        <v>3.7192942454583102</v>
      </c>
      <c r="N43" s="3">
        <v>3.7347901240718699</v>
      </c>
    </row>
    <row r="44" spans="1:14" x14ac:dyDescent="0.35">
      <c r="A44" s="2">
        <v>43019</v>
      </c>
      <c r="B44" s="3">
        <v>4.3797550005856696</v>
      </c>
      <c r="C44" s="3">
        <v>4.5767234098747904</v>
      </c>
      <c r="D44" s="3">
        <v>2.9527553717523598</v>
      </c>
      <c r="E44" s="3">
        <v>2.95669364923216</v>
      </c>
      <c r="F44" s="3">
        <v>2.1373350969818299</v>
      </c>
      <c r="G44" s="3">
        <v>3.2364900173783702</v>
      </c>
      <c r="H44" s="3">
        <v>4.2641743516809001</v>
      </c>
      <c r="I44" s="3">
        <v>1.1446057416050399</v>
      </c>
      <c r="J44" s="3">
        <v>2.0362104204013098</v>
      </c>
      <c r="K44" s="3">
        <v>3.2848765231337902</v>
      </c>
      <c r="L44" s="3">
        <v>2.77117276080204</v>
      </c>
      <c r="M44" s="3">
        <v>3.5499128688234198</v>
      </c>
      <c r="N44" s="3">
        <v>3.7812418058525101</v>
      </c>
    </row>
    <row r="45" spans="1:14" x14ac:dyDescent="0.35">
      <c r="A45" s="2">
        <v>43049</v>
      </c>
      <c r="B45" s="3">
        <v>4.4607155755972903</v>
      </c>
      <c r="C45" s="3">
        <v>4.4140457730554798</v>
      </c>
      <c r="D45" s="3">
        <v>2.9111263206446698</v>
      </c>
      <c r="E45" s="3">
        <v>2.9204788304332499</v>
      </c>
      <c r="F45" s="3">
        <v>2.0383483458576102</v>
      </c>
      <c r="G45" s="3">
        <v>3.2885925121739299</v>
      </c>
      <c r="H45" s="3">
        <v>4.3445070054819199</v>
      </c>
      <c r="I45" s="3">
        <v>1.11365373427376</v>
      </c>
      <c r="J45" s="3">
        <v>2.0327167048612602</v>
      </c>
      <c r="K45" s="3">
        <v>3.3059796618769699</v>
      </c>
      <c r="L45" s="3">
        <v>2.8011573690836098</v>
      </c>
      <c r="M45" s="3">
        <v>3.6023419289012599</v>
      </c>
      <c r="N45" s="3">
        <v>3.8220699349343898</v>
      </c>
    </row>
    <row r="46" spans="1:14" x14ac:dyDescent="0.35">
      <c r="A46" s="2">
        <v>43080</v>
      </c>
      <c r="B46" s="3">
        <v>4.27337967167598</v>
      </c>
      <c r="C46" s="3">
        <v>4.5026018216158903</v>
      </c>
      <c r="D46" s="3">
        <v>2.91009506508518</v>
      </c>
      <c r="E46" s="3">
        <v>2.9049077699678501</v>
      </c>
      <c r="F46" s="3">
        <v>2.05275898417894</v>
      </c>
      <c r="G46" s="3">
        <v>3.2433927289198499</v>
      </c>
      <c r="H46" s="3">
        <v>4.3337545135965101</v>
      </c>
      <c r="I46" s="3">
        <v>1.10733130112958</v>
      </c>
      <c r="J46" s="3">
        <v>1.96681663098966</v>
      </c>
      <c r="K46" s="3">
        <v>3.2744136801239798</v>
      </c>
      <c r="L46" s="3">
        <v>2.8214146298831002</v>
      </c>
      <c r="M46" s="3">
        <v>3.6715800927551898</v>
      </c>
      <c r="N46" s="3">
        <v>3.8302166324323501</v>
      </c>
    </row>
    <row r="47" spans="1:14" x14ac:dyDescent="0.35">
      <c r="A47" s="2">
        <v>43111</v>
      </c>
      <c r="B47" s="3">
        <v>4.3032674583204296</v>
      </c>
      <c r="C47" s="3">
        <v>4.4568547744939302</v>
      </c>
      <c r="D47" s="3">
        <v>2.8989367700176798</v>
      </c>
      <c r="E47" s="3">
        <v>2.8958074969944101</v>
      </c>
      <c r="F47" s="3">
        <v>1.9834905819670201</v>
      </c>
      <c r="G47" s="3">
        <v>3.1788778529199901</v>
      </c>
      <c r="H47" s="3">
        <v>4.1687466146057801</v>
      </c>
      <c r="I47" s="3">
        <v>1.05297296948924</v>
      </c>
      <c r="J47" s="3">
        <v>1.90167278905507</v>
      </c>
      <c r="K47" s="3">
        <v>3.2296295718637</v>
      </c>
      <c r="L47" s="3">
        <v>2.79917723071026</v>
      </c>
      <c r="M47" s="3">
        <v>3.6342814038828002</v>
      </c>
      <c r="N47" s="3">
        <v>3.7768890745343699</v>
      </c>
    </row>
    <row r="48" spans="1:14" x14ac:dyDescent="0.35">
      <c r="A48" s="2">
        <v>43140</v>
      </c>
      <c r="B48" s="3">
        <v>4.56959119117219</v>
      </c>
      <c r="C48" s="3">
        <v>4.69933442738275</v>
      </c>
      <c r="D48" s="3">
        <v>3.1788995062432699</v>
      </c>
      <c r="E48" s="3">
        <v>3.1995050472628401</v>
      </c>
      <c r="F48" s="3">
        <v>2.1998108020825602</v>
      </c>
      <c r="G48" s="3">
        <v>3.4658549924693598</v>
      </c>
      <c r="H48" s="3">
        <v>4.5264876281874198</v>
      </c>
      <c r="I48" s="3">
        <v>1.12646340323705</v>
      </c>
      <c r="J48" s="3">
        <v>2.0390592771745002</v>
      </c>
      <c r="K48" s="3">
        <v>3.5006775932964498</v>
      </c>
      <c r="L48" s="3">
        <v>2.9942815518622101</v>
      </c>
      <c r="M48" s="3">
        <v>4.0255692611866598</v>
      </c>
      <c r="N48" s="3">
        <v>4.0296985547953001</v>
      </c>
    </row>
    <row r="49" spans="1:14" x14ac:dyDescent="0.35">
      <c r="A49" s="2">
        <v>43168</v>
      </c>
      <c r="B49" s="3">
        <v>4.2123106214898796</v>
      </c>
      <c r="C49" s="3">
        <v>4.6465649673457197</v>
      </c>
      <c r="D49" s="3">
        <v>3.1324454970368398</v>
      </c>
      <c r="E49" s="3">
        <v>3.14791412114316</v>
      </c>
      <c r="F49" s="3">
        <v>2.2567325470921</v>
      </c>
      <c r="G49" s="3">
        <v>3.4171061937060498</v>
      </c>
      <c r="H49" s="3">
        <v>4.4657534601630298</v>
      </c>
      <c r="I49" s="3">
        <v>1.0310229614611099</v>
      </c>
      <c r="J49" s="3">
        <v>1.9400306374887799</v>
      </c>
      <c r="K49" s="3">
        <v>3.3831862399343802</v>
      </c>
      <c r="L49" s="3">
        <v>2.9074005252661599</v>
      </c>
      <c r="M49" s="3">
        <v>3.8373338303506199</v>
      </c>
      <c r="N49" s="3">
        <v>4.0024374941438898</v>
      </c>
    </row>
    <row r="50" spans="1:14" x14ac:dyDescent="0.35">
      <c r="A50" s="2">
        <v>43201</v>
      </c>
      <c r="B50" s="3">
        <v>4.2485732940234797</v>
      </c>
      <c r="C50" s="3">
        <v>4.7773872114702298</v>
      </c>
      <c r="D50" s="3">
        <v>3.2196185827364601</v>
      </c>
      <c r="E50" s="3">
        <v>3.2178609278010599</v>
      </c>
      <c r="F50" s="3">
        <v>2.2621386262046101</v>
      </c>
      <c r="G50" s="3">
        <v>3.5050998082206402</v>
      </c>
      <c r="H50" s="3">
        <v>4.42528558298073</v>
      </c>
      <c r="I50" s="3">
        <v>1.1257488601307599</v>
      </c>
      <c r="J50" s="3">
        <v>2.0650293118626002</v>
      </c>
      <c r="K50" s="3">
        <v>3.4080420205330002</v>
      </c>
      <c r="L50" s="3">
        <v>2.9467083821344402</v>
      </c>
      <c r="M50" s="3">
        <v>4.1621343362074397</v>
      </c>
      <c r="N50" s="3">
        <v>4.0058427649528001</v>
      </c>
    </row>
    <row r="51" spans="1:14" x14ac:dyDescent="0.35">
      <c r="A51" s="2">
        <v>43231</v>
      </c>
      <c r="B51" s="3">
        <v>4.1689139682675904</v>
      </c>
      <c r="C51" s="3">
        <v>4.6041341656190999</v>
      </c>
      <c r="D51" s="3">
        <v>3.08208078040371</v>
      </c>
      <c r="E51" s="3">
        <v>3.09773286075758</v>
      </c>
      <c r="F51" s="3">
        <v>2.1931818030902201</v>
      </c>
      <c r="G51" s="3">
        <v>3.4215136055201101</v>
      </c>
      <c r="H51" s="3">
        <v>4.2620540999122003</v>
      </c>
      <c r="I51" s="3">
        <v>1.08179633413312</v>
      </c>
      <c r="J51" s="3">
        <v>2.0202760267077098</v>
      </c>
      <c r="K51" s="3">
        <v>3.2806644984856601</v>
      </c>
      <c r="L51" s="3">
        <v>2.9079412644047098</v>
      </c>
      <c r="M51" s="3">
        <v>3.9768049945508701</v>
      </c>
      <c r="N51" s="3">
        <v>3.8953853268645702</v>
      </c>
    </row>
    <row r="52" spans="1:14" x14ac:dyDescent="0.35">
      <c r="A52" s="2">
        <v>43262</v>
      </c>
      <c r="B52" s="3">
        <v>4.0200383613095596</v>
      </c>
      <c r="C52" s="3">
        <v>4.7306907944333103</v>
      </c>
      <c r="D52" s="3">
        <v>3.0589831078438801</v>
      </c>
      <c r="E52" s="3">
        <v>3.1335901834714699</v>
      </c>
      <c r="F52" s="3">
        <v>2.2273305883083299</v>
      </c>
      <c r="G52" s="3">
        <v>3.54243139952615</v>
      </c>
      <c r="H52" s="3">
        <v>4.3157173372340996</v>
      </c>
      <c r="I52" s="3">
        <v>1.05629860663771</v>
      </c>
      <c r="J52" s="3">
        <v>1.9916672108364799</v>
      </c>
      <c r="K52" s="3">
        <v>3.3615826725338702</v>
      </c>
      <c r="L52" s="3">
        <v>2.8514314834981498</v>
      </c>
      <c r="M52" s="3">
        <v>4.0831643379063198</v>
      </c>
      <c r="N52" s="3">
        <v>4.3751583803580996</v>
      </c>
    </row>
    <row r="53" spans="1:14" x14ac:dyDescent="0.35">
      <c r="A53" s="2">
        <v>43292</v>
      </c>
      <c r="B53" s="3">
        <v>4.0431850956532598</v>
      </c>
      <c r="C53" s="3">
        <v>4.59918665742528</v>
      </c>
      <c r="D53" s="3">
        <v>3.0499733716914399</v>
      </c>
      <c r="E53" s="3">
        <v>3.2462720393215898</v>
      </c>
      <c r="F53" s="3">
        <v>2.3387675194264101</v>
      </c>
      <c r="G53" s="3">
        <v>3.5223025386121201</v>
      </c>
      <c r="H53" s="3">
        <v>4.4340987555056399</v>
      </c>
      <c r="I53" s="3">
        <v>1.05016478041227</v>
      </c>
      <c r="J53" s="3">
        <v>2.0213687539154699</v>
      </c>
      <c r="K53" s="3">
        <v>3.43827938536606</v>
      </c>
      <c r="L53" s="3">
        <v>2.9618853000585998</v>
      </c>
      <c r="M53" s="3">
        <v>4.2206368631382896</v>
      </c>
      <c r="N53" s="3">
        <v>4.4915715174271202</v>
      </c>
    </row>
    <row r="54" spans="1:14" x14ac:dyDescent="0.35">
      <c r="A54" s="2">
        <v>43322</v>
      </c>
      <c r="B54" s="3">
        <v>4.0650993842197902</v>
      </c>
      <c r="C54" s="3">
        <v>4.59308548319681</v>
      </c>
      <c r="D54" s="3">
        <v>3.0843743354381399</v>
      </c>
      <c r="E54" s="3">
        <v>3.2519524927080199</v>
      </c>
      <c r="F54" s="3">
        <v>2.3291754142151602</v>
      </c>
      <c r="G54" s="3">
        <v>3.42229033877822</v>
      </c>
      <c r="H54" s="3">
        <v>4.4552285263663203</v>
      </c>
      <c r="I54" s="3">
        <v>1.07776980813142</v>
      </c>
      <c r="J54" s="3">
        <v>1.9964466556320399</v>
      </c>
      <c r="K54" s="3">
        <v>3.4452181008822902</v>
      </c>
      <c r="L54" s="3">
        <v>2.9040084032989202</v>
      </c>
      <c r="M54" s="3">
        <v>4.1003084781985502</v>
      </c>
      <c r="N54" s="3">
        <v>4.5769263603455999</v>
      </c>
    </row>
    <row r="55" spans="1:14" x14ac:dyDescent="0.35">
      <c r="A55" s="2">
        <v>43354</v>
      </c>
      <c r="B55" s="3">
        <v>3.9642094069004301</v>
      </c>
      <c r="C55" s="3">
        <v>4.7667465055398699</v>
      </c>
      <c r="D55" s="3">
        <v>3.16484600225701</v>
      </c>
      <c r="E55" s="3">
        <v>3.3701215295750901</v>
      </c>
      <c r="F55" s="3">
        <v>2.3671175584330202</v>
      </c>
      <c r="G55" s="3">
        <v>3.4424579606730599</v>
      </c>
      <c r="H55" s="3">
        <v>4.6660349726766599</v>
      </c>
      <c r="I55" s="3">
        <v>1.0747419050304201</v>
      </c>
      <c r="J55" s="3">
        <v>1.9692798498881301</v>
      </c>
      <c r="K55" s="3">
        <v>3.5358971370294201</v>
      </c>
      <c r="L55" s="3">
        <v>3.0407263287995301</v>
      </c>
      <c r="M55" s="3">
        <v>4.1137990419296804</v>
      </c>
      <c r="N55" s="3">
        <v>4.6457144881262602</v>
      </c>
    </row>
    <row r="56" spans="1:14" x14ac:dyDescent="0.35">
      <c r="A56" s="2">
        <v>43384</v>
      </c>
      <c r="B56" s="3">
        <v>4.2979046707754804</v>
      </c>
      <c r="C56" s="3">
        <v>5.0390618908337901</v>
      </c>
      <c r="D56" s="3">
        <v>3.3522228718531499</v>
      </c>
      <c r="E56" s="3">
        <v>3.5414034675482</v>
      </c>
      <c r="F56" s="3">
        <v>2.3726625216991</v>
      </c>
      <c r="G56" s="3">
        <v>3.63628464490984</v>
      </c>
      <c r="H56" s="3">
        <v>4.8369568443086104</v>
      </c>
      <c r="I56" s="3">
        <v>1.16626803583183</v>
      </c>
      <c r="J56" s="3">
        <v>2.0964258824047901</v>
      </c>
      <c r="K56" s="3">
        <v>3.7020390613815399</v>
      </c>
      <c r="L56" s="3">
        <v>3.21760442026084</v>
      </c>
      <c r="M56" s="3">
        <v>4.2883690768566298</v>
      </c>
      <c r="N56" s="3">
        <v>5.0124055775970398</v>
      </c>
    </row>
    <row r="57" spans="1:14" x14ac:dyDescent="0.35">
      <c r="A57" s="2">
        <v>43413</v>
      </c>
      <c r="B57" s="3">
        <v>4.16232154472356</v>
      </c>
      <c r="C57" s="3">
        <v>5.0499308616618697</v>
      </c>
      <c r="D57" s="3">
        <v>3.3630114352463898</v>
      </c>
      <c r="E57" s="3">
        <v>3.5892581790342102</v>
      </c>
      <c r="F57" s="3">
        <v>2.4338955750887901</v>
      </c>
      <c r="G57" s="3">
        <v>3.4937729380199798</v>
      </c>
      <c r="H57" s="3">
        <v>4.8262063903137502</v>
      </c>
      <c r="I57" s="3">
        <v>1.1699223930601199</v>
      </c>
      <c r="J57" s="3">
        <v>2.0601000338608899</v>
      </c>
      <c r="K57" s="3">
        <v>3.70226286608094</v>
      </c>
      <c r="L57" s="3">
        <v>3.1656999123635998</v>
      </c>
      <c r="M57" s="3">
        <v>4.3832048548656699</v>
      </c>
      <c r="N57" s="3">
        <v>5.0771297402242697</v>
      </c>
    </row>
    <row r="58" spans="1:14" x14ac:dyDescent="0.35">
      <c r="A58" s="2">
        <v>43445</v>
      </c>
      <c r="B58" s="3">
        <v>4.2072097561295001</v>
      </c>
      <c r="C58" s="3">
        <v>5.4084640455803399</v>
      </c>
      <c r="D58" s="3">
        <v>3.5174512048915298</v>
      </c>
      <c r="E58" s="3">
        <v>3.85813964465166</v>
      </c>
      <c r="F58" s="3">
        <v>2.5945314057531599</v>
      </c>
      <c r="G58" s="3">
        <v>3.6468756380401302</v>
      </c>
      <c r="H58" s="3">
        <v>5.1590068275273104</v>
      </c>
      <c r="I58" s="3">
        <v>1.24660870765988</v>
      </c>
      <c r="J58" s="3">
        <v>2.1925800814693699</v>
      </c>
      <c r="K58" s="3">
        <v>3.9445434386223601</v>
      </c>
      <c r="L58" s="3">
        <v>3.37134496957496</v>
      </c>
      <c r="M58" s="3">
        <v>4.5873476414041301</v>
      </c>
      <c r="N58" s="3">
        <v>5.3606478658997201</v>
      </c>
    </row>
    <row r="59" spans="1:14" x14ac:dyDescent="0.35">
      <c r="A59" s="2">
        <v>43476</v>
      </c>
      <c r="B59" s="3">
        <v>4.1042452683789596</v>
      </c>
      <c r="C59" s="3">
        <v>5.1998373835704301</v>
      </c>
      <c r="D59" s="3">
        <v>3.4558842174348001</v>
      </c>
      <c r="E59" s="3">
        <v>3.82866141842785</v>
      </c>
      <c r="F59" s="3">
        <v>2.6915453504690499</v>
      </c>
      <c r="G59" s="3">
        <v>3.53945959907157</v>
      </c>
      <c r="H59" s="3">
        <v>5.17625245358321</v>
      </c>
      <c r="I59" s="3">
        <v>1.2689362360521601</v>
      </c>
      <c r="J59" s="3">
        <v>2.24375147571903</v>
      </c>
      <c r="K59" s="3">
        <v>3.9506837853383598</v>
      </c>
      <c r="L59" s="3">
        <v>3.3843752777250198</v>
      </c>
      <c r="M59" s="3">
        <v>4.5130918265105899</v>
      </c>
      <c r="N59" s="3">
        <v>5.17574795645191</v>
      </c>
    </row>
    <row r="60" spans="1:14" x14ac:dyDescent="0.35">
      <c r="A60" s="2">
        <v>43507</v>
      </c>
      <c r="B60" s="3">
        <v>4.0208236206945598</v>
      </c>
      <c r="C60" s="3">
        <v>4.9732304722714904</v>
      </c>
      <c r="D60" s="3">
        <v>3.3383675310199301</v>
      </c>
      <c r="E60" s="3">
        <v>3.7686640950218102</v>
      </c>
      <c r="F60" s="3">
        <v>2.6858820981623799</v>
      </c>
      <c r="G60" s="3">
        <v>3.44863266613664</v>
      </c>
      <c r="H60" s="3">
        <v>5.0132727020929302</v>
      </c>
      <c r="I60" s="3">
        <v>1.22449541408074</v>
      </c>
      <c r="J60" s="3">
        <v>2.1649344862951101</v>
      </c>
      <c r="K60" s="3">
        <v>3.7964852036464301</v>
      </c>
      <c r="L60" s="3">
        <v>3.1963435546618899</v>
      </c>
      <c r="M60" s="3">
        <v>4.2596315180047499</v>
      </c>
      <c r="N60" s="3">
        <v>5.0556795226815803</v>
      </c>
    </row>
    <row r="61" spans="1:14" x14ac:dyDescent="0.35">
      <c r="A61" s="2">
        <v>43535</v>
      </c>
      <c r="B61" s="3">
        <v>3.9051613985437799</v>
      </c>
      <c r="C61" s="3">
        <v>4.9642085519633898</v>
      </c>
      <c r="D61" s="3">
        <v>3.2711310811323799</v>
      </c>
      <c r="E61" s="3">
        <v>3.6116456168748798</v>
      </c>
      <c r="F61" s="3">
        <v>2.6080857960058701</v>
      </c>
      <c r="G61" s="3">
        <v>3.3767764279463699</v>
      </c>
      <c r="H61" s="3">
        <v>4.9983840674653504</v>
      </c>
      <c r="I61" s="3">
        <v>1.1699826063774501</v>
      </c>
      <c r="J61" s="3">
        <v>2.1135591433301699</v>
      </c>
      <c r="K61" s="3">
        <v>3.6424735059334301</v>
      </c>
      <c r="L61" s="3">
        <v>3.1289980037481002</v>
      </c>
      <c r="M61" s="3">
        <v>4.17905092054548</v>
      </c>
      <c r="N61" s="3">
        <v>4.80552436506738</v>
      </c>
    </row>
    <row r="62" spans="1:14" x14ac:dyDescent="0.35">
      <c r="A62" s="2">
        <v>43566</v>
      </c>
      <c r="B62" s="3">
        <v>3.79539484576937</v>
      </c>
      <c r="C62" s="3">
        <v>4.94890425670875</v>
      </c>
      <c r="D62" s="3">
        <v>3.21745552901106</v>
      </c>
      <c r="E62" s="3">
        <v>3.4991901185328702</v>
      </c>
      <c r="F62" s="3">
        <v>2.5813761381383</v>
      </c>
      <c r="G62" s="3">
        <v>3.26342900743091</v>
      </c>
      <c r="H62" s="3">
        <v>4.8290672912748702</v>
      </c>
      <c r="I62" s="3">
        <v>1.1093295974861399</v>
      </c>
      <c r="J62" s="3">
        <v>2.05472550576892</v>
      </c>
      <c r="K62" s="3">
        <v>3.5190906119280201</v>
      </c>
      <c r="L62" s="3">
        <v>3.01308524281793</v>
      </c>
      <c r="M62" s="3">
        <v>4.0588476620182998</v>
      </c>
      <c r="N62" s="3">
        <v>4.6386235888739202</v>
      </c>
    </row>
    <row r="63" spans="1:14" x14ac:dyDescent="0.35">
      <c r="A63" s="2">
        <v>43595</v>
      </c>
      <c r="B63" s="3">
        <v>3.6913386795783798</v>
      </c>
      <c r="C63" s="3">
        <v>4.8450417683979401</v>
      </c>
      <c r="D63" s="3">
        <v>3.27174218037938</v>
      </c>
      <c r="E63" s="3">
        <v>3.5093067866787901</v>
      </c>
      <c r="F63" s="3">
        <v>2.67362095816542</v>
      </c>
      <c r="G63" s="3">
        <v>3.3447236971206502</v>
      </c>
      <c r="H63" s="3">
        <v>4.9873756788427803</v>
      </c>
      <c r="I63" s="3">
        <v>1.11979029855516</v>
      </c>
      <c r="J63" s="3">
        <v>2.0685372310016099</v>
      </c>
      <c r="K63" s="3">
        <v>3.6330443532710901</v>
      </c>
      <c r="L63" s="3">
        <v>3.0571066813976202</v>
      </c>
      <c r="M63" s="3">
        <v>4.2065966612644496</v>
      </c>
      <c r="N63" s="3">
        <v>4.8655620489923299</v>
      </c>
    </row>
    <row r="64" spans="1:14" x14ac:dyDescent="0.35">
      <c r="A64" s="2">
        <v>43627</v>
      </c>
      <c r="B64" s="3">
        <v>3.6995821718462301</v>
      </c>
      <c r="C64" s="3">
        <v>4.6841403175893097</v>
      </c>
      <c r="D64" s="3">
        <v>3.3412532497360101</v>
      </c>
      <c r="E64" s="3">
        <v>3.5533002818520698</v>
      </c>
      <c r="F64" s="3">
        <v>2.6712612736874402</v>
      </c>
      <c r="G64" s="3">
        <v>3.24276941433371</v>
      </c>
      <c r="H64" s="3">
        <v>4.78597450450685</v>
      </c>
      <c r="I64" s="3">
        <v>1.14121765196273</v>
      </c>
      <c r="J64" s="3">
        <v>2.0801944216700901</v>
      </c>
      <c r="K64" s="3">
        <v>3.5963201826878</v>
      </c>
      <c r="L64" s="3">
        <v>3.0669532826931101</v>
      </c>
      <c r="M64" s="3">
        <v>4.2310114832988299</v>
      </c>
      <c r="N64" s="3">
        <v>4.9748559417741696</v>
      </c>
    </row>
    <row r="65" spans="1:14" x14ac:dyDescent="0.35">
      <c r="A65" s="2">
        <v>43657</v>
      </c>
      <c r="B65" s="3">
        <v>3.4533573095103098</v>
      </c>
      <c r="C65" s="3">
        <v>4.6142423198260403</v>
      </c>
      <c r="D65" s="3">
        <v>3.2969730841125</v>
      </c>
      <c r="E65" s="3">
        <v>3.4817423335075999</v>
      </c>
      <c r="F65" s="3">
        <v>2.6443791030761901</v>
      </c>
      <c r="G65" s="3">
        <v>3.2422731194479102</v>
      </c>
      <c r="H65" s="3">
        <v>4.7879671229622698</v>
      </c>
      <c r="I65" s="3">
        <v>1.08387909780964</v>
      </c>
      <c r="J65" s="3">
        <v>2.0126347190307001</v>
      </c>
      <c r="K65" s="3">
        <v>3.5340054359019399</v>
      </c>
      <c r="L65" s="3">
        <v>2.9849302126624302</v>
      </c>
      <c r="M65" s="3">
        <v>4.1751798763636501</v>
      </c>
      <c r="N65" s="3">
        <v>4.6279195829327699</v>
      </c>
    </row>
    <row r="66" spans="1:14" x14ac:dyDescent="0.35">
      <c r="A66" s="2">
        <v>43686</v>
      </c>
      <c r="B66" s="3">
        <v>3.3951655229526398</v>
      </c>
      <c r="C66" s="3">
        <v>4.6631395274054901</v>
      </c>
      <c r="D66" s="3">
        <v>3.3906077997891702</v>
      </c>
      <c r="E66" s="3">
        <v>3.6003553181979</v>
      </c>
      <c r="F66" s="3">
        <v>2.7722627040613199</v>
      </c>
      <c r="G66" s="3">
        <v>3.2659763032467102</v>
      </c>
      <c r="H66" s="3">
        <v>5.0758919017467798</v>
      </c>
      <c r="I66" s="3">
        <v>1.12608320903163</v>
      </c>
      <c r="J66" s="3">
        <v>2.0763283764553</v>
      </c>
      <c r="K66" s="3">
        <v>3.6850737858864102</v>
      </c>
      <c r="L66" s="3">
        <v>3.0375478213302798</v>
      </c>
      <c r="M66" s="3">
        <v>4.2744558551353</v>
      </c>
      <c r="N66" s="3">
        <v>5.0941292018989399</v>
      </c>
    </row>
    <row r="67" spans="1:14" x14ac:dyDescent="0.35">
      <c r="A67" s="2">
        <v>43719</v>
      </c>
      <c r="B67" s="3">
        <v>3.3238025739842301</v>
      </c>
      <c r="C67" s="3">
        <v>4.5058406602493504</v>
      </c>
      <c r="D67" s="3">
        <v>3.3392622633251401</v>
      </c>
      <c r="E67" s="3">
        <v>3.39568905264812</v>
      </c>
      <c r="F67" s="3">
        <v>2.6226297760138402</v>
      </c>
      <c r="G67" s="3">
        <v>3.1783293557787302</v>
      </c>
      <c r="H67" s="3">
        <v>4.9475041604370604</v>
      </c>
      <c r="I67" s="3">
        <v>1.0919506644425101</v>
      </c>
      <c r="J67" s="3">
        <v>2.0305778663758298</v>
      </c>
      <c r="K67" s="3">
        <v>3.5186155237955101</v>
      </c>
      <c r="L67" s="3">
        <v>2.8568117947109899</v>
      </c>
      <c r="M67" s="3">
        <v>3.9986863892600599</v>
      </c>
      <c r="N67" s="3">
        <v>4.7695763612733098</v>
      </c>
    </row>
    <row r="68" spans="1:14" x14ac:dyDescent="0.35">
      <c r="A68" s="2">
        <v>43749</v>
      </c>
      <c r="B68" s="3">
        <v>3.3390824189328598</v>
      </c>
      <c r="C68" s="3">
        <v>4.4830717731599803</v>
      </c>
      <c r="D68" s="3">
        <v>3.3674423388742301</v>
      </c>
      <c r="E68" s="3">
        <v>3.3776514959783301</v>
      </c>
      <c r="F68" s="3">
        <v>2.6150575723789098</v>
      </c>
      <c r="G68" s="3">
        <v>3.21834761065463</v>
      </c>
      <c r="H68" s="3">
        <v>4.9166669050809002</v>
      </c>
      <c r="I68" s="3">
        <v>1.10539224339597</v>
      </c>
      <c r="J68" s="3">
        <v>2.0622202239080298</v>
      </c>
      <c r="K68" s="3">
        <v>3.5018754010118198</v>
      </c>
      <c r="L68" s="3">
        <v>2.7474171918437702</v>
      </c>
      <c r="M68" s="3">
        <v>3.8849020921939701</v>
      </c>
      <c r="N68" s="3">
        <v>4.7333996357680999</v>
      </c>
    </row>
    <row r="69" spans="1:14" x14ac:dyDescent="0.35">
      <c r="A69" s="2">
        <v>43780</v>
      </c>
      <c r="B69" s="3">
        <v>3.3282931807480902</v>
      </c>
      <c r="C69" s="3">
        <v>4.31375028759361</v>
      </c>
      <c r="D69" s="3">
        <v>3.2666921127874202</v>
      </c>
      <c r="E69" s="3">
        <v>3.1431133753850502</v>
      </c>
      <c r="F69" s="3">
        <v>2.4623754640975601</v>
      </c>
      <c r="G69" s="3">
        <v>3.1360664874443902</v>
      </c>
      <c r="H69" s="3">
        <v>4.8017390107787001</v>
      </c>
      <c r="I69" s="3">
        <v>1.0661002790440901</v>
      </c>
      <c r="J69" s="3">
        <v>1.99766919749838</v>
      </c>
      <c r="K69" s="3">
        <v>3.37805142782359</v>
      </c>
      <c r="L69" s="3">
        <v>2.6574550207317098</v>
      </c>
      <c r="M69" s="3">
        <v>3.6762706108121499</v>
      </c>
      <c r="N69" s="3">
        <v>4.5375116113783003</v>
      </c>
    </row>
    <row r="70" spans="1:14" x14ac:dyDescent="0.35">
      <c r="A70" s="2">
        <v>43810</v>
      </c>
      <c r="B70" s="3">
        <v>3.2611968071219199</v>
      </c>
      <c r="C70" s="3">
        <v>4.2948769985349697</v>
      </c>
      <c r="D70" s="3">
        <v>3.2733845837522901</v>
      </c>
      <c r="E70" s="3">
        <v>3.12017552860434</v>
      </c>
      <c r="F70" s="3">
        <v>2.45022510630201</v>
      </c>
      <c r="G70" s="3">
        <v>3.1155524070604601</v>
      </c>
      <c r="H70" s="3">
        <v>4.79001267888819</v>
      </c>
      <c r="I70" s="3">
        <v>1.0741713396488599</v>
      </c>
      <c r="J70" s="3">
        <v>1.97442205458748</v>
      </c>
      <c r="K70" s="3">
        <v>3.4093282881935099</v>
      </c>
      <c r="L70" s="3">
        <v>2.6402699083733601</v>
      </c>
      <c r="M70" s="3">
        <v>3.6947612809444599</v>
      </c>
      <c r="N70" s="3">
        <v>4.5758308540602401</v>
      </c>
    </row>
    <row r="71" spans="1:14" x14ac:dyDescent="0.35">
      <c r="A71" s="2">
        <v>43840</v>
      </c>
      <c r="B71" s="3">
        <v>3.1611583646166102</v>
      </c>
      <c r="C71" s="3">
        <v>4.1857438454551898</v>
      </c>
      <c r="D71" s="3">
        <v>3.2373381162813799</v>
      </c>
      <c r="E71" s="3">
        <v>3.05129721228659</v>
      </c>
      <c r="F71" s="3">
        <v>2.4297630025360299</v>
      </c>
      <c r="G71" s="3">
        <v>3.0373020959130699</v>
      </c>
      <c r="H71" s="3">
        <v>4.5752640644746796</v>
      </c>
      <c r="I71" s="3">
        <v>1.0223311491631699</v>
      </c>
      <c r="J71" s="3">
        <v>1.91553767791581</v>
      </c>
      <c r="K71" s="3">
        <v>3.3279983984230199</v>
      </c>
      <c r="L71" s="3">
        <v>2.5765289507753302</v>
      </c>
      <c r="M71" s="3">
        <v>3.5840236805885701</v>
      </c>
      <c r="N71" s="3">
        <v>4.4275219148350704</v>
      </c>
    </row>
    <row r="72" spans="1:14" x14ac:dyDescent="0.35">
      <c r="A72" s="2">
        <v>43872</v>
      </c>
      <c r="B72" s="3">
        <v>3.0614920573975999</v>
      </c>
      <c r="C72" s="3">
        <v>4.1322079481103504</v>
      </c>
      <c r="D72" s="3">
        <v>3.2051670836428099</v>
      </c>
      <c r="E72" s="3">
        <v>3.0352081011492702</v>
      </c>
      <c r="F72" s="3">
        <v>2.4502951787906002</v>
      </c>
      <c r="G72" s="3">
        <v>2.93691965278268</v>
      </c>
      <c r="H72" s="3">
        <v>4.6573043123644098</v>
      </c>
      <c r="I72" s="3">
        <v>0.96985686959862805</v>
      </c>
      <c r="J72" s="3">
        <v>1.87837648037086</v>
      </c>
      <c r="K72" s="3">
        <v>3.3058417964949198</v>
      </c>
      <c r="L72" s="3">
        <v>2.4945019463888198</v>
      </c>
      <c r="M72" s="3">
        <v>3.4133128316677999</v>
      </c>
      <c r="N72" s="3">
        <v>4.4489814916758599</v>
      </c>
    </row>
    <row r="73" spans="1:14" x14ac:dyDescent="0.35">
      <c r="A73" s="2">
        <v>43901</v>
      </c>
      <c r="B73" s="3">
        <v>3.29041534704995</v>
      </c>
      <c r="C73" s="3">
        <v>5.0147839011716604</v>
      </c>
      <c r="D73" s="3">
        <v>4.0797483726464003</v>
      </c>
      <c r="E73" s="3">
        <v>3.9158384894060001</v>
      </c>
      <c r="F73" s="3">
        <v>2.9996682175326899</v>
      </c>
      <c r="G73" s="3">
        <v>3.5112607024007199</v>
      </c>
      <c r="H73" s="3">
        <v>5.95882153702442</v>
      </c>
      <c r="I73" s="3">
        <v>1.1591517291436</v>
      </c>
      <c r="J73" s="3">
        <v>2.31303839369285</v>
      </c>
      <c r="K73" s="3">
        <v>4.2408795409870397</v>
      </c>
      <c r="L73" s="3">
        <v>3.1858278010361101</v>
      </c>
      <c r="M73" s="3">
        <v>4.2499067748687596</v>
      </c>
      <c r="N73" s="3">
        <v>6.0755300210754104</v>
      </c>
    </row>
    <row r="74" spans="1:14" x14ac:dyDescent="0.35">
      <c r="A74" s="2">
        <v>43930</v>
      </c>
      <c r="B74" s="3">
        <v>2.9931535160139102</v>
      </c>
      <c r="C74" s="3">
        <v>4.6223915874541497</v>
      </c>
      <c r="D74" s="3">
        <v>4.0602260028667603</v>
      </c>
      <c r="E74" s="3">
        <v>3.5860512701863501</v>
      </c>
      <c r="F74" s="3">
        <v>2.91891278369387</v>
      </c>
      <c r="G74" s="3">
        <v>3.40426873881295</v>
      </c>
      <c r="H74" s="3">
        <v>5.7693999497592401</v>
      </c>
      <c r="I74" s="3">
        <v>1.1267441120956301</v>
      </c>
      <c r="J74" s="3">
        <v>2.2209195995336199</v>
      </c>
      <c r="K74" s="3">
        <v>3.9512238776228501</v>
      </c>
      <c r="L74" s="3">
        <v>2.88339649845138</v>
      </c>
      <c r="M74" s="3">
        <v>3.6211587051834302</v>
      </c>
      <c r="N74" s="3">
        <v>5.8767282508131702</v>
      </c>
    </row>
    <row r="75" spans="1:14" x14ac:dyDescent="0.35">
      <c r="A75" s="2">
        <v>43962</v>
      </c>
      <c r="B75" s="3">
        <v>2.5945884752748101</v>
      </c>
      <c r="C75" s="3">
        <v>3.8292020740375001</v>
      </c>
      <c r="D75" s="3">
        <v>3.6974358517574002</v>
      </c>
      <c r="E75" s="3">
        <v>3.3437789194479599</v>
      </c>
      <c r="F75" s="3">
        <v>2.76577508340046</v>
      </c>
      <c r="G75" s="3">
        <v>3.2549758681355798</v>
      </c>
      <c r="H75" s="3">
        <v>4.6012566918176399</v>
      </c>
      <c r="I75" s="3">
        <v>0.98178138788575298</v>
      </c>
      <c r="J75" s="3">
        <v>2.0721404420491298</v>
      </c>
      <c r="K75" s="3">
        <v>3.5407639412646899</v>
      </c>
      <c r="L75" s="3">
        <v>2.6268882721411999</v>
      </c>
      <c r="M75" s="3">
        <v>3.32454359974624</v>
      </c>
      <c r="N75" s="3">
        <v>5.0290606823025303</v>
      </c>
    </row>
    <row r="76" spans="1:14" x14ac:dyDescent="0.35">
      <c r="A76" s="2">
        <v>43993</v>
      </c>
      <c r="B76" s="3">
        <v>2.56753949060891</v>
      </c>
      <c r="C76" s="3">
        <v>3.3890069694818599</v>
      </c>
      <c r="D76" s="3">
        <v>3.6553825423073998</v>
      </c>
      <c r="E76" s="3">
        <v>2.9782286669136901</v>
      </c>
      <c r="F76" s="3">
        <v>2.4855059901555498</v>
      </c>
      <c r="G76" s="3">
        <v>3.1492795549811099</v>
      </c>
      <c r="H76" s="3">
        <v>4.1563094259663798</v>
      </c>
      <c r="I76" s="3">
        <v>0.94765931060325204</v>
      </c>
      <c r="J76" s="3">
        <v>2.0055486757013701</v>
      </c>
      <c r="K76" s="3">
        <v>3.23068483911922</v>
      </c>
      <c r="L76" s="3">
        <v>2.4841748543816098</v>
      </c>
      <c r="M76" s="3">
        <v>3.12524027103222</v>
      </c>
      <c r="N76" s="3">
        <v>4.3977688241281596</v>
      </c>
    </row>
    <row r="77" spans="1:14" x14ac:dyDescent="0.35">
      <c r="A77" s="2">
        <v>44022</v>
      </c>
      <c r="B77" s="3">
        <v>2.4860179130343498</v>
      </c>
      <c r="C77" s="3">
        <v>3.4824551633595502</v>
      </c>
      <c r="D77" s="3">
        <v>3.5120111387206601</v>
      </c>
      <c r="E77" s="3">
        <v>2.8530827759517101</v>
      </c>
      <c r="F77" s="3">
        <v>2.5424466770991598</v>
      </c>
      <c r="G77" s="3">
        <v>3.0151502816407598</v>
      </c>
      <c r="H77" s="3">
        <v>4.1467135355320401</v>
      </c>
      <c r="I77" s="3">
        <v>0.84060377184907298</v>
      </c>
      <c r="J77" s="3">
        <v>1.86872958196418</v>
      </c>
      <c r="K77" s="3">
        <v>3.1252747690826501</v>
      </c>
      <c r="L77" s="3">
        <v>2.32345436398723</v>
      </c>
      <c r="M77" s="3">
        <v>2.9891473966698001</v>
      </c>
      <c r="N77" s="3">
        <v>4.3154285182551702</v>
      </c>
    </row>
    <row r="78" spans="1:14" x14ac:dyDescent="0.35">
      <c r="A78" s="2">
        <v>44054</v>
      </c>
      <c r="B78" s="3">
        <v>2.4071000576121699</v>
      </c>
      <c r="C78" s="3">
        <v>3.3279458085252802</v>
      </c>
      <c r="D78" s="3">
        <v>3.3442842833688502</v>
      </c>
      <c r="E78" s="3">
        <v>2.8163593046430999</v>
      </c>
      <c r="F78" s="3">
        <v>2.44622231734358</v>
      </c>
      <c r="G78" s="3">
        <v>2.96320764269307</v>
      </c>
      <c r="H78" s="3">
        <v>3.93161256806395</v>
      </c>
      <c r="I78" s="3">
        <v>0.83992327157492297</v>
      </c>
      <c r="J78" s="3">
        <v>1.7840541130659899</v>
      </c>
      <c r="K78" s="3">
        <v>3.08892175541521</v>
      </c>
      <c r="L78" s="3">
        <v>2.35251965047286</v>
      </c>
      <c r="M78" s="3">
        <v>2.96375017816528</v>
      </c>
      <c r="N78" s="3">
        <v>3.8940049992304102</v>
      </c>
    </row>
    <row r="79" spans="1:14" x14ac:dyDescent="0.35">
      <c r="A79" s="2">
        <v>44085</v>
      </c>
      <c r="B79" s="3">
        <v>2.4228526464546301</v>
      </c>
      <c r="C79" s="3">
        <v>3.6144418922133101</v>
      </c>
      <c r="D79" s="3">
        <v>3.40981523896615</v>
      </c>
      <c r="E79" s="3">
        <v>2.7950589853311301</v>
      </c>
      <c r="F79" s="3">
        <v>2.36236672259948</v>
      </c>
      <c r="G79" s="3">
        <v>2.8991881825005801</v>
      </c>
      <c r="H79" s="3">
        <v>4.1104216251225898</v>
      </c>
      <c r="I79" s="3">
        <v>0.82512987296927598</v>
      </c>
      <c r="J79" s="3">
        <v>1.78440200093759</v>
      </c>
      <c r="K79" s="3">
        <v>3.1164215776266402</v>
      </c>
      <c r="L79" s="3">
        <v>2.3212251815978999</v>
      </c>
      <c r="M79" s="3">
        <v>2.9756203551447702</v>
      </c>
      <c r="N79" s="3">
        <v>4.02482703489546</v>
      </c>
    </row>
    <row r="80" spans="1:14" x14ac:dyDescent="0.35">
      <c r="A80" s="2">
        <v>44113</v>
      </c>
      <c r="B80" s="3">
        <v>2.3574516500659501</v>
      </c>
      <c r="C80" s="3">
        <v>3.55089826648606</v>
      </c>
      <c r="D80" s="3">
        <v>3.3603886836118</v>
      </c>
      <c r="E80" s="3">
        <v>2.8143158564416701</v>
      </c>
      <c r="F80" s="3">
        <v>2.3656225056129299</v>
      </c>
      <c r="G80" s="3">
        <v>2.9282021751143299</v>
      </c>
      <c r="H80" s="3">
        <v>4.1821738810002698</v>
      </c>
      <c r="I80" s="3">
        <v>0.78390556801350297</v>
      </c>
      <c r="J80" s="3">
        <v>1.7171481751000599</v>
      </c>
      <c r="K80" s="3">
        <v>3.1853673683841199</v>
      </c>
      <c r="L80" s="3">
        <v>2.27544631524992</v>
      </c>
      <c r="M80" s="3">
        <v>2.9839613901701698</v>
      </c>
      <c r="N80" s="3">
        <v>4.1172181913705499</v>
      </c>
    </row>
    <row r="81" spans="1:14" x14ac:dyDescent="0.35">
      <c r="A81" s="2">
        <v>44146</v>
      </c>
      <c r="B81" s="3">
        <v>2.3554802696450099</v>
      </c>
      <c r="C81" s="3">
        <v>3.4927049820729601</v>
      </c>
      <c r="D81" s="3">
        <v>3.3063557193261</v>
      </c>
      <c r="E81" s="3">
        <v>2.84406706402069</v>
      </c>
      <c r="F81" s="3">
        <v>2.2524969810842599</v>
      </c>
      <c r="G81" s="3">
        <v>2.8859545210335198</v>
      </c>
      <c r="H81" s="3">
        <v>4.0030508506673801</v>
      </c>
      <c r="I81" s="3">
        <v>0.77866018600160603</v>
      </c>
      <c r="J81" s="3">
        <v>1.6762042059801401</v>
      </c>
      <c r="K81" s="3">
        <v>2.9328395072075502</v>
      </c>
      <c r="L81" s="3">
        <v>2.1846485903501902</v>
      </c>
      <c r="M81" s="3">
        <v>3.03144224600537</v>
      </c>
      <c r="N81" s="3">
        <v>3.9837175960642002</v>
      </c>
    </row>
    <row r="82" spans="1:14" x14ac:dyDescent="0.35">
      <c r="A82" s="2">
        <v>44176</v>
      </c>
      <c r="B82" s="3">
        <v>2.3732908751519699</v>
      </c>
      <c r="C82" s="3">
        <v>3.5331016942892499</v>
      </c>
      <c r="D82" s="3">
        <v>3.1141176124538199</v>
      </c>
      <c r="E82" s="3">
        <v>2.8246659076159202</v>
      </c>
      <c r="F82" s="3">
        <v>2.1615740453273999</v>
      </c>
      <c r="G82" s="3">
        <v>2.9131469315876801</v>
      </c>
      <c r="H82" s="3">
        <v>3.9134542069426299</v>
      </c>
      <c r="I82" s="3">
        <v>0.75304414572086098</v>
      </c>
      <c r="J82" s="3">
        <v>1.6384750415756799</v>
      </c>
      <c r="K82" s="3">
        <v>2.9420340647767298</v>
      </c>
      <c r="L82" s="3">
        <v>2.0782691083962699</v>
      </c>
      <c r="M82" s="3">
        <v>3.0661224988424398</v>
      </c>
      <c r="N82" s="3">
        <v>3.9945362949049001</v>
      </c>
    </row>
    <row r="83" spans="1:14" x14ac:dyDescent="0.35">
      <c r="A83" s="2">
        <v>44207</v>
      </c>
      <c r="B83" s="3">
        <v>2.40389451621252</v>
      </c>
      <c r="C83" s="3">
        <v>3.52813078623354</v>
      </c>
      <c r="D83" s="3">
        <v>3.0322031068511102</v>
      </c>
      <c r="E83" s="3">
        <v>2.7140071039426101</v>
      </c>
      <c r="F83" s="3">
        <v>2.08647035234425</v>
      </c>
      <c r="G83" s="3">
        <v>2.8125376907697799</v>
      </c>
      <c r="H83" s="3">
        <v>3.82095283163931</v>
      </c>
      <c r="I83" s="3">
        <v>0.76364047750197195</v>
      </c>
      <c r="J83" s="3">
        <v>1.5610251717452199</v>
      </c>
      <c r="K83" s="3">
        <v>2.9070542439895002</v>
      </c>
      <c r="L83" s="3">
        <v>1.94257884327048</v>
      </c>
      <c r="M83" s="3">
        <v>3.0179120506127401</v>
      </c>
      <c r="N83" s="3">
        <v>3.8912733753058899</v>
      </c>
    </row>
    <row r="84" spans="1:14" x14ac:dyDescent="0.35">
      <c r="A84" s="2">
        <v>44238</v>
      </c>
      <c r="B84" s="3">
        <v>2.5586434976971701</v>
      </c>
      <c r="C84" s="3">
        <v>3.5877959792457701</v>
      </c>
      <c r="D84" s="3">
        <v>2.9435265984730998</v>
      </c>
      <c r="E84" s="3">
        <v>2.73023764266485</v>
      </c>
      <c r="F84" s="3">
        <v>2.0306154850850899</v>
      </c>
      <c r="G84" s="3">
        <v>2.81197636330235</v>
      </c>
      <c r="H84" s="3">
        <v>4.0250191920744101</v>
      </c>
      <c r="I84" s="3">
        <v>0.72600595833939796</v>
      </c>
      <c r="J84" s="3">
        <v>1.53112648945175</v>
      </c>
      <c r="K84" s="3">
        <v>2.9181193933704699</v>
      </c>
      <c r="L84" s="3">
        <v>1.89038165004407</v>
      </c>
      <c r="M84" s="3">
        <v>3.0033437264130098</v>
      </c>
      <c r="N84" s="3">
        <v>3.92170587177807</v>
      </c>
    </row>
    <row r="85" spans="1:14" x14ac:dyDescent="0.35">
      <c r="A85" s="2">
        <v>44266</v>
      </c>
      <c r="B85" s="3">
        <v>2.61252028697769</v>
      </c>
      <c r="C85" s="3">
        <v>3.9128882420033002</v>
      </c>
      <c r="D85" s="3">
        <v>2.8430957626242002</v>
      </c>
      <c r="E85" s="3">
        <v>2.73573731358226</v>
      </c>
      <c r="F85" s="3">
        <v>2.08547565313539</v>
      </c>
      <c r="G85" s="3">
        <v>2.83673878756903</v>
      </c>
      <c r="H85" s="3">
        <v>3.9575399291481901</v>
      </c>
      <c r="I85" s="3">
        <v>0.76828154941043703</v>
      </c>
      <c r="J85" s="3">
        <v>1.5306940300038101</v>
      </c>
      <c r="K85" s="3">
        <v>2.7383445018425601</v>
      </c>
      <c r="L85" s="3">
        <v>2.0018787689092301</v>
      </c>
      <c r="M85" s="3">
        <v>2.77860192144052</v>
      </c>
      <c r="N85" s="3">
        <v>4.0701118391927</v>
      </c>
    </row>
    <row r="86" spans="1:14" x14ac:dyDescent="0.35">
      <c r="A86" s="2">
        <v>44295</v>
      </c>
      <c r="B86" s="3">
        <v>2.5805308361242498</v>
      </c>
      <c r="C86" s="3">
        <v>3.87995382583436</v>
      </c>
      <c r="D86" s="3">
        <v>2.7647229861610501</v>
      </c>
      <c r="E86" s="3">
        <v>2.6852336348880099</v>
      </c>
      <c r="F86" s="3">
        <v>2.0661803799810401</v>
      </c>
      <c r="G86" s="3">
        <v>2.7398261962533099</v>
      </c>
      <c r="H86" s="3">
        <v>3.9544635323764998</v>
      </c>
      <c r="I86" s="3">
        <v>0.726699127876129</v>
      </c>
      <c r="J86" s="3">
        <v>1.4672829559412</v>
      </c>
      <c r="K86" s="3">
        <v>2.71752990121362</v>
      </c>
      <c r="L86" s="3">
        <v>1.9047206396040699</v>
      </c>
      <c r="M86" s="3">
        <v>2.7018398669535602</v>
      </c>
      <c r="N86" s="3">
        <v>4.0619168525482703</v>
      </c>
    </row>
    <row r="87" spans="1:14" x14ac:dyDescent="0.35">
      <c r="A87" s="2">
        <v>44327</v>
      </c>
      <c r="B87" s="3">
        <v>2.6147926813380802</v>
      </c>
      <c r="C87" s="3">
        <v>3.8791654912322899</v>
      </c>
      <c r="D87" s="3">
        <v>2.75146242279438</v>
      </c>
      <c r="E87" s="3">
        <v>2.8498612603539999</v>
      </c>
      <c r="F87" s="3">
        <v>2.1689480352853101</v>
      </c>
      <c r="G87" s="3">
        <v>2.7981147697451201</v>
      </c>
      <c r="H87" s="3">
        <v>3.9412275510270298</v>
      </c>
      <c r="I87" s="3">
        <v>0.75742136356006495</v>
      </c>
      <c r="J87" s="3">
        <v>1.46960083346098</v>
      </c>
      <c r="K87" s="3">
        <v>2.7344650315048802</v>
      </c>
      <c r="L87" s="3">
        <v>2.0060725243691802</v>
      </c>
      <c r="M87" s="3">
        <v>2.8808870068131101</v>
      </c>
      <c r="N87" s="3">
        <v>4.2225797491911203</v>
      </c>
    </row>
    <row r="88" spans="1:14" x14ac:dyDescent="0.35">
      <c r="A88" s="2">
        <v>44358</v>
      </c>
      <c r="B88" s="3">
        <v>2.6812794898652199</v>
      </c>
      <c r="C88" s="3">
        <v>3.8819695915485299</v>
      </c>
      <c r="D88" s="3">
        <v>2.5753467104645198</v>
      </c>
      <c r="E88" s="3">
        <v>2.7746395672616702</v>
      </c>
      <c r="F88" s="3">
        <v>2.16490573620688</v>
      </c>
      <c r="G88" s="3">
        <v>2.6223880345471202</v>
      </c>
      <c r="H88" s="3">
        <v>3.8833755769658298</v>
      </c>
      <c r="I88" s="3">
        <v>0.729243330776988</v>
      </c>
      <c r="J88" s="3">
        <v>1.4491655112681801</v>
      </c>
      <c r="K88" s="3">
        <v>2.6421082019216899</v>
      </c>
      <c r="L88" s="3">
        <v>1.97589729627651</v>
      </c>
      <c r="M88" s="3">
        <v>2.6799045022777199</v>
      </c>
      <c r="N88" s="3">
        <v>4.0376420161647903</v>
      </c>
    </row>
    <row r="89" spans="1:14" x14ac:dyDescent="0.35">
      <c r="A89" s="2">
        <v>44386</v>
      </c>
      <c r="B89" s="3">
        <v>2.6137734241941901</v>
      </c>
      <c r="C89" s="3">
        <v>4.1266036331240601</v>
      </c>
      <c r="D89" s="3">
        <v>2.7044215802357501</v>
      </c>
      <c r="E89" s="3">
        <v>2.7988299957009199</v>
      </c>
      <c r="F89" s="3">
        <v>2.2358896201843099</v>
      </c>
      <c r="G89" s="3">
        <v>2.6218129698385102</v>
      </c>
      <c r="H89" s="3">
        <v>4.00699698976576</v>
      </c>
      <c r="I89" s="3">
        <v>0.69248893513404097</v>
      </c>
      <c r="J89" s="3">
        <v>1.42534876475446</v>
      </c>
      <c r="K89" s="3">
        <v>2.70363036967573</v>
      </c>
      <c r="L89" s="3">
        <v>2.02574283117987</v>
      </c>
      <c r="M89" s="3">
        <v>2.67209223700779</v>
      </c>
      <c r="N89" s="3">
        <v>4.1960215560401402</v>
      </c>
    </row>
    <row r="90" spans="1:14" x14ac:dyDescent="0.35">
      <c r="A90" s="2">
        <v>44419</v>
      </c>
      <c r="B90" s="3">
        <v>2.6783901546884201</v>
      </c>
      <c r="C90" s="3">
        <v>4.0215355763228802</v>
      </c>
      <c r="D90" s="3">
        <v>2.6698074691363201</v>
      </c>
      <c r="E90" s="3">
        <v>2.84118021151196</v>
      </c>
      <c r="F90" s="3">
        <v>2.2192547221660401</v>
      </c>
      <c r="G90" s="3">
        <v>2.5653611401758201</v>
      </c>
      <c r="H90" s="3">
        <v>4.1018373730291797</v>
      </c>
      <c r="I90" s="3">
        <v>0.70353674812293399</v>
      </c>
      <c r="J90" s="3">
        <v>1.4146475137096599</v>
      </c>
      <c r="K90" s="3">
        <v>2.6800618404919998</v>
      </c>
      <c r="L90" s="3">
        <v>1.94040020575279</v>
      </c>
      <c r="M90" s="3">
        <v>2.69772602191046</v>
      </c>
      <c r="N90" s="3">
        <v>4.2586312499204801</v>
      </c>
    </row>
    <row r="91" spans="1:14" x14ac:dyDescent="0.35">
      <c r="A91" s="2">
        <v>44449</v>
      </c>
      <c r="B91" s="3">
        <v>2.6029570760018599</v>
      </c>
      <c r="C91" s="3">
        <v>4.08612980080773</v>
      </c>
      <c r="D91" s="3">
        <v>2.74572303630223</v>
      </c>
      <c r="E91" s="3">
        <v>2.87352855639462</v>
      </c>
      <c r="F91" s="3">
        <v>2.1299639427121702</v>
      </c>
      <c r="G91" s="3">
        <v>2.6304826617690802</v>
      </c>
      <c r="H91" s="3">
        <v>4.2252150058450999</v>
      </c>
      <c r="I91" s="3">
        <v>0.68763819351461897</v>
      </c>
      <c r="J91" s="3">
        <v>1.42084747442791</v>
      </c>
      <c r="K91" s="3">
        <v>2.7769737138866</v>
      </c>
      <c r="L91" s="3">
        <v>1.8519866092316</v>
      </c>
      <c r="M91" s="3">
        <v>2.7589493142462702</v>
      </c>
      <c r="N91" s="3">
        <v>4.5017763605208199</v>
      </c>
    </row>
    <row r="92" spans="1:14" x14ac:dyDescent="0.35">
      <c r="A92" s="2">
        <v>44480</v>
      </c>
      <c r="B92" s="3">
        <v>2.6796942143820002</v>
      </c>
      <c r="C92" s="3">
        <v>4.06089465900215</v>
      </c>
      <c r="D92" s="3">
        <v>2.7870314053780798</v>
      </c>
      <c r="E92" s="3">
        <v>2.99773697678603</v>
      </c>
      <c r="F92" s="3">
        <v>2.2490964149856301</v>
      </c>
      <c r="G92" s="3">
        <v>2.74099051944376</v>
      </c>
      <c r="H92" s="3">
        <v>4.1094546607230003</v>
      </c>
      <c r="I92" s="3">
        <v>0.72839739504576495</v>
      </c>
      <c r="J92" s="3">
        <v>1.4603644726882401</v>
      </c>
      <c r="K92" s="3">
        <v>2.87358492108027</v>
      </c>
      <c r="L92" s="3">
        <v>1.9851100733788301</v>
      </c>
      <c r="M92" s="3">
        <v>2.9314445415166399</v>
      </c>
      <c r="N92" s="3">
        <v>4.4819180507967804</v>
      </c>
    </row>
    <row r="93" spans="1:14" x14ac:dyDescent="0.35">
      <c r="A93" s="2">
        <v>44511</v>
      </c>
      <c r="B93" s="3">
        <v>2.68312794802182</v>
      </c>
      <c r="C93" s="3">
        <v>4.0071259213047101</v>
      </c>
      <c r="D93" s="3">
        <v>2.6809782211494801</v>
      </c>
      <c r="E93" s="3">
        <v>2.9385652146369199</v>
      </c>
      <c r="F93" s="3">
        <v>2.24331216414864</v>
      </c>
      <c r="G93" s="3">
        <v>2.58642559360421</v>
      </c>
      <c r="H93" s="3">
        <v>3.9989128103710798</v>
      </c>
      <c r="I93" s="3">
        <v>0.67214625465984801</v>
      </c>
      <c r="J93" s="3">
        <v>1.3801893874626801</v>
      </c>
      <c r="K93" s="3">
        <v>2.73631683708276</v>
      </c>
      <c r="L93" s="3">
        <v>1.85156713482416</v>
      </c>
      <c r="M93" s="3">
        <v>2.9671149301777602</v>
      </c>
      <c r="N93" s="3">
        <v>4.31844762971948</v>
      </c>
    </row>
    <row r="94" spans="1:14" x14ac:dyDescent="0.35">
      <c r="A94" s="2">
        <v>44540</v>
      </c>
      <c r="B94" s="3">
        <v>2.7818211720600199</v>
      </c>
      <c r="C94" s="3">
        <v>3.9635846270322901</v>
      </c>
      <c r="D94" s="3">
        <v>2.8391460976013301</v>
      </c>
      <c r="E94" s="3">
        <v>3.0587874817364198</v>
      </c>
      <c r="F94" s="3">
        <v>2.3194621886645499</v>
      </c>
      <c r="G94" s="3">
        <v>2.5803777110783699</v>
      </c>
      <c r="H94" s="3">
        <v>4.0212291956510997</v>
      </c>
      <c r="I94" s="3">
        <v>0.66581930587247995</v>
      </c>
      <c r="J94" s="3">
        <v>1.3684188724386599</v>
      </c>
      <c r="K94" s="3">
        <v>2.7895957411174601</v>
      </c>
      <c r="L94" s="3">
        <v>1.9770197777204599</v>
      </c>
      <c r="M94" s="3">
        <v>2.9259747455101999</v>
      </c>
      <c r="N94" s="3">
        <v>4.6461787413315996</v>
      </c>
    </row>
    <row r="95" spans="1:14" x14ac:dyDescent="0.35">
      <c r="A95" s="2">
        <v>44572</v>
      </c>
      <c r="B95" s="3">
        <v>2.8205335484845899</v>
      </c>
      <c r="C95" s="3">
        <v>3.90160546835952</v>
      </c>
      <c r="D95" s="3">
        <v>2.7718508181501802</v>
      </c>
      <c r="E95" s="3">
        <v>3.0550489766926199</v>
      </c>
      <c r="F95" s="3">
        <v>2.3250407613314201</v>
      </c>
      <c r="G95" s="3">
        <v>2.59566494364373</v>
      </c>
      <c r="H95" s="3">
        <v>3.8612831763004198</v>
      </c>
      <c r="I95" s="3">
        <v>0.69049499413597104</v>
      </c>
      <c r="J95" s="3">
        <v>1.3712084213400799</v>
      </c>
      <c r="K95" s="3">
        <v>2.7477147463982501</v>
      </c>
      <c r="L95" s="3">
        <v>2.0123372447904702</v>
      </c>
      <c r="M95" s="3">
        <v>2.9221159370939298</v>
      </c>
      <c r="N95" s="3">
        <v>4.5963237630183098</v>
      </c>
    </row>
    <row r="96" spans="1:14" x14ac:dyDescent="0.35">
      <c r="A96" s="2">
        <v>44603</v>
      </c>
      <c r="B96" s="3">
        <v>2.9760735603810402</v>
      </c>
      <c r="C96" s="3">
        <v>4.2637750588302499</v>
      </c>
      <c r="D96" s="3">
        <v>2.76645078205049</v>
      </c>
      <c r="E96" s="3">
        <v>3.20275345369466</v>
      </c>
      <c r="F96" s="3">
        <v>2.4180945742599298</v>
      </c>
      <c r="G96" s="3">
        <v>2.7467565309695101</v>
      </c>
      <c r="H96" s="3">
        <v>3.7621416920027202</v>
      </c>
      <c r="I96" s="3">
        <v>0.77888956421671296</v>
      </c>
      <c r="J96" s="3">
        <v>1.4858921224722901</v>
      </c>
      <c r="K96" s="3">
        <v>2.8945383665247499</v>
      </c>
      <c r="L96" s="3">
        <v>2.2158444619030502</v>
      </c>
      <c r="M96" s="3">
        <v>2.9111191295429899</v>
      </c>
      <c r="N96" s="3">
        <v>4.7991335215583701</v>
      </c>
    </row>
    <row r="97" spans="1:14" x14ac:dyDescent="0.35">
      <c r="A97" s="2">
        <v>44631</v>
      </c>
      <c r="B97" s="3">
        <v>3.0845578396223301</v>
      </c>
      <c r="C97" s="3">
        <v>4.3753461069050203</v>
      </c>
      <c r="D97" s="3">
        <v>2.8501377441748401</v>
      </c>
      <c r="E97" s="3">
        <v>3.6900442968976201</v>
      </c>
      <c r="F97" s="3">
        <v>2.7057352023439099</v>
      </c>
      <c r="G97" s="3">
        <v>2.9374052576004002</v>
      </c>
      <c r="H97" s="3">
        <v>4.1660830705981304</v>
      </c>
      <c r="I97" s="3">
        <v>0.84546616315040801</v>
      </c>
      <c r="J97" s="3">
        <v>1.56939307361354</v>
      </c>
      <c r="K97" s="3">
        <v>3.2928393825237698</v>
      </c>
      <c r="L97" s="3">
        <v>2.45050247070475</v>
      </c>
      <c r="M97" s="3">
        <v>3.2160278252632701</v>
      </c>
      <c r="N97" s="3">
        <v>5.4632311439903596</v>
      </c>
    </row>
    <row r="98" spans="1:14" x14ac:dyDescent="0.35">
      <c r="A98" s="2">
        <v>44662</v>
      </c>
      <c r="B98" s="3">
        <v>3.1218361376954702</v>
      </c>
      <c r="C98" s="3">
        <v>4.3322026426391496</v>
      </c>
      <c r="D98" s="3">
        <v>2.8539469788476701</v>
      </c>
      <c r="E98" s="3">
        <v>3.59784656787531</v>
      </c>
      <c r="F98" s="3">
        <v>2.59540328485331</v>
      </c>
      <c r="G98" s="3">
        <v>2.7307824610881601</v>
      </c>
      <c r="H98" s="3">
        <v>3.94317722716236</v>
      </c>
      <c r="I98" s="3">
        <v>0.80659190416170301</v>
      </c>
      <c r="J98" s="3">
        <v>1.48971085911437</v>
      </c>
      <c r="K98" s="3">
        <v>3.1329940738743698</v>
      </c>
      <c r="L98" s="3">
        <v>2.3218001364999798</v>
      </c>
      <c r="M98" s="3">
        <v>3.1648386496494298</v>
      </c>
      <c r="N98" s="3">
        <v>5.0542803901906499</v>
      </c>
    </row>
    <row r="99" spans="1:14" x14ac:dyDescent="0.35">
      <c r="A99" s="2">
        <v>44692</v>
      </c>
      <c r="B99" s="3">
        <v>3.2216616910928799</v>
      </c>
      <c r="C99" s="3">
        <v>4.7527076468554004</v>
      </c>
      <c r="D99" s="3">
        <v>3.2316116632482399</v>
      </c>
      <c r="E99" s="3">
        <v>3.85980291895976</v>
      </c>
      <c r="F99" s="3">
        <v>2.6771215127127301</v>
      </c>
      <c r="G99" s="3">
        <v>3.0044099701696201</v>
      </c>
      <c r="H99" s="3">
        <v>4.1999050135389098</v>
      </c>
      <c r="I99" s="3">
        <v>0.94730013470288699</v>
      </c>
      <c r="J99" s="3">
        <v>1.6812355798081</v>
      </c>
      <c r="K99" s="3">
        <v>3.3147788719596201</v>
      </c>
      <c r="L99" s="3">
        <v>2.6127562779902598</v>
      </c>
      <c r="M99" s="3">
        <v>3.4761481284712898</v>
      </c>
      <c r="N99" s="3">
        <v>5.22122821831669</v>
      </c>
    </row>
    <row r="100" spans="1:14" x14ac:dyDescent="0.35">
      <c r="A100" s="2">
        <v>44722</v>
      </c>
      <c r="B100" s="3">
        <v>3.2704018202788698</v>
      </c>
      <c r="C100" s="3">
        <v>4.9321770342924598</v>
      </c>
      <c r="D100" s="3">
        <v>3.1869651570510098</v>
      </c>
      <c r="E100" s="3">
        <v>3.9162896522969199</v>
      </c>
      <c r="F100" s="3">
        <v>2.58655464091217</v>
      </c>
      <c r="G100" s="3">
        <v>3.12948282029368</v>
      </c>
      <c r="H100" s="3">
        <v>4.2187678282821297</v>
      </c>
      <c r="I100" s="3">
        <v>0.96508786273612401</v>
      </c>
      <c r="J100" s="3">
        <v>1.71017178436021</v>
      </c>
      <c r="K100" s="3">
        <v>3.3705459161973601</v>
      </c>
      <c r="L100" s="3">
        <v>2.64469718706252</v>
      </c>
      <c r="M100" s="3">
        <v>3.3934494962765598</v>
      </c>
      <c r="N100" s="3">
        <v>5.6457491433044398</v>
      </c>
    </row>
    <row r="101" spans="1:14" x14ac:dyDescent="0.35">
      <c r="A101" s="2">
        <v>44753</v>
      </c>
      <c r="B101" s="3">
        <v>3.3259623785811798</v>
      </c>
      <c r="C101" s="3">
        <v>5.2049269249833303</v>
      </c>
      <c r="D101" s="3">
        <v>3.4451237006760098</v>
      </c>
      <c r="E101" s="3">
        <v>4.1960500693431904</v>
      </c>
      <c r="F101" s="3">
        <v>2.6494466259483902</v>
      </c>
      <c r="G101" s="3">
        <v>3.1457206823454</v>
      </c>
      <c r="H101" s="3">
        <v>4.3241174737056296</v>
      </c>
      <c r="I101" s="3">
        <v>0.97182990743958597</v>
      </c>
      <c r="J101" s="3">
        <v>1.7425274676573199</v>
      </c>
      <c r="K101" s="3">
        <v>3.5125844539914901</v>
      </c>
      <c r="L101" s="3">
        <v>3.39307494117678</v>
      </c>
      <c r="M101" s="3">
        <v>3.69995723428918</v>
      </c>
      <c r="N101" s="3">
        <v>5.8774518578151103</v>
      </c>
    </row>
    <row r="102" spans="1:14" x14ac:dyDescent="0.35">
      <c r="A102" s="2">
        <v>44784</v>
      </c>
      <c r="B102" s="3">
        <v>3.1976455006702098</v>
      </c>
      <c r="C102" s="3">
        <v>4.7095062437756896</v>
      </c>
      <c r="D102" s="3">
        <v>3.27275221431902</v>
      </c>
      <c r="E102" s="3">
        <v>3.9421593245200999</v>
      </c>
      <c r="F102" s="3">
        <v>2.62354214189202</v>
      </c>
      <c r="G102" s="3">
        <v>3.0482406692266002</v>
      </c>
      <c r="H102" s="3">
        <v>4.1793190214391203</v>
      </c>
      <c r="I102" s="3">
        <v>0.87080060224697498</v>
      </c>
      <c r="J102" s="3">
        <v>1.61147966512459</v>
      </c>
      <c r="K102" s="3">
        <v>3.2525701627864998</v>
      </c>
      <c r="L102" s="3">
        <v>3.0729392368333599</v>
      </c>
      <c r="M102" s="3">
        <v>3.47245269231923</v>
      </c>
      <c r="N102" s="3">
        <v>5.7132467868476704</v>
      </c>
    </row>
    <row r="103" spans="1:14" x14ac:dyDescent="0.35">
      <c r="A103" s="2">
        <v>44813</v>
      </c>
      <c r="B103" s="3">
        <v>3.18309613799441</v>
      </c>
      <c r="C103" s="3">
        <v>4.8405899102899896</v>
      </c>
      <c r="D103" s="3">
        <v>3.3780283554433801</v>
      </c>
      <c r="E103" s="3">
        <v>4.1132093536510004</v>
      </c>
      <c r="F103" s="3">
        <v>2.5960490804276501</v>
      </c>
      <c r="G103" s="3">
        <v>3.17956822260662</v>
      </c>
      <c r="H103" s="3">
        <v>4.3967469743555698</v>
      </c>
      <c r="I103" s="3">
        <v>0.92639144585546596</v>
      </c>
      <c r="J103" s="3">
        <v>1.68024943720507</v>
      </c>
      <c r="K103" s="3">
        <v>3.46829732376094</v>
      </c>
      <c r="L103" s="3">
        <v>3.6777305051679798</v>
      </c>
      <c r="M103" s="3">
        <v>3.66067426980071</v>
      </c>
      <c r="N103" s="3">
        <v>5.6470088399328802</v>
      </c>
    </row>
    <row r="104" spans="1:14" x14ac:dyDescent="0.35">
      <c r="A104" s="2">
        <v>44845</v>
      </c>
      <c r="B104" s="3">
        <v>3.4534447402304602</v>
      </c>
      <c r="C104" s="3">
        <v>5.1344699666156099</v>
      </c>
      <c r="D104" s="3">
        <v>3.6852977835182301</v>
      </c>
      <c r="E104" s="3">
        <v>4.4480277113532303</v>
      </c>
      <c r="F104" s="3">
        <v>2.7632552452219401</v>
      </c>
      <c r="G104" s="3">
        <v>3.4630417985152402</v>
      </c>
      <c r="H104" s="3">
        <v>4.7113760415302304</v>
      </c>
      <c r="I104" s="3">
        <v>1.0897542092769099</v>
      </c>
      <c r="J104" s="3">
        <v>1.90838921330728</v>
      </c>
      <c r="K104" s="3">
        <v>3.7404710452038201</v>
      </c>
      <c r="L104" s="3">
        <v>3.1244927235389302</v>
      </c>
      <c r="M104" s="3">
        <v>3.8311626762048401</v>
      </c>
      <c r="N104" s="3">
        <v>6.2020942582269196</v>
      </c>
    </row>
    <row r="105" spans="1:14" x14ac:dyDescent="0.35">
      <c r="A105" s="2">
        <v>44876</v>
      </c>
      <c r="B105" s="3">
        <v>3.3868940581059501</v>
      </c>
      <c r="C105" s="3">
        <v>4.6266386133901296</v>
      </c>
      <c r="D105" s="3">
        <v>3.3239846603069001</v>
      </c>
      <c r="E105" s="3">
        <v>3.8063664522364</v>
      </c>
      <c r="F105" s="3">
        <v>2.59856581696737</v>
      </c>
      <c r="G105" s="3">
        <v>3.0908463792983301</v>
      </c>
      <c r="H105" s="3">
        <v>4.38093657159932</v>
      </c>
      <c r="I105" s="3">
        <v>1.00380449202661</v>
      </c>
      <c r="J105" s="3">
        <v>1.7297286402168099</v>
      </c>
      <c r="K105" s="3">
        <v>3.32138957513477</v>
      </c>
      <c r="L105" s="3">
        <v>2.7086926222827401</v>
      </c>
      <c r="M105" s="3">
        <v>3.5273106255684699</v>
      </c>
      <c r="N105" s="3">
        <v>5.4066945617336399</v>
      </c>
    </row>
    <row r="106" spans="1:14" x14ac:dyDescent="0.35">
      <c r="A106" s="2">
        <v>44904</v>
      </c>
      <c r="B106" s="3">
        <v>3.42404910768495</v>
      </c>
      <c r="C106" s="3">
        <v>4.4680186813534402</v>
      </c>
      <c r="D106" s="3">
        <v>3.36797165354136</v>
      </c>
      <c r="E106" s="3">
        <v>3.7437716748152501</v>
      </c>
      <c r="F106" s="3">
        <v>2.6460413436240802</v>
      </c>
      <c r="G106" s="3">
        <v>3.1258092876878298</v>
      </c>
      <c r="H106" s="3">
        <v>4.2193097883515103</v>
      </c>
      <c r="I106" s="3">
        <v>1.0238547510331399</v>
      </c>
      <c r="J106" s="3">
        <v>1.76063096863434</v>
      </c>
      <c r="K106" s="3">
        <v>3.2849414730147499</v>
      </c>
      <c r="L106" s="3">
        <v>2.6460751353892502</v>
      </c>
      <c r="M106" s="3">
        <v>3.5982176438978799</v>
      </c>
      <c r="N106" s="3">
        <v>5.7830098287023102</v>
      </c>
    </row>
    <row r="107" spans="1:14" x14ac:dyDescent="0.35">
      <c r="A107" s="2">
        <v>44937</v>
      </c>
      <c r="B107" s="3">
        <v>3.4181252057726699</v>
      </c>
      <c r="C107" s="3">
        <v>4.5117653580227</v>
      </c>
      <c r="D107" s="3">
        <v>3.3562911304607601</v>
      </c>
      <c r="E107" s="3">
        <v>3.5700607623330098</v>
      </c>
      <c r="F107" s="3">
        <v>2.7298465030014198</v>
      </c>
      <c r="G107" s="3">
        <v>3.08543201342941</v>
      </c>
      <c r="H107" s="3">
        <v>4.1330599508209698</v>
      </c>
      <c r="I107" s="3">
        <v>0.99904326545637601</v>
      </c>
      <c r="J107" s="3">
        <v>1.7501613865099599</v>
      </c>
      <c r="K107" s="3">
        <v>3.1723117342618599</v>
      </c>
      <c r="L107" s="3">
        <v>2.5875218031200702</v>
      </c>
      <c r="M107" s="3">
        <v>3.5005728406652499</v>
      </c>
      <c r="N107" s="3">
        <v>5.4723358934609099</v>
      </c>
    </row>
    <row r="108" spans="1:14" x14ac:dyDescent="0.35">
      <c r="A108" s="2">
        <v>44967</v>
      </c>
      <c r="B108" s="3">
        <v>3.27312822269979</v>
      </c>
      <c r="C108" s="3">
        <v>4.3343706362518697</v>
      </c>
      <c r="D108" s="3">
        <v>3.2667519102939799</v>
      </c>
      <c r="E108" s="3">
        <v>3.48209913954179</v>
      </c>
      <c r="F108" s="3">
        <v>2.6090032589639098</v>
      </c>
      <c r="G108" s="3">
        <v>3.0934739041190298</v>
      </c>
      <c r="H108" s="3">
        <v>4.0952941702234398</v>
      </c>
      <c r="I108" s="3">
        <v>0.937085394521043</v>
      </c>
      <c r="J108" s="3">
        <v>1.7096420682853299</v>
      </c>
      <c r="K108" s="3">
        <v>3.1660771413277802</v>
      </c>
      <c r="L108" s="3">
        <v>2.5851944896690902</v>
      </c>
      <c r="M108" s="3">
        <v>3.5674910969846301</v>
      </c>
      <c r="N108" s="3">
        <v>5.4330938681987799</v>
      </c>
    </row>
    <row r="109" spans="1:14" x14ac:dyDescent="0.35">
      <c r="A109" s="2">
        <v>44995</v>
      </c>
      <c r="B109" s="3">
        <v>3.4369400888219599</v>
      </c>
      <c r="C109" s="3">
        <v>4.5871971192560999</v>
      </c>
      <c r="D109" s="3">
        <v>3.4178558997889001</v>
      </c>
      <c r="E109" s="3">
        <v>3.5378253057602498</v>
      </c>
      <c r="F109" s="3">
        <v>2.5754187883405302</v>
      </c>
      <c r="G109" s="3">
        <v>3.2472078659382002</v>
      </c>
      <c r="H109" s="3">
        <v>4.2148397435235196</v>
      </c>
      <c r="I109" s="3">
        <v>0.98080137943101997</v>
      </c>
      <c r="J109" s="3">
        <v>1.8200880508750901</v>
      </c>
      <c r="K109" s="3">
        <v>3.2014668115629799</v>
      </c>
      <c r="L109" s="3">
        <v>2.7254375945334202</v>
      </c>
      <c r="M109" s="3">
        <v>3.6498594919640799</v>
      </c>
      <c r="N109" s="3">
        <v>5.3621054088311899</v>
      </c>
    </row>
    <row r="110" spans="1:14" x14ac:dyDescent="0.35">
      <c r="A110" s="2">
        <v>45027</v>
      </c>
      <c r="B110" s="3">
        <v>3.4067401967718198</v>
      </c>
      <c r="C110" s="3">
        <v>4.4474795278421704</v>
      </c>
      <c r="D110" s="3">
        <v>3.2849181028227101</v>
      </c>
      <c r="E110" s="3">
        <v>3.5371642620247599</v>
      </c>
      <c r="F110" s="3">
        <v>2.6361582453238799</v>
      </c>
      <c r="G110" s="3">
        <v>3.1232291972603399</v>
      </c>
      <c r="H110" s="3">
        <v>4.13765152494374</v>
      </c>
      <c r="I110" s="3">
        <v>0.89937532756163296</v>
      </c>
      <c r="J110" s="3">
        <v>1.7155608200574901</v>
      </c>
      <c r="K110" s="3">
        <v>3.1528640415656</v>
      </c>
      <c r="L110" s="3">
        <v>2.6687892653813701</v>
      </c>
      <c r="M110" s="3">
        <v>3.68473528047135</v>
      </c>
      <c r="N110" s="3">
        <v>5.3563814853147997</v>
      </c>
    </row>
    <row r="111" spans="1:14" x14ac:dyDescent="0.35">
      <c r="A111" s="2">
        <v>45057</v>
      </c>
      <c r="B111" s="3">
        <v>3.4980718151052801</v>
      </c>
      <c r="C111" s="3">
        <v>4.4270188644505701</v>
      </c>
      <c r="D111" s="3">
        <v>3.26237718044014</v>
      </c>
      <c r="E111" s="3">
        <v>3.5806359396721898</v>
      </c>
      <c r="F111" s="3">
        <v>2.5373449167261501</v>
      </c>
      <c r="G111" s="3">
        <v>3.0657624512330801</v>
      </c>
      <c r="H111" s="3">
        <v>4.2761250110303699</v>
      </c>
      <c r="I111" s="3">
        <v>0.856350924456733</v>
      </c>
      <c r="J111" s="3">
        <v>1.70555090291697</v>
      </c>
      <c r="K111" s="3">
        <v>3.2005384823819001</v>
      </c>
      <c r="L111" s="3">
        <v>2.7186232451737302</v>
      </c>
      <c r="M111" s="3">
        <v>3.7357384405604601</v>
      </c>
      <c r="N111" s="3">
        <v>5.5564163643123496</v>
      </c>
    </row>
    <row r="112" spans="1:14" x14ac:dyDescent="0.35">
      <c r="A112" s="2">
        <v>45086</v>
      </c>
      <c r="B112" s="3">
        <v>3.49598244824903</v>
      </c>
      <c r="C112" s="3">
        <v>4.4227210237596797</v>
      </c>
      <c r="D112" s="3">
        <v>3.32182106116738</v>
      </c>
      <c r="E112" s="3">
        <v>3.64755064448519</v>
      </c>
      <c r="F112" s="3">
        <v>2.3774055935626999</v>
      </c>
      <c r="G112" s="3">
        <v>3.17702424271992</v>
      </c>
      <c r="H112" s="3">
        <v>4.3419497187937504</v>
      </c>
      <c r="I112" s="3">
        <v>0.79586451865136199</v>
      </c>
      <c r="J112" s="3">
        <v>1.6494052328142701</v>
      </c>
      <c r="K112" s="3">
        <v>3.2891410624757298</v>
      </c>
      <c r="L112" s="3">
        <v>2.6816749536771098</v>
      </c>
      <c r="M112" s="3">
        <v>3.7054830731687098</v>
      </c>
      <c r="N112" s="3">
        <v>5.4435250791849796</v>
      </c>
    </row>
    <row r="113" spans="1:25" x14ac:dyDescent="0.35">
      <c r="A113" s="2">
        <v>45118</v>
      </c>
      <c r="B113" s="3">
        <v>3.4314390240269002</v>
      </c>
      <c r="C113" s="3">
        <v>4.3555334381376696</v>
      </c>
      <c r="D113" s="3">
        <v>3.2897159648953802</v>
      </c>
      <c r="E113" s="3">
        <v>3.7223743547882799</v>
      </c>
      <c r="F113" s="3">
        <v>2.3987425364745101</v>
      </c>
      <c r="G113" s="3">
        <v>3.2366885959404801</v>
      </c>
      <c r="H113" s="3">
        <v>4.4988593141049504</v>
      </c>
      <c r="I113" s="3">
        <v>0.768226700328006</v>
      </c>
      <c r="J113" s="3">
        <v>1.60051212625247</v>
      </c>
      <c r="K113" s="3">
        <v>3.3216171528454601</v>
      </c>
      <c r="L113" s="3">
        <v>2.7417934072182999</v>
      </c>
      <c r="M113" s="3">
        <v>3.8037461606654501</v>
      </c>
      <c r="N113" s="3">
        <v>5.3441997374912296</v>
      </c>
    </row>
    <row r="114" spans="1:25" x14ac:dyDescent="0.35">
      <c r="A114" s="2">
        <v>45149</v>
      </c>
      <c r="B114" s="3">
        <v>3.4421867212539299</v>
      </c>
      <c r="C114" s="3">
        <v>4.1780366759215601</v>
      </c>
      <c r="D114" s="3">
        <v>3.4213148098155202</v>
      </c>
      <c r="E114" s="3">
        <v>3.7206814693885399</v>
      </c>
      <c r="F114" s="3">
        <v>2.3650399013644301</v>
      </c>
      <c r="G114" s="3">
        <v>3.2143880898614601</v>
      </c>
      <c r="H114" s="3">
        <v>4.42760116146881</v>
      </c>
      <c r="I114" s="3">
        <v>0.89833945071916099</v>
      </c>
      <c r="J114" s="3">
        <v>1.60424391274015</v>
      </c>
      <c r="K114" s="3">
        <v>3.3000595509375898</v>
      </c>
      <c r="L114" s="3">
        <v>2.77621022613596</v>
      </c>
      <c r="M114" s="3">
        <v>3.8885645647137701</v>
      </c>
      <c r="N114" s="3">
        <v>5.5306554853562302</v>
      </c>
    </row>
    <row r="115" spans="1:25" x14ac:dyDescent="0.35">
      <c r="A115" s="2">
        <v>45180</v>
      </c>
      <c r="B115" s="3">
        <v>3.4011631187582099</v>
      </c>
      <c r="C115" s="3">
        <v>4.19681219976734</v>
      </c>
      <c r="D115" s="3">
        <v>3.5112845753662398</v>
      </c>
      <c r="E115" s="3">
        <v>3.7434961066809</v>
      </c>
      <c r="F115" s="3">
        <v>2.3300565633225401</v>
      </c>
      <c r="G115" s="3">
        <v>3.2936755848842401</v>
      </c>
      <c r="H115" s="3">
        <v>4.4956830633521099</v>
      </c>
      <c r="I115" s="3">
        <v>0.876482202309667</v>
      </c>
      <c r="J115" s="3">
        <v>1.6024369423223901</v>
      </c>
      <c r="K115" s="3">
        <v>3.3417129086057802</v>
      </c>
      <c r="L115" s="3">
        <v>2.9572714476197701</v>
      </c>
      <c r="M115" s="3">
        <v>3.9545938789733301</v>
      </c>
      <c r="N115" s="3">
        <v>5.4127741468138399</v>
      </c>
    </row>
    <row r="116" spans="1:25" x14ac:dyDescent="0.35">
      <c r="A116" s="2">
        <v>45210</v>
      </c>
      <c r="B116" s="3">
        <v>3.4247252194625002</v>
      </c>
      <c r="C116" s="3">
        <v>4.3205376956497403</v>
      </c>
      <c r="D116" s="3">
        <v>3.6200275338862902</v>
      </c>
      <c r="E116" s="3">
        <v>3.8461694387551502</v>
      </c>
      <c r="F116" s="3">
        <v>2.39930422055745</v>
      </c>
      <c r="G116" s="3">
        <v>3.3216832763464899</v>
      </c>
      <c r="H116" s="3">
        <v>4.4240253239906</v>
      </c>
      <c r="I116" s="3">
        <v>0.91543687382644801</v>
      </c>
      <c r="J116" s="3">
        <v>1.6555085803868901</v>
      </c>
      <c r="K116" s="3">
        <v>3.42715658239812</v>
      </c>
      <c r="L116" s="3">
        <v>2.9890904812333501</v>
      </c>
      <c r="M116" s="3">
        <v>3.74480839679845</v>
      </c>
      <c r="N116" s="3">
        <v>5.5324141179179298</v>
      </c>
    </row>
    <row r="117" spans="1:25" x14ac:dyDescent="0.35">
      <c r="A117" s="2">
        <v>45240</v>
      </c>
      <c r="B117" s="3">
        <v>3.4644684741075298</v>
      </c>
      <c r="C117" s="3">
        <v>4.4061762729435401</v>
      </c>
      <c r="D117" s="3">
        <v>3.5980198068081601</v>
      </c>
      <c r="E117" s="3">
        <v>3.8835106457761199</v>
      </c>
      <c r="F117" s="3">
        <v>2.4005462814304201</v>
      </c>
      <c r="G117" s="3">
        <v>3.4929496942717302</v>
      </c>
      <c r="H117" s="3">
        <v>4.6160601172402602</v>
      </c>
      <c r="I117" s="3">
        <v>0.90443682765699296</v>
      </c>
      <c r="J117" s="3">
        <v>1.6455933608348099</v>
      </c>
      <c r="K117" s="3">
        <v>3.4606057759670001</v>
      </c>
      <c r="L117" s="3">
        <v>2.91257420668469</v>
      </c>
      <c r="M117" s="3">
        <v>3.8732410923986</v>
      </c>
      <c r="N117" s="3">
        <v>5.6564366985410199</v>
      </c>
    </row>
    <row r="118" spans="1:25" x14ac:dyDescent="0.35">
      <c r="A118" s="2">
        <v>45271</v>
      </c>
      <c r="B118" s="3">
        <v>3.11220345253468</v>
      </c>
      <c r="C118" s="3">
        <v>4.2364126383074696</v>
      </c>
      <c r="D118" s="3">
        <v>3.4672934803653699</v>
      </c>
      <c r="E118" s="3">
        <v>3.53954840113507</v>
      </c>
      <c r="F118" s="3">
        <v>2.4227958968940002</v>
      </c>
      <c r="G118" s="3">
        <v>3.3192135963049498</v>
      </c>
      <c r="H118" s="3">
        <v>4.3993466926605302</v>
      </c>
      <c r="I118" s="3">
        <v>0.87935079882190204</v>
      </c>
      <c r="J118" s="3">
        <v>1.5797326214259599</v>
      </c>
      <c r="K118" s="3">
        <v>3.2399483485615899</v>
      </c>
      <c r="L118" s="3">
        <v>2.703838104376</v>
      </c>
      <c r="M118" s="3">
        <v>3.0158440712831101</v>
      </c>
      <c r="N118" s="3">
        <v>5.3728770615049104</v>
      </c>
    </row>
    <row r="119" spans="1:25" x14ac:dyDescent="0.35">
      <c r="A119" s="2">
        <v>45302</v>
      </c>
      <c r="B119" s="3">
        <v>2.9810014390195798</v>
      </c>
      <c r="C119" s="3">
        <v>4.0572997134481303</v>
      </c>
      <c r="D119" s="3">
        <v>3.3583458460837998</v>
      </c>
      <c r="E119" s="3">
        <v>3.6248308014052402</v>
      </c>
      <c r="F119" s="3">
        <v>2.3112692399876398</v>
      </c>
      <c r="G119" s="3">
        <v>3.3024187738765201</v>
      </c>
      <c r="H119" s="3">
        <v>4.3495268189239198</v>
      </c>
      <c r="I119" s="3">
        <v>0.91616105863147701</v>
      </c>
      <c r="J119" s="3">
        <v>1.5406925949597601</v>
      </c>
      <c r="K119" s="3">
        <v>3.29828111071763</v>
      </c>
      <c r="L119" s="3">
        <v>2.72564140443821</v>
      </c>
      <c r="M119" s="3">
        <v>3.0169002890679502</v>
      </c>
      <c r="N119" s="3">
        <v>5.48262286890946</v>
      </c>
    </row>
    <row r="120" spans="1:25" x14ac:dyDescent="0.35">
      <c r="A120" s="2">
        <v>45331</v>
      </c>
      <c r="B120" s="3">
        <v>2.9897573073423001</v>
      </c>
      <c r="C120" s="3">
        <v>3.9866398976533501</v>
      </c>
      <c r="D120" s="3">
        <v>3.3255795770261498</v>
      </c>
      <c r="E120" s="3">
        <v>3.53884266251168</v>
      </c>
      <c r="F120" s="3">
        <v>2.2699622739274501</v>
      </c>
      <c r="G120" s="3">
        <v>3.3997231380592301</v>
      </c>
      <c r="H120" s="3">
        <v>4.3149272487948798</v>
      </c>
      <c r="I120" s="3">
        <v>0.88035032812844205</v>
      </c>
      <c r="J120" s="3">
        <v>1.48648694132239</v>
      </c>
      <c r="K120" s="3">
        <v>3.2009649254586199</v>
      </c>
      <c r="L120" s="3">
        <v>2.4722903440381998</v>
      </c>
      <c r="M120" s="3">
        <v>3.3582146221735201</v>
      </c>
      <c r="N120" s="3">
        <v>5.5129890992619597</v>
      </c>
    </row>
    <row r="121" spans="1:25" x14ac:dyDescent="0.35">
      <c r="A121" s="2">
        <v>45362</v>
      </c>
      <c r="B121" s="3">
        <v>2.7565122974569398</v>
      </c>
      <c r="C121" s="3">
        <v>3.9710328714688701</v>
      </c>
      <c r="D121" s="3">
        <v>3.1731400903943401</v>
      </c>
      <c r="E121" s="3">
        <v>3.3413211409839398</v>
      </c>
      <c r="F121" s="3">
        <v>2.2123657976960698</v>
      </c>
      <c r="G121" s="3">
        <v>3.240879334807</v>
      </c>
      <c r="H121" s="3">
        <v>4.1497497435913901</v>
      </c>
      <c r="I121" s="3">
        <v>0.88919475900857303</v>
      </c>
      <c r="J121" s="3">
        <v>1.46684704493385</v>
      </c>
      <c r="K121" s="3">
        <v>3.1055117888348298</v>
      </c>
      <c r="L121" s="3">
        <v>2.6028086841160198</v>
      </c>
      <c r="M121" s="3">
        <v>3.2327079538743599</v>
      </c>
      <c r="N121" s="3">
        <v>5.2323773328111098</v>
      </c>
    </row>
    <row r="122" spans="1:25" x14ac:dyDescent="0.35">
      <c r="A122" s="2">
        <v>45390</v>
      </c>
      <c r="B122" s="3">
        <v>2.7852472438528499</v>
      </c>
      <c r="C122" s="3">
        <v>3.9277170335833498</v>
      </c>
      <c r="D122" s="3">
        <v>3.08338304124513</v>
      </c>
      <c r="E122" s="3">
        <v>3.28722235223823</v>
      </c>
      <c r="F122" s="3">
        <v>2.1899400286631998</v>
      </c>
      <c r="G122" s="3">
        <v>3.3116686709443499</v>
      </c>
      <c r="H122" s="3">
        <v>4.0162294100053</v>
      </c>
      <c r="I122" s="3">
        <v>0.89780458218332804</v>
      </c>
      <c r="J122" s="3">
        <v>1.44397114569048</v>
      </c>
      <c r="K122" s="3">
        <v>3.0872283923417498</v>
      </c>
      <c r="L122" s="3">
        <v>2.5171481467908001</v>
      </c>
      <c r="M122" s="3">
        <v>3.2320940716798998</v>
      </c>
      <c r="N122" s="3">
        <v>5.1830923994463101</v>
      </c>
    </row>
    <row r="125" spans="1:25" x14ac:dyDescent="0.35">
      <c r="A125" s="2" t="s">
        <v>91</v>
      </c>
      <c r="B125" s="3" cm="1">
        <f t="array" ref="B125">MIN(_xlfn._xlws.FILTER(B1:B122, ISNUMBER(B1:B122)))</f>
        <v>2.3554802696450099</v>
      </c>
      <c r="C125" s="3" cm="1">
        <f t="array" ref="C125">MIN(_xlfn._xlws.FILTER(C1:C122, ISNUMBER(C1:C122)))</f>
        <v>3.3279458085252802</v>
      </c>
      <c r="D125" s="3" cm="1">
        <f t="array" ref="D125">MIN(_xlfn._xlws.FILTER(D1:D122, ISNUMBER(D1:D122)))</f>
        <v>2.5753467104645198</v>
      </c>
      <c r="E125" s="3" cm="1">
        <f t="array" ref="E125">MIN(_xlfn._xlws.FILTER(E1:E122, ISNUMBER(E1:E122)))</f>
        <v>2.6063371978410701</v>
      </c>
      <c r="F125" s="3" cm="1">
        <f t="array" ref="F125">MIN(_xlfn._xlws.FILTER(F1:F122, ISNUMBER(F1:F122)))</f>
        <v>1.84121609437922</v>
      </c>
      <c r="G125" s="3" cm="1">
        <f t="array" ref="G125">MIN(_xlfn._xlws.FILTER(G1:G122, ISNUMBER(G1:G122)))</f>
        <v>2.5653611401758201</v>
      </c>
      <c r="H125" s="3" cm="1">
        <f t="array" ref="H125">MIN(_xlfn._xlws.FILTER(H1:H122, ISNUMBER(H1:H122)))</f>
        <v>3.7621416920027202</v>
      </c>
      <c r="I125" s="3" cm="1">
        <f t="array" ref="I125">MIN(_xlfn._xlws.FILTER(I1:I122, ISNUMBER(I1:I122)))</f>
        <v>0.66581930587247995</v>
      </c>
      <c r="J125" s="3" cm="1">
        <f t="array" ref="J125">MIN(_xlfn._xlws.FILTER(J1:J122, ISNUMBER(J1:J122)))</f>
        <v>1.3684188724386599</v>
      </c>
      <c r="K125" s="3" cm="1">
        <f t="array" ref="K125">MIN(_xlfn._xlws.FILTER(K1:K122, ISNUMBER(K1:K122)))</f>
        <v>2.6421082019216899</v>
      </c>
      <c r="L125" s="3" cm="1">
        <f t="array" ref="L125">MIN(_xlfn._xlws.FILTER(L1:L122, ISNUMBER(L1:L122)))</f>
        <v>1.85156713482416</v>
      </c>
      <c r="M125" s="3" cm="1">
        <f t="array" ref="M125">MIN(_xlfn._xlws.FILTER(M1:M122, ISNUMBER(M1:M122)))</f>
        <v>2.67209223700779</v>
      </c>
      <c r="N125" s="3" cm="1">
        <f t="array" ref="N125">MIN(_xlfn._xlws.FILTER(N1:N122, ISNUMBER(N1:N122)))</f>
        <v>3.0821105234421502</v>
      </c>
    </row>
    <row r="126" spans="1:25" x14ac:dyDescent="0.35">
      <c r="A126" s="2" t="s">
        <v>92</v>
      </c>
      <c r="B126" s="3" cm="1">
        <f t="array" ref="B126">MAX(_xlfn._xlws.FILTER(B1:B122, ISNUMBER(B1:B122)))</f>
        <v>5.25610306562709</v>
      </c>
      <c r="C126" s="3" cm="1">
        <f t="array" ref="C126">MAX(_xlfn._xlws.FILTER(C1:C122, ISNUMBER(C1:C122)))</f>
        <v>5.5245834330527703</v>
      </c>
      <c r="D126" s="3" cm="1">
        <f t="array" ref="D126">MAX(_xlfn._xlws.FILTER(D1:D122, ISNUMBER(D1:D122)))</f>
        <v>4.0797483726464003</v>
      </c>
      <c r="E126" s="3" cm="1">
        <f t="array" ref="E126">MAX(_xlfn._xlws.FILTER(E1:E122, ISNUMBER(E1:E122)))</f>
        <v>4.4480277113532303</v>
      </c>
      <c r="F126" s="3" cm="1">
        <f t="array" ref="F126">MAX(_xlfn._xlws.FILTER(F1:F122, ISNUMBER(F1:F122)))</f>
        <v>2.9996682175326899</v>
      </c>
      <c r="G126" s="3" cm="1">
        <f t="array" ref="G126">MAX(_xlfn._xlws.FILTER(G1:G122, ISNUMBER(G1:G122)))</f>
        <v>3.7203992450258001</v>
      </c>
      <c r="H126" s="3" cm="1">
        <f t="array" ref="H126">MAX(_xlfn._xlws.FILTER(H1:H122, ISNUMBER(H1:H122)))</f>
        <v>5.95882153702442</v>
      </c>
      <c r="I126" s="3" cm="1">
        <f t="array" ref="I126">MAX(_xlfn._xlws.FILTER(I1:I122, ISNUMBER(I1:I122)))</f>
        <v>1.49207259848398</v>
      </c>
      <c r="J126" s="3" cm="1">
        <f t="array" ref="J126">MAX(_xlfn._xlws.FILTER(J1:J122, ISNUMBER(J1:J122)))</f>
        <v>2.4751977345461702</v>
      </c>
      <c r="K126" s="3" cm="1">
        <f t="array" ref="K126">MAX(_xlfn._xlws.FILTER(K1:K122, ISNUMBER(K1:K122)))</f>
        <v>4.2408795409870397</v>
      </c>
      <c r="L126" s="3" cm="1">
        <f t="array" ref="L126">MAX(_xlfn._xlws.FILTER(L1:L122, ISNUMBER(L1:L122)))</f>
        <v>3.7308549735685399</v>
      </c>
      <c r="M126" s="3" cm="1">
        <f t="array" ref="M126">MAX(_xlfn._xlws.FILTER(M1:M122, ISNUMBER(M1:M122)))</f>
        <v>4.8064428121267797</v>
      </c>
      <c r="N126" s="3" cm="1">
        <f t="array" ref="N126">MAX(_xlfn._xlws.FILTER(N1:N122, ISNUMBER(N1:N122)))</f>
        <v>6.2020942582269196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0.18</v>
      </c>
      <c r="C128" s="9" cm="1">
        <f t="array" ref="C128">_xlfn.PERCENTRANK.EXC(_xlfn._xlws.FILTER(C1:C122, ISNUMBER(C1:C122)),C122)</f>
        <v>0.13100000000000001</v>
      </c>
      <c r="D128" s="9" cm="1">
        <f t="array" ref="D128">_xlfn.PERCENTRANK.EXC(_xlfn._xlws.FILTER(D1:D122, ISNUMBER(D1:D122)),D122)</f>
        <v>0.45</v>
      </c>
      <c r="E128" s="9" cm="1">
        <f t="array" ref="E128">_xlfn.PERCENTRANK.EXC(_xlfn._xlws.FILTER(E1:E122, ISNUMBER(E1:E122)),E122)</f>
        <v>0.55700000000000005</v>
      </c>
      <c r="F128" s="9" cm="1">
        <f t="array" ref="F128">_xlfn.PERCENTRANK.EXC(_xlfn._xlws.FILTER(F1:F122, ISNUMBER(F1:F122)),F122)</f>
        <v>0.32700000000000001</v>
      </c>
      <c r="G128" s="9" cm="1">
        <f t="array" ref="G128">_xlfn.PERCENTRANK.EXC(_xlfn._xlws.FILTER(G1:G122, ISNUMBER(G1:G122)),G122)</f>
        <v>0.59799999999999998</v>
      </c>
      <c r="H128" s="9" cm="1">
        <f t="array" ref="H128">_xlfn.PERCENTRANK.EXC(_xlfn._xlws.FILTER(H1:H122, ISNUMBER(H1:H122)),H122)</f>
        <v>0.188</v>
      </c>
      <c r="I128" s="9" cm="1">
        <f t="array" ref="I128">_xlfn.PERCENTRANK.EXC(_xlfn._xlws.FILTER(I1:I122, ISNUMBER(I1:I122)),I122)</f>
        <v>0.254</v>
      </c>
      <c r="J128" s="9" cm="1">
        <f t="array" ref="J128">_xlfn.PERCENTRANK.EXC(_xlfn._xlws.FILTER(J1:J122, ISNUMBER(J1:J122)),J122)</f>
        <v>5.7000000000000002E-2</v>
      </c>
      <c r="K128" s="9" cm="1">
        <f t="array" ref="K128">_xlfn.PERCENTRANK.EXC(_xlfn._xlws.FILTER(K1:K122, ISNUMBER(K1:K122)),K122)</f>
        <v>0.14699999999999999</v>
      </c>
      <c r="L128" s="9" cm="1">
        <f t="array" ref="L128">_xlfn.PERCENTRANK.EXC(_xlfn._xlws.FILTER(L1:L122, ISNUMBER(L1:L122)),L122)</f>
        <v>0.21299999999999999</v>
      </c>
      <c r="M128" s="9" cm="1">
        <f t="array" ref="M128">_xlfn.PERCENTRANK.EXC(_xlfn._xlws.FILTER(M1:M122, ISNUMBER(M1:M122)),M122)</f>
        <v>0.21299999999999999</v>
      </c>
      <c r="N128" s="9" cm="1">
        <f t="array" ref="N128">_xlfn.PERCENTRANK.EXC(_xlfn._xlws.FILTER(N1:N122, ISNUMBER(N1:N122)),N122)</f>
        <v>0.77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41740</v>
      </c>
      <c r="B2" s="24" cm="1">
        <f t="array" ref="B2:B122">_xll.FDS(B1,"FG_TOTAL_RETURNC(-10AY,0,AM)")/100</f>
        <v>2.7591228000000002E-2</v>
      </c>
      <c r="C2" s="24" cm="1">
        <f t="array" ref="C2:C122">_xll.FDS(C1,"FG_TOTAL_RETURNC(-10AY,0,AM)")/100</f>
        <v>5.4975985999999998E-2</v>
      </c>
      <c r="D2" s="24" cm="1">
        <f t="array" ref="D2:D122">_xll.FDS(D1,"FG_TOTAL_RETURNC(-10AY,0,AM)")/100</f>
        <v>1.0273932999999999E-2</v>
      </c>
      <c r="E2" s="24" cm="1">
        <f t="array" ref="E2:E122">_xll.FDS(E1,"FG_TOTAL_RETURNC(-10AY,0,AM)")/100</f>
        <v>-3.9075016999999997E-3</v>
      </c>
      <c r="F2" s="24" cm="1">
        <f t="array" ref="F2:F122">_xll.FDS(F1,"FG_TOTAL_RETURNC(-10AY,0,AM)")/100</f>
        <v>-5.8413266999999998E-2</v>
      </c>
      <c r="G2" s="24" cm="1">
        <f t="array" ref="G2:G122">_xll.FDS(G1,"FG_TOTAL_RETURNC(-10AY,0,AM)")/100</f>
        <v>-4.3657421999999998E-3</v>
      </c>
      <c r="H2" s="24" cm="1">
        <f t="array" ref="H2:H122">_xll.FDS(H1,"FG_TOTAL_RETURNC(-10AY,0,AM)")/100</f>
        <v>-1.0643423000000001E-2</v>
      </c>
      <c r="I2" s="24" cm="1">
        <f t="array" ref="I2:I122">_xll.FDS(I1,"FG_TOTAL_RETURNC(-10AY,0,AM)")/100</f>
        <v>-6.5564869999999997E-2</v>
      </c>
      <c r="J2" s="24" cm="1">
        <f t="array" ref="J2:J122">_xll.FDS(J1,"FG_TOTAL_RETURNC(-10AY,0,AM)")/100</f>
        <v>-2.6257335999999999E-2</v>
      </c>
      <c r="K2" s="24" cm="1">
        <f t="array" ref="K2:K122">_xll.FDS(K1,"FG_TOTAL_RETURNC(-10AY,0,AM)")/100</f>
        <v>3.7995577000000001E-3</v>
      </c>
      <c r="L2" s="24" cm="1">
        <f t="array" ref="L2:L122">_xll.FDS(L1,"FG_TOTAL_RETURNC(-10AY,0,AM)")/100</f>
        <v>-2.3446679000000002E-3</v>
      </c>
      <c r="M2" s="24" cm="1">
        <f t="array" ref="M2:M122">_xll.FDS(M1,"FG_TOTAL_RETURNC(-10AY,0,AM)")/100</f>
        <v>-2.0525454999999998E-2</v>
      </c>
      <c r="N2" s="24" cm="1">
        <f t="array" ref="N2:N122">_xll.FDS(N1,"FG_TOTAL_RETURNC(-10AY,0,AM)")/100</f>
        <v>2.0539760000000001E-2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41768</v>
      </c>
      <c r="B3" s="24">
        <v>2.5391580000000001E-3</v>
      </c>
      <c r="C3" s="24">
        <v>9.509324999999999E-3</v>
      </c>
      <c r="D3" s="24">
        <v>3.0169486999999998E-2</v>
      </c>
      <c r="E3" s="24">
        <v>2.4190903E-2</v>
      </c>
      <c r="F3" s="24">
        <v>3.1481504E-2</v>
      </c>
      <c r="G3" s="24">
        <v>2.6750207000000002E-2</v>
      </c>
      <c r="H3" s="24">
        <v>5.9657692999999998E-2</v>
      </c>
      <c r="I3" s="24">
        <v>3.1981944999999998E-2</v>
      </c>
      <c r="J3" s="24">
        <v>3.5535336000000001E-2</v>
      </c>
      <c r="K3" s="24">
        <v>2.7873397000000001E-2</v>
      </c>
      <c r="L3" s="24">
        <v>3.9168596000000002E-3</v>
      </c>
      <c r="M3" s="24">
        <v>1.7602563000000002E-2</v>
      </c>
      <c r="N3" s="24">
        <v>2.3002624999999997E-3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41801</v>
      </c>
      <c r="B4" s="24">
        <v>-7.5023770000000002E-3</v>
      </c>
      <c r="C4" s="24">
        <v>1.1303425000000001E-3</v>
      </c>
      <c r="D4" s="24">
        <v>2.7640699999999997E-2</v>
      </c>
      <c r="E4" s="24">
        <v>1.8512607E-2</v>
      </c>
      <c r="F4" s="24">
        <v>5.2962183999999995E-2</v>
      </c>
      <c r="G4" s="24">
        <v>8.0251693999999988E-3</v>
      </c>
      <c r="H4" s="24">
        <v>4.6147107999999996E-3</v>
      </c>
      <c r="I4" s="24">
        <v>7.0161222999999995E-2</v>
      </c>
      <c r="J4" s="24">
        <v>3.7029146999999998E-2</v>
      </c>
      <c r="K4" s="24">
        <v>1.07131E-2</v>
      </c>
      <c r="L4" s="24">
        <v>1.9118309E-2</v>
      </c>
      <c r="M4" s="24">
        <v>1.098299E-2</v>
      </c>
      <c r="N4" s="24">
        <v>3.2702208000000003E-2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41831</v>
      </c>
      <c r="B5" s="24">
        <v>1.5358686E-2</v>
      </c>
      <c r="C5" s="24">
        <v>1.4294624000000001E-2</v>
      </c>
      <c r="D5" s="24">
        <v>3.4514784999999999E-2</v>
      </c>
      <c r="E5" s="24">
        <v>-2.3306667999999999E-2</v>
      </c>
      <c r="F5" s="24">
        <v>2.4869560999999998E-2</v>
      </c>
      <c r="G5" s="24">
        <v>-1.5849292000000001E-2</v>
      </c>
      <c r="H5" s="24">
        <v>-1.9018054E-3</v>
      </c>
      <c r="I5" s="24">
        <v>2.8375626000000001E-2</v>
      </c>
      <c r="J5" s="24">
        <v>1.3492107E-2</v>
      </c>
      <c r="K5" s="24">
        <v>-4.2979659999999996E-2</v>
      </c>
      <c r="L5" s="24">
        <v>-3.3866106999999999E-2</v>
      </c>
      <c r="M5" s="24">
        <v>-4.0092109999999993E-2</v>
      </c>
      <c r="N5" s="24">
        <v>-5.1339745999999999E-2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41862</v>
      </c>
      <c r="B6" s="24">
        <v>-5.2969932999999997E-2</v>
      </c>
      <c r="C6" s="24">
        <v>-1.9962311E-2</v>
      </c>
      <c r="D6" s="24">
        <v>-4.9890875999999999E-3</v>
      </c>
      <c r="E6" s="24">
        <v>-6.5466460000000004E-2</v>
      </c>
      <c r="F6" s="24">
        <v>-7.5376034000000005E-3</v>
      </c>
      <c r="G6" s="24">
        <v>-3.3840716E-2</v>
      </c>
      <c r="H6" s="24">
        <v>-2.9937208000000003E-2</v>
      </c>
      <c r="I6" s="24">
        <v>1.9943714000000001E-3</v>
      </c>
      <c r="J6" s="24">
        <v>-1.4317690999999999E-2</v>
      </c>
      <c r="K6" s="24">
        <v>-5.1590084999999994E-2</v>
      </c>
      <c r="L6" s="24">
        <v>-3.6924958000000001E-2</v>
      </c>
      <c r="M6" s="24">
        <v>-1.7171143999999999E-2</v>
      </c>
      <c r="N6" s="24">
        <v>-8.6104509999999995E-2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41893</v>
      </c>
      <c r="B7" s="24">
        <v>1.2317777E-2</v>
      </c>
      <c r="C7" s="24">
        <v>6.5333843000000003E-3</v>
      </c>
      <c r="D7" s="24">
        <v>1.2221813E-2</v>
      </c>
      <c r="E7" s="24">
        <v>1.7863393000000002E-2</v>
      </c>
      <c r="F7" s="24">
        <v>-1.6878246999999999E-3</v>
      </c>
      <c r="G7" s="24">
        <v>2.1107434999999997E-2</v>
      </c>
      <c r="H7" s="24">
        <v>-3.4843087E-3</v>
      </c>
      <c r="I7" s="24">
        <v>4.7454476000000002E-2</v>
      </c>
      <c r="J7" s="24">
        <v>3.3566474999999998E-2</v>
      </c>
      <c r="K7" s="24">
        <v>2.4590135000000003E-2</v>
      </c>
      <c r="L7" s="24">
        <v>2.9960154999999999E-2</v>
      </c>
      <c r="M7" s="24">
        <v>-1.6582787000000002E-2</v>
      </c>
      <c r="N7" s="24">
        <v>5.458081E-2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41922</v>
      </c>
      <c r="B8" s="24">
        <v>-5.3886294000000001E-2</v>
      </c>
      <c r="C8" s="24">
        <v>-0.11492938000000001</v>
      </c>
      <c r="D8" s="24">
        <v>-9.7213629999999995E-2</v>
      </c>
      <c r="E8" s="24">
        <v>-0.11493463</v>
      </c>
      <c r="F8" s="24">
        <v>-6.8469944000000005E-2</v>
      </c>
      <c r="G8" s="24">
        <v>-8.2983860000000007E-2</v>
      </c>
      <c r="H8" s="24">
        <v>-8.2417549999999992E-2</v>
      </c>
      <c r="I8" s="24">
        <v>-5.3259077000000002E-2</v>
      </c>
      <c r="J8" s="24">
        <v>-4.4275339999999996E-2</v>
      </c>
      <c r="K8" s="24">
        <v>-0.10763634</v>
      </c>
      <c r="L8" s="24">
        <v>-7.2823405000000008E-2</v>
      </c>
      <c r="M8" s="24">
        <v>-7.979523999999999E-2</v>
      </c>
      <c r="N8" s="24">
        <v>-0.11275415999999999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41954</v>
      </c>
      <c r="B9" s="24">
        <v>6.5879345000000006E-2</v>
      </c>
      <c r="C9" s="24">
        <v>8.1104389999999998E-2</v>
      </c>
      <c r="D9" s="24">
        <v>2.9149531999999999E-2</v>
      </c>
      <c r="E9" s="24">
        <v>5.6376340000000004E-2</v>
      </c>
      <c r="F9" s="24">
        <v>6.442821E-2</v>
      </c>
      <c r="G9" s="24">
        <v>6.1091065E-2</v>
      </c>
      <c r="H9" s="24">
        <v>4.3004870000000001E-2</v>
      </c>
      <c r="I9" s="24">
        <v>8.3015679999999994E-2</v>
      </c>
      <c r="J9" s="24">
        <v>7.1559787E-2</v>
      </c>
      <c r="K9" s="24">
        <v>3.7693500000000005E-2</v>
      </c>
      <c r="L9" s="24">
        <v>5.397105E-2</v>
      </c>
      <c r="M9" s="24">
        <v>8.0497379999999993E-2</v>
      </c>
      <c r="N9" s="24">
        <v>2.0834208000000002E-3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41984</v>
      </c>
      <c r="B10" s="24">
        <v>-1.9699931000000002E-3</v>
      </c>
      <c r="C10" s="24">
        <v>-9.936152999999999E-2</v>
      </c>
      <c r="D10" s="24">
        <v>-7.1642756000000002E-2</v>
      </c>
      <c r="E10" s="24">
        <v>3.9381623000000004E-2</v>
      </c>
      <c r="F10" s="24">
        <v>-2.2165298E-2</v>
      </c>
      <c r="G10" s="24">
        <v>1.5393496000000002E-3</v>
      </c>
      <c r="H10" s="24">
        <v>-4.2797510000000004E-2</v>
      </c>
      <c r="I10" s="24">
        <v>1.4861226E-2</v>
      </c>
      <c r="J10" s="24">
        <v>7.3432922E-5</v>
      </c>
      <c r="K10" s="24">
        <v>-1.3940691999999999E-2</v>
      </c>
      <c r="L10" s="24">
        <v>1.4154910999999999E-2</v>
      </c>
      <c r="M10" s="24">
        <v>-6.0569643999999999E-3</v>
      </c>
      <c r="N10" s="24">
        <v>-2.4255037E-2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42013</v>
      </c>
      <c r="B11" s="24">
        <v>2.1203876E-2</v>
      </c>
      <c r="C11" s="24">
        <v>2.9292226000000001E-2</v>
      </c>
      <c r="D11" s="24">
        <v>5.8034660000000002E-3</v>
      </c>
      <c r="E11" s="24">
        <v>-5.2762029999999994E-2</v>
      </c>
      <c r="F11" s="24">
        <v>-2.3932278000000001E-2</v>
      </c>
      <c r="G11" s="24">
        <v>-2.8896391E-2</v>
      </c>
      <c r="H11" s="24">
        <v>-2.1963775000000001E-2</v>
      </c>
      <c r="I11" s="24">
        <v>-7.7021720000000002E-3</v>
      </c>
      <c r="J11" s="24">
        <v>5.7909490000000001E-3</v>
      </c>
      <c r="K11" s="24">
        <v>-4.1741967000000005E-2</v>
      </c>
      <c r="L11" s="24">
        <v>-5.0539849999999997E-2</v>
      </c>
      <c r="M11" s="24">
        <v>-5.6805076999999995E-2</v>
      </c>
      <c r="N11" s="24">
        <v>-8.0300040000000003E-2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42046</v>
      </c>
      <c r="B12" s="24">
        <v>-1.8380463E-2</v>
      </c>
      <c r="C12" s="24">
        <v>4.8888921999999998E-3</v>
      </c>
      <c r="D12" s="24">
        <v>-4.3414830000000001E-3</v>
      </c>
      <c r="E12" s="24">
        <v>5.9813140000000001E-2</v>
      </c>
      <c r="F12" s="24">
        <v>5.2111387000000002E-2</v>
      </c>
      <c r="G12" s="24">
        <v>3.0705929E-2</v>
      </c>
      <c r="H12" s="24">
        <v>5.1165459999999996E-2</v>
      </c>
      <c r="I12" s="24">
        <v>2.1048545999999998E-2</v>
      </c>
      <c r="J12" s="24">
        <v>1.3121127999999999E-2</v>
      </c>
      <c r="K12" s="24">
        <v>6.9601654999999998E-2</v>
      </c>
      <c r="L12" s="24">
        <v>5.6833030000000007E-2</v>
      </c>
      <c r="M12" s="24">
        <v>5.7273150000000002E-2</v>
      </c>
      <c r="N12" s="24">
        <v>7.7760460000000003E-2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42074</v>
      </c>
      <c r="B13" s="24">
        <v>-1.5938818E-2</v>
      </c>
      <c r="C13" s="24">
        <v>-6.6342950000000001E-3</v>
      </c>
      <c r="D13" s="24">
        <v>-3.3430219000000004E-2</v>
      </c>
      <c r="E13" s="24">
        <v>2.3280381999999999E-2</v>
      </c>
      <c r="F13" s="24">
        <v>4.1844606000000006E-2</v>
      </c>
      <c r="G13" s="24">
        <v>-1.6277730000000001E-2</v>
      </c>
      <c r="H13" s="24">
        <v>-2.7582466999999999E-2</v>
      </c>
      <c r="I13" s="24">
        <v>3.1495094000000001E-3</v>
      </c>
      <c r="J13" s="24">
        <v>-1.1743069E-2</v>
      </c>
      <c r="K13" s="24">
        <v>-6.2720180000000007E-3</v>
      </c>
      <c r="L13" s="24">
        <v>2.3398994999999999E-2</v>
      </c>
      <c r="M13" s="24">
        <v>1.4773726000000001E-2</v>
      </c>
      <c r="N13" s="24">
        <v>3.3910513000000003E-2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42104</v>
      </c>
      <c r="B14" s="24">
        <v>4.4828890000000003E-2</v>
      </c>
      <c r="C14" s="24">
        <v>4.8530699999999996E-2</v>
      </c>
      <c r="D14" s="24">
        <v>6.2030076999999996E-2</v>
      </c>
      <c r="E14" s="24">
        <v>5.3085090000000001E-2</v>
      </c>
      <c r="F14" s="24">
        <v>6.0655713E-2</v>
      </c>
      <c r="G14" s="24">
        <v>7.4305415E-2</v>
      </c>
      <c r="H14" s="24">
        <v>3.6151290000000003E-2</v>
      </c>
      <c r="I14" s="24">
        <v>2.7459621E-2</v>
      </c>
      <c r="J14" s="24">
        <v>3.1634091999999996E-2</v>
      </c>
      <c r="K14" s="24">
        <v>5.5226803000000005E-2</v>
      </c>
      <c r="L14" s="24">
        <v>4.4123530000000001E-2</v>
      </c>
      <c r="M14" s="24">
        <v>1.8804907999999999E-2</v>
      </c>
      <c r="N14" s="24">
        <v>5.3035617000000007E-2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42135</v>
      </c>
      <c r="B15" s="24">
        <v>-3.9216340000000002E-2</v>
      </c>
      <c r="C15" s="24">
        <v>-4.3736696000000005E-2</v>
      </c>
      <c r="D15" s="24">
        <v>2.1592975E-2</v>
      </c>
      <c r="E15" s="24">
        <v>-1.7675936E-2</v>
      </c>
      <c r="F15" s="24">
        <v>-7.7271459999999996E-4</v>
      </c>
      <c r="G15" s="24">
        <v>1.9471169E-2</v>
      </c>
      <c r="H15" s="24">
        <v>6.092322E-2</v>
      </c>
      <c r="I15" s="24">
        <v>4.8259497000000002E-3</v>
      </c>
      <c r="J15" s="24">
        <v>2.6899575999999995E-3</v>
      </c>
      <c r="K15" s="24">
        <v>1.4953256E-2</v>
      </c>
      <c r="L15" s="24">
        <v>1.8056034999999998E-2</v>
      </c>
      <c r="M15" s="24">
        <v>1.6076206999999999E-2</v>
      </c>
      <c r="N15" s="24">
        <v>2.5182247000000001E-2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42166</v>
      </c>
      <c r="B16" s="24">
        <v>-2.9457033000000001E-2</v>
      </c>
      <c r="C16" s="24">
        <v>-1.7761946000000001E-2</v>
      </c>
      <c r="D16" s="24">
        <v>-3.4303545999999997E-2</v>
      </c>
      <c r="E16" s="24">
        <v>-1.5328227999999999E-2</v>
      </c>
      <c r="F16" s="24">
        <v>7.7339409999999994E-3</v>
      </c>
      <c r="G16" s="24">
        <v>2.5655030000000002E-3</v>
      </c>
      <c r="H16" s="24">
        <v>-2.6562095000000001E-2</v>
      </c>
      <c r="I16" s="24">
        <v>1.2745976000000001E-2</v>
      </c>
      <c r="J16" s="24">
        <v>4.8669577000000006E-3</v>
      </c>
      <c r="K16" s="24">
        <v>8.103131999999999E-3</v>
      </c>
      <c r="L16" s="24">
        <v>9.056568000000001E-3</v>
      </c>
      <c r="M16" s="24">
        <v>1.6993761E-2</v>
      </c>
      <c r="N16" s="24">
        <v>2.1978019999999997E-2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42195</v>
      </c>
      <c r="B17" s="24">
        <v>-6.6452025999999997E-2</v>
      </c>
      <c r="C17" s="24">
        <v>-4.1517076E-2</v>
      </c>
      <c r="D17" s="24">
        <v>-5.8469176000000005E-2</v>
      </c>
      <c r="E17" s="24">
        <v>-5.3680539999999997E-3</v>
      </c>
      <c r="F17" s="24">
        <v>-2.3494065000000001E-2</v>
      </c>
      <c r="G17" s="24">
        <v>-1.0177552999999999E-2</v>
      </c>
      <c r="H17" s="24">
        <v>-2.5171100000000002E-2</v>
      </c>
      <c r="I17" s="24">
        <v>-1.5969157000000001E-2</v>
      </c>
      <c r="J17" s="24">
        <v>-1.4819324E-2</v>
      </c>
      <c r="K17" s="24">
        <v>-1.8750012E-2</v>
      </c>
      <c r="L17" s="24">
        <v>-6.0043334999999995E-3</v>
      </c>
      <c r="M17" s="24">
        <v>-3.5796285000000004E-2</v>
      </c>
      <c r="N17" s="24">
        <v>-1.5208662E-2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42227</v>
      </c>
      <c r="B18" s="24">
        <v>-1.7691432999999999E-2</v>
      </c>
      <c r="C18" s="24">
        <v>-3.671497E-2</v>
      </c>
      <c r="D18" s="24">
        <v>-2.6113689999999998E-2</v>
      </c>
      <c r="E18" s="24">
        <v>-1.4191746999999999E-2</v>
      </c>
      <c r="F18" s="24">
        <v>1.8957375999999998E-2</v>
      </c>
      <c r="G18" s="24">
        <v>-1.8529415E-2</v>
      </c>
      <c r="H18" s="24">
        <v>2.1715164000000002E-3</v>
      </c>
      <c r="I18" s="24">
        <v>2.3130536E-2</v>
      </c>
      <c r="J18" s="24">
        <v>5.7355164999999993E-3</v>
      </c>
      <c r="K18" s="24">
        <v>2.4990559000000002E-2</v>
      </c>
      <c r="L18" s="24">
        <v>1.0658503E-2</v>
      </c>
      <c r="M18" s="24">
        <v>-1.3919055E-2</v>
      </c>
      <c r="N18" s="24">
        <v>2.8758168000000001E-2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42258</v>
      </c>
      <c r="B19" s="24">
        <v>-5.8458804999999996E-2</v>
      </c>
      <c r="C19" s="24">
        <v>-8.0742239999999993E-2</v>
      </c>
      <c r="D19" s="24">
        <v>-7.5709762999999999E-2</v>
      </c>
      <c r="E19" s="24">
        <v>-7.0224704999999998E-2</v>
      </c>
      <c r="F19" s="24">
        <v>-8.9922489999999994E-2</v>
      </c>
      <c r="G19" s="24">
        <v>-4.7947226000000003E-2</v>
      </c>
      <c r="H19" s="24">
        <v>-8.1798369999999995E-2</v>
      </c>
      <c r="I19" s="24">
        <v>-4.1492642999999996E-2</v>
      </c>
      <c r="J19" s="24">
        <v>-5.7171583000000005E-2</v>
      </c>
      <c r="K19" s="24">
        <v>-7.831544E-2</v>
      </c>
      <c r="L19" s="24">
        <v>-9.0395450000000002E-2</v>
      </c>
      <c r="M19" s="24">
        <v>-2.540779E-2</v>
      </c>
      <c r="N19" s="24">
        <v>-5.4637849999999995E-2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42286</v>
      </c>
      <c r="B20" s="24">
        <v>5.926621E-2</v>
      </c>
      <c r="C20" s="24">
        <v>7.1467520000000007E-2</v>
      </c>
      <c r="D20" s="24">
        <v>6.3139915000000005E-2</v>
      </c>
      <c r="E20" s="24">
        <v>-8.3081126000000005E-3</v>
      </c>
      <c r="F20" s="24">
        <v>3.0664443999999999E-2</v>
      </c>
      <c r="G20" s="24">
        <v>3.7771463E-3</v>
      </c>
      <c r="H20" s="24">
        <v>3.7168145E-2</v>
      </c>
      <c r="I20" s="24">
        <v>1.1584044E-2</v>
      </c>
      <c r="J20" s="24">
        <v>2.8741121000000001E-2</v>
      </c>
      <c r="K20" s="24">
        <v>3.0460834999999999E-2</v>
      </c>
      <c r="L20" s="24">
        <v>1.325047E-2</v>
      </c>
      <c r="M20" s="24">
        <v>9.6559524999999995E-4</v>
      </c>
      <c r="N20" s="24">
        <v>2.3521423E-2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42319</v>
      </c>
      <c r="B21" s="24">
        <v>4.3812870000000004E-2</v>
      </c>
      <c r="C21" s="24">
        <v>-6.6191434999999993E-2</v>
      </c>
      <c r="D21" s="24">
        <v>-6.8619609999999998E-2</v>
      </c>
      <c r="E21" s="24">
        <v>8.7585449999999995E-3</v>
      </c>
      <c r="F21" s="24">
        <v>3.5537124000000003E-2</v>
      </c>
      <c r="G21" s="24">
        <v>-2.1009742999999997E-2</v>
      </c>
      <c r="H21" s="24">
        <v>-2.7303754999999999E-2</v>
      </c>
      <c r="I21" s="24">
        <v>6.2048196999999999E-2</v>
      </c>
      <c r="J21" s="24">
        <v>3.1838298000000001E-2</v>
      </c>
      <c r="K21" s="24">
        <v>-9.3348620000000011E-3</v>
      </c>
      <c r="L21" s="24">
        <v>2.0433186999999998E-2</v>
      </c>
      <c r="M21" s="24">
        <v>-3.9871395000000004E-2</v>
      </c>
      <c r="N21" s="24">
        <v>-5.5810869999999999E-2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42349</v>
      </c>
      <c r="B22" s="24">
        <v>2.4673938999999999E-2</v>
      </c>
      <c r="C22" s="24">
        <v>-1.3631403E-2</v>
      </c>
      <c r="D22" s="24">
        <v>-7.0659159999999999E-2</v>
      </c>
      <c r="E22" s="24">
        <v>-2.680254E-2</v>
      </c>
      <c r="F22" s="24">
        <v>-4.1500387E-2</v>
      </c>
      <c r="G22" s="24">
        <v>-2.2741794999999999E-2</v>
      </c>
      <c r="H22" s="24">
        <v>-5.3801180000000004E-2</v>
      </c>
      <c r="I22" s="24">
        <v>-2.0770729000000002E-2</v>
      </c>
      <c r="J22" s="24">
        <v>-2.8208315000000001E-2</v>
      </c>
      <c r="K22" s="24">
        <v>-5.4966629999999995E-2</v>
      </c>
      <c r="L22" s="24">
        <v>-5.5666804E-2</v>
      </c>
      <c r="M22" s="24">
        <v>-5.2578690000000004E-2</v>
      </c>
      <c r="N22" s="24">
        <v>-4.5201719999999994E-2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42380</v>
      </c>
      <c r="B23" s="24">
        <v>-1.5007197999999999E-2</v>
      </c>
      <c r="C23" s="24">
        <v>-3.2874345999999999E-2</v>
      </c>
      <c r="D23" s="24">
        <v>-7.0531186999999995E-2</v>
      </c>
      <c r="E23" s="24">
        <v>-5.0426719999999994E-2</v>
      </c>
      <c r="F23" s="24">
        <v>-3.3816338000000001E-2</v>
      </c>
      <c r="G23" s="24">
        <v>-4.1953506000000002E-2</v>
      </c>
      <c r="H23" s="24">
        <v>-5.0635576000000002E-2</v>
      </c>
      <c r="I23" s="24">
        <v>-5.5373310000000002E-2</v>
      </c>
      <c r="J23" s="24">
        <v>-4.263115E-2</v>
      </c>
      <c r="K23" s="24">
        <v>-5.0989810000000003E-2</v>
      </c>
      <c r="L23" s="24">
        <v>-3.7799776E-2</v>
      </c>
      <c r="M23" s="24">
        <v>-3.4138321999999999E-2</v>
      </c>
      <c r="N23" s="24">
        <v>-5.9804079999999996E-2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42411</v>
      </c>
      <c r="B24" s="24">
        <v>3.4335851999999999E-3</v>
      </c>
      <c r="C24" s="24">
        <v>-1.7626405000000001E-2</v>
      </c>
      <c r="D24" s="24">
        <v>1.011014E-3</v>
      </c>
      <c r="E24" s="24">
        <v>-6.5767946000000008E-2</v>
      </c>
      <c r="F24" s="24">
        <v>-0.10416675</v>
      </c>
      <c r="G24" s="24">
        <v>-5.0975026999999999E-2</v>
      </c>
      <c r="H24" s="24">
        <v>-5.7104945000000004E-2</v>
      </c>
      <c r="I24" s="24">
        <v>-7.4571075000000001E-2</v>
      </c>
      <c r="J24" s="24">
        <v>-4.8149530000000003E-2</v>
      </c>
      <c r="K24" s="24">
        <v>-4.7012270000000002E-2</v>
      </c>
      <c r="L24" s="24">
        <v>-4.3902454000000007E-2</v>
      </c>
      <c r="M24" s="24">
        <v>-5.2747189999999999E-2</v>
      </c>
      <c r="N24" s="24">
        <v>-0.16394715999999998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42440</v>
      </c>
      <c r="B25" s="24">
        <v>0.10502278999999999</v>
      </c>
      <c r="C25" s="24">
        <v>0.18241631999999999</v>
      </c>
      <c r="D25" s="24">
        <v>0.18131315000000001</v>
      </c>
      <c r="E25" s="24">
        <v>9.794485E-2</v>
      </c>
      <c r="F25" s="24">
        <v>0.11724805999999999</v>
      </c>
      <c r="G25" s="24">
        <v>7.3540090000000002E-2</v>
      </c>
      <c r="H25" s="24">
        <v>0.10492955999999999</v>
      </c>
      <c r="I25" s="24">
        <v>0.102951765</v>
      </c>
      <c r="J25" s="24">
        <v>0.1088264</v>
      </c>
      <c r="K25" s="24">
        <v>0.12079297999999999</v>
      </c>
      <c r="L25" s="24">
        <v>0.12755108000000001</v>
      </c>
      <c r="M25" s="24">
        <v>0.13805103000000002</v>
      </c>
      <c r="N25" s="24">
        <v>0.17565048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42471</v>
      </c>
      <c r="B26" s="24">
        <v>5.0103307E-2</v>
      </c>
      <c r="C26" s="24">
        <v>-5.8674755000000002E-2</v>
      </c>
      <c r="D26" s="24">
        <v>1.4108539E-2</v>
      </c>
      <c r="E26" s="24">
        <v>0</v>
      </c>
      <c r="F26" s="24">
        <v>-2.3417115000000002E-2</v>
      </c>
      <c r="G26" s="24">
        <v>3.3578872999999996E-3</v>
      </c>
      <c r="H26" s="24">
        <v>-5.0987599999999999E-3</v>
      </c>
      <c r="I26" s="24">
        <v>2.2832512999999999E-2</v>
      </c>
      <c r="J26" s="24">
        <v>1.1382221999999999E-2</v>
      </c>
      <c r="K26" s="24">
        <v>-2.2624433000000003E-2</v>
      </c>
      <c r="L26" s="24">
        <v>8.2278249999999994E-4</v>
      </c>
      <c r="M26" s="24">
        <v>8.1549880000000002E-3</v>
      </c>
      <c r="N26" s="24">
        <v>-5.8498025000000002E-2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42501</v>
      </c>
      <c r="B27" s="24">
        <v>2.5823832000000001E-2</v>
      </c>
      <c r="C27" s="24">
        <v>6.0182690000000004E-2</v>
      </c>
      <c r="D27" s="24">
        <v>2.6138306E-2</v>
      </c>
      <c r="E27" s="24">
        <v>2.9868603000000001E-2</v>
      </c>
      <c r="F27" s="24">
        <v>3.0195355E-2</v>
      </c>
      <c r="G27" s="24">
        <v>1.0709524E-2</v>
      </c>
      <c r="H27" s="24">
        <v>1.3452888000000001E-2</v>
      </c>
      <c r="I27" s="24">
        <v>-2.0626128000000001E-2</v>
      </c>
      <c r="J27" s="24">
        <v>1.2155175000000001E-2</v>
      </c>
      <c r="K27" s="24">
        <v>2.3989916E-2</v>
      </c>
      <c r="L27" s="24">
        <v>6.5761804999999998E-3</v>
      </c>
      <c r="M27" s="24">
        <v>-1.6852020999999998E-2</v>
      </c>
      <c r="N27" s="24">
        <v>1.0075568999999999E-2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42531</v>
      </c>
      <c r="B28" s="24">
        <v>3.6202430000000001E-2</v>
      </c>
      <c r="C28" s="24">
        <v>-1.5205204000000002E-2</v>
      </c>
      <c r="D28" s="24">
        <v>2.9170036E-2</v>
      </c>
      <c r="E28" s="24">
        <v>-2.7455568E-2</v>
      </c>
      <c r="F28" s="24">
        <v>4.3102502999999995E-3</v>
      </c>
      <c r="G28" s="24">
        <v>6.6220760000000004E-4</v>
      </c>
      <c r="H28" s="24">
        <v>-1.2010098E-2</v>
      </c>
      <c r="I28" s="24">
        <v>2.4257301999999998E-2</v>
      </c>
      <c r="J28" s="24">
        <v>1.7288207999999999E-2</v>
      </c>
      <c r="K28" s="24">
        <v>-1.6440570000000002E-2</v>
      </c>
      <c r="L28" s="24">
        <v>-1.5108168E-2</v>
      </c>
      <c r="M28" s="24">
        <v>-2.3311614999999997E-2</v>
      </c>
      <c r="N28" s="24">
        <v>-3.158772E-2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42562</v>
      </c>
      <c r="B29" s="24">
        <v>4.7432302999999995E-2</v>
      </c>
      <c r="C29" s="24">
        <v>3.923285E-2</v>
      </c>
      <c r="D29" s="24">
        <v>-7.7513456E-3</v>
      </c>
      <c r="E29" s="24">
        <v>-2.1315157000000001E-2</v>
      </c>
      <c r="F29" s="24">
        <v>2.5238752E-2</v>
      </c>
      <c r="G29" s="24">
        <v>5.5589675999999999E-3</v>
      </c>
      <c r="H29" s="24">
        <v>-4.8249959999999998E-3</v>
      </c>
      <c r="I29" s="24">
        <v>2.1007894999999999E-2</v>
      </c>
      <c r="J29" s="24">
        <v>2.115643E-2</v>
      </c>
      <c r="K29" s="24">
        <v>-2.7370809999999999E-2</v>
      </c>
      <c r="L29" s="24">
        <v>-2.9702961E-2</v>
      </c>
      <c r="M29" s="24">
        <v>-8.2106590000000004E-3</v>
      </c>
      <c r="N29" s="24">
        <v>-6.0673532000000002E-2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42593</v>
      </c>
      <c r="B30" s="24">
        <v>4.1165589999999995E-2</v>
      </c>
      <c r="C30" s="24">
        <v>5.9769034000000006E-2</v>
      </c>
      <c r="D30" s="24">
        <v>4.7039747E-2</v>
      </c>
      <c r="E30" s="24">
        <v>0.104003315</v>
      </c>
      <c r="F30" s="24">
        <v>4.5569659999999998E-2</v>
      </c>
      <c r="G30" s="24">
        <v>3.8175701999999999E-2</v>
      </c>
      <c r="H30" s="24">
        <v>3.9525628E-2</v>
      </c>
      <c r="I30" s="24">
        <v>5.5801033999999999E-2</v>
      </c>
      <c r="J30" s="24">
        <v>2.4601698000000002E-2</v>
      </c>
      <c r="K30" s="24">
        <v>6.5667630000000005E-2</v>
      </c>
      <c r="L30" s="24">
        <v>6.8920729999999999E-2</v>
      </c>
      <c r="M30" s="24">
        <v>6.5121409999999991E-2</v>
      </c>
      <c r="N30" s="24">
        <v>5.6390880000000004E-2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42622</v>
      </c>
      <c r="B31" s="24">
        <v>2.3633359999999999E-2</v>
      </c>
      <c r="C31" s="24">
        <v>-6.3033159999999991E-2</v>
      </c>
      <c r="D31" s="24">
        <v>-1.8202901E-2</v>
      </c>
      <c r="E31" s="24">
        <v>-1.7309247999999999E-2</v>
      </c>
      <c r="F31" s="24">
        <v>-4.8426390000000001E-3</v>
      </c>
      <c r="G31" s="24">
        <v>-9.7624063000000001E-3</v>
      </c>
      <c r="H31" s="24">
        <v>1.9011497E-3</v>
      </c>
      <c r="I31" s="24">
        <v>-2.4248660000000002E-2</v>
      </c>
      <c r="J31" s="24">
        <v>-2.4559796000000002E-2</v>
      </c>
      <c r="K31" s="24">
        <v>-1.2407303000000001E-3</v>
      </c>
      <c r="L31" s="24">
        <v>-4.8661232E-3</v>
      </c>
      <c r="M31" s="24">
        <v>-4.1450858E-3</v>
      </c>
      <c r="N31" s="24">
        <v>1.5124558999999999E-2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42654</v>
      </c>
      <c r="B32" s="24">
        <v>-8.7531449999999997E-2</v>
      </c>
      <c r="C32" s="24">
        <v>4.1476965000000005E-2</v>
      </c>
      <c r="D32" s="24">
        <v>-5.1282643999999997E-3</v>
      </c>
      <c r="E32" s="24">
        <v>-3.8358569999999998E-3</v>
      </c>
      <c r="F32" s="24">
        <v>4.0551424000000004E-3</v>
      </c>
      <c r="G32" s="24">
        <v>-1.7417073000000002E-2</v>
      </c>
      <c r="H32" s="24">
        <v>-3.8583220000000001E-2</v>
      </c>
      <c r="I32" s="24">
        <v>3.0927896E-2</v>
      </c>
      <c r="J32" s="24">
        <v>5.7781934999999998E-3</v>
      </c>
      <c r="K32" s="24">
        <v>-1.4078677E-2</v>
      </c>
      <c r="L32" s="24">
        <v>-4.0751695999999998E-4</v>
      </c>
      <c r="M32" s="24">
        <v>-9.0184210000000004E-3</v>
      </c>
      <c r="N32" s="24">
        <v>-4.5574007E-2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42685</v>
      </c>
      <c r="B33" s="24">
        <v>-5.590063E-2</v>
      </c>
      <c r="C33" s="24">
        <v>-7.7707769999999995E-3</v>
      </c>
      <c r="D33" s="24">
        <v>-1.4670849E-2</v>
      </c>
      <c r="E33" s="24">
        <v>-1.8482864000000002E-2</v>
      </c>
      <c r="F33" s="24">
        <v>-4.0388106999999997E-4</v>
      </c>
      <c r="G33" s="24">
        <v>-2.4080217000000001E-2</v>
      </c>
      <c r="H33" s="24">
        <v>-9.8683833999999998E-3</v>
      </c>
      <c r="I33" s="24">
        <v>-1.4635742E-2</v>
      </c>
      <c r="J33" s="24">
        <v>1.4009355999999999E-2</v>
      </c>
      <c r="K33" s="24">
        <v>-7.9798100000000004E-3</v>
      </c>
      <c r="L33" s="24">
        <v>-3.0574799E-2</v>
      </c>
      <c r="M33" s="24">
        <v>-3.7101864999999998E-2</v>
      </c>
      <c r="N33" s="24">
        <v>1.4233232E-2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42713</v>
      </c>
      <c r="B34" s="24">
        <v>3.7889838000000002E-2</v>
      </c>
      <c r="C34" s="24">
        <v>3.5242200000000001E-2</v>
      </c>
      <c r="D34" s="24">
        <v>8.4104650000000003E-2</v>
      </c>
      <c r="E34" s="24">
        <v>2.3538709000000001E-2</v>
      </c>
      <c r="F34" s="24">
        <v>3.5353541000000002E-2</v>
      </c>
      <c r="G34" s="24">
        <v>-1.7135143000000001E-3</v>
      </c>
      <c r="H34" s="24">
        <v>3.5880445999999996E-2</v>
      </c>
      <c r="I34" s="24">
        <v>3.1951665999999997E-2</v>
      </c>
      <c r="J34" s="24">
        <v>4.6622275999999997E-2</v>
      </c>
      <c r="K34" s="24">
        <v>3.4716368000000004E-2</v>
      </c>
      <c r="L34" s="24">
        <v>1.0513067000000001E-2</v>
      </c>
      <c r="M34" s="24">
        <v>4.6164990000000003E-2</v>
      </c>
      <c r="N34" s="24">
        <v>6.3377023000000005E-2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42746</v>
      </c>
      <c r="B35" s="24">
        <v>1.1108636999999999E-2</v>
      </c>
      <c r="C35" s="24">
        <v>4.0331840000000001E-2</v>
      </c>
      <c r="D35" s="24">
        <v>1.1866212000000001E-2</v>
      </c>
      <c r="E35" s="24">
        <v>3.8302182999999997E-2</v>
      </c>
      <c r="F35" s="24">
        <v>-1.1593103E-4</v>
      </c>
      <c r="G35" s="24">
        <v>3.9439677999999999E-2</v>
      </c>
      <c r="H35" s="24">
        <v>1.4497995E-2</v>
      </c>
      <c r="I35" s="24">
        <v>3.1755924000000005E-2</v>
      </c>
      <c r="J35" s="24">
        <v>8.5253715999999997E-3</v>
      </c>
      <c r="K35" s="24">
        <v>2.7821660000000002E-2</v>
      </c>
      <c r="L35" s="24">
        <v>3.016746E-2</v>
      </c>
      <c r="M35" s="24">
        <v>6.7733526E-3</v>
      </c>
      <c r="N35" s="24">
        <v>5.6487679999999998E-2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42776</v>
      </c>
      <c r="B36" s="24">
        <v>3.0987144000000001E-2</v>
      </c>
      <c r="C36" s="24">
        <v>1.9598721999999999E-2</v>
      </c>
      <c r="D36" s="24">
        <v>2.2230506000000001E-2</v>
      </c>
      <c r="E36" s="24">
        <v>8.4933040000000001E-3</v>
      </c>
      <c r="F36" s="24">
        <v>1.4412642E-2</v>
      </c>
      <c r="G36" s="24">
        <v>1.8836736999999999E-2</v>
      </c>
      <c r="H36" s="24">
        <v>2.0192266E-2</v>
      </c>
      <c r="I36" s="24">
        <v>3.6199450000000001E-2</v>
      </c>
      <c r="J36" s="24">
        <v>1.9418715999999999E-2</v>
      </c>
      <c r="K36" s="24">
        <v>-3.9952397000000001E-3</v>
      </c>
      <c r="L36" s="24">
        <v>2.3731589999999997E-2</v>
      </c>
      <c r="M36" s="24">
        <v>5.3158519999999994E-2</v>
      </c>
      <c r="N36" s="24">
        <v>-3.7413597E-2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42804</v>
      </c>
      <c r="B37" s="24">
        <v>-3.4715712000000003E-2</v>
      </c>
      <c r="C37" s="24">
        <v>9.1532469999999998E-3</v>
      </c>
      <c r="D37" s="24">
        <v>-3.8419724000000002E-2</v>
      </c>
      <c r="E37" s="24">
        <v>2.7096271999999998E-2</v>
      </c>
      <c r="F37" s="24">
        <v>-7.7855589999999998E-4</v>
      </c>
      <c r="G37" s="24">
        <v>2.2380830000000001E-2</v>
      </c>
      <c r="H37" s="24">
        <v>-5.3408739999999998E-3</v>
      </c>
      <c r="I37" s="24">
        <v>3.1480670000000002E-2</v>
      </c>
      <c r="J37" s="24">
        <v>2.6694298000000002E-2</v>
      </c>
      <c r="K37" s="24">
        <v>3.4897684999999998E-2</v>
      </c>
      <c r="L37" s="24">
        <v>6.5547585000000005E-2</v>
      </c>
      <c r="M37" s="24">
        <v>8.5217950000000004E-3</v>
      </c>
      <c r="N37" s="24">
        <v>4.2670009999999994E-2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42836</v>
      </c>
      <c r="B38" s="24">
        <v>1.7861366E-2</v>
      </c>
      <c r="C38" s="24">
        <v>2.2675753E-2</v>
      </c>
      <c r="D38" s="24">
        <v>2.0354269999999997E-2</v>
      </c>
      <c r="E38" s="24">
        <v>1.0338663999999999E-2</v>
      </c>
      <c r="F38" s="24">
        <v>-2.5321840000000003E-3</v>
      </c>
      <c r="G38" s="24">
        <v>1.6814709000000001E-2</v>
      </c>
      <c r="H38" s="24">
        <v>3.4112453000000001E-2</v>
      </c>
      <c r="I38" s="24">
        <v>2.5393963000000003E-3</v>
      </c>
      <c r="J38" s="24">
        <v>-6.7545175999999992E-3</v>
      </c>
      <c r="K38" s="24">
        <v>2.0542622E-2</v>
      </c>
      <c r="L38" s="24">
        <v>5.6264399999999999E-3</v>
      </c>
      <c r="M38" s="24">
        <v>1.2999654000000001E-2</v>
      </c>
      <c r="N38" s="24">
        <v>2.2285223E-2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42866</v>
      </c>
      <c r="B39" s="24">
        <v>2.8693438000000002E-2</v>
      </c>
      <c r="C39" s="24">
        <v>-3.1042100000000003E-2</v>
      </c>
      <c r="D39" s="24">
        <v>-3.3985972000000003E-2</v>
      </c>
      <c r="E39" s="24">
        <v>6.7748784999999992E-2</v>
      </c>
      <c r="F39" s="24">
        <v>2.0113349999999999E-2</v>
      </c>
      <c r="G39" s="24">
        <v>5.8346270000000006E-2</v>
      </c>
      <c r="H39" s="24">
        <v>3.5736084000000001E-2</v>
      </c>
      <c r="I39" s="24">
        <v>5.2034973999999998E-2</v>
      </c>
      <c r="J39" s="24">
        <v>1.8378376999999998E-2</v>
      </c>
      <c r="K39" s="24">
        <v>8.9251880000000006E-2</v>
      </c>
      <c r="L39" s="24">
        <v>7.3480130000000005E-2</v>
      </c>
      <c r="M39" s="24">
        <v>7.9563737000000009E-2</v>
      </c>
      <c r="N39" s="24">
        <v>9.6710320000000002E-2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42895</v>
      </c>
      <c r="B40" s="24">
        <v>4.103267E-2</v>
      </c>
      <c r="C40" s="24">
        <v>-1.2814701E-2</v>
      </c>
      <c r="D40" s="24">
        <v>1.3766766E-2</v>
      </c>
      <c r="E40" s="24">
        <v>3.3707857000000001E-2</v>
      </c>
      <c r="F40" s="24">
        <v>3.5413503999999998E-2</v>
      </c>
      <c r="G40" s="24">
        <v>1.4740586E-2</v>
      </c>
      <c r="H40" s="24">
        <v>8.2571507000000002E-3</v>
      </c>
      <c r="I40" s="24">
        <v>1.2220740000000001E-2</v>
      </c>
      <c r="J40" s="24">
        <v>1.6835093000000002E-2</v>
      </c>
      <c r="K40" s="24">
        <v>2.4407268000000003E-2</v>
      </c>
      <c r="L40" s="24">
        <v>2.6059747000000001E-2</v>
      </c>
      <c r="M40" s="24">
        <v>1.9316435E-2</v>
      </c>
      <c r="N40" s="24">
        <v>2.0238519E-2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42927</v>
      </c>
      <c r="B41" s="24">
        <v>2.6796221999999998E-2</v>
      </c>
      <c r="C41" s="24">
        <v>2.2460938E-2</v>
      </c>
      <c r="D41" s="24">
        <v>2.2319555000000001E-2</v>
      </c>
      <c r="E41" s="24">
        <v>-1.0579228400000001E-3</v>
      </c>
      <c r="F41" s="24">
        <v>-1.0118008000000001E-2</v>
      </c>
      <c r="G41" s="24">
        <v>8.9179280000000003E-3</v>
      </c>
      <c r="H41" s="24">
        <v>-1.1959671999999999E-2</v>
      </c>
      <c r="I41" s="24">
        <v>-3.9228200000000005E-3</v>
      </c>
      <c r="J41" s="24">
        <v>-1.6057490999999999E-4</v>
      </c>
      <c r="K41" s="24">
        <v>1.3616085E-3</v>
      </c>
      <c r="L41" s="24">
        <v>3.3472775999999998E-3</v>
      </c>
      <c r="M41" s="24">
        <v>2.6587963000000003E-2</v>
      </c>
      <c r="N41" s="24">
        <v>2.8660536E-2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42958</v>
      </c>
      <c r="B42" s="24">
        <v>2.5043964000000002E-2</v>
      </c>
      <c r="C42" s="24">
        <v>3.0583857999999998E-2</v>
      </c>
      <c r="D42" s="24">
        <v>1.2276769E-2</v>
      </c>
      <c r="E42" s="24">
        <v>-8.1565975999999991E-3</v>
      </c>
      <c r="F42" s="24">
        <v>1.6353369E-2</v>
      </c>
      <c r="G42" s="24">
        <v>0</v>
      </c>
      <c r="H42" s="24">
        <v>1.2711763000000001E-2</v>
      </c>
      <c r="I42" s="24">
        <v>2.1934627999999998E-2</v>
      </c>
      <c r="J42" s="24">
        <v>7.9689025999999993E-3</v>
      </c>
      <c r="K42" s="24">
        <v>1.1410831999999999E-2</v>
      </c>
      <c r="L42" s="24">
        <v>3.7922739999999996E-2</v>
      </c>
      <c r="M42" s="24">
        <v>-1.829803E-2</v>
      </c>
      <c r="N42" s="24">
        <v>3.5764337E-2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42989</v>
      </c>
      <c r="B43" s="24">
        <v>1.1358738E-2</v>
      </c>
      <c r="C43" s="24">
        <v>3.4622312000000002E-2</v>
      </c>
      <c r="D43" s="24">
        <v>4.6674013E-2</v>
      </c>
      <c r="E43" s="24">
        <v>5.0657870000000001E-2</v>
      </c>
      <c r="F43" s="24">
        <v>2.1268725000000002E-2</v>
      </c>
      <c r="G43" s="24">
        <v>2.5294184999999997E-2</v>
      </c>
      <c r="H43" s="24">
        <v>2.9886484000000001E-2</v>
      </c>
      <c r="I43" s="24">
        <v>2.6530504E-2</v>
      </c>
      <c r="J43" s="24">
        <v>2.0850420000000001E-2</v>
      </c>
      <c r="K43" s="24">
        <v>3.9658069999999997E-2</v>
      </c>
      <c r="L43" s="24">
        <v>2.6991486999999998E-2</v>
      </c>
      <c r="M43" s="24">
        <v>3.8461566000000003E-2</v>
      </c>
      <c r="N43" s="24">
        <v>4.9762964E-2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43019</v>
      </c>
      <c r="B44" s="24">
        <v>-8.9001655999999991E-3</v>
      </c>
      <c r="C44" s="24">
        <v>-2.3468076999999997E-2</v>
      </c>
      <c r="D44" s="24">
        <v>2.8089879999999998E-2</v>
      </c>
      <c r="E44" s="24">
        <v>2.9430149999999999E-2</v>
      </c>
      <c r="F44" s="24">
        <v>2.7707337999999998E-2</v>
      </c>
      <c r="G44" s="24">
        <v>1.262188E-2</v>
      </c>
      <c r="H44" s="24">
        <v>2.0313382000000001E-2</v>
      </c>
      <c r="I44" s="24">
        <v>1.7103195000000002E-2</v>
      </c>
      <c r="J44" s="24">
        <v>2.8383492999999999E-2</v>
      </c>
      <c r="K44" s="24">
        <v>2.6307106E-2</v>
      </c>
      <c r="L44" s="24">
        <v>1.8910289E-2</v>
      </c>
      <c r="M44" s="24">
        <v>3.5612583000000003E-2</v>
      </c>
      <c r="N44" s="24">
        <v>9.3517302999999996E-3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43049</v>
      </c>
      <c r="B45" s="24">
        <v>-3.7096440000000001E-2</v>
      </c>
      <c r="C45" s="24">
        <v>3.1152725000000003E-2</v>
      </c>
      <c r="D45" s="24">
        <v>1.3661385E-3</v>
      </c>
      <c r="E45" s="24">
        <v>-4.2579174000000001E-3</v>
      </c>
      <c r="F45" s="24">
        <v>4.1057349999999999E-2</v>
      </c>
      <c r="G45" s="24">
        <v>-3.2577812999999997E-2</v>
      </c>
      <c r="H45" s="24">
        <v>-1.4789521999999999E-2</v>
      </c>
      <c r="I45" s="24">
        <v>3.8097858000000005E-2</v>
      </c>
      <c r="J45" s="24">
        <v>1.2038231E-2</v>
      </c>
      <c r="K45" s="24">
        <v>-1.4738857999999999E-2</v>
      </c>
      <c r="L45" s="24">
        <v>-1.6357362E-2</v>
      </c>
      <c r="M45" s="24">
        <v>-3.9064585999999998E-2</v>
      </c>
      <c r="N45" s="24">
        <v>-1.6613363999999999E-2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43080</v>
      </c>
      <c r="B46" s="24">
        <v>3.4972786999999998E-2</v>
      </c>
      <c r="C46" s="24">
        <v>-1.9853294E-2</v>
      </c>
      <c r="D46" s="24">
        <v>-5.4570436000000002E-3</v>
      </c>
      <c r="E46" s="24">
        <v>1.1606455E-2</v>
      </c>
      <c r="F46" s="24">
        <v>1.2186766E-2</v>
      </c>
      <c r="G46" s="24">
        <v>2.0204901999999997E-2</v>
      </c>
      <c r="H46" s="24">
        <v>1.5300154999999999E-2</v>
      </c>
      <c r="I46" s="24">
        <v>1.4445662E-2</v>
      </c>
      <c r="J46" s="24">
        <v>3.1849384000000001E-2</v>
      </c>
      <c r="K46" s="24">
        <v>1.6585350000000002E-2</v>
      </c>
      <c r="L46" s="24">
        <v>1.4070988E-2</v>
      </c>
      <c r="M46" s="24">
        <v>-2.6624680000000001E-2</v>
      </c>
      <c r="N46" s="24">
        <v>1.8193602999999999E-2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43111</v>
      </c>
      <c r="B47" s="24">
        <v>4.4574499999999996E-2</v>
      </c>
      <c r="C47" s="24">
        <v>6.2070610000000005E-2</v>
      </c>
      <c r="D47" s="24">
        <v>4.2330265000000006E-2</v>
      </c>
      <c r="E47" s="24">
        <v>3.1582831999999998E-2</v>
      </c>
      <c r="F47" s="24">
        <v>6.4947605000000005E-2</v>
      </c>
      <c r="G47" s="24">
        <v>3.8748502999999997E-2</v>
      </c>
      <c r="H47" s="24">
        <v>5.9454083000000005E-2</v>
      </c>
      <c r="I47" s="24">
        <v>4.9577116999999997E-2</v>
      </c>
      <c r="J47" s="24">
        <v>4.2093990000000005E-2</v>
      </c>
      <c r="K47" s="24">
        <v>3.8014529999999998E-2</v>
      </c>
      <c r="L47" s="24">
        <v>2.9445051999999999E-2</v>
      </c>
      <c r="M47" s="24">
        <v>5.7539699999999999E-2</v>
      </c>
      <c r="N47" s="24">
        <v>4.4659852999999999E-2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43140</v>
      </c>
      <c r="B48" s="24">
        <v>-2.2399008000000002E-2</v>
      </c>
      <c r="C48" s="24">
        <v>-6.0322880000000002E-2</v>
      </c>
      <c r="D48" s="24">
        <v>-8.4638480000000002E-2</v>
      </c>
      <c r="E48" s="24">
        <v>-5.8685419999999995E-2</v>
      </c>
      <c r="F48" s="24">
        <v>-6.623459000000001E-2</v>
      </c>
      <c r="G48" s="24">
        <v>-4.2829513999999999E-2</v>
      </c>
      <c r="H48" s="24">
        <v>-6.2619686000000008E-2</v>
      </c>
      <c r="I48" s="24">
        <v>-4.4032039999999995E-2</v>
      </c>
      <c r="J48" s="24">
        <v>-5.2948000000000002E-2</v>
      </c>
      <c r="K48" s="24">
        <v>-5.1313695999999999E-2</v>
      </c>
      <c r="L48" s="24">
        <v>-4.0049257000000005E-2</v>
      </c>
      <c r="M48" s="24">
        <v>-6.1797675999999996E-2</v>
      </c>
      <c r="N48" s="24">
        <v>-2.6412784999999998E-2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43168</v>
      </c>
      <c r="B49" s="24">
        <v>6.1670303000000003E-2</v>
      </c>
      <c r="C49" s="24">
        <v>5.3797363999999993E-2</v>
      </c>
      <c r="D49" s="24">
        <v>2.0021914999999998E-2</v>
      </c>
      <c r="E49" s="24">
        <v>2.2132157999999999E-2</v>
      </c>
      <c r="F49" s="24">
        <v>2.6239990000000001E-2</v>
      </c>
      <c r="G49" s="24">
        <v>1.2702107000000001E-2</v>
      </c>
      <c r="H49" s="24">
        <v>2.304554E-2</v>
      </c>
      <c r="I49" s="24">
        <v>0.10928893000000001</v>
      </c>
      <c r="J49" s="24">
        <v>6.6424490000000003E-2</v>
      </c>
      <c r="K49" s="24">
        <v>4.2033195000000002E-2</v>
      </c>
      <c r="L49" s="24">
        <v>4.5892240000000001E-2</v>
      </c>
      <c r="M49" s="24">
        <v>3.1736493000000005E-2</v>
      </c>
      <c r="N49" s="24">
        <v>2.7129411999999999E-2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43201</v>
      </c>
      <c r="B50" s="24">
        <v>1.2908459000000001E-2</v>
      </c>
      <c r="C50" s="24">
        <v>-4.2900029999999999E-2</v>
      </c>
      <c r="D50" s="24">
        <v>-3.5691260000000002E-4</v>
      </c>
      <c r="E50" s="24">
        <v>-7.0143339999999997E-3</v>
      </c>
      <c r="F50" s="24">
        <v>-4.7838688000000004E-3</v>
      </c>
      <c r="G50" s="24">
        <v>-2.4800539999999999E-2</v>
      </c>
      <c r="H50" s="24">
        <v>2.6518345000000002E-2</v>
      </c>
      <c r="I50" s="24">
        <v>-7.2850169999999992E-2</v>
      </c>
      <c r="J50" s="24">
        <v>-5.0399779999999998E-2</v>
      </c>
      <c r="K50" s="24">
        <v>4.6905280000000002E-3</v>
      </c>
      <c r="L50" s="24">
        <v>-3.3752917999999997E-3</v>
      </c>
      <c r="M50" s="24">
        <v>-4.3818892999999998E-2</v>
      </c>
      <c r="N50" s="24">
        <v>1.4434814000000001E-2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43231</v>
      </c>
      <c r="B51" s="24">
        <v>-2.9669464E-2</v>
      </c>
      <c r="C51" s="24">
        <v>2.4204493000000001E-2</v>
      </c>
      <c r="D51" s="24">
        <v>3.6058544999999997E-2</v>
      </c>
      <c r="E51" s="24">
        <v>1.8120407999999998E-2</v>
      </c>
      <c r="F51" s="24">
        <v>1.5746713000000002E-2</v>
      </c>
      <c r="G51" s="24">
        <v>8.4770920000000003E-3</v>
      </c>
      <c r="H51" s="24">
        <v>2.1388888000000002E-2</v>
      </c>
      <c r="I51" s="24">
        <v>5.7274820000000004E-2</v>
      </c>
      <c r="J51" s="24">
        <v>3.4463167000000003E-2</v>
      </c>
      <c r="K51" s="24">
        <v>2.2097707000000001E-2</v>
      </c>
      <c r="L51" s="24">
        <v>-1.1391579999999998E-2</v>
      </c>
      <c r="M51" s="24">
        <v>3.8239716999999999E-2</v>
      </c>
      <c r="N51" s="24">
        <v>1.5440583000000001E-2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43262</v>
      </c>
      <c r="B52" s="24">
        <v>4.0632010000000003E-2</v>
      </c>
      <c r="C52" s="24">
        <v>7.0022344999999993E-3</v>
      </c>
      <c r="D52" s="24">
        <v>6.8914890000000009E-4</v>
      </c>
      <c r="E52" s="24">
        <v>-2.0814537999999997E-2</v>
      </c>
      <c r="F52" s="24">
        <v>-4.0796399999999998E-3</v>
      </c>
      <c r="G52" s="24">
        <v>-1.6811669000000001E-2</v>
      </c>
      <c r="H52" s="24">
        <v>-3.8074255000000003E-3</v>
      </c>
      <c r="I52" s="24">
        <v>3.2160996999999997E-2</v>
      </c>
      <c r="J52" s="24">
        <v>2.0927190000000002E-2</v>
      </c>
      <c r="K52" s="24">
        <v>-1.0048747E-2</v>
      </c>
      <c r="L52" s="24">
        <v>9.0315340000000008E-3</v>
      </c>
      <c r="M52" s="24">
        <v>-2.3384928999999999E-2</v>
      </c>
      <c r="N52" s="24">
        <v>-8.467501999999999E-2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43292</v>
      </c>
      <c r="B53" s="24">
        <v>-3.0649899999999997E-2</v>
      </c>
      <c r="C53" s="24">
        <v>-3.9247273999999995E-3</v>
      </c>
      <c r="D53" s="24">
        <v>-3.167212E-3</v>
      </c>
      <c r="E53" s="24">
        <v>-4.4005513000000003E-2</v>
      </c>
      <c r="F53" s="24">
        <v>-5.9214059999999999E-2</v>
      </c>
      <c r="G53" s="24">
        <v>-4.8418044999999996E-3</v>
      </c>
      <c r="H53" s="24">
        <v>-3.2392501999999997E-2</v>
      </c>
      <c r="I53" s="24">
        <v>1.0795236E-2</v>
      </c>
      <c r="J53" s="24">
        <v>-1.6357899E-3</v>
      </c>
      <c r="K53" s="24">
        <v>-2.9353500000000001E-2</v>
      </c>
      <c r="L53" s="24">
        <v>-3.6118388000000001E-2</v>
      </c>
      <c r="M53" s="24">
        <v>-4.1741666999999996E-2</v>
      </c>
      <c r="N53" s="24">
        <v>-2.8234780000000001E-2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43322</v>
      </c>
      <c r="B54" s="24">
        <v>-2.9622256999999999E-2</v>
      </c>
      <c r="C54" s="24">
        <v>0</v>
      </c>
      <c r="D54" s="24">
        <v>2.0891428000000003E-3</v>
      </c>
      <c r="E54" s="24">
        <v>-1.9141912000000001E-2</v>
      </c>
      <c r="F54" s="24">
        <v>9.3030930000000001E-3</v>
      </c>
      <c r="G54" s="24">
        <v>3.3404112E-2</v>
      </c>
      <c r="H54" s="24">
        <v>-1.8775225E-2</v>
      </c>
      <c r="I54" s="24">
        <v>2.3240090000000001E-2</v>
      </c>
      <c r="J54" s="24">
        <v>2.2755264999999997E-2</v>
      </c>
      <c r="K54" s="24">
        <v>-1.5852451E-2</v>
      </c>
      <c r="L54" s="24">
        <v>-9.7620490000000003E-4</v>
      </c>
      <c r="M54" s="24">
        <v>1.7979741E-2</v>
      </c>
      <c r="N54" s="24">
        <v>-4.3418349999999994E-2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43354</v>
      </c>
      <c r="B55" s="24">
        <v>1.7053961999999999E-2</v>
      </c>
      <c r="C55" s="24">
        <v>-3.6032019999999998E-2</v>
      </c>
      <c r="D55" s="24">
        <v>-1.6330838E-2</v>
      </c>
      <c r="E55" s="24">
        <v>-1.2449502999999999E-2</v>
      </c>
      <c r="F55" s="24">
        <v>-1.0087013000000001E-2</v>
      </c>
      <c r="G55" s="24">
        <v>1.1460422999999999E-2</v>
      </c>
      <c r="H55" s="24">
        <v>-2.826029E-2</v>
      </c>
      <c r="I55" s="24">
        <v>1.4402747E-2</v>
      </c>
      <c r="J55" s="24">
        <v>2.0800948E-2</v>
      </c>
      <c r="K55" s="24">
        <v>-3.2871959999999998E-4</v>
      </c>
      <c r="L55" s="24">
        <v>-1.9869745000000001E-2</v>
      </c>
      <c r="M55" s="24">
        <v>1.1239529E-2</v>
      </c>
      <c r="N55" s="24">
        <v>5.7636500000000004E-3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43384</v>
      </c>
      <c r="B56" s="24">
        <v>-6.2879920000000006E-2</v>
      </c>
      <c r="C56" s="24">
        <v>-5.4914655999999999E-2</v>
      </c>
      <c r="D56" s="24">
        <v>-4.1681410000000002E-2</v>
      </c>
      <c r="E56" s="24">
        <v>-5.1448049999999995E-2</v>
      </c>
      <c r="F56" s="24">
        <v>-5.6219099999999999E-3</v>
      </c>
      <c r="G56" s="24">
        <v>-5.8977310000000005E-2</v>
      </c>
      <c r="H56" s="24">
        <v>-2.3023248E-2</v>
      </c>
      <c r="I56" s="24">
        <v>-7.2170552999999998E-2</v>
      </c>
      <c r="J56" s="24">
        <v>-5.4132939999999997E-2</v>
      </c>
      <c r="K56" s="24">
        <v>-4.2420206000000002E-2</v>
      </c>
      <c r="L56" s="24">
        <v>-6.4805627000000005E-2</v>
      </c>
      <c r="M56" s="24">
        <v>-4.0012717000000003E-2</v>
      </c>
      <c r="N56" s="24">
        <v>-7.4498596E-2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43413</v>
      </c>
      <c r="B57" s="24">
        <v>6.240213E-2</v>
      </c>
      <c r="C57" s="24">
        <v>3.5156369999999999E-2</v>
      </c>
      <c r="D57" s="24">
        <v>-1.2900769999999999E-2</v>
      </c>
      <c r="E57" s="24">
        <v>-1.2931048999999998E-2</v>
      </c>
      <c r="F57" s="24">
        <v>-2.6501774999999998E-2</v>
      </c>
      <c r="G57" s="24">
        <v>3.0873775000000003E-2</v>
      </c>
      <c r="H57" s="24">
        <v>4.0310620000000002E-3</v>
      </c>
      <c r="I57" s="24">
        <v>1.1320710000000001E-2</v>
      </c>
      <c r="J57" s="24">
        <v>2.0538568E-2</v>
      </c>
      <c r="K57" s="24">
        <v>-1.4766514E-2</v>
      </c>
      <c r="L57" s="24">
        <v>2.4520278000000003E-2</v>
      </c>
      <c r="M57" s="24">
        <v>-1.8193840999999999E-2</v>
      </c>
      <c r="N57" s="24">
        <v>-1.509285E-2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43445</v>
      </c>
      <c r="B58" s="24">
        <v>2.1052359999999999E-3</v>
      </c>
      <c r="C58" s="24">
        <v>-4.7169805000000002E-2</v>
      </c>
      <c r="D58" s="24">
        <v>-5.0037326999999993E-2</v>
      </c>
      <c r="E58" s="24">
        <v>-6.8049429999999994E-2</v>
      </c>
      <c r="F58" s="24">
        <v>-3.6479114999999999E-2</v>
      </c>
      <c r="G58" s="24">
        <v>-3.5639346000000002E-2</v>
      </c>
      <c r="H58" s="24">
        <v>-7.2575689999999998E-2</v>
      </c>
      <c r="I58" s="24">
        <v>-4.6117066999999998E-2</v>
      </c>
      <c r="J58" s="24">
        <v>-4.9071129999999998E-2</v>
      </c>
      <c r="K58" s="24">
        <v>-6.0648319999999999E-2</v>
      </c>
      <c r="L58" s="24">
        <v>-5.5844603E-2</v>
      </c>
      <c r="M58" s="24">
        <v>-4.5485199999999996E-2</v>
      </c>
      <c r="N58" s="24">
        <v>-3.0648350000000001E-2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43476</v>
      </c>
      <c r="B59" s="24">
        <v>2.0766496999999998E-2</v>
      </c>
      <c r="C59" s="24">
        <v>3.9107918999999998E-2</v>
      </c>
      <c r="D59" s="24">
        <v>2.7934193999999999E-2</v>
      </c>
      <c r="E59" s="24">
        <v>1.9914149999999999E-2</v>
      </c>
      <c r="F59" s="24">
        <v>3.0102729999999999E-3</v>
      </c>
      <c r="G59" s="24">
        <v>1.9565224999999999E-2</v>
      </c>
      <c r="H59" s="24">
        <v>4.0235995999999996E-2</v>
      </c>
      <c r="I59" s="24">
        <v>-1.4968573999999998E-2</v>
      </c>
      <c r="J59" s="24">
        <v>-1.3650656000000001E-2</v>
      </c>
      <c r="K59" s="24">
        <v>7.2082279999999997E-3</v>
      </c>
      <c r="L59" s="24">
        <v>7.5519084999999995E-4</v>
      </c>
      <c r="M59" s="24">
        <v>2.8852820000000001E-2</v>
      </c>
      <c r="N59" s="24">
        <v>4.4389250000000005E-2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43507</v>
      </c>
      <c r="B60" s="24">
        <v>1.990366E-2</v>
      </c>
      <c r="C60" s="24">
        <v>2.5235056999999998E-2</v>
      </c>
      <c r="D60" s="24">
        <v>3.8102746E-2</v>
      </c>
      <c r="E60" s="24">
        <v>-7.2741509999999995E-3</v>
      </c>
      <c r="F60" s="24">
        <v>-1.1355281E-3</v>
      </c>
      <c r="G60" s="24">
        <v>7.9195499999999992E-3</v>
      </c>
      <c r="H60" s="24">
        <v>3.0421971999999999E-2</v>
      </c>
      <c r="I60" s="24">
        <v>4.7980546999999998E-2</v>
      </c>
      <c r="J60" s="24">
        <v>4.4945480000000003E-2</v>
      </c>
      <c r="K60" s="24">
        <v>2.7387142E-2</v>
      </c>
      <c r="L60" s="24">
        <v>4.9428224999999999E-2</v>
      </c>
      <c r="M60" s="24">
        <v>1.0298729E-2</v>
      </c>
      <c r="N60" s="24">
        <v>7.0754289999999994E-3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43535</v>
      </c>
      <c r="B61" s="24">
        <v>3.0608057999999997E-2</v>
      </c>
      <c r="C61" s="24">
        <v>3.5231709999999999E-2</v>
      </c>
      <c r="D61" s="24">
        <v>3.2209635E-2</v>
      </c>
      <c r="E61" s="24">
        <v>4.6278357999999999E-2</v>
      </c>
      <c r="F61" s="24">
        <v>2.1788597E-2</v>
      </c>
      <c r="G61" s="24">
        <v>4.079783E-2</v>
      </c>
      <c r="H61" s="24">
        <v>3.3968209999999999E-2</v>
      </c>
      <c r="I61" s="24">
        <v>3.7589073000000001E-2</v>
      </c>
      <c r="J61" s="24">
        <v>2.8896689999999999E-2</v>
      </c>
      <c r="K61" s="24">
        <v>5.0792456E-2</v>
      </c>
      <c r="L61" s="24">
        <v>2.8822541E-2</v>
      </c>
      <c r="M61" s="24">
        <v>1.2911916000000001E-2</v>
      </c>
      <c r="N61" s="24">
        <v>5.3083419999999999E-2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43566</v>
      </c>
      <c r="B62" s="24">
        <v>2.3121475999999998E-2</v>
      </c>
      <c r="C62" s="24">
        <v>9.3239546E-3</v>
      </c>
      <c r="D62" s="24">
        <v>2.5399208E-2</v>
      </c>
      <c r="E62" s="24">
        <v>2.7644633999999998E-2</v>
      </c>
      <c r="F62" s="24">
        <v>1.5761137000000001E-2</v>
      </c>
      <c r="G62" s="24">
        <v>3.5423994E-2</v>
      </c>
      <c r="H62" s="24">
        <v>3.5922647000000002E-2</v>
      </c>
      <c r="I62" s="24">
        <v>6.0871959999999996E-2</v>
      </c>
      <c r="J62" s="24">
        <v>3.9625525000000002E-2</v>
      </c>
      <c r="K62" s="24">
        <v>3.7709950999999998E-2</v>
      </c>
      <c r="L62" s="24">
        <v>4.7830579999999998E-2</v>
      </c>
      <c r="M62" s="24">
        <v>7.0446134000000007E-2</v>
      </c>
      <c r="N62" s="24">
        <v>4.37361E-2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43595</v>
      </c>
      <c r="B63" s="24">
        <v>1.2078643E-2</v>
      </c>
      <c r="C63" s="24">
        <v>2.7713776E-3</v>
      </c>
      <c r="D63" s="24">
        <v>-9.9080204999999998E-3</v>
      </c>
      <c r="E63" s="24">
        <v>1.6499280999999998E-2</v>
      </c>
      <c r="F63" s="24">
        <v>-1.2960910999999999E-2</v>
      </c>
      <c r="G63" s="24">
        <v>2.2435188000000002E-3</v>
      </c>
      <c r="H63" s="24">
        <v>-2.1932482999999999E-2</v>
      </c>
      <c r="I63" s="24">
        <v>-1.6212463000000001E-4</v>
      </c>
      <c r="J63" s="24">
        <v>-3.8158893999999996E-4</v>
      </c>
      <c r="K63" s="24">
        <v>-1.0571539000000001E-2</v>
      </c>
      <c r="L63" s="24">
        <v>6.1949489999999999E-3</v>
      </c>
      <c r="M63" s="24">
        <v>-3.8232505E-2</v>
      </c>
      <c r="N63" s="24">
        <v>-2.8764188000000003E-2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43627</v>
      </c>
      <c r="B64" s="24">
        <v>-9.4321965999999997E-3</v>
      </c>
      <c r="C64" s="24">
        <v>4.0073752000000004E-2</v>
      </c>
      <c r="D64" s="24">
        <v>7.8628063000000005E-3</v>
      </c>
      <c r="E64" s="24">
        <v>-8.4685682999999998E-3</v>
      </c>
      <c r="F64" s="24">
        <v>1.3685942E-2</v>
      </c>
      <c r="G64" s="24">
        <v>4.6726346000000002E-2</v>
      </c>
      <c r="H64" s="24">
        <v>-9.0903043999999999E-4</v>
      </c>
      <c r="I64" s="24">
        <v>-8.6486936E-3</v>
      </c>
      <c r="J64" s="24">
        <v>2.776742E-3</v>
      </c>
      <c r="K64" s="24">
        <v>2.0701170000000001E-2</v>
      </c>
      <c r="L64" s="24">
        <v>8.4251164999999996E-3</v>
      </c>
      <c r="M64" s="24">
        <v>0</v>
      </c>
      <c r="N64" s="24">
        <v>4.3874980000000001E-3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43657</v>
      </c>
      <c r="B65" s="24">
        <v>7.0746900000000001E-2</v>
      </c>
      <c r="C65" s="24">
        <v>1.9976258E-2</v>
      </c>
      <c r="D65" s="24">
        <v>3.7354827E-2</v>
      </c>
      <c r="E65" s="24">
        <v>1.0222792999999999E-2</v>
      </c>
      <c r="F65" s="24">
        <v>1.3866186000000001E-2</v>
      </c>
      <c r="G65" s="24">
        <v>1.0456204E-2</v>
      </c>
      <c r="H65" s="24">
        <v>3.8863419999999997E-3</v>
      </c>
      <c r="I65" s="24">
        <v>5.1499366999999997E-2</v>
      </c>
      <c r="J65" s="24">
        <v>4.1078210000000004E-2</v>
      </c>
      <c r="K65" s="24">
        <v>2.1778703E-2</v>
      </c>
      <c r="L65" s="24">
        <v>1.5061378E-2</v>
      </c>
      <c r="M65" s="24">
        <v>2.6971459999999999E-2</v>
      </c>
      <c r="N65" s="24">
        <v>7.5859546999999999E-2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43686</v>
      </c>
      <c r="B66" s="24">
        <v>-1.3448775E-2</v>
      </c>
      <c r="C66" s="24">
        <v>-4.7851142999999999E-2</v>
      </c>
      <c r="D66" s="24">
        <v>-2.8285623000000003E-2</v>
      </c>
      <c r="E66" s="24">
        <v>-4.9221810000000005E-2</v>
      </c>
      <c r="F66" s="24">
        <v>-2.723807E-2</v>
      </c>
      <c r="G66" s="24">
        <v>9.7192526000000005E-3</v>
      </c>
      <c r="H66" s="24">
        <v>-6.7555009999999999E-2</v>
      </c>
      <c r="I66" s="24">
        <v>-3.0817985999999999E-2</v>
      </c>
      <c r="J66" s="24">
        <v>-2.5692463000000002E-2</v>
      </c>
      <c r="K66" s="24">
        <v>-3.9041935999999999E-2</v>
      </c>
      <c r="L66" s="24">
        <v>-2.0434618000000002E-2</v>
      </c>
      <c r="M66" s="24">
        <v>-7.0399523000000006E-2</v>
      </c>
      <c r="N66" s="24">
        <v>-9.2086790000000002E-2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43719</v>
      </c>
      <c r="B67" s="24">
        <v>6.3492059999999996E-3</v>
      </c>
      <c r="C67" s="24">
        <v>4.2345284999999996E-2</v>
      </c>
      <c r="D67" s="24">
        <v>2.3074150000000002E-2</v>
      </c>
      <c r="E67" s="24">
        <v>3.6924242999999995E-2</v>
      </c>
      <c r="F67" s="24">
        <v>4.2374490000000001E-2</v>
      </c>
      <c r="G67" s="24">
        <v>1.4973164000000001E-2</v>
      </c>
      <c r="H67" s="24">
        <v>4.0877340000000005E-2</v>
      </c>
      <c r="I67" s="24">
        <v>3.1851530000000003E-2</v>
      </c>
      <c r="J67" s="24">
        <v>2.9593349000000001E-2</v>
      </c>
      <c r="K67" s="24">
        <v>3.0385732999999998E-2</v>
      </c>
      <c r="L67" s="24">
        <v>4.8013210000000001E-2</v>
      </c>
      <c r="M67" s="24">
        <v>5.3892255E-2</v>
      </c>
      <c r="N67" s="24">
        <v>6.0161949999999999E-2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43749</v>
      </c>
      <c r="B68" s="24">
        <v>-2.1710872999999999E-2</v>
      </c>
      <c r="C68" s="24">
        <v>-1.160717E-2</v>
      </c>
      <c r="D68" s="24">
        <v>-9.3685390000000004E-3</v>
      </c>
      <c r="E68" s="24">
        <v>1.8355846000000001E-3</v>
      </c>
      <c r="F68" s="24">
        <v>2.3459911E-2</v>
      </c>
      <c r="G68" s="24">
        <v>-1.4488935000000001E-2</v>
      </c>
      <c r="H68" s="24">
        <v>1.021707E-2</v>
      </c>
      <c r="I68" s="24">
        <v>-4.8568845000000003E-3</v>
      </c>
      <c r="J68" s="24">
        <v>-8.644998000000001E-3</v>
      </c>
      <c r="K68" s="24">
        <v>5.3014755000000005E-3</v>
      </c>
      <c r="L68" s="24">
        <v>-6.3192844E-4</v>
      </c>
      <c r="M68" s="24">
        <v>-1.1363626E-2</v>
      </c>
      <c r="N68" s="24">
        <v>1.2004375000000001E-2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43780</v>
      </c>
      <c r="B69" s="24">
        <v>4.9316882999999997E-3</v>
      </c>
      <c r="C69" s="24">
        <v>3.4327030000000001E-2</v>
      </c>
      <c r="D69" s="24">
        <v>3.1173467999999999E-2</v>
      </c>
      <c r="E69" s="24">
        <v>6.009519E-2</v>
      </c>
      <c r="F69" s="24">
        <v>4.6019196999999998E-2</v>
      </c>
      <c r="G69" s="24">
        <v>3.2076954999999997E-2</v>
      </c>
      <c r="H69" s="24">
        <v>3.0341268000000001E-2</v>
      </c>
      <c r="I69" s="24">
        <v>5.1540969999999998E-2</v>
      </c>
      <c r="J69" s="24">
        <v>4.0738462999999996E-2</v>
      </c>
      <c r="K69" s="24">
        <v>4.5814037000000002E-2</v>
      </c>
      <c r="L69" s="24">
        <v>3.2880186999999998E-2</v>
      </c>
      <c r="M69" s="24">
        <v>8.3502290000000007E-2</v>
      </c>
      <c r="N69" s="24">
        <v>5.8591009999999999E-2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43810</v>
      </c>
      <c r="B70" s="24">
        <v>7.2669029999999996E-2</v>
      </c>
      <c r="C70" s="24">
        <v>-6.5501929999999993E-3</v>
      </c>
      <c r="D70" s="24">
        <v>5.0951239999999995E-3</v>
      </c>
      <c r="E70" s="24">
        <v>5.1848890000000007E-3</v>
      </c>
      <c r="F70" s="24">
        <v>1.0705948E-2</v>
      </c>
      <c r="G70" s="24">
        <v>1.4503956E-2</v>
      </c>
      <c r="H70" s="24">
        <v>1.1963247999999999E-2</v>
      </c>
      <c r="I70" s="24">
        <v>2.0003915000000001E-2</v>
      </c>
      <c r="J70" s="24">
        <v>1.9685387999999998E-2</v>
      </c>
      <c r="K70" s="24">
        <v>1.5758275999999999E-3</v>
      </c>
      <c r="L70" s="24">
        <v>1.4386296E-2</v>
      </c>
      <c r="M70" s="24">
        <v>1.435256E-2</v>
      </c>
      <c r="N70" s="24">
        <v>-1.5959322000000001E-2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43840</v>
      </c>
      <c r="B71" s="24">
        <v>2.8859137999999999E-2</v>
      </c>
      <c r="C71" s="24">
        <v>2.4475812999999999E-2</v>
      </c>
      <c r="D71" s="24">
        <v>2.7732014999999999E-2</v>
      </c>
      <c r="E71" s="24">
        <v>2.3383737000000002E-2</v>
      </c>
      <c r="F71" s="24">
        <v>-3.1968355E-3</v>
      </c>
      <c r="G71" s="24">
        <v>3.1146288000000001E-2</v>
      </c>
      <c r="H71" s="24">
        <v>3.7247420000000003E-2</v>
      </c>
      <c r="I71" s="24">
        <v>6.7918539999999999E-2</v>
      </c>
      <c r="J71" s="24">
        <v>4.0978073999999996E-2</v>
      </c>
      <c r="K71" s="24">
        <v>2.5779486000000001E-2</v>
      </c>
      <c r="L71" s="24">
        <v>2.2287846E-2</v>
      </c>
      <c r="M71" s="24">
        <v>1.5026927000000001E-2</v>
      </c>
      <c r="N71" s="24">
        <v>3.0590177E-2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43872</v>
      </c>
      <c r="B72" s="24">
        <v>-8.7336299999999992E-3</v>
      </c>
      <c r="C72" s="24">
        <v>-8.7529419999999995E-4</v>
      </c>
      <c r="D72" s="24">
        <v>1.3995290000000001E-2</v>
      </c>
      <c r="E72" s="24">
        <v>-9.4086529999999995E-3</v>
      </c>
      <c r="F72" s="24">
        <v>3.0242204999999999E-3</v>
      </c>
      <c r="G72" s="24">
        <v>3.9118647999999999E-2</v>
      </c>
      <c r="H72" s="24">
        <v>-1.8138586999999998E-2</v>
      </c>
      <c r="I72" s="24">
        <v>6.2170980000000001E-2</v>
      </c>
      <c r="J72" s="24">
        <v>2.9320598000000003E-2</v>
      </c>
      <c r="K72" s="24">
        <v>-5.5333376000000004E-3</v>
      </c>
      <c r="L72" s="24">
        <v>1.8968582000000001E-2</v>
      </c>
      <c r="M72" s="24">
        <v>4.2344329999999999E-2</v>
      </c>
      <c r="N72" s="24">
        <v>1.2811899E-2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43901</v>
      </c>
      <c r="B73" s="24">
        <v>-0.10114537999999999</v>
      </c>
      <c r="C73" s="24">
        <v>-0.23521686999999999</v>
      </c>
      <c r="D73" s="24">
        <v>-0.23036480000000001</v>
      </c>
      <c r="E73" s="24">
        <v>-0.21404339</v>
      </c>
      <c r="F73" s="24">
        <v>-0.16800672999999999</v>
      </c>
      <c r="G73" s="24">
        <v>-0.15034551000000002</v>
      </c>
      <c r="H73" s="24">
        <v>-0.22471231</v>
      </c>
      <c r="I73" s="24">
        <v>-0.15857071</v>
      </c>
      <c r="J73" s="24">
        <v>-0.18165009999999998</v>
      </c>
      <c r="K73" s="24">
        <v>-0.22009271999999999</v>
      </c>
      <c r="L73" s="24">
        <v>-0.19808029999999999</v>
      </c>
      <c r="M73" s="24">
        <v>-0.20194292</v>
      </c>
      <c r="N73" s="24">
        <v>-0.26165115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43930</v>
      </c>
      <c r="B74" s="24">
        <v>-8.860999E-2</v>
      </c>
      <c r="C74" s="24">
        <v>-4.7537207999999997E-2</v>
      </c>
      <c r="D74" s="24">
        <v>-1.1955618999999999E-2</v>
      </c>
      <c r="E74" s="24">
        <v>-5.610645E-3</v>
      </c>
      <c r="F74" s="24">
        <v>1.4294385999999999E-2</v>
      </c>
      <c r="G74" s="24">
        <v>1.7386436000000002E-2</v>
      </c>
      <c r="H74" s="24">
        <v>-2.3828149999999999E-2</v>
      </c>
      <c r="I74" s="24">
        <v>3.107965E-2</v>
      </c>
      <c r="J74" s="24">
        <v>2.0225525000000001E-2</v>
      </c>
      <c r="K74" s="24">
        <v>-3.3293723999999997E-2</v>
      </c>
      <c r="L74" s="24">
        <v>-3.6269425999999998E-4</v>
      </c>
      <c r="M74" s="24">
        <v>-1.8443405999999999E-2</v>
      </c>
      <c r="N74" s="24">
        <v>-3.0658245000000001E-2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43962</v>
      </c>
      <c r="B75" s="24">
        <v>6.8831920000000005E-2</v>
      </c>
      <c r="C75" s="24">
        <v>2.044499E-2</v>
      </c>
      <c r="D75" s="24">
        <v>6.4822793000000004E-2</v>
      </c>
      <c r="E75" s="24">
        <v>1.6492962999999999E-2</v>
      </c>
      <c r="F75" s="24">
        <v>4.8828839999999998E-2</v>
      </c>
      <c r="G75" s="24">
        <v>3.0319809999999999E-2</v>
      </c>
      <c r="H75" s="24">
        <v>5.6022405999999999E-3</v>
      </c>
      <c r="I75" s="24">
        <v>0.12949312000000002</v>
      </c>
      <c r="J75" s="24">
        <v>5.1401853999999997E-2</v>
      </c>
      <c r="K75" s="24">
        <v>-9.8400710000000006E-3</v>
      </c>
      <c r="L75" s="24">
        <v>4.4992685000000004E-2</v>
      </c>
      <c r="M75" s="24">
        <v>2.9687999999999999E-2</v>
      </c>
      <c r="N75" s="24">
        <v>-3.9069772000000003E-2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43993</v>
      </c>
      <c r="B76" s="24">
        <v>5.8563113E-2</v>
      </c>
      <c r="C76" s="24">
        <v>0.11078381999999999</v>
      </c>
      <c r="D76" s="24">
        <v>2.4350643000000002E-2</v>
      </c>
      <c r="E76" s="24">
        <v>0.12852263</v>
      </c>
      <c r="F76" s="24">
        <v>4.3716907999999999E-2</v>
      </c>
      <c r="G76" s="24">
        <v>2.3274422000000003E-2</v>
      </c>
      <c r="H76" s="24">
        <v>2.2284149999999999E-2</v>
      </c>
      <c r="I76" s="24">
        <v>3.1515837000000005E-2</v>
      </c>
      <c r="J76" s="24">
        <v>2.7726411999999999E-2</v>
      </c>
      <c r="K76" s="24">
        <v>9.6066239999999997E-2</v>
      </c>
      <c r="L76" s="24">
        <v>7.7083349999999995E-2</v>
      </c>
      <c r="M76" s="24">
        <v>7.7007294000000004E-2</v>
      </c>
      <c r="N76" s="24">
        <v>0.12342691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44022</v>
      </c>
      <c r="B77" s="24">
        <v>9.7699999999999995E-2</v>
      </c>
      <c r="C77" s="24">
        <v>5.6817529999999998E-2</v>
      </c>
      <c r="D77" s="24">
        <v>4.7683000000000003E-2</v>
      </c>
      <c r="E77" s="24">
        <v>7.2744130000000004E-2</v>
      </c>
      <c r="F77" s="24">
        <v>1.9715071000000001E-2</v>
      </c>
      <c r="G77" s="24">
        <v>6.8335533000000004E-2</v>
      </c>
      <c r="H77" s="24">
        <v>2.9383778999999999E-2</v>
      </c>
      <c r="I77" s="24">
        <v>0.12992001</v>
      </c>
      <c r="J77" s="24">
        <v>6.1161875999999997E-2</v>
      </c>
      <c r="K77" s="24">
        <v>6.205082E-2</v>
      </c>
      <c r="L77" s="24">
        <v>0.103622675</v>
      </c>
      <c r="M77" s="24">
        <v>0.10342454999999999</v>
      </c>
      <c r="N77" s="24">
        <v>8.2731250000000006E-2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44054</v>
      </c>
      <c r="B78" s="24">
        <v>1.1682630000000001E-2</v>
      </c>
      <c r="C78" s="24">
        <v>5.0942420000000002E-2</v>
      </c>
      <c r="D78" s="24">
        <v>7.4484350000000005E-2</v>
      </c>
      <c r="E78" s="24">
        <v>4.4903754999999997E-2</v>
      </c>
      <c r="F78" s="24">
        <v>1.6848921999999999E-2</v>
      </c>
      <c r="G78" s="24">
        <v>1.3678193E-2</v>
      </c>
      <c r="H78" s="24">
        <v>2.9942392999999998E-2</v>
      </c>
      <c r="I78" s="24">
        <v>4.6217441999999997E-3</v>
      </c>
      <c r="J78" s="24">
        <v>4.7891855000000004E-2</v>
      </c>
      <c r="K78" s="24">
        <v>3.8668035999999996E-2</v>
      </c>
      <c r="L78" s="24">
        <v>2.2627115E-2</v>
      </c>
      <c r="M78" s="24">
        <v>8.6876149999999985E-2</v>
      </c>
      <c r="N78" s="24">
        <v>3.9404870000000002E-2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44085</v>
      </c>
      <c r="B79" s="24">
        <v>3.9641857000000001E-3</v>
      </c>
      <c r="C79" s="24">
        <v>-2.3267090000000001E-2</v>
      </c>
      <c r="D79" s="24">
        <v>-8.8872910000000003E-3</v>
      </c>
      <c r="E79" s="24">
        <v>3.3765315999999997E-2</v>
      </c>
      <c r="F79" s="24">
        <v>3.2081841999999999E-2</v>
      </c>
      <c r="G79" s="24">
        <v>3.6555529000000003E-2</v>
      </c>
      <c r="H79" s="24">
        <v>-3.1308234000000004E-2</v>
      </c>
      <c r="I79" s="24">
        <v>1.9834875999999998E-2</v>
      </c>
      <c r="J79" s="24">
        <v>3.786087E-3</v>
      </c>
      <c r="K79" s="24">
        <v>1.3443589000000001E-2</v>
      </c>
      <c r="L79" s="24">
        <v>1.2068987E-2</v>
      </c>
      <c r="M79" s="24">
        <v>6.5193175999999995E-3</v>
      </c>
      <c r="N79" s="24">
        <v>-7.3501470000000005E-3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44113</v>
      </c>
      <c r="B80" s="24">
        <v>5.3562164000000002E-2</v>
      </c>
      <c r="C80" s="24">
        <v>3.325057E-2</v>
      </c>
      <c r="D80" s="24">
        <v>2.5825024000000002E-2</v>
      </c>
      <c r="E80" s="24">
        <v>-3.629148E-3</v>
      </c>
      <c r="F80" s="24">
        <v>1.5542268999999999E-2</v>
      </c>
      <c r="G80" s="24">
        <v>-2.3663044000000002E-4</v>
      </c>
      <c r="H80" s="24">
        <v>1.4621018999999999E-2</v>
      </c>
      <c r="I80" s="24">
        <v>5.7957649999999999E-2</v>
      </c>
      <c r="J80" s="24">
        <v>4.2491912999999999E-2</v>
      </c>
      <c r="K80" s="24">
        <v>-1.0544181E-2</v>
      </c>
      <c r="L80" s="24">
        <v>4.2021512999999996E-2</v>
      </c>
      <c r="M80" s="24">
        <v>2.7879477E-2</v>
      </c>
      <c r="N80" s="24">
        <v>-1.6367911999999998E-2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44146</v>
      </c>
      <c r="B81" s="24">
        <v>6.3060164000000002E-2</v>
      </c>
      <c r="C81" s="24">
        <v>7.2526455000000004E-2</v>
      </c>
      <c r="D81" s="24">
        <v>1.8181801000000001E-2</v>
      </c>
      <c r="E81" s="24">
        <v>-8.6092949999999994E-3</v>
      </c>
      <c r="F81" s="24">
        <v>6.7440390000000003E-2</v>
      </c>
      <c r="G81" s="24">
        <v>7.5757504000000002E-3</v>
      </c>
      <c r="H81" s="24">
        <v>7.9256653999999996E-2</v>
      </c>
      <c r="I81" s="24">
        <v>1.4175295999999999E-2</v>
      </c>
      <c r="J81" s="24">
        <v>2.8311968E-2</v>
      </c>
      <c r="K81" s="24">
        <v>9.2127909999999993E-2</v>
      </c>
      <c r="L81" s="24">
        <v>3.6512256E-2</v>
      </c>
      <c r="M81" s="24">
        <v>5.1780819999999998E-2</v>
      </c>
      <c r="N81" s="24">
        <v>7.0523024000000004E-2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44176</v>
      </c>
      <c r="B82" s="24">
        <v>3.9086460000000003E-2</v>
      </c>
      <c r="C82" s="24">
        <v>6.3591599999999998E-2</v>
      </c>
      <c r="D82" s="24">
        <v>7.9326869999999994E-2</v>
      </c>
      <c r="E82" s="24">
        <v>3.2064080000000002E-2</v>
      </c>
      <c r="F82" s="24">
        <v>3.9073467000000001E-2</v>
      </c>
      <c r="G82" s="24">
        <v>2.2791266000000001E-2</v>
      </c>
      <c r="H82" s="24">
        <v>3.1974792000000002E-2</v>
      </c>
      <c r="I82" s="24">
        <v>4.1724205E-2</v>
      </c>
      <c r="J82" s="24">
        <v>2.6999711999999999E-2</v>
      </c>
      <c r="K82" s="24">
        <v>4.2807700000000004E-2</v>
      </c>
      <c r="L82" s="24">
        <v>5.3890586000000004E-2</v>
      </c>
      <c r="M82" s="24">
        <v>2.9434800000000001E-2</v>
      </c>
      <c r="N82" s="24">
        <v>7.4019193999999996E-2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44207</v>
      </c>
      <c r="B83" s="24">
        <v>2.0949243999999999E-2</v>
      </c>
      <c r="C83" s="24">
        <v>3.6936045000000001E-2</v>
      </c>
      <c r="D83" s="24">
        <v>2.3790598E-2</v>
      </c>
      <c r="E83" s="24">
        <v>6.0770869999999998E-2</v>
      </c>
      <c r="F83" s="24">
        <v>4.4866919999999998E-2</v>
      </c>
      <c r="G83" s="24">
        <v>3.9366722E-2</v>
      </c>
      <c r="H83" s="24">
        <v>5.7260749999999999E-2</v>
      </c>
      <c r="I83" s="24">
        <v>4.3535950000000004E-2</v>
      </c>
      <c r="J83" s="24">
        <v>3.8249373000000003E-2</v>
      </c>
      <c r="K83" s="24">
        <v>2.8306722999999999E-2</v>
      </c>
      <c r="L83" s="24">
        <v>6.2329410000000002E-2</v>
      </c>
      <c r="M83" s="24">
        <v>5.0057289999999997E-2</v>
      </c>
      <c r="N83" s="24">
        <v>4.3350577000000001E-2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44238</v>
      </c>
      <c r="B84" s="24">
        <v>-3.0327320000000001E-2</v>
      </c>
      <c r="C84" s="24">
        <v>2.7846098E-2</v>
      </c>
      <c r="D84" s="24">
        <v>3.1780957999999998E-2</v>
      </c>
      <c r="E84" s="24">
        <v>1.6064286000000001E-2</v>
      </c>
      <c r="F84" s="24">
        <v>3.5984874E-2</v>
      </c>
      <c r="G84" s="24">
        <v>3.5382510000000001E-3</v>
      </c>
      <c r="H84" s="24">
        <v>-1.9218265999999998E-2</v>
      </c>
      <c r="I84" s="24">
        <v>6.4118029999999993E-2</v>
      </c>
      <c r="J84" s="24">
        <v>3.1741023E-2</v>
      </c>
      <c r="K84" s="24">
        <v>2.6549099999999999E-3</v>
      </c>
      <c r="L84" s="24">
        <v>7.0435761999999999E-2</v>
      </c>
      <c r="M84" s="24">
        <v>3.3988833000000003E-2</v>
      </c>
      <c r="N84" s="24">
        <v>2.3309945999999998E-2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44266</v>
      </c>
      <c r="B85" s="24">
        <v>-4.2731230000000002E-2</v>
      </c>
      <c r="C85" s="24">
        <v>3.5856961999999998E-3</v>
      </c>
      <c r="D85" s="24">
        <v>4.5745609999999999E-2</v>
      </c>
      <c r="E85" s="24">
        <v>1.1857748E-2</v>
      </c>
      <c r="F85" s="24">
        <v>-4.3172540000000002E-2</v>
      </c>
      <c r="G85" s="24">
        <v>-2.6002645000000001E-2</v>
      </c>
      <c r="H85" s="24">
        <v>5.1145789999999997E-2</v>
      </c>
      <c r="I85" s="24">
        <v>-4.9435019999999996E-2</v>
      </c>
      <c r="J85" s="24">
        <v>7.2176456000000002E-3</v>
      </c>
      <c r="K85" s="24">
        <v>4.1776896000000001E-2</v>
      </c>
      <c r="L85" s="24">
        <v>-2.860844E-3</v>
      </c>
      <c r="M85" s="24">
        <v>5.9168815999999999E-2</v>
      </c>
      <c r="N85" s="24">
        <v>2.6358603999999997E-2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44295</v>
      </c>
      <c r="B86" s="24">
        <v>-6.6130759999999999E-3</v>
      </c>
      <c r="C86" s="24">
        <v>1.3100385999999999E-2</v>
      </c>
      <c r="D86" s="24">
        <v>2.2747160000000002E-2</v>
      </c>
      <c r="E86" s="24">
        <v>3.9663433999999997E-2</v>
      </c>
      <c r="F86" s="24">
        <v>2.3956418E-2</v>
      </c>
      <c r="G86" s="24">
        <v>4.5701384999999997E-2</v>
      </c>
      <c r="H86" s="24">
        <v>1.4533997E-2</v>
      </c>
      <c r="I86" s="24">
        <v>6.1273932000000003E-2</v>
      </c>
      <c r="J86" s="24">
        <v>4.9068569999999999E-2</v>
      </c>
      <c r="K86" s="24">
        <v>2.0050764000000002E-2</v>
      </c>
      <c r="L86" s="24">
        <v>5.8927297999999996E-2</v>
      </c>
      <c r="M86" s="24">
        <v>4.3892740000000006E-2</v>
      </c>
      <c r="N86" s="24">
        <v>4.7558546000000005E-3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44327</v>
      </c>
      <c r="B87" s="24">
        <v>1.8227935000000001E-2</v>
      </c>
      <c r="C87" s="24">
        <v>4.2319775000000004E-2</v>
      </c>
      <c r="D87" s="24">
        <v>4.3341874999999995E-2</v>
      </c>
      <c r="E87" s="24">
        <v>2.3121833999999999E-3</v>
      </c>
      <c r="F87" s="24">
        <v>-2.7558446E-2</v>
      </c>
      <c r="G87" s="24">
        <v>8.0051419999999998E-3</v>
      </c>
      <c r="H87" s="24">
        <v>4.0485860000000005E-2</v>
      </c>
      <c r="I87" s="24">
        <v>-3.5003364000000002E-2</v>
      </c>
      <c r="J87" s="24">
        <v>6.6101549999999995E-3</v>
      </c>
      <c r="K87" s="24">
        <v>3.7929177000000001E-2</v>
      </c>
      <c r="L87" s="24">
        <v>-6.4610840000000006E-3</v>
      </c>
      <c r="M87" s="24">
        <v>8.494854E-4</v>
      </c>
      <c r="N87" s="24">
        <v>2.0195723000000002E-2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44358</v>
      </c>
      <c r="B88" s="24">
        <v>-2.5192260000000001E-2</v>
      </c>
      <c r="C88" s="24">
        <v>2.8803945000000001E-2</v>
      </c>
      <c r="D88" s="24">
        <v>3.9977907999999999E-2</v>
      </c>
      <c r="E88" s="24">
        <v>4.4556620000000005E-2</v>
      </c>
      <c r="F88" s="24">
        <v>2.4141430000000002E-2</v>
      </c>
      <c r="G88" s="24">
        <v>8.5116859999999989E-2</v>
      </c>
      <c r="H88" s="24">
        <v>2.6941060000000003E-2</v>
      </c>
      <c r="I88" s="24">
        <v>4.8968673000000004E-2</v>
      </c>
      <c r="J88" s="24">
        <v>2.4383783000000003E-2</v>
      </c>
      <c r="K88" s="24">
        <v>5.5134176999999999E-2</v>
      </c>
      <c r="L88" s="24">
        <v>5.0333620000000003E-2</v>
      </c>
      <c r="M88" s="24">
        <v>4.6084759999999995E-2</v>
      </c>
      <c r="N88" s="24">
        <v>5.5397749999999996E-2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44386</v>
      </c>
      <c r="B89" s="24">
        <v>-1.2891293000000001E-3</v>
      </c>
      <c r="C89" s="24">
        <v>-3.2234131999999999E-2</v>
      </c>
      <c r="D89" s="24">
        <v>-1.4807045000000001E-2</v>
      </c>
      <c r="E89" s="24">
        <v>-1.9651890000000002E-2</v>
      </c>
      <c r="F89" s="24">
        <v>-6.5330862999999992E-3</v>
      </c>
      <c r="G89" s="24">
        <v>-7.2522162999999994E-3</v>
      </c>
      <c r="H89" s="24">
        <v>-1.6893982999999998E-2</v>
      </c>
      <c r="I89" s="24">
        <v>5.9154869999999998E-2</v>
      </c>
      <c r="J89" s="24">
        <v>2.9822945999999999E-2</v>
      </c>
      <c r="K89" s="24">
        <v>-3.0930460000000003E-2</v>
      </c>
      <c r="L89" s="24">
        <v>-3.1162082999999997E-2</v>
      </c>
      <c r="M89" s="24">
        <v>-1.8887520000000001E-2</v>
      </c>
      <c r="N89" s="24">
        <v>-4.4497194000000004E-2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44419</v>
      </c>
      <c r="B90" s="24">
        <v>-4.6789646000000001E-3</v>
      </c>
      <c r="C90" s="24">
        <v>1.4931083000000001E-2</v>
      </c>
      <c r="D90" s="24">
        <v>1.476121E-2</v>
      </c>
      <c r="E90" s="24">
        <v>-1.1453628500000001E-3</v>
      </c>
      <c r="F90" s="24">
        <v>3.361106E-3</v>
      </c>
      <c r="G90" s="24">
        <v>2.2524356999999998E-2</v>
      </c>
      <c r="H90" s="24">
        <v>1.5676855999999999E-2</v>
      </c>
      <c r="I90" s="24">
        <v>1.4403938999999999E-2</v>
      </c>
      <c r="J90" s="24">
        <v>1.8965840000000001E-2</v>
      </c>
      <c r="K90" s="24">
        <v>3.5083175000000001E-2</v>
      </c>
      <c r="L90" s="24">
        <v>5.8933377000000002E-2</v>
      </c>
      <c r="M90" s="24">
        <v>2.8982399999999998E-2</v>
      </c>
      <c r="N90" s="24">
        <v>4.4085739999999998E-2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44449</v>
      </c>
      <c r="B91" s="24">
        <v>2.7232884999999998E-2</v>
      </c>
      <c r="C91" s="24">
        <v>-2.6782393000000002E-2</v>
      </c>
      <c r="D91" s="24">
        <v>-1.5075386E-2</v>
      </c>
      <c r="E91" s="24">
        <v>-1.1467933999999999E-2</v>
      </c>
      <c r="F91" s="24">
        <v>6.0442685999999995E-2</v>
      </c>
      <c r="G91" s="24">
        <v>-1.9845188E-2</v>
      </c>
      <c r="H91" s="24">
        <v>-2.8198183000000002E-2</v>
      </c>
      <c r="I91" s="24">
        <v>2.8344393000000002E-2</v>
      </c>
      <c r="J91" s="24">
        <v>3.7405490000000001E-3</v>
      </c>
      <c r="K91" s="24">
        <v>-1.5545367999999999E-2</v>
      </c>
      <c r="L91" s="24">
        <v>3.5077453000000001E-2</v>
      </c>
      <c r="M91" s="24">
        <v>-2.0764767999999999E-2</v>
      </c>
      <c r="N91" s="24">
        <v>-3.9548100000000003E-2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44480</v>
      </c>
      <c r="B92" s="24">
        <v>-3.0298232999999997E-2</v>
      </c>
      <c r="C92" s="24">
        <v>-1.2015461999999999E-2</v>
      </c>
      <c r="D92" s="24">
        <v>9.9354980000000009E-3</v>
      </c>
      <c r="E92" s="24">
        <v>-5.7424603000000005E-2</v>
      </c>
      <c r="F92" s="24">
        <v>-6.386476499999999E-2</v>
      </c>
      <c r="G92" s="24">
        <v>-4.2113723999999998E-2</v>
      </c>
      <c r="H92" s="24">
        <v>1.2216568000000001E-3</v>
      </c>
      <c r="I92" s="24">
        <v>-4.725128E-2</v>
      </c>
      <c r="J92" s="24">
        <v>-2.0976067000000001E-2</v>
      </c>
      <c r="K92" s="24">
        <v>-3.3393739999999998E-2</v>
      </c>
      <c r="L92" s="24">
        <v>-7.2510359999999996E-2</v>
      </c>
      <c r="M92" s="24">
        <v>-6.7184567000000001E-2</v>
      </c>
      <c r="N92" s="24">
        <v>-1.2074292E-2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44511</v>
      </c>
      <c r="B93" s="24">
        <v>1.0740399000000001E-2</v>
      </c>
      <c r="C93" s="24">
        <v>1.3730884E-2</v>
      </c>
      <c r="D93" s="24">
        <v>4.9188970000000005E-2</v>
      </c>
      <c r="E93" s="24">
        <v>4.8615456000000001E-2</v>
      </c>
      <c r="F93" s="24">
        <v>1.3497591E-2</v>
      </c>
      <c r="G93" s="24">
        <v>7.2711825000000008E-2</v>
      </c>
      <c r="H93" s="24">
        <v>2.3184896E-2</v>
      </c>
      <c r="I93" s="24">
        <v>8.9846249999999989E-2</v>
      </c>
      <c r="J93" s="24">
        <v>6.6898226999999991E-2</v>
      </c>
      <c r="K93" s="24">
        <v>6.8291305999999996E-2</v>
      </c>
      <c r="L93" s="24">
        <v>7.1851372999999996E-2</v>
      </c>
      <c r="M93" s="24">
        <v>9.047936999999999E-2</v>
      </c>
      <c r="N93" s="24">
        <v>6.1422706000000001E-2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44540</v>
      </c>
      <c r="B94" s="24">
        <v>-5.0635995999999996E-2</v>
      </c>
      <c r="C94" s="24">
        <v>-2.3219824E-2</v>
      </c>
      <c r="D94" s="24">
        <v>-3.6239265999999999E-2</v>
      </c>
      <c r="E94" s="24">
        <v>-4.1079879999999999E-2</v>
      </c>
      <c r="F94" s="24">
        <v>-9.4094275999999991E-3</v>
      </c>
      <c r="G94" s="24">
        <v>9.6552370000000005E-3</v>
      </c>
      <c r="H94" s="24">
        <v>-1.4311254000000001E-2</v>
      </c>
      <c r="I94" s="24">
        <v>1.8996954E-2</v>
      </c>
      <c r="J94" s="24">
        <v>1.5028954000000001E-2</v>
      </c>
      <c r="K94" s="24">
        <v>-2.2060692E-2</v>
      </c>
      <c r="L94" s="24">
        <v>-6.0940741999999999E-2</v>
      </c>
      <c r="M94" s="24">
        <v>-4.4169245000000003E-2</v>
      </c>
      <c r="N94" s="24">
        <v>-3.8086712000000002E-2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44572</v>
      </c>
      <c r="B95" s="24">
        <v>-5.4324865E-3</v>
      </c>
      <c r="C95" s="24">
        <v>1.5912889999999999E-2</v>
      </c>
      <c r="D95" s="24">
        <v>3.5051464999999997E-2</v>
      </c>
      <c r="E95" s="24">
        <v>2.6553154000000002E-2</v>
      </c>
      <c r="F95" s="24">
        <v>-7.4530244000000001E-3</v>
      </c>
      <c r="G95" s="24">
        <v>3.3177137000000002E-3</v>
      </c>
      <c r="H95" s="24">
        <v>6.3271759999999996E-2</v>
      </c>
      <c r="I95" s="24">
        <v>-2.9376090000000001E-2</v>
      </c>
      <c r="J95" s="24">
        <v>1.4479159999999998E-3</v>
      </c>
      <c r="K95" s="24">
        <v>3.7937760000000001E-2</v>
      </c>
      <c r="L95" s="24">
        <v>-3.4826993999999999E-4</v>
      </c>
      <c r="M95" s="24">
        <v>1.629591E-2</v>
      </c>
      <c r="N95" s="24">
        <v>3.8832306999999996E-2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44603</v>
      </c>
      <c r="B96" s="24">
        <v>-7.3234079999999993E-2</v>
      </c>
      <c r="C96" s="24">
        <v>-4.3654019999999995E-2</v>
      </c>
      <c r="D96" s="24">
        <v>-5.1468610000000002E-4</v>
      </c>
      <c r="E96" s="24">
        <v>-5.0811768E-2</v>
      </c>
      <c r="F96" s="24">
        <v>-4.5800390000000003E-2</v>
      </c>
      <c r="G96" s="24">
        <v>-5.3686022999999999E-2</v>
      </c>
      <c r="H96" s="24">
        <v>7.3077680000000001E-3</v>
      </c>
      <c r="I96" s="24">
        <v>-0.10046136999999999</v>
      </c>
      <c r="J96" s="24">
        <v>-6.2352360000000003E-2</v>
      </c>
      <c r="K96" s="24">
        <v>-5.1776647999999995E-2</v>
      </c>
      <c r="L96" s="24">
        <v>-8.3486080000000004E-2</v>
      </c>
      <c r="M96" s="24">
        <v>-0.10365987</v>
      </c>
      <c r="N96" s="24">
        <v>-3.7159085000000001E-2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44631</v>
      </c>
      <c r="B97" s="24">
        <v>6.5383910000000002E-3</v>
      </c>
      <c r="C97" s="24">
        <v>3.0431032E-2</v>
      </c>
      <c r="D97" s="24">
        <v>-8.2389115999999991E-3</v>
      </c>
      <c r="E97" s="24">
        <v>-0.15394365000000002</v>
      </c>
      <c r="F97" s="24">
        <v>-8.474045999999999E-2</v>
      </c>
      <c r="G97" s="24">
        <v>-7.1736930000000004E-2</v>
      </c>
      <c r="H97" s="24">
        <v>-8.5896670000000008E-2</v>
      </c>
      <c r="I97" s="24">
        <v>-6.5291286000000004E-2</v>
      </c>
      <c r="J97" s="24">
        <v>-4.6292486000000001E-2</v>
      </c>
      <c r="K97" s="24">
        <v>-0.12981802000000001</v>
      </c>
      <c r="L97" s="24">
        <v>-0.14419013</v>
      </c>
      <c r="M97" s="24">
        <v>-0.12004889000000001</v>
      </c>
      <c r="N97" s="24">
        <v>-0.16433238999999999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44662</v>
      </c>
      <c r="B98" s="24">
        <v>-5.1968099999999996E-3</v>
      </c>
      <c r="C98" s="24">
        <v>7.7112436000000006E-2</v>
      </c>
      <c r="D98" s="24">
        <v>2.7258515000000001E-2</v>
      </c>
      <c r="E98" s="24">
        <v>2.358675E-2</v>
      </c>
      <c r="F98" s="24">
        <v>-6.8330764999999997E-4</v>
      </c>
      <c r="G98" s="24">
        <v>0.10540295000000001</v>
      </c>
      <c r="H98" s="24">
        <v>7.4285746E-2</v>
      </c>
      <c r="I98" s="24">
        <v>5.2134156000000001E-2</v>
      </c>
      <c r="J98" s="24">
        <v>5.0472260000000005E-2</v>
      </c>
      <c r="K98" s="24">
        <v>5.1676393000000001E-2</v>
      </c>
      <c r="L98" s="24">
        <v>4.8805832999999993E-2</v>
      </c>
      <c r="M98" s="24">
        <v>6.1128020000000005E-2</v>
      </c>
      <c r="N98" s="24">
        <v>8.1564310000000001E-2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44692</v>
      </c>
      <c r="B99" s="24">
        <v>-0.13264918000000001</v>
      </c>
      <c r="C99" s="24">
        <v>-0.11500382000000001</v>
      </c>
      <c r="D99" s="24">
        <v>-0.11068994</v>
      </c>
      <c r="E99" s="24">
        <v>-7.6810539999999997E-2</v>
      </c>
      <c r="F99" s="24">
        <v>-6.7179500000000003E-2</v>
      </c>
      <c r="G99" s="24">
        <v>-0.13541662000000002</v>
      </c>
      <c r="H99" s="24">
        <v>-9.2494130000000008E-2</v>
      </c>
      <c r="I99" s="24">
        <v>-0.14388811000000001</v>
      </c>
      <c r="J99" s="24">
        <v>-0.10722404499999999</v>
      </c>
      <c r="K99" s="24">
        <v>-7.3413252999999998E-2</v>
      </c>
      <c r="L99" s="24">
        <v>-0.11509907</v>
      </c>
      <c r="M99" s="24">
        <v>-0.12463993000000001</v>
      </c>
      <c r="N99" s="24">
        <v>-8.4022045000000004E-2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44722</v>
      </c>
      <c r="B100" s="24">
        <v>-5.6984425000000003E-3</v>
      </c>
      <c r="C100" s="24">
        <v>-5.8937669999999994E-3</v>
      </c>
      <c r="D100" s="24">
        <v>3.7228465000000002E-2</v>
      </c>
      <c r="E100" s="24">
        <v>1.4173985E-2</v>
      </c>
      <c r="F100" s="24">
        <v>1.3854146000000001E-2</v>
      </c>
      <c r="G100" s="24">
        <v>-2.7591109999999999E-2</v>
      </c>
      <c r="H100" s="24">
        <v>2.399683E-2</v>
      </c>
      <c r="I100" s="24">
        <v>-1.0279596E-2</v>
      </c>
      <c r="J100" s="24">
        <v>-7.5111984999999999E-3</v>
      </c>
      <c r="K100" s="24">
        <v>1.7147659999999999E-2</v>
      </c>
      <c r="L100" s="24">
        <v>3.4911869999999998E-2</v>
      </c>
      <c r="M100" s="24">
        <v>2.6483059999999999E-2</v>
      </c>
      <c r="N100" s="24">
        <v>-2.1227717E-2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44753</v>
      </c>
      <c r="B101" s="24">
        <v>-2.4053931000000001E-2</v>
      </c>
      <c r="C101" s="24">
        <v>-7.2832822999999991E-2</v>
      </c>
      <c r="D101" s="24">
        <v>-8.1700209999999995E-2</v>
      </c>
      <c r="E101" s="24">
        <v>-0.1135723</v>
      </c>
      <c r="F101" s="24">
        <v>-3.285271E-2</v>
      </c>
      <c r="G101" s="24">
        <v>1.7019509999999999E-3</v>
      </c>
      <c r="H101" s="24">
        <v>-5.6023300000000005E-2</v>
      </c>
      <c r="I101" s="24">
        <v>2.5701522999999997E-3</v>
      </c>
      <c r="J101" s="24">
        <v>-1.0040879000000001E-2</v>
      </c>
      <c r="K101" s="24">
        <v>-7.1884989999999996E-2</v>
      </c>
      <c r="L101" s="24">
        <v>-7.2562990000000008E-2</v>
      </c>
      <c r="M101" s="24">
        <v>-9.355318E-2</v>
      </c>
      <c r="N101" s="24">
        <v>-7.9572440000000008E-2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44784</v>
      </c>
      <c r="B102" s="24">
        <v>0.11594522</v>
      </c>
      <c r="C102" s="24">
        <v>0.11036146000000001</v>
      </c>
      <c r="D102" s="24">
        <v>7.8749536999999994E-2</v>
      </c>
      <c r="E102" s="24">
        <v>8.9959140000000007E-2</v>
      </c>
      <c r="F102" s="24">
        <v>6.2275887000000002E-2</v>
      </c>
      <c r="G102" s="24">
        <v>6.2864064999999997E-2</v>
      </c>
      <c r="H102" s="24">
        <v>6.6895365999999998E-2</v>
      </c>
      <c r="I102" s="24">
        <v>0.12122880999999999</v>
      </c>
      <c r="J102" s="24">
        <v>9.306919000000001E-2</v>
      </c>
      <c r="K102" s="24">
        <v>0.11600685000000001</v>
      </c>
      <c r="L102" s="24">
        <v>0.12488925999999999</v>
      </c>
      <c r="M102" s="24">
        <v>0.12173342999999999</v>
      </c>
      <c r="N102" s="24">
        <v>8.3871000000000001E-2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44813</v>
      </c>
      <c r="B103" s="24">
        <v>-3.7781297999999998E-2</v>
      </c>
      <c r="C103" s="24">
        <v>-2.9947936999999997E-2</v>
      </c>
      <c r="D103" s="24">
        <v>-2.7862906E-2</v>
      </c>
      <c r="E103" s="24">
        <v>-6.5443934999999995E-2</v>
      </c>
      <c r="F103" s="24">
        <v>-5.7203770000000001E-2</v>
      </c>
      <c r="G103" s="24">
        <v>-4.8412919999999998E-2</v>
      </c>
      <c r="H103" s="24">
        <v>-5.7234764E-2</v>
      </c>
      <c r="I103" s="24">
        <v>-5.2425327000000001E-2</v>
      </c>
      <c r="J103" s="24">
        <v>-3.1881689999999997E-2</v>
      </c>
      <c r="K103" s="24">
        <v>-6.7242384000000002E-2</v>
      </c>
      <c r="L103" s="24">
        <v>-8.2939624999999989E-2</v>
      </c>
      <c r="M103" s="24">
        <v>-9.1713369999999989E-2</v>
      </c>
      <c r="N103" s="24">
        <v>-5.4761944E-2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44845</v>
      </c>
      <c r="B104" s="24">
        <v>-0.15350884000000001</v>
      </c>
      <c r="C104" s="24">
        <v>-0.12214762</v>
      </c>
      <c r="D104" s="24">
        <v>-0.12754369000000002</v>
      </c>
      <c r="E104" s="24">
        <v>-0.11864406000000001</v>
      </c>
      <c r="F104" s="24">
        <v>-7.4806869999999998E-2</v>
      </c>
      <c r="G104" s="24">
        <v>-0.11231094000000001</v>
      </c>
      <c r="H104" s="24">
        <v>-0.11493855</v>
      </c>
      <c r="I104" s="24">
        <v>-0.14286322000000001</v>
      </c>
      <c r="J104" s="24">
        <v>-0.11652433000000001</v>
      </c>
      <c r="K104" s="24">
        <v>-0.10515875</v>
      </c>
      <c r="L104" s="24">
        <v>-0.14081276000000001</v>
      </c>
      <c r="M104" s="24">
        <v>-0.13051945000000001</v>
      </c>
      <c r="N104" s="24">
        <v>-9.7397150000000002E-2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44876</v>
      </c>
      <c r="B105" s="24">
        <v>0.13200103999999999</v>
      </c>
      <c r="C105" s="24">
        <v>0.16207944999999999</v>
      </c>
      <c r="D105" s="24">
        <v>0.15111695999999999</v>
      </c>
      <c r="E105" s="24">
        <v>0.25657891999999999</v>
      </c>
      <c r="F105" s="24">
        <v>0.11894094000000001</v>
      </c>
      <c r="G105" s="24">
        <v>0.17085695000000001</v>
      </c>
      <c r="H105" s="24">
        <v>0.15105974</v>
      </c>
      <c r="I105" s="24">
        <v>9.5946669999999998E-2</v>
      </c>
      <c r="J105" s="24">
        <v>0.11396551000000001</v>
      </c>
      <c r="K105" s="24">
        <v>0.2161863</v>
      </c>
      <c r="L105" s="24">
        <v>0.25749493000000001</v>
      </c>
      <c r="M105" s="24">
        <v>0.27408504</v>
      </c>
      <c r="N105" s="24">
        <v>0.27255821000000002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44904</v>
      </c>
      <c r="B106" s="24">
        <v>8.06452E-2</v>
      </c>
      <c r="C106" s="24">
        <v>1.6228079999999999E-2</v>
      </c>
      <c r="D106" s="24">
        <v>-3.3961235999999999E-2</v>
      </c>
      <c r="E106" s="24">
        <v>1.7317771999999999E-2</v>
      </c>
      <c r="F106" s="24">
        <v>5.8245659999999998E-3</v>
      </c>
      <c r="G106" s="24">
        <v>-1.2237430000000001E-2</v>
      </c>
      <c r="H106" s="24">
        <v>5.4904580000000001E-2</v>
      </c>
      <c r="I106" s="24">
        <v>-2.0558356999999999E-2</v>
      </c>
      <c r="J106" s="24">
        <v>-1.3123929999999999E-2</v>
      </c>
      <c r="K106" s="24">
        <v>2.218175E-2</v>
      </c>
      <c r="L106" s="24">
        <v>3.0463575999999999E-2</v>
      </c>
      <c r="M106" s="24">
        <v>-6.1547160000000002E-3</v>
      </c>
      <c r="N106" s="24">
        <v>0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44937</v>
      </c>
      <c r="B107" s="24">
        <v>9.1047287000000001E-3</v>
      </c>
      <c r="C107" s="24">
        <v>2.6974439999999999E-2</v>
      </c>
      <c r="D107" s="24">
        <v>2.6560307000000002E-2</v>
      </c>
      <c r="E107" s="24">
        <v>8.1519239999999993E-2</v>
      </c>
      <c r="F107" s="24">
        <v>1.1343956000000001E-3</v>
      </c>
      <c r="G107" s="24">
        <v>3.5296916999999997E-2</v>
      </c>
      <c r="H107" s="24">
        <v>3.0746102000000001E-2</v>
      </c>
      <c r="I107" s="24">
        <v>-1.3528764E-2</v>
      </c>
      <c r="J107" s="24">
        <v>1.0370015999999999E-2</v>
      </c>
      <c r="K107" s="24">
        <v>6.5362690000000001E-2</v>
      </c>
      <c r="L107" s="24">
        <v>6.5703154E-2</v>
      </c>
      <c r="M107" s="24">
        <v>3.9824247E-2</v>
      </c>
      <c r="N107" s="24">
        <v>8.1815719999999995E-2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44967</v>
      </c>
      <c r="B108" s="24">
        <v>3.5147667E-2</v>
      </c>
      <c r="C108" s="24">
        <v>3.4674643999999998E-2</v>
      </c>
      <c r="D108" s="24">
        <v>3.6204456999999995E-2</v>
      </c>
      <c r="E108" s="24">
        <v>1.6843676999999998E-2</v>
      </c>
      <c r="F108" s="24">
        <v>5.2898525999999994E-2</v>
      </c>
      <c r="G108" s="24">
        <v>9.0312960000000001E-4</v>
      </c>
      <c r="H108" s="24">
        <v>1.1562467E-2</v>
      </c>
      <c r="I108" s="24">
        <v>7.9805493000000005E-2</v>
      </c>
      <c r="J108" s="24">
        <v>3.1654596E-2</v>
      </c>
      <c r="K108" s="24">
        <v>1.9602418E-2</v>
      </c>
      <c r="L108" s="24">
        <v>9.4660520000000008E-3</v>
      </c>
      <c r="M108" s="24">
        <v>-3.4227966999999999E-3</v>
      </c>
      <c r="N108" s="24">
        <v>3.8408756000000002E-2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44995</v>
      </c>
      <c r="B109" s="24">
        <v>-7.2176989999999996E-2</v>
      </c>
      <c r="C109" s="24">
        <v>-7.9437312999999996E-2</v>
      </c>
      <c r="D109" s="24">
        <v>-7.3823689999999997E-2</v>
      </c>
      <c r="E109" s="24">
        <v>-1.6924798000000001E-2</v>
      </c>
      <c r="F109" s="24">
        <v>-2.3055731999999999E-2</v>
      </c>
      <c r="G109" s="24">
        <v>-3.3386051999999999E-2</v>
      </c>
      <c r="H109" s="24">
        <v>-2.4714231E-2</v>
      </c>
      <c r="I109" s="24">
        <v>-3.7203968000000004E-2</v>
      </c>
      <c r="J109" s="24">
        <v>-5.4234859999999996E-2</v>
      </c>
      <c r="K109" s="24">
        <v>-8.2394479999999999E-3</v>
      </c>
      <c r="L109" s="24">
        <v>-4.3760540000000001E-2</v>
      </c>
      <c r="M109" s="24">
        <v>-4.0927290000000005E-2</v>
      </c>
      <c r="N109" s="24">
        <v>-2.1136105000000002E-2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45027</v>
      </c>
      <c r="B110" s="24">
        <v>3.7222862000000002E-2</v>
      </c>
      <c r="C110" s="24">
        <v>4.4943810000000001E-2</v>
      </c>
      <c r="D110" s="24">
        <v>6.1454177000000006E-2</v>
      </c>
      <c r="E110" s="24">
        <v>4.9450516999999999E-2</v>
      </c>
      <c r="F110" s="24">
        <v>1.9373058999999998E-2</v>
      </c>
      <c r="G110" s="24">
        <v>8.2380410000000015E-2</v>
      </c>
      <c r="H110" s="24">
        <v>5.0047517E-2</v>
      </c>
      <c r="I110" s="24">
        <v>9.62311E-2</v>
      </c>
      <c r="J110" s="24">
        <v>6.5798880000000004E-2</v>
      </c>
      <c r="K110" s="24">
        <v>6.2863470000000005E-2</v>
      </c>
      <c r="L110" s="24">
        <v>6.1855673999999999E-2</v>
      </c>
      <c r="M110" s="24">
        <v>5.849004E-2</v>
      </c>
      <c r="N110" s="24">
        <v>5.0269839999999996E-2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45057</v>
      </c>
      <c r="B111" s="24">
        <v>1.8749952E-2</v>
      </c>
      <c r="C111" s="24">
        <v>-1.1612952000000001E-2</v>
      </c>
      <c r="D111" s="24">
        <v>1.4330149000000001E-3</v>
      </c>
      <c r="E111" s="24">
        <v>1.082027E-2</v>
      </c>
      <c r="F111" s="24">
        <v>3.5072565E-2</v>
      </c>
      <c r="G111" s="24">
        <v>4.3984413E-2</v>
      </c>
      <c r="H111" s="24">
        <v>4.5248270000000004E-3</v>
      </c>
      <c r="I111" s="24">
        <v>3.2834172000000002E-2</v>
      </c>
      <c r="J111" s="24">
        <v>5.8820249999999999E-3</v>
      </c>
      <c r="K111" s="24">
        <v>1.4330387E-2</v>
      </c>
      <c r="L111" s="24">
        <v>-6.3935520000000003E-3</v>
      </c>
      <c r="M111" s="24">
        <v>2.3118138E-2</v>
      </c>
      <c r="N111" s="24">
        <v>5.4609775999999999E-3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45086</v>
      </c>
      <c r="B112" s="24">
        <v>-4.8401649999999997E-2</v>
      </c>
      <c r="C112" s="24">
        <v>-8.5881350000000002E-3</v>
      </c>
      <c r="D112" s="24">
        <v>-1.4152883999999999E-2</v>
      </c>
      <c r="E112" s="24">
        <v>-1.5115380000000001E-2</v>
      </c>
      <c r="F112" s="24">
        <v>4.5889735000000001E-2</v>
      </c>
      <c r="G112" s="24">
        <v>-3.5620212999999998E-2</v>
      </c>
      <c r="H112" s="24">
        <v>-1.5473723E-2</v>
      </c>
      <c r="I112" s="24">
        <v>8.6756589999999995E-2</v>
      </c>
      <c r="J112" s="24">
        <v>4.3117403999999998E-2</v>
      </c>
      <c r="K112" s="24">
        <v>-3.1742096000000004E-2</v>
      </c>
      <c r="L112" s="24">
        <v>1.0601163E-2</v>
      </c>
      <c r="M112" s="24">
        <v>-2.7555823E-2</v>
      </c>
      <c r="N112" s="24">
        <v>-1.0159552000000001E-2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45118</v>
      </c>
      <c r="B113" s="24">
        <v>2.9875398000000001E-2</v>
      </c>
      <c r="C113" s="24">
        <v>-2.6834010000000002E-3</v>
      </c>
      <c r="D113" s="24">
        <v>1.0264039000000001E-2</v>
      </c>
      <c r="E113" s="24">
        <v>1.5489935999999999E-2</v>
      </c>
      <c r="F113" s="24">
        <v>-6.4288380000000001E-3</v>
      </c>
      <c r="G113" s="24">
        <v>2.6276112000000003E-3</v>
      </c>
      <c r="H113" s="24">
        <v>-1.2437819999999999E-2</v>
      </c>
      <c r="I113" s="24">
        <v>3.9987922000000002E-2</v>
      </c>
      <c r="J113" s="24">
        <v>3.3053159999999998E-2</v>
      </c>
      <c r="K113" s="24">
        <v>3.0919433E-2</v>
      </c>
      <c r="L113" s="24">
        <v>2.6111722E-2</v>
      </c>
      <c r="M113" s="24">
        <v>-6.8008304E-3</v>
      </c>
      <c r="N113" s="24">
        <v>5.291009E-2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45149</v>
      </c>
      <c r="B114" s="24">
        <v>-3.9363681999999997E-2</v>
      </c>
      <c r="C114" s="24">
        <v>-2.2421478999999998E-3</v>
      </c>
      <c r="D114" s="24">
        <v>1.4804006000000001E-2</v>
      </c>
      <c r="E114" s="24">
        <v>-2.8378963E-3</v>
      </c>
      <c r="F114" s="24">
        <v>-7.2792170000000002E-3</v>
      </c>
      <c r="G114" s="24">
        <v>1.5505552000000001E-2</v>
      </c>
      <c r="H114" s="24">
        <v>2.3299693999999999E-2</v>
      </c>
      <c r="I114" s="24">
        <v>-5.2422285000000004E-3</v>
      </c>
      <c r="J114" s="24">
        <v>7.2096585999999992E-3</v>
      </c>
      <c r="K114" s="24">
        <v>5.7879685999999994E-3</v>
      </c>
      <c r="L114" s="24">
        <v>-4.6478509999999997E-3</v>
      </c>
      <c r="M114" s="24">
        <v>-2.8530657000000001E-2</v>
      </c>
      <c r="N114" s="24">
        <v>3.140688E-3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45180</v>
      </c>
      <c r="B115" s="24">
        <v>-5.5626334999999999E-2</v>
      </c>
      <c r="C115" s="24">
        <v>-8.9887977000000004E-3</v>
      </c>
      <c r="D115" s="24">
        <v>-1.6876459E-2</v>
      </c>
      <c r="E115" s="24">
        <v>-2.3834944E-2</v>
      </c>
      <c r="F115" s="24">
        <v>1.5479922E-2</v>
      </c>
      <c r="G115" s="24">
        <v>-2.5591373000000001E-2</v>
      </c>
      <c r="H115" s="24">
        <v>-1.5384614000000001E-2</v>
      </c>
      <c r="I115" s="24">
        <v>2.9297710000000001E-2</v>
      </c>
      <c r="J115" s="24">
        <v>6.2830450000000001E-3</v>
      </c>
      <c r="K115" s="24">
        <v>-2.7988493E-2</v>
      </c>
      <c r="L115" s="24">
        <v>-6.5374794E-2</v>
      </c>
      <c r="M115" s="24">
        <v>-2.5550603999999998E-2</v>
      </c>
      <c r="N115" s="24">
        <v>-1.0644971999999999E-2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45210</v>
      </c>
      <c r="B116" s="24">
        <v>1.2589931E-2</v>
      </c>
      <c r="C116" s="24">
        <v>-1.4512479E-2</v>
      </c>
      <c r="D116" s="24">
        <v>-2.0657540000000002E-2</v>
      </c>
      <c r="E116" s="24">
        <v>-3.6807596999999997E-2</v>
      </c>
      <c r="F116" s="24">
        <v>-3.4338891999999996E-2</v>
      </c>
      <c r="G116" s="24">
        <v>-1.5007734E-2</v>
      </c>
      <c r="H116" s="24">
        <v>5.312443E-3</v>
      </c>
      <c r="I116" s="24">
        <v>-1.3830304E-2</v>
      </c>
      <c r="J116" s="24">
        <v>-2.357453E-2</v>
      </c>
      <c r="K116" s="24">
        <v>-3.7944019999999995E-2</v>
      </c>
      <c r="L116" s="24">
        <v>-3.4723937999999996E-2</v>
      </c>
      <c r="M116" s="24">
        <v>1.7179012E-2</v>
      </c>
      <c r="N116" s="24">
        <v>-2.8797448E-2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45240</v>
      </c>
      <c r="B117" s="24">
        <v>-2.9751360000000001E-2</v>
      </c>
      <c r="C117" s="24">
        <v>-1.6106783999999999E-2</v>
      </c>
      <c r="D117" s="24">
        <v>-1.0992228999999999E-2</v>
      </c>
      <c r="E117" s="24">
        <v>-3.4052134E-3</v>
      </c>
      <c r="F117" s="24">
        <v>4.8189163E-3</v>
      </c>
      <c r="G117" s="24">
        <v>-3.4954070000000004E-2</v>
      </c>
      <c r="H117" s="24">
        <v>-3.5125791999999996E-2</v>
      </c>
      <c r="I117" s="24">
        <v>1.9314766000000001E-2</v>
      </c>
      <c r="J117" s="24">
        <v>9.832144000000001E-3</v>
      </c>
      <c r="K117" s="24">
        <v>0</v>
      </c>
      <c r="L117" s="24">
        <v>3.8043500000000001E-2</v>
      </c>
      <c r="M117" s="24">
        <v>-2.4000048999999999E-2</v>
      </c>
      <c r="N117" s="24">
        <v>1.4988542000000001E-2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45271</v>
      </c>
      <c r="B118" s="24">
        <v>6.6132664999999993E-2</v>
      </c>
      <c r="C118" s="24">
        <v>6.6884995000000003E-2</v>
      </c>
      <c r="D118" s="24">
        <v>5.5271863999999997E-2</v>
      </c>
      <c r="E118" s="24">
        <v>0.10250567999999999</v>
      </c>
      <c r="F118" s="24">
        <v>4.415405E-2</v>
      </c>
      <c r="G118" s="24">
        <v>7.0582747000000001E-2</v>
      </c>
      <c r="H118" s="24">
        <v>4.8969029999999997E-2</v>
      </c>
      <c r="I118" s="24">
        <v>4.5270680000000001E-2</v>
      </c>
      <c r="J118" s="24">
        <v>4.8523664000000001E-2</v>
      </c>
      <c r="K118" s="24">
        <v>7.3286652999999993E-2</v>
      </c>
      <c r="L118" s="24">
        <v>7.6788782999999999E-2</v>
      </c>
      <c r="M118" s="24">
        <v>0.1451124</v>
      </c>
      <c r="N118" s="24">
        <v>7.1910142999999996E-2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45302</v>
      </c>
      <c r="B119" s="24">
        <v>4.8198223000000005E-2</v>
      </c>
      <c r="C119" s="24">
        <v>5.8635472999999994E-2</v>
      </c>
      <c r="D119" s="24">
        <v>4.6229600000000003E-2</v>
      </c>
      <c r="E119" s="24">
        <v>5.2179100000000001E-3</v>
      </c>
      <c r="F119" s="24">
        <v>5.6817409999999999E-2</v>
      </c>
      <c r="G119" s="24">
        <v>3.4265876000000001E-2</v>
      </c>
      <c r="H119" s="24">
        <v>2.5849342000000001E-2</v>
      </c>
      <c r="I119" s="24">
        <v>3.7565590000000003E-2</v>
      </c>
      <c r="J119" s="24">
        <v>3.5270452000000001E-2</v>
      </c>
      <c r="K119" s="24">
        <v>4.6768187999999995E-3</v>
      </c>
      <c r="L119" s="24">
        <v>1.6875982000000001E-2</v>
      </c>
      <c r="M119" s="24">
        <v>2.5237560000000003E-2</v>
      </c>
      <c r="N119" s="24">
        <v>2.3230553000000001E-2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45331</v>
      </c>
      <c r="B120" s="24">
        <v>-2.6964902999999998E-2</v>
      </c>
      <c r="C120" s="24">
        <v>-4.2265654E-4</v>
      </c>
      <c r="D120" s="24">
        <v>2.2063255E-3</v>
      </c>
      <c r="E120" s="24">
        <v>2.7406216000000001E-3</v>
      </c>
      <c r="F120" s="24">
        <v>1.2613893000000001E-2</v>
      </c>
      <c r="G120" s="24">
        <v>-2.7469039999999997E-2</v>
      </c>
      <c r="H120" s="24">
        <v>-1.2251198000000001E-2</v>
      </c>
      <c r="I120" s="24">
        <v>6.7668199999999998E-2</v>
      </c>
      <c r="J120" s="24">
        <v>5.2167535000000001E-2</v>
      </c>
      <c r="K120" s="24">
        <v>1.4360309E-2</v>
      </c>
      <c r="L120" s="24">
        <v>8.6487770000000005E-2</v>
      </c>
      <c r="M120" s="24">
        <v>-2.6497840000000001E-3</v>
      </c>
      <c r="N120" s="24">
        <v>5.9275630000000003E-3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45362</v>
      </c>
      <c r="B121" s="24">
        <v>-1.1707783000000001E-2</v>
      </c>
      <c r="C121" s="24">
        <v>3.2135366999999998E-2</v>
      </c>
      <c r="D121" s="24">
        <v>3.7974714999999999E-2</v>
      </c>
      <c r="E121" s="24">
        <v>6.0129879999999997E-2</v>
      </c>
      <c r="F121" s="24">
        <v>4.4574499999999996E-2</v>
      </c>
      <c r="G121" s="24">
        <v>4.484689E-2</v>
      </c>
      <c r="H121" s="24">
        <v>3.5348773E-2</v>
      </c>
      <c r="I121" s="24">
        <v>7.779598E-4</v>
      </c>
      <c r="J121" s="24">
        <v>2.011168E-2</v>
      </c>
      <c r="K121" s="24">
        <v>5.5855870000000002E-2</v>
      </c>
      <c r="L121" s="24">
        <v>2.34375E-2</v>
      </c>
      <c r="M121" s="24">
        <v>7.8374147000000005E-2</v>
      </c>
      <c r="N121" s="24">
        <v>7.8962919999999992E-2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45393</v>
      </c>
      <c r="B122" s="24">
        <v>-1.4237642E-2</v>
      </c>
      <c r="C122" s="24">
        <v>-2.4579762999999998E-3</v>
      </c>
      <c r="D122" s="24">
        <v>1.0603666000000001E-3</v>
      </c>
      <c r="E122" s="24">
        <v>-5.800843E-3</v>
      </c>
      <c r="F122" s="24">
        <v>5.6034326999999991E-3</v>
      </c>
      <c r="G122" s="24">
        <v>-4.4160130000000006E-2</v>
      </c>
      <c r="H122" s="24">
        <v>2.0964383999999999E-2</v>
      </c>
      <c r="I122" s="24">
        <v>1.9579291000000002E-2</v>
      </c>
      <c r="J122" s="24">
        <v>1.6312956999999999E-2</v>
      </c>
      <c r="K122" s="24">
        <v>-1.6333520000000001E-2</v>
      </c>
      <c r="L122" s="24">
        <v>2.145648E-2</v>
      </c>
      <c r="M122" s="24">
        <v>-2.5375664000000003E-2</v>
      </c>
      <c r="N122" s="50">
        <v>-3.823042E-3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0.13200103999999999</v>
      </c>
      <c r="C126" s="24" cm="1">
        <f t="array" ref="C126">MAX(_xlfn._xlws.FILTER(C1:C122, ISNUMBER(C1:C122)))</f>
        <v>0.18241631999999999</v>
      </c>
      <c r="D126" s="24" cm="1">
        <f t="array" ref="D126">MAX(_xlfn._xlws.FILTER(D1:D122, ISNUMBER(D1:D122)))</f>
        <v>0.18131315000000001</v>
      </c>
      <c r="E126" s="24" cm="1">
        <f t="array" ref="E126">MAX(_xlfn._xlws.FILTER(E1:E122, ISNUMBER(E1:E122)))</f>
        <v>0.25657891999999999</v>
      </c>
      <c r="F126" s="24" cm="1">
        <f t="array" ref="F126">MAX(_xlfn._xlws.FILTER(F1:F122, ISNUMBER(F1:F122)))</f>
        <v>0.11894094000000001</v>
      </c>
      <c r="G126" s="24" cm="1">
        <f t="array" ref="G126">MAX(_xlfn._xlws.FILTER(G1:G122, ISNUMBER(G1:G122)))</f>
        <v>0.17085695000000001</v>
      </c>
      <c r="H126" s="24" cm="1">
        <f t="array" ref="H126">MAX(_xlfn._xlws.FILTER(H1:H122, ISNUMBER(H1:H122)))</f>
        <v>0.15105974</v>
      </c>
      <c r="I126" s="24" cm="1">
        <f t="array" ref="I126">MAX(_xlfn._xlws.FILTER(I1:I122, ISNUMBER(I1:I122)))</f>
        <v>0.12992001</v>
      </c>
      <c r="J126" s="24" cm="1">
        <f t="array" ref="J126">MAX(_xlfn._xlws.FILTER(J1:J122, ISNUMBER(J1:J122)))</f>
        <v>0.11396551000000001</v>
      </c>
      <c r="K126" s="24" cm="1">
        <f t="array" ref="K126">MAX(_xlfn._xlws.FILTER(K1:K122, ISNUMBER(K1:K122)))</f>
        <v>0.2161863</v>
      </c>
      <c r="L126" s="24" cm="1">
        <f t="array" ref="L126">MAX(_xlfn._xlws.FILTER(L1:L122, ISNUMBER(L1:L122)))</f>
        <v>0.25749493000000001</v>
      </c>
      <c r="M126" s="24" cm="1">
        <f t="array" ref="M126">MAX(_xlfn._xlws.FILTER(M1:M122, ISNUMBER(M1:M122)))</f>
        <v>0.27408504</v>
      </c>
      <c r="N126" s="24" cm="1">
        <f t="array" ref="N126">MAX(_xlfn._xlws.FILTER(N1:N122, ISNUMBER(N1:N122)))</f>
        <v>0.27255821000000002</v>
      </c>
    </row>
    <row r="127" spans="1:26" x14ac:dyDescent="0.35">
      <c r="A127" t="s">
        <v>85</v>
      </c>
      <c r="B127" s="24" cm="1">
        <f t="array" ref="B127">MIN(_xlfn._xlws.FILTER(B2:B122, ISNUMBER(B2:B122)))</f>
        <v>-0.15350884000000001</v>
      </c>
      <c r="C127" s="24" cm="1">
        <f t="array" ref="C127">MIN(_xlfn._xlws.FILTER(C2:C122, ISNUMBER(C2:C122)))</f>
        <v>-0.23521686999999999</v>
      </c>
      <c r="D127" s="24" cm="1">
        <f t="array" ref="D127">MIN(_xlfn._xlws.FILTER(D2:D122, ISNUMBER(D2:D122)))</f>
        <v>-0.23036480000000001</v>
      </c>
      <c r="E127" s="24" cm="1">
        <f t="array" ref="E127">MIN(_xlfn._xlws.FILTER(E2:E122, ISNUMBER(E2:E122)))</f>
        <v>-0.21404339</v>
      </c>
      <c r="F127" s="24" cm="1">
        <f t="array" ref="F127">MIN(_xlfn._xlws.FILTER(F2:F122, ISNUMBER(F2:F122)))</f>
        <v>-0.16800672999999999</v>
      </c>
      <c r="G127" s="24" cm="1">
        <f t="array" ref="G127">MIN(_xlfn._xlws.FILTER(G2:G122, ISNUMBER(G2:G122)))</f>
        <v>-0.15034551000000002</v>
      </c>
      <c r="H127" s="24" cm="1">
        <f t="array" ref="H127">MIN(_xlfn._xlws.FILTER(H2:H122, ISNUMBER(H2:H122)))</f>
        <v>-0.22471231</v>
      </c>
      <c r="I127" s="24" cm="1">
        <f t="array" ref="I127">MIN(_xlfn._xlws.FILTER(I2:I122, ISNUMBER(I2:I122)))</f>
        <v>-0.15857071</v>
      </c>
      <c r="J127" s="24" cm="1">
        <f t="array" ref="J127">MIN(_xlfn._xlws.FILTER(J2:J122, ISNUMBER(J2:J122)))</f>
        <v>-0.18165009999999998</v>
      </c>
      <c r="K127" s="24" cm="1">
        <f t="array" ref="K127">MIN(_xlfn._xlws.FILTER(K2:K122, ISNUMBER(K2:K122)))</f>
        <v>-0.22009271999999999</v>
      </c>
      <c r="L127" s="24" cm="1">
        <f t="array" ref="L127">MIN(_xlfn._xlws.FILTER(L2:L122, ISNUMBER(L2:L122)))</f>
        <v>-0.19808029999999999</v>
      </c>
      <c r="M127" s="24" cm="1">
        <f t="array" ref="M127">MIN(_xlfn._xlws.FILTER(M2:M122, ISNUMBER(M2:M122)))</f>
        <v>-0.20194292</v>
      </c>
      <c r="N127" s="24" cm="1">
        <f t="array" ref="N127">MIN(_xlfn._xlws.FILTER(N2:N122, ISNUMBER(N2:N122)))</f>
        <v>-0.26165115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15</v>
      </c>
      <c r="C129">
        <f>COUNTIF(C2:C122, "&lt;"&amp;Assumption!$E$50)</f>
        <v>13</v>
      </c>
      <c r="D129">
        <f>COUNTIF(D2:D122, "&lt;"&amp;Assumption!$E$50)</f>
        <v>14</v>
      </c>
      <c r="E129">
        <f>COUNTIF(E2:E122, "&lt;"&amp;Assumption!$E$50)</f>
        <v>17</v>
      </c>
      <c r="F129">
        <f>COUNTIF(F2:F122, "&lt;"&amp;Assumption!$E$50)</f>
        <v>12</v>
      </c>
      <c r="G129">
        <f>COUNTIF(G2:G122, "&lt;"&amp;Assumption!$E$50)</f>
        <v>8</v>
      </c>
      <c r="H129">
        <f>COUNTIF(H2:H122, "&lt;"&amp;Assumption!$E$50)</f>
        <v>14</v>
      </c>
      <c r="I129">
        <f>COUNTIF(I2:I122, "&lt;"&amp;Assumption!$E$50)</f>
        <v>12</v>
      </c>
      <c r="J129">
        <f>COUNTIF(J2:J122, "&lt;"&amp;Assumption!$E$50)</f>
        <v>9</v>
      </c>
      <c r="K129">
        <f>COUNTIF(K2:K122, "&lt;"&amp;Assumption!$E$50)</f>
        <v>14</v>
      </c>
      <c r="L129">
        <f>COUNTIF(L2:L122, "&lt;"&amp;Assumption!$E$50)</f>
        <v>16</v>
      </c>
      <c r="M129">
        <f>COUNTIF(M2:M122, "&lt;"&amp;Assumption!$E$50)</f>
        <v>14</v>
      </c>
      <c r="N129">
        <f>COUNTIF(N2:N122, "&lt;"&amp;Assumption!$E$50)</f>
        <v>19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0.12396694214876033</v>
      </c>
      <c r="C132" s="9">
        <f t="shared" si="2"/>
        <v>0.10743801652892562</v>
      </c>
      <c r="D132" s="9">
        <f t="shared" si="2"/>
        <v>0.11570247933884298</v>
      </c>
      <c r="E132" s="9">
        <f t="shared" si="2"/>
        <v>0.14049586776859505</v>
      </c>
      <c r="F132" s="9">
        <f t="shared" si="2"/>
        <v>9.9173553719008267E-2</v>
      </c>
      <c r="G132" s="9">
        <f t="shared" si="2"/>
        <v>6.6115702479338845E-2</v>
      </c>
      <c r="H132" s="9">
        <f t="shared" si="2"/>
        <v>0.11570247933884298</v>
      </c>
      <c r="I132" s="9">
        <f t="shared" si="2"/>
        <v>9.9173553719008267E-2</v>
      </c>
      <c r="J132" s="9">
        <f t="shared" si="2"/>
        <v>7.43801652892562E-2</v>
      </c>
      <c r="K132" s="9">
        <f t="shared" ref="K132:N132" si="3">K129/K130</f>
        <v>0.11570247933884298</v>
      </c>
      <c r="L132" s="9">
        <f t="shared" si="3"/>
        <v>0.13223140495867769</v>
      </c>
      <c r="M132" s="9">
        <f t="shared" si="3"/>
        <v>0.11570247933884298</v>
      </c>
      <c r="N132" s="9">
        <f t="shared" si="3"/>
        <v>0.15702479338842976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0.31900000000000001</v>
      </c>
      <c r="C134" s="9" cm="1">
        <f t="array" ref="C134">_xlfn.PERCENTRANK.EXC(_xlfn._xlws.FILTER(C2:C122, ISNUMBER(C2:C122)),C122)</f>
        <v>0.41799999999999998</v>
      </c>
      <c r="D134" s="9" cm="1">
        <f t="array" ref="D134">_xlfn.PERCENTRANK.EXC(_xlfn._xlws.FILTER(D2:D122, ISNUMBER(D2:D122)),D122)</f>
        <v>0.40899999999999997</v>
      </c>
      <c r="E134" s="9" cm="1">
        <f t="array" ref="E134">_xlfn.PERCENTRANK.EXC(_xlfn._xlws.FILTER(E2:E122, ISNUMBER(E2:E122)),E122)</f>
        <v>0.38500000000000001</v>
      </c>
      <c r="F134" s="9" cm="1">
        <f t="array" ref="F134">_xlfn.PERCENTRANK.EXC(_xlfn._xlws.FILTER(F2:F122, ISNUMBER(F2:F122)),F122)</f>
        <v>0.46700000000000003</v>
      </c>
      <c r="G134" s="9" cm="1">
        <f t="array" ref="G134">_xlfn.PERCENTRANK.EXC(_xlfn._xlws.FILTER(G2:G122, ISNUMBER(G2:G122)),G122)</f>
        <v>0.09</v>
      </c>
      <c r="H134" s="9" cm="1">
        <f t="array" ref="H134">_xlfn.PERCENTRANK.EXC(_xlfn._xlws.FILTER(H2:H122, ISNUMBER(H2:H122)),H122)</f>
        <v>0.622</v>
      </c>
      <c r="I134" s="9" cm="1">
        <f t="array" ref="I134">_xlfn.PERCENTRANK.EXC(_xlfn._xlws.FILTER(I2:I122, ISNUMBER(I2:I122)),I122)</f>
        <v>0.47499999999999998</v>
      </c>
      <c r="J134" s="9" cm="1">
        <f t="array" ref="J134">_xlfn.PERCENTRANK.EXC(_xlfn._xlws.FILTER(J2:J122, ISNUMBER(J2:J122)),J122)</f>
        <v>0.49099999999999999</v>
      </c>
      <c r="K134" s="9" cm="1">
        <f t="array" ref="K134">_xlfn.PERCENTRANK.EXC(_xlfn._xlws.FILTER(K2:K122, ISNUMBER(K2:K122)),K122)</f>
        <v>0.26200000000000001</v>
      </c>
      <c r="L134" s="9" cm="1">
        <f t="array" ref="L134">_xlfn.PERCENTRANK.EXC(_xlfn._xlws.FILTER(L2:L122, ISNUMBER(L2:L122)),L122)</f>
        <v>0.59</v>
      </c>
      <c r="M134" s="9" cm="1">
        <f t="array" ref="M134">_xlfn.PERCENTRANK.EXC(_xlfn._xlws.FILTER(M2:M122, ISNUMBER(M2:M122)),M122)</f>
        <v>0.27</v>
      </c>
      <c r="N134" s="9" cm="1">
        <f t="array" ref="N134">_xlfn.PERCENTRANK.EXC(_xlfn._xlws.FILTER(N2:N122, ISNUMBER(N2:N122)),N122)</f>
        <v>0.39300000000000002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0.71599999999999997</v>
      </c>
      <c r="C136" s="9" cm="1">
        <f t="array" ref="C136">_xlfn.PERCENTRANK.EXC(_xlfn._xlws.FILTER(C4:C125, ISNUMBER(C4:C125)),C113)</f>
        <v>0.41599999999999998</v>
      </c>
      <c r="D136" s="9" cm="1">
        <f t="array" ref="D136">_xlfn.PERCENTRANK.EXC(_xlfn._xlws.FILTER(D4:D125, ISNUMBER(D4:D125)),D113)</f>
        <v>0.49099999999999999</v>
      </c>
      <c r="E136" s="9" cm="1">
        <f t="array" ref="E136">_xlfn.PERCENTRANK.EXC(_xlfn._xlws.FILTER(E4:E125, ISNUMBER(E4:E125)),E113)</f>
        <v>0.59099999999999997</v>
      </c>
      <c r="F136" s="9" cm="1">
        <f t="array" ref="F136">_xlfn.PERCENTRANK.EXC(_xlfn._xlws.FILTER(F4:F125, ISNUMBER(F4:F125)),F113)</f>
        <v>0.29099999999999998</v>
      </c>
      <c r="G136" s="9" cm="1">
        <f t="array" ref="G136">_xlfn.PERCENTRANK.EXC(_xlfn._xlws.FILTER(G4:G125, ISNUMBER(G4:G125)),G113)</f>
        <v>0.433</v>
      </c>
      <c r="H136" s="9" cm="1">
        <f t="array" ref="H136">_xlfn.PERCENTRANK.EXC(_xlfn._xlws.FILTER(H4:H125, ISNUMBER(H4:H125)),H113)</f>
        <v>0.33300000000000002</v>
      </c>
      <c r="I136" s="9" cm="1">
        <f t="array" ref="I136">_xlfn.PERCENTRANK.EXC(_xlfn._xlws.FILTER(I4:I125, ISNUMBER(I4:I125)),I113)</f>
        <v>0.70799999999999996</v>
      </c>
      <c r="J136" s="9" cm="1">
        <f t="array" ref="J136">_xlfn.PERCENTRANK.EXC(_xlfn._xlws.FILTER(J4:J125, ISNUMBER(J4:J125)),J113)</f>
        <v>0.75800000000000001</v>
      </c>
      <c r="K136" s="9" cm="1">
        <f t="array" ref="K136">_xlfn.PERCENTRANK.EXC(_xlfn._xlws.FILTER(K4:K125, ISNUMBER(K4:K125)),K113)</f>
        <v>0.72499999999999998</v>
      </c>
      <c r="L136" s="9" cm="1">
        <f t="array" ref="L136">_xlfn.PERCENTRANK.EXC(_xlfn._xlws.FILTER(L4:L125, ISNUMBER(L4:L125)),L113)</f>
        <v>0.65</v>
      </c>
      <c r="M136" s="9" cm="1">
        <f t="array" ref="M136">_xlfn.PERCENTRANK.EXC(_xlfn._xlws.FILTER(M4:M125, ISNUMBER(M4:M125)),M113)</f>
        <v>0.40799999999999997</v>
      </c>
      <c r="N136" s="9" cm="1">
        <f t="array" ref="N136">_xlfn.PERCENTRANK.EXC(_xlfn._xlws.FILTER(N4:N125, ISNUMBER(N4:N125)),N113)</f>
        <v>0.79100000000000004</v>
      </c>
    </row>
    <row r="138" spans="1:17" x14ac:dyDescent="0.35">
      <c r="A138" t="s">
        <v>829</v>
      </c>
      <c r="B138">
        <f t="shared" ref="B138:J138" si="4">STDEV(B40:B122)</f>
        <v>4.9591514016783571E-2</v>
      </c>
      <c r="C138">
        <f t="shared" si="4"/>
        <v>5.3010133190926713E-2</v>
      </c>
      <c r="D138">
        <f t="shared" si="4"/>
        <v>4.9073252519341991E-2</v>
      </c>
      <c r="E138">
        <f t="shared" si="4"/>
        <v>5.8863783398722551E-2</v>
      </c>
      <c r="F138">
        <f t="shared" si="4"/>
        <v>4.0985459140593546E-2</v>
      </c>
      <c r="G138">
        <f t="shared" si="4"/>
        <v>4.7274680307471097E-2</v>
      </c>
      <c r="H138">
        <f t="shared" si="4"/>
        <v>4.8451707103371149E-2</v>
      </c>
      <c r="I138">
        <f t="shared" si="4"/>
        <v>5.6322015946492054E-2</v>
      </c>
      <c r="J138">
        <f t="shared" si="4"/>
        <v>4.3829807036349436E-2</v>
      </c>
      <c r="K138">
        <f t="shared" ref="K138:N138" si="5">STDEV(K40:K122)</f>
        <v>5.4831490065569831E-2</v>
      </c>
      <c r="L138">
        <f t="shared" si="5"/>
        <v>6.1679279923364305E-2</v>
      </c>
      <c r="M138">
        <f t="shared" si="5"/>
        <v>6.5562079001634327E-2</v>
      </c>
      <c r="N138">
        <f t="shared" si="5"/>
        <v>6.4875136073254472E-2</v>
      </c>
    </row>
    <row r="139" spans="1:17" x14ac:dyDescent="0.35">
      <c r="A139" t="s">
        <v>830</v>
      </c>
      <c r="B139" s="74">
        <f t="shared" ref="B139:J139" si="6">B138*SQRT(12)</f>
        <v>0.17179004380266655</v>
      </c>
      <c r="C139" s="74">
        <f t="shared" si="6"/>
        <v>0.1836324880053567</v>
      </c>
      <c r="D139" s="74">
        <f t="shared" si="6"/>
        <v>0.16999473331231546</v>
      </c>
      <c r="E139" s="74">
        <f t="shared" si="6"/>
        <v>0.20391012714463372</v>
      </c>
      <c r="F139" s="74">
        <f t="shared" si="6"/>
        <v>0.14197779520609255</v>
      </c>
      <c r="G139" s="74">
        <f t="shared" si="6"/>
        <v>0.16376429640823162</v>
      </c>
      <c r="H139" s="74">
        <f t="shared" si="6"/>
        <v>0.1678416368329694</v>
      </c>
      <c r="I139" s="74">
        <f t="shared" si="6"/>
        <v>0.19510518640805749</v>
      </c>
      <c r="J139" s="74">
        <f t="shared" si="6"/>
        <v>0.15183090534579419</v>
      </c>
      <c r="K139" s="74">
        <f t="shared" ref="K139:N139" si="7">K138*SQRT(12)</f>
        <v>0.18994185329655019</v>
      </c>
      <c r="L139" s="74">
        <f t="shared" si="7"/>
        <v>0.21366329320305996</v>
      </c>
      <c r="M139" s="74">
        <f t="shared" si="7"/>
        <v>0.22711370376135051</v>
      </c>
      <c r="N139" s="74">
        <f t="shared" si="7"/>
        <v>0.2247340636536424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41740</v>
      </c>
      <c r="B2" s="7" cm="1">
        <f t="array" ref="B2:B122">_xll.FDS(B1,"P_PRICE_RETURNS_PR('52W',2,-10AY,0,AM)")</f>
        <v>15.565371499999999</v>
      </c>
      <c r="C2" s="7" cm="1">
        <f t="array" ref="C2:C122">_xll.FDS(C1,"P_PRICE_RETURNS_PR('52W',2,-10AY,0,AM)")</f>
        <v>0.15112162000000001</v>
      </c>
      <c r="D2" s="7" cm="1">
        <f t="array" ref="D2:D122">_xll.FDS(D1,"P_PRICE_RETURNS_PR('52W',2,-10AY,0,AM)")</f>
        <v>7.8125</v>
      </c>
      <c r="E2" s="7" cm="1">
        <f t="array" ref="E2:E122">_xll.FDS(E1,"P_PRICE_RETURNS_PR('52W',2,-10AY,0,AM)")</f>
        <v>24.152923999999999</v>
      </c>
      <c r="F2" s="7" cm="1">
        <f t="array" ref="F2:F122">_xll.FDS(F1,"P_PRICE_RETURNS_PR('52W',2,-10AY,0,AM)")</f>
        <v>-3.6507546999999998</v>
      </c>
      <c r="G2" s="7" cm="1">
        <f t="array" ref="G2:G122">_xll.FDS(G1,"P_PRICE_RETURNS_PR('52W',2,-10AY,0,AM)")</f>
        <v>16.010750000000002</v>
      </c>
      <c r="H2" s="7" cm="1">
        <f t="array" ref="H2:H122">_xll.FDS(H1,"P_PRICE_RETURNS_PR('52W',2,-10AY,0,AM)")</f>
        <v>13.930035</v>
      </c>
      <c r="I2" s="7" cm="1">
        <f t="array" ref="I2:I122">_xll.FDS(I1,"P_PRICE_RETURNS_PR('52W',2,-10AY,0,AM)")</f>
        <v>22.081935999999999</v>
      </c>
      <c r="J2" s="7" cm="1">
        <f t="array" ref="J2:J122">_xll.FDS(J1,"P_PRICE_RETURNS_PR('52W',2,-10AY,0,AM)")</f>
        <v>16.319824000000001</v>
      </c>
      <c r="K2" s="158" cm="1">
        <f t="array" ref="K2:K122">_xll.FDS(K1,"P_PRICE_RETURNS_PR('52W',2,-10AY,0,AM)")</f>
        <v>25.193607</v>
      </c>
      <c r="L2" s="158" cm="1">
        <f t="array" ref="L2:L122">_xll.FDS(L1,"P_PRICE_RETURNS_PR('52W',2,-10AY,0,AM)")</f>
        <v>22.486664000000001</v>
      </c>
      <c r="M2" s="158" cm="1">
        <f t="array" ref="M2:M122">_xll.FDS(M1,"P_PRICE_RETURNS_PR('52W',2,-10AY,0,AM)")</f>
        <v>11.659706</v>
      </c>
      <c r="N2" s="158" cm="1">
        <f t="array" ref="N2:N122">_xll.FDS(N1,"P_PRICE_RETURNS_PR('52W',2,-10AY,0,AM)")</f>
        <v>43.813279999999999</v>
      </c>
    </row>
    <row r="3" spans="1:14" x14ac:dyDescent="0.35">
      <c r="A3" s="2">
        <v>41768</v>
      </c>
      <c r="B3" s="40">
        <v>13.666117</v>
      </c>
      <c r="C3" s="40">
        <v>1.9170642</v>
      </c>
      <c r="D3" s="40">
        <v>9.9290260000000004</v>
      </c>
      <c r="E3" s="40">
        <v>21.998035000000002</v>
      </c>
      <c r="F3" s="40">
        <v>-4.1669130000000001</v>
      </c>
      <c r="G3" s="40">
        <v>15.822554</v>
      </c>
      <c r="H3" s="40">
        <v>16.006029999999999</v>
      </c>
      <c r="I3" s="40">
        <v>21.446228000000001</v>
      </c>
      <c r="J3" s="40">
        <v>17.723714999999999</v>
      </c>
      <c r="K3" s="47">
        <v>23.263300000000001</v>
      </c>
      <c r="L3" s="47">
        <v>20.803106</v>
      </c>
      <c r="M3" s="47">
        <v>13.59117</v>
      </c>
      <c r="N3" s="47">
        <v>35.626483999999998</v>
      </c>
    </row>
    <row r="4" spans="1:14" x14ac:dyDescent="0.35">
      <c r="A4" s="2">
        <v>41801</v>
      </c>
      <c r="B4" s="40">
        <v>26.935303000000001</v>
      </c>
      <c r="C4" s="40">
        <v>19.826543999999998</v>
      </c>
      <c r="D4" s="40">
        <v>16.926967999999999</v>
      </c>
      <c r="E4" s="40">
        <v>23.078977999999999</v>
      </c>
      <c r="F4" s="40">
        <v>8.6708180000000006</v>
      </c>
      <c r="G4" s="40">
        <v>20.553636999999998</v>
      </c>
      <c r="H4" s="40">
        <v>20.175457000000002</v>
      </c>
      <c r="I4" s="40">
        <v>29.817736</v>
      </c>
      <c r="J4" s="40">
        <v>21.920490000000001</v>
      </c>
      <c r="K4" s="47">
        <v>25.08558</v>
      </c>
      <c r="L4" s="47">
        <v>22.488880000000002</v>
      </c>
      <c r="M4" s="47">
        <v>17.949162999999999</v>
      </c>
      <c r="N4" s="47">
        <v>41.889119999999998</v>
      </c>
    </row>
    <row r="5" spans="1:14" x14ac:dyDescent="0.35">
      <c r="A5" s="2">
        <v>41831</v>
      </c>
      <c r="B5" s="40">
        <v>25.300968000000001</v>
      </c>
      <c r="C5" s="40">
        <v>17.637920000000001</v>
      </c>
      <c r="D5" s="40">
        <v>19.659496000000001</v>
      </c>
      <c r="E5" s="40">
        <v>21.458625999999999</v>
      </c>
      <c r="F5" s="40">
        <v>1.9407988</v>
      </c>
      <c r="G5" s="40">
        <v>15.799856</v>
      </c>
      <c r="H5" s="40">
        <v>18.136002000000001</v>
      </c>
      <c r="I5" s="40">
        <v>29.031647</v>
      </c>
      <c r="J5" s="40">
        <v>19.729614000000002</v>
      </c>
      <c r="K5" s="47">
        <v>18.745577000000001</v>
      </c>
      <c r="L5" s="47">
        <v>14.053869000000001</v>
      </c>
      <c r="M5" s="47">
        <v>11.52178</v>
      </c>
      <c r="N5" s="47">
        <v>39.275753000000002</v>
      </c>
    </row>
    <row r="6" spans="1:14" x14ac:dyDescent="0.35">
      <c r="A6" s="2">
        <v>41862</v>
      </c>
      <c r="B6" s="40">
        <v>17.058409000000001</v>
      </c>
      <c r="C6" s="40">
        <v>13.693047</v>
      </c>
      <c r="D6" s="40">
        <v>17.686546</v>
      </c>
      <c r="E6" s="40">
        <v>9.0042589999999993</v>
      </c>
      <c r="F6" s="40">
        <v>4.6975850000000001</v>
      </c>
      <c r="G6" s="40">
        <v>8.8937399999999993</v>
      </c>
      <c r="H6" s="40">
        <v>11.484265000000001</v>
      </c>
      <c r="I6" s="40">
        <v>26.719771999999999</v>
      </c>
      <c r="J6" s="40">
        <v>16.711914</v>
      </c>
      <c r="K6" s="47">
        <v>5.0943255000000001</v>
      </c>
      <c r="L6" s="47">
        <v>3.2388686999999998</v>
      </c>
      <c r="M6" s="47">
        <v>3.4761071000000001</v>
      </c>
      <c r="N6" s="47">
        <v>14.815652999999999</v>
      </c>
    </row>
    <row r="7" spans="1:14" x14ac:dyDescent="0.35">
      <c r="A7" s="2">
        <v>41893</v>
      </c>
      <c r="B7" s="40">
        <v>15.349663</v>
      </c>
      <c r="C7" s="40">
        <v>7.4894189999999998</v>
      </c>
      <c r="D7" s="40">
        <v>16.146778000000001</v>
      </c>
      <c r="E7" s="40">
        <v>9.4158650000000002</v>
      </c>
      <c r="F7" s="40">
        <v>3.26159</v>
      </c>
      <c r="G7" s="40">
        <v>11.428034</v>
      </c>
      <c r="H7" s="40">
        <v>8.2660789999999995</v>
      </c>
      <c r="I7" s="40">
        <v>30.063556999999999</v>
      </c>
      <c r="J7" s="40">
        <v>20.565425999999999</v>
      </c>
      <c r="K7" s="47">
        <v>7.0653914999999996</v>
      </c>
      <c r="L7" s="47">
        <v>6.6027284000000002</v>
      </c>
      <c r="M7" s="47">
        <v>0.27636290000000002</v>
      </c>
      <c r="N7" s="47">
        <v>19.080317000000001</v>
      </c>
    </row>
    <row r="8" spans="1:14" x14ac:dyDescent="0.35">
      <c r="A8" s="2">
        <v>41922</v>
      </c>
      <c r="B8" s="40">
        <v>2.5478719999999999</v>
      </c>
      <c r="C8" s="40">
        <v>-5.6452929999999997</v>
      </c>
      <c r="D8" s="40">
        <v>4.855728</v>
      </c>
      <c r="E8" s="40">
        <v>-6.9874229999999997</v>
      </c>
      <c r="F8" s="40">
        <v>-6.2296509999999996</v>
      </c>
      <c r="G8" s="40">
        <v>1.9650459</v>
      </c>
      <c r="H8" s="40">
        <v>0.65052509999999997</v>
      </c>
      <c r="I8" s="40">
        <v>21.908069999999999</v>
      </c>
      <c r="J8" s="40">
        <v>14.820421</v>
      </c>
      <c r="K8" s="47">
        <v>-8.1883610000000004</v>
      </c>
      <c r="L8" s="47">
        <v>-2.4849296000000001</v>
      </c>
      <c r="M8" s="47">
        <v>-6.553382</v>
      </c>
      <c r="N8" s="47">
        <v>-3.4401894</v>
      </c>
    </row>
    <row r="9" spans="1:14" x14ac:dyDescent="0.35">
      <c r="A9" s="2">
        <v>41954</v>
      </c>
      <c r="B9" s="40">
        <v>6.0767769999999999</v>
      </c>
      <c r="C9" s="40">
        <v>-1.5341043000000001</v>
      </c>
      <c r="D9" s="40">
        <v>4.6689629999999998</v>
      </c>
      <c r="E9" s="40">
        <v>-5.3343654000000003</v>
      </c>
      <c r="F9" s="40">
        <v>1.6886114999999999</v>
      </c>
      <c r="G9" s="40">
        <v>3.9951086</v>
      </c>
      <c r="H9" s="40">
        <v>0.48751830000000002</v>
      </c>
      <c r="I9" s="40">
        <v>25.940394999999999</v>
      </c>
      <c r="J9" s="40">
        <v>17.381895</v>
      </c>
      <c r="K9" s="47">
        <v>-5.2805543000000004</v>
      </c>
      <c r="L9" s="47">
        <v>-1.3528883</v>
      </c>
      <c r="M9" s="47">
        <v>0.70116520000000004</v>
      </c>
      <c r="N9" s="47">
        <v>-3.1117021999999999</v>
      </c>
    </row>
    <row r="10" spans="1:14" x14ac:dyDescent="0.35">
      <c r="A10" s="2">
        <v>41984</v>
      </c>
      <c r="B10" s="40">
        <v>12.242329</v>
      </c>
      <c r="C10" s="40">
        <v>-2.5672614999999999</v>
      </c>
      <c r="D10" s="40">
        <v>0.11059046</v>
      </c>
      <c r="E10" s="40">
        <v>-3.4851432</v>
      </c>
      <c r="F10" s="40">
        <v>-1.8240154</v>
      </c>
      <c r="G10" s="40">
        <v>4.6136020000000002</v>
      </c>
      <c r="H10" s="40">
        <v>-2.8967917000000001</v>
      </c>
      <c r="I10" s="40">
        <v>23.655678000000002</v>
      </c>
      <c r="J10" s="40">
        <v>16.470945</v>
      </c>
      <c r="K10" s="47">
        <v>-4.8055409999999998</v>
      </c>
      <c r="L10" s="47">
        <v>1.0178924</v>
      </c>
      <c r="M10" s="47">
        <v>1.7089844000000001</v>
      </c>
      <c r="N10" s="47">
        <v>-2.0462334000000002</v>
      </c>
    </row>
    <row r="11" spans="1:14" x14ac:dyDescent="0.35">
      <c r="A11" s="2">
        <v>42013</v>
      </c>
      <c r="B11" s="40">
        <v>10.722600999999999</v>
      </c>
      <c r="C11" s="40">
        <v>-2.1942973000000001</v>
      </c>
      <c r="D11" s="40">
        <v>-1.0877728</v>
      </c>
      <c r="E11" s="40">
        <v>-11.25325</v>
      </c>
      <c r="F11" s="40">
        <v>-6.0656489999999996</v>
      </c>
      <c r="G11" s="40">
        <v>-1.1441171000000001</v>
      </c>
      <c r="H11" s="40">
        <v>-8.5992990000000002</v>
      </c>
      <c r="I11" s="40">
        <v>19.731676</v>
      </c>
      <c r="J11" s="40">
        <v>13.394690000000001</v>
      </c>
      <c r="K11" s="47">
        <v>-11.251509</v>
      </c>
      <c r="L11" s="47">
        <v>-8.2076370000000001</v>
      </c>
      <c r="M11" s="47">
        <v>-8.9448450000000008</v>
      </c>
      <c r="N11" s="47">
        <v>-16.682983</v>
      </c>
    </row>
    <row r="12" spans="1:14" x14ac:dyDescent="0.35">
      <c r="A12" s="2">
        <v>42046</v>
      </c>
      <c r="B12" s="40">
        <v>7.0911765000000004</v>
      </c>
      <c r="C12" s="40">
        <v>-2.7247965000000001</v>
      </c>
      <c r="D12" s="40">
        <v>-1.7581522000000001</v>
      </c>
      <c r="E12" s="40">
        <v>-6.6131650000000004</v>
      </c>
      <c r="F12" s="40">
        <v>2.6798844000000002</v>
      </c>
      <c r="G12" s="40">
        <v>0.2355814</v>
      </c>
      <c r="H12" s="40">
        <v>-3.4538388000000002</v>
      </c>
      <c r="I12" s="40">
        <v>19.801307999999999</v>
      </c>
      <c r="J12" s="40">
        <v>15.93051</v>
      </c>
      <c r="K12" s="47">
        <v>-6.459981</v>
      </c>
      <c r="L12" s="47">
        <v>-1.5715300999999999</v>
      </c>
      <c r="M12" s="47">
        <v>-6.0142936999999996</v>
      </c>
      <c r="N12" s="47">
        <v>-12.481033</v>
      </c>
    </row>
    <row r="13" spans="1:14" x14ac:dyDescent="0.35">
      <c r="A13" s="2">
        <v>42074</v>
      </c>
      <c r="B13" s="40">
        <v>-1.1847258000000001</v>
      </c>
      <c r="C13" s="40">
        <v>-5.5415989999999997</v>
      </c>
      <c r="D13" s="40">
        <v>-6.9610595999999996</v>
      </c>
      <c r="E13" s="40">
        <v>-3.6300241999999998</v>
      </c>
      <c r="F13" s="40">
        <v>7.7226160000000004</v>
      </c>
      <c r="G13" s="40">
        <v>-3.9962113000000001</v>
      </c>
      <c r="H13" s="40">
        <v>-6.9343925000000004</v>
      </c>
      <c r="I13" s="40">
        <v>17.801071</v>
      </c>
      <c r="J13" s="40">
        <v>11.356555999999999</v>
      </c>
      <c r="K13" s="47">
        <v>-9.8079859999999996</v>
      </c>
      <c r="L13" s="47">
        <v>-0.44930576999999999</v>
      </c>
      <c r="M13" s="47">
        <v>-6.5050660000000002</v>
      </c>
      <c r="N13" s="47">
        <v>-14.133138000000001</v>
      </c>
    </row>
    <row r="14" spans="1:14" x14ac:dyDescent="0.35">
      <c r="A14" s="2">
        <v>42104</v>
      </c>
      <c r="B14" s="40">
        <v>0.3360629</v>
      </c>
      <c r="C14" s="40">
        <v>-6.5098466999999998</v>
      </c>
      <c r="D14" s="40">
        <v>-3.0166029999999999</v>
      </c>
      <c r="E14" s="40">
        <v>1.0252237</v>
      </c>
      <c r="F14" s="40">
        <v>20.896996000000001</v>
      </c>
      <c r="G14" s="40">
        <v>2.5365232999999998</v>
      </c>
      <c r="H14" s="40">
        <v>-3.3829690000000001</v>
      </c>
      <c r="I14" s="40">
        <v>28.021502999999999</v>
      </c>
      <c r="J14" s="40">
        <v>16.917372</v>
      </c>
      <c r="K14" s="47">
        <v>-5.6418059999999999</v>
      </c>
      <c r="L14" s="47">
        <v>3.0173182000000001</v>
      </c>
      <c r="M14" s="47">
        <v>-2.75082</v>
      </c>
      <c r="N14" s="47">
        <v>-11.398989</v>
      </c>
    </row>
    <row r="15" spans="1:14" x14ac:dyDescent="0.35">
      <c r="A15" s="2">
        <v>42135</v>
      </c>
      <c r="B15" s="40">
        <v>-3.7117898</v>
      </c>
      <c r="C15" s="40">
        <v>-11.070399999999999</v>
      </c>
      <c r="D15" s="40">
        <v>-3.0089676000000001</v>
      </c>
      <c r="E15" s="40">
        <v>-2.2809088000000002</v>
      </c>
      <c r="F15" s="40">
        <v>17.550325000000001</v>
      </c>
      <c r="G15" s="40">
        <v>2.8552531999999999</v>
      </c>
      <c r="H15" s="40">
        <v>-2.4161457999999998</v>
      </c>
      <c r="I15" s="40">
        <v>26.119888</v>
      </c>
      <c r="J15" s="40">
        <v>14.234961</v>
      </c>
      <c r="K15" s="47">
        <v>-6.3789899999999999</v>
      </c>
      <c r="L15" s="47">
        <v>5.6548834000000001</v>
      </c>
      <c r="M15" s="47">
        <v>-2.8966962999999999</v>
      </c>
      <c r="N15" s="47">
        <v>-9.3762869999999996</v>
      </c>
    </row>
    <row r="16" spans="1:14" x14ac:dyDescent="0.35">
      <c r="A16" s="2">
        <v>42166</v>
      </c>
      <c r="B16" s="40">
        <v>-5.8417440000000003</v>
      </c>
      <c r="C16" s="40">
        <v>-12.748587000000001</v>
      </c>
      <c r="D16" s="40">
        <v>-8.8553960000000007</v>
      </c>
      <c r="E16" s="40">
        <v>-5.5277050000000001</v>
      </c>
      <c r="F16" s="40">
        <v>12.501144</v>
      </c>
      <c r="G16" s="40">
        <v>2.2981524000000002</v>
      </c>
      <c r="H16" s="40">
        <v>-5.4445266999999999</v>
      </c>
      <c r="I16" s="40">
        <v>19.353425999999999</v>
      </c>
      <c r="J16" s="40">
        <v>10.692107999999999</v>
      </c>
      <c r="K16" s="47">
        <v>-6.6207529999999997</v>
      </c>
      <c r="L16" s="47">
        <v>4.6117543999999997</v>
      </c>
      <c r="M16" s="47">
        <v>-2.3193657000000001</v>
      </c>
      <c r="N16" s="47">
        <v>-10.317361999999999</v>
      </c>
    </row>
    <row r="17" spans="1:14" x14ac:dyDescent="0.35">
      <c r="A17" s="2">
        <v>42195</v>
      </c>
      <c r="B17" s="40">
        <v>-13.872491999999999</v>
      </c>
      <c r="C17" s="40">
        <v>-16.6708</v>
      </c>
      <c r="D17" s="40">
        <v>-17.612808000000001</v>
      </c>
      <c r="E17" s="40">
        <v>-3.9497553999999999</v>
      </c>
      <c r="F17" s="40">
        <v>7.3720574000000001</v>
      </c>
      <c r="G17" s="40">
        <v>2.6904224999999999</v>
      </c>
      <c r="H17" s="40">
        <v>-7.6935289999999998</v>
      </c>
      <c r="I17" s="40">
        <v>14.942705</v>
      </c>
      <c r="J17" s="40">
        <v>7.7479480000000001</v>
      </c>
      <c r="K17" s="47">
        <v>-4.0191889999999999</v>
      </c>
      <c r="L17" s="47">
        <v>7.196021</v>
      </c>
      <c r="M17" s="47">
        <v>-1.910758</v>
      </c>
      <c r="N17" s="47">
        <v>-6.4572929999999999</v>
      </c>
    </row>
    <row r="18" spans="1:14" x14ac:dyDescent="0.35">
      <c r="A18" s="2">
        <v>42227</v>
      </c>
      <c r="B18" s="40">
        <v>-10.203433</v>
      </c>
      <c r="C18" s="40">
        <v>-18.959002999999999</v>
      </c>
      <c r="D18" s="40">
        <v>-18.808758000000001</v>
      </c>
      <c r="E18" s="40">
        <v>1.4860272000000001</v>
      </c>
      <c r="F18" s="40">
        <v>10.053825</v>
      </c>
      <c r="G18" s="40">
        <v>4.518211</v>
      </c>
      <c r="H18" s="40">
        <v>-4.5921802999999999</v>
      </c>
      <c r="I18" s="40">
        <v>16.615845</v>
      </c>
      <c r="J18" s="40">
        <v>9.7890379999999997</v>
      </c>
      <c r="K18" s="47">
        <v>3.4743309999999998</v>
      </c>
      <c r="L18" s="47">
        <v>12.946296</v>
      </c>
      <c r="M18" s="47">
        <v>-1.5575528000000001</v>
      </c>
      <c r="N18" s="47">
        <v>4.7993540000000001</v>
      </c>
    </row>
    <row r="19" spans="1:14" x14ac:dyDescent="0.35">
      <c r="A19" s="2">
        <v>42258</v>
      </c>
      <c r="B19" s="40">
        <v>-16.481596</v>
      </c>
      <c r="C19" s="40">
        <v>-25.985997999999999</v>
      </c>
      <c r="D19" s="40">
        <v>-25.861834999999999</v>
      </c>
      <c r="E19" s="40">
        <v>-7.2968063000000001</v>
      </c>
      <c r="F19" s="40">
        <v>0.32684803000000001</v>
      </c>
      <c r="G19" s="40">
        <v>-2.5500536</v>
      </c>
      <c r="H19" s="40">
        <v>-12.090075000000001</v>
      </c>
      <c r="I19" s="40">
        <v>6.7131400000000001</v>
      </c>
      <c r="J19" s="40">
        <v>0.15053749</v>
      </c>
      <c r="K19" s="47">
        <v>-6.9182040000000002</v>
      </c>
      <c r="L19" s="47">
        <v>-0.25199652</v>
      </c>
      <c r="M19" s="47">
        <v>-2.4409532999999999</v>
      </c>
      <c r="N19" s="47">
        <v>-6.0542819999999997</v>
      </c>
    </row>
    <row r="20" spans="1:14" x14ac:dyDescent="0.35">
      <c r="A20" s="2">
        <v>42286</v>
      </c>
      <c r="B20" s="40">
        <v>-7.4837565000000001</v>
      </c>
      <c r="C20" s="40">
        <v>-12.988638999999999</v>
      </c>
      <c r="D20" s="40">
        <v>-14.33844</v>
      </c>
      <c r="E20" s="40">
        <v>1.7742157000000001</v>
      </c>
      <c r="F20" s="40">
        <v>9.4151380000000007</v>
      </c>
      <c r="G20" s="40">
        <v>5.1244617000000003</v>
      </c>
      <c r="H20" s="40">
        <v>-1.8617809000000001</v>
      </c>
      <c r="I20" s="40">
        <v>11.173237</v>
      </c>
      <c r="J20" s="40">
        <v>6.5714600000000001</v>
      </c>
      <c r="K20" s="47">
        <v>6.0603740000000004</v>
      </c>
      <c r="L20" s="47">
        <v>7.2202563</v>
      </c>
      <c r="M20" s="47">
        <v>4.783976</v>
      </c>
      <c r="N20" s="47">
        <v>7.5536130000000004</v>
      </c>
    </row>
    <row r="21" spans="1:14" x14ac:dyDescent="0.35">
      <c r="A21" s="2">
        <v>42319</v>
      </c>
      <c r="B21" s="40">
        <v>-8.4288600000000002</v>
      </c>
      <c r="C21" s="40">
        <v>-22.606373000000001</v>
      </c>
      <c r="D21" s="40">
        <v>-20.987487999999999</v>
      </c>
      <c r="E21" s="40">
        <v>-0.81074239999999997</v>
      </c>
      <c r="F21" s="40">
        <v>7.9908250000000001</v>
      </c>
      <c r="G21" s="40">
        <v>-1.5835702</v>
      </c>
      <c r="H21" s="40">
        <v>-7.3313417000000003</v>
      </c>
      <c r="I21" s="40">
        <v>11.814522999999999</v>
      </c>
      <c r="J21" s="40">
        <v>3.8058399999999999</v>
      </c>
      <c r="K21" s="47">
        <v>2.6153088000000002</v>
      </c>
      <c r="L21" s="47">
        <v>5.5393577000000001</v>
      </c>
      <c r="M21" s="47">
        <v>-5.7008210000000004</v>
      </c>
      <c r="N21" s="47">
        <v>2.1139502999999999</v>
      </c>
    </row>
    <row r="22" spans="1:14" x14ac:dyDescent="0.35">
      <c r="A22" s="2">
        <v>42349</v>
      </c>
      <c r="B22" s="40">
        <v>-5.984229</v>
      </c>
      <c r="C22" s="40">
        <v>-15.239411</v>
      </c>
      <c r="D22" s="40">
        <v>-20.903772</v>
      </c>
      <c r="E22" s="40">
        <v>-7.1267659999999999</v>
      </c>
      <c r="F22" s="40">
        <v>5.8554890000000004</v>
      </c>
      <c r="G22" s="40">
        <v>-3.9695619999999998</v>
      </c>
      <c r="H22" s="40">
        <v>-8.3966255000000007</v>
      </c>
      <c r="I22" s="40">
        <v>7.8887105000000002</v>
      </c>
      <c r="J22" s="40">
        <v>0.87023972999999999</v>
      </c>
      <c r="K22" s="47">
        <v>-1.6541003999999999</v>
      </c>
      <c r="L22" s="47">
        <v>-1.7267227000000001</v>
      </c>
      <c r="M22" s="47">
        <v>-10.114515000000001</v>
      </c>
      <c r="N22" s="47">
        <v>-7.8159569999999998E-2</v>
      </c>
    </row>
    <row r="23" spans="1:14" x14ac:dyDescent="0.35">
      <c r="A23" s="2">
        <v>42380</v>
      </c>
      <c r="B23" s="40">
        <v>-9.3179649999999992</v>
      </c>
      <c r="C23" s="40">
        <v>-20.358741999999999</v>
      </c>
      <c r="D23" s="40">
        <v>-26.906717</v>
      </c>
      <c r="E23" s="40">
        <v>-6.8977890000000004</v>
      </c>
      <c r="F23" s="40">
        <v>4.7835590000000003</v>
      </c>
      <c r="G23" s="40">
        <v>-5.2607536000000001</v>
      </c>
      <c r="H23" s="40">
        <v>-11.082046999999999</v>
      </c>
      <c r="I23" s="40">
        <v>2.7056098</v>
      </c>
      <c r="J23" s="40">
        <v>-3.9859772000000002</v>
      </c>
      <c r="K23" s="47">
        <v>-2.6032150000000001</v>
      </c>
      <c r="L23" s="47">
        <v>-0.40807127999999998</v>
      </c>
      <c r="M23" s="47">
        <v>-7.9544066999999998</v>
      </c>
      <c r="N23" s="47">
        <v>2.1486402</v>
      </c>
    </row>
    <row r="24" spans="1:14" x14ac:dyDescent="0.35">
      <c r="A24" s="2">
        <v>42411</v>
      </c>
      <c r="B24" s="40">
        <v>-7.3027850000000001</v>
      </c>
      <c r="C24" s="40">
        <v>-22.143162</v>
      </c>
      <c r="D24" s="40">
        <v>-26.513784000000001</v>
      </c>
      <c r="E24" s="40">
        <v>-17.92981</v>
      </c>
      <c r="F24" s="40">
        <v>-10.78074</v>
      </c>
      <c r="G24" s="40">
        <v>-12.768625999999999</v>
      </c>
      <c r="H24" s="40">
        <v>-20.240615999999999</v>
      </c>
      <c r="I24" s="40">
        <v>-6.9126070000000004</v>
      </c>
      <c r="J24" s="40">
        <v>-9.7926249999999992</v>
      </c>
      <c r="K24" s="47">
        <v>-13.221961</v>
      </c>
      <c r="L24" s="47">
        <v>-9.9009990000000005</v>
      </c>
      <c r="M24" s="47">
        <v>-17.532706999999998</v>
      </c>
      <c r="N24" s="47">
        <v>-20.760065000000001</v>
      </c>
    </row>
    <row r="25" spans="1:14" x14ac:dyDescent="0.35">
      <c r="A25" s="2">
        <v>42440</v>
      </c>
      <c r="B25" s="40">
        <v>4.0916442999999996</v>
      </c>
      <c r="C25" s="40">
        <v>-7.325971</v>
      </c>
      <c r="D25" s="40">
        <v>-10.187303999999999</v>
      </c>
      <c r="E25" s="40">
        <v>-11.941485999999999</v>
      </c>
      <c r="F25" s="40">
        <v>-4.3235006</v>
      </c>
      <c r="G25" s="40">
        <v>-4.8040390000000004</v>
      </c>
      <c r="H25" s="40">
        <v>-9.3717520000000007</v>
      </c>
      <c r="I25" s="40">
        <v>2.3485659999999999</v>
      </c>
      <c r="J25" s="40">
        <v>1.2128592</v>
      </c>
      <c r="K25" s="47">
        <v>-2.1259130000000002</v>
      </c>
      <c r="L25" s="47">
        <v>-0.73156949999999998</v>
      </c>
      <c r="M25" s="47">
        <v>-7.5143694999999999</v>
      </c>
      <c r="N25" s="47">
        <v>-9.8969819999999995</v>
      </c>
    </row>
    <row r="26" spans="1:14" x14ac:dyDescent="0.35">
      <c r="A26" s="2">
        <v>42471</v>
      </c>
      <c r="B26" s="40">
        <v>4.6170949999999999</v>
      </c>
      <c r="C26" s="40">
        <v>-16.801292</v>
      </c>
      <c r="D26" s="40">
        <v>-14.239872</v>
      </c>
      <c r="E26" s="40">
        <v>-16.380441999999999</v>
      </c>
      <c r="F26" s="40">
        <v>-11.907297</v>
      </c>
      <c r="G26" s="40">
        <v>-11.090814999999999</v>
      </c>
      <c r="H26" s="40">
        <v>-12.979728</v>
      </c>
      <c r="I26" s="40">
        <v>1.8876432999999999</v>
      </c>
      <c r="J26" s="40">
        <v>-0.77402590000000004</v>
      </c>
      <c r="K26" s="47">
        <v>-9.3467470000000006</v>
      </c>
      <c r="L26" s="47">
        <v>-4.8483252999999999</v>
      </c>
      <c r="M26" s="47">
        <v>-8.4811689999999995</v>
      </c>
      <c r="N26" s="47">
        <v>-19.440359999999998</v>
      </c>
    </row>
    <row r="27" spans="1:14" x14ac:dyDescent="0.35">
      <c r="A27" s="2">
        <v>42501</v>
      </c>
      <c r="B27" s="40">
        <v>11.699152</v>
      </c>
      <c r="C27" s="40">
        <v>-7.7598929999999999</v>
      </c>
      <c r="D27" s="40">
        <v>-13.858307</v>
      </c>
      <c r="E27" s="40">
        <v>-12.333256</v>
      </c>
      <c r="F27" s="40">
        <v>-9.1771239999999992</v>
      </c>
      <c r="G27" s="40">
        <v>-11.854929</v>
      </c>
      <c r="H27" s="40">
        <v>-16.873407</v>
      </c>
      <c r="I27" s="40">
        <v>-0.6931484</v>
      </c>
      <c r="J27" s="40">
        <v>0.16263722999999999</v>
      </c>
      <c r="K27" s="47">
        <v>-8.5396180000000008</v>
      </c>
      <c r="L27" s="47">
        <v>-5.9212740000000004</v>
      </c>
      <c r="M27" s="47">
        <v>-11.447042</v>
      </c>
      <c r="N27" s="47">
        <v>-20.627457</v>
      </c>
    </row>
    <row r="28" spans="1:14" x14ac:dyDescent="0.35">
      <c r="A28" s="2">
        <v>42531</v>
      </c>
      <c r="B28" s="40">
        <v>16.518937999999999</v>
      </c>
      <c r="C28" s="40">
        <v>-6.8883896</v>
      </c>
      <c r="D28" s="40">
        <v>-8.3935680000000001</v>
      </c>
      <c r="E28" s="40">
        <v>-13.442259999999999</v>
      </c>
      <c r="F28" s="40">
        <v>-9.0669520000000006</v>
      </c>
      <c r="G28" s="40">
        <v>-11.972206999999999</v>
      </c>
      <c r="H28" s="40">
        <v>-15.454971</v>
      </c>
      <c r="I28" s="40">
        <v>0.58237313999999996</v>
      </c>
      <c r="J28" s="40">
        <v>1.7276286999999999</v>
      </c>
      <c r="K28" s="47">
        <v>-10.406274</v>
      </c>
      <c r="L28" s="47">
        <v>-7.8987119999999997</v>
      </c>
      <c r="M28" s="47">
        <v>-14.314735000000001</v>
      </c>
      <c r="N28" s="47">
        <v>-24.549050000000001</v>
      </c>
    </row>
    <row r="29" spans="1:14" x14ac:dyDescent="0.35">
      <c r="A29" s="2">
        <v>42562</v>
      </c>
      <c r="B29" s="40">
        <v>33.803986000000002</v>
      </c>
      <c r="C29" s="40">
        <v>0.27142762999999998</v>
      </c>
      <c r="D29" s="40">
        <v>-3.2511353000000001</v>
      </c>
      <c r="E29" s="40">
        <v>-14.801234000000001</v>
      </c>
      <c r="F29" s="40">
        <v>-4.9685360000000003</v>
      </c>
      <c r="G29" s="40">
        <v>-10.623556000000001</v>
      </c>
      <c r="H29" s="40">
        <v>-13.869821999999999</v>
      </c>
      <c r="I29" s="40">
        <v>4.2096853000000003</v>
      </c>
      <c r="J29" s="40">
        <v>5.103612</v>
      </c>
      <c r="K29" s="47">
        <v>-11.550312999999999</v>
      </c>
      <c r="L29" s="47">
        <v>-10.363555</v>
      </c>
      <c r="M29" s="47">
        <v>-12.523502000000001</v>
      </c>
      <c r="N29" s="47">
        <v>-28.259998</v>
      </c>
    </row>
    <row r="30" spans="1:14" x14ac:dyDescent="0.35">
      <c r="A30" s="2">
        <v>42593</v>
      </c>
      <c r="B30" s="40">
        <v>41.821109999999997</v>
      </c>
      <c r="C30" s="40">
        <v>10.314750999999999</v>
      </c>
      <c r="D30" s="40">
        <v>4.0161490000000004</v>
      </c>
      <c r="E30" s="40">
        <v>-4.5861960000000002</v>
      </c>
      <c r="F30" s="40">
        <v>-2.4865805999999999</v>
      </c>
      <c r="G30" s="40">
        <v>-5.4597797000000003</v>
      </c>
      <c r="H30" s="40">
        <v>-10.65948</v>
      </c>
      <c r="I30" s="40">
        <v>7.5373172999999998</v>
      </c>
      <c r="J30" s="40">
        <v>7.0752144000000001</v>
      </c>
      <c r="K30" s="47">
        <v>-8.0401600000000002</v>
      </c>
      <c r="L30" s="47">
        <v>-5.1962080000000004</v>
      </c>
      <c r="M30" s="47">
        <v>-5.5117187999999997</v>
      </c>
      <c r="N30" s="47">
        <v>-26.33304</v>
      </c>
    </row>
    <row r="31" spans="1:14" x14ac:dyDescent="0.35">
      <c r="A31" s="2">
        <v>42622</v>
      </c>
      <c r="B31" s="40">
        <v>53.034652999999999</v>
      </c>
      <c r="C31" s="40">
        <v>12.747455</v>
      </c>
      <c r="D31" s="40">
        <v>9.9250080000000001</v>
      </c>
      <c r="E31" s="40">
        <v>2.2338866999999998</v>
      </c>
      <c r="F31" s="40">
        <v>6.6295979999999997</v>
      </c>
      <c r="G31" s="40">
        <v>-0.85659622999999996</v>
      </c>
      <c r="H31" s="40">
        <v>-1.9370139</v>
      </c>
      <c r="I31" s="40">
        <v>11.274349000000001</v>
      </c>
      <c r="J31" s="40">
        <v>11.88786</v>
      </c>
      <c r="K31" s="47">
        <v>0.49573182999999998</v>
      </c>
      <c r="L31" s="47">
        <v>3.6751627999999998</v>
      </c>
      <c r="M31" s="47">
        <v>-1.2248933</v>
      </c>
      <c r="N31" s="47">
        <v>-19.545109</v>
      </c>
    </row>
    <row r="32" spans="1:14" x14ac:dyDescent="0.35">
      <c r="A32" s="2">
        <v>42654</v>
      </c>
      <c r="B32" s="40">
        <v>32.818570000000001</v>
      </c>
      <c r="C32" s="40">
        <v>9.2926979999999997</v>
      </c>
      <c r="D32" s="40">
        <v>3.3929347999999999</v>
      </c>
      <c r="E32" s="40">
        <v>1.2987852</v>
      </c>
      <c r="F32" s="40">
        <v>3.8766623</v>
      </c>
      <c r="G32" s="40">
        <v>-3.7441970000000002</v>
      </c>
      <c r="H32" s="40">
        <v>-9.6354959999999998</v>
      </c>
      <c r="I32" s="40">
        <v>11.565315</v>
      </c>
      <c r="J32" s="40">
        <v>8.306146</v>
      </c>
      <c r="K32" s="47">
        <v>-4.6572865999999999</v>
      </c>
      <c r="L32" s="47">
        <v>2.3200512</v>
      </c>
      <c r="M32" s="47">
        <v>-4.4132949999999997</v>
      </c>
      <c r="N32" s="47">
        <v>-26.236898</v>
      </c>
    </row>
    <row r="33" spans="1:14" x14ac:dyDescent="0.35">
      <c r="A33" s="2">
        <v>42685</v>
      </c>
      <c r="B33" s="40">
        <v>20.130656999999999</v>
      </c>
      <c r="C33" s="40">
        <v>16.130244999999999</v>
      </c>
      <c r="D33" s="40">
        <v>9.3818070000000002</v>
      </c>
      <c r="E33" s="40">
        <v>-1.4367700000000001</v>
      </c>
      <c r="F33" s="40">
        <v>0.27135609999999999</v>
      </c>
      <c r="G33" s="40">
        <v>-4.0460880000000001</v>
      </c>
      <c r="H33" s="40">
        <v>-8.0157389999999999</v>
      </c>
      <c r="I33" s="40">
        <v>3.5098672</v>
      </c>
      <c r="J33" s="40">
        <v>6.4347386000000002</v>
      </c>
      <c r="K33" s="47">
        <v>-4.5268774000000001</v>
      </c>
      <c r="L33" s="47">
        <v>-2.7945817000000002</v>
      </c>
      <c r="M33" s="47">
        <v>-4.1375694000000003</v>
      </c>
      <c r="N33" s="47">
        <v>-20.764832999999999</v>
      </c>
    </row>
    <row r="34" spans="1:14" x14ac:dyDescent="0.35">
      <c r="A34" s="2">
        <v>42713</v>
      </c>
      <c r="B34" s="40">
        <v>20.644928</v>
      </c>
      <c r="C34" s="40">
        <v>18.542384999999999</v>
      </c>
      <c r="D34" s="40">
        <v>24.650023999999998</v>
      </c>
      <c r="E34" s="40">
        <v>1.2271881</v>
      </c>
      <c r="F34" s="40">
        <v>7.5945615999999996</v>
      </c>
      <c r="G34" s="40">
        <v>-3.3436477</v>
      </c>
      <c r="H34" s="40">
        <v>-1.4296293</v>
      </c>
      <c r="I34" s="40">
        <v>7.0537330000000003</v>
      </c>
      <c r="J34" s="40">
        <v>12.698973000000001</v>
      </c>
      <c r="K34" s="47">
        <v>2.5731921</v>
      </c>
      <c r="L34" s="47">
        <v>1.5625954</v>
      </c>
      <c r="M34" s="47">
        <v>2.0305753000000002</v>
      </c>
      <c r="N34" s="47">
        <v>-13.947892</v>
      </c>
    </row>
    <row r="35" spans="1:14" x14ac:dyDescent="0.35">
      <c r="A35" s="2">
        <v>42746</v>
      </c>
      <c r="B35" s="40">
        <v>24.906254000000001</v>
      </c>
      <c r="C35" s="40">
        <v>31.11036</v>
      </c>
      <c r="D35" s="40">
        <v>38.908732999999998</v>
      </c>
      <c r="E35" s="40">
        <v>13.347912000000001</v>
      </c>
      <c r="F35" s="40">
        <v>12.089157</v>
      </c>
      <c r="G35" s="40">
        <v>6.3460229999999997</v>
      </c>
      <c r="H35" s="40">
        <v>7.611561</v>
      </c>
      <c r="I35" s="40">
        <v>19.144355999999998</v>
      </c>
      <c r="J35" s="40">
        <v>20.755745000000001</v>
      </c>
      <c r="K35" s="47">
        <v>13.214551999999999</v>
      </c>
      <c r="L35" s="47">
        <v>11.365211499999999</v>
      </c>
      <c r="M35" s="47">
        <v>10.337281000000001</v>
      </c>
      <c r="N35" s="47">
        <v>-0.83925724000000002</v>
      </c>
    </row>
    <row r="36" spans="1:14" x14ac:dyDescent="0.35">
      <c r="A36" s="2">
        <v>42776</v>
      </c>
      <c r="B36" s="40">
        <v>28.007317</v>
      </c>
      <c r="C36" s="40">
        <v>35.591949999999997</v>
      </c>
      <c r="D36" s="40">
        <v>40.505028000000003</v>
      </c>
      <c r="E36" s="40">
        <v>21.455013000000001</v>
      </c>
      <c r="F36" s="40">
        <v>24.394835</v>
      </c>
      <c r="G36" s="40">
        <v>12.506150999999999</v>
      </c>
      <c r="H36" s="40">
        <v>14.896058999999999</v>
      </c>
      <c r="I36" s="40">
        <v>33.212325999999997</v>
      </c>
      <c r="J36" s="40">
        <v>27.645420000000001</v>
      </c>
      <c r="K36" s="47">
        <v>16.234981999999999</v>
      </c>
      <c r="L36" s="47">
        <v>17.984486</v>
      </c>
      <c r="M36" s="47">
        <v>20.621013999999999</v>
      </c>
      <c r="N36" s="47">
        <v>10.771108</v>
      </c>
    </row>
    <row r="37" spans="1:14" x14ac:dyDescent="0.35">
      <c r="A37" s="2">
        <v>42804</v>
      </c>
      <c r="B37" s="40">
        <v>14.201117</v>
      </c>
      <c r="C37" s="40">
        <v>19.151973999999999</v>
      </c>
      <c r="D37" s="40">
        <v>17.835342000000001</v>
      </c>
      <c r="E37" s="40">
        <v>18.521559</v>
      </c>
      <c r="F37" s="40">
        <v>16.550122999999999</v>
      </c>
      <c r="G37" s="40">
        <v>10.660601</v>
      </c>
      <c r="H37" s="40">
        <v>6.9957136999999996</v>
      </c>
      <c r="I37" s="40">
        <v>26.94229</v>
      </c>
      <c r="J37" s="40">
        <v>21.680676999999999</v>
      </c>
      <c r="K37" s="47">
        <v>12.591445999999999</v>
      </c>
      <c r="L37" s="47">
        <v>15.488922000000001</v>
      </c>
      <c r="M37" s="47">
        <v>12.297869</v>
      </c>
      <c r="N37" s="47">
        <v>6.2080979999999997</v>
      </c>
    </row>
    <row r="38" spans="1:14" x14ac:dyDescent="0.35">
      <c r="A38" s="2">
        <v>42836</v>
      </c>
      <c r="B38" s="40">
        <v>8.6649530000000006</v>
      </c>
      <c r="C38" s="40">
        <v>26.175367000000001</v>
      </c>
      <c r="D38" s="40">
        <v>16.178702999999999</v>
      </c>
      <c r="E38" s="40">
        <v>15.645671</v>
      </c>
      <c r="F38" s="40">
        <v>15.945255</v>
      </c>
      <c r="G38" s="40">
        <v>10.186553</v>
      </c>
      <c r="H38" s="40">
        <v>8.9444520000000001</v>
      </c>
      <c r="I38" s="40">
        <v>22.285544999999999</v>
      </c>
      <c r="J38" s="40">
        <v>17.60087</v>
      </c>
      <c r="K38" s="47">
        <v>14.082241</v>
      </c>
      <c r="L38" s="47">
        <v>13.226879</v>
      </c>
      <c r="M38" s="47">
        <v>9.2334630000000004</v>
      </c>
      <c r="N38" s="47">
        <v>9.9423999999999992</v>
      </c>
    </row>
    <row r="39" spans="1:14" x14ac:dyDescent="0.35">
      <c r="A39" s="2">
        <v>42866</v>
      </c>
      <c r="B39" s="40">
        <v>8.9689139999999998</v>
      </c>
      <c r="C39" s="40">
        <v>15.318453</v>
      </c>
      <c r="D39" s="40">
        <v>9.3714709999999997</v>
      </c>
      <c r="E39" s="40">
        <v>19.89931</v>
      </c>
      <c r="F39" s="40">
        <v>14.810551</v>
      </c>
      <c r="G39" s="40">
        <v>15.379858</v>
      </c>
      <c r="H39" s="40">
        <v>11.339855</v>
      </c>
      <c r="I39" s="40">
        <v>31.358087999999999</v>
      </c>
      <c r="J39" s="40">
        <v>18.323920999999999</v>
      </c>
      <c r="K39" s="47">
        <v>21.353043</v>
      </c>
      <c r="L39" s="47">
        <v>20.752715999999999</v>
      </c>
      <c r="M39" s="47">
        <v>19.945812</v>
      </c>
      <c r="N39" s="47">
        <v>19.372225</v>
      </c>
    </row>
    <row r="40" spans="1:14" x14ac:dyDescent="0.35">
      <c r="A40" s="2">
        <v>42895</v>
      </c>
      <c r="B40" s="40">
        <v>7.8054309999999996</v>
      </c>
      <c r="C40" s="40">
        <v>12.69828</v>
      </c>
      <c r="D40" s="40">
        <v>5.9164165999999998</v>
      </c>
      <c r="E40" s="40">
        <v>23.226082000000002</v>
      </c>
      <c r="F40" s="40">
        <v>16.270340000000001</v>
      </c>
      <c r="G40" s="40">
        <v>14.132822000000001</v>
      </c>
      <c r="H40" s="40">
        <v>9.4907760000000003</v>
      </c>
      <c r="I40" s="40">
        <v>28.341818</v>
      </c>
      <c r="J40" s="40">
        <v>17.150317999999999</v>
      </c>
      <c r="K40" s="47">
        <v>22.353660000000001</v>
      </c>
      <c r="L40" s="47">
        <v>21.517765000000001</v>
      </c>
      <c r="M40" s="47">
        <v>20.242892999999999</v>
      </c>
      <c r="N40" s="47">
        <v>20.288288000000001</v>
      </c>
    </row>
    <row r="41" spans="1:14" x14ac:dyDescent="0.35">
      <c r="A41" s="2">
        <v>42927</v>
      </c>
      <c r="B41" s="40">
        <v>7.3199987000000002</v>
      </c>
      <c r="C41" s="40">
        <v>13.732791000000001</v>
      </c>
      <c r="D41" s="40">
        <v>10.9995365</v>
      </c>
      <c r="E41" s="40">
        <v>30.077589</v>
      </c>
      <c r="F41" s="40">
        <v>14.284181999999999</v>
      </c>
      <c r="G41" s="40">
        <v>17.393982000000001</v>
      </c>
      <c r="H41" s="40">
        <v>12.809229</v>
      </c>
      <c r="I41" s="40">
        <v>26.644648</v>
      </c>
      <c r="J41" s="40">
        <v>15.802263999999999</v>
      </c>
      <c r="K41" s="47">
        <v>30.126667000000001</v>
      </c>
      <c r="L41" s="47">
        <v>30.085097999999999</v>
      </c>
      <c r="M41" s="47">
        <v>29.573094999999999</v>
      </c>
      <c r="N41" s="47">
        <v>37.721026999999999</v>
      </c>
    </row>
    <row r="42" spans="1:14" x14ac:dyDescent="0.35">
      <c r="A42" s="2">
        <v>42958</v>
      </c>
      <c r="B42" s="40">
        <v>5.658245</v>
      </c>
      <c r="C42" s="40">
        <v>10.600698</v>
      </c>
      <c r="D42" s="40">
        <v>7.3142050000000003</v>
      </c>
      <c r="E42" s="40">
        <v>16.862500000000001</v>
      </c>
      <c r="F42" s="40">
        <v>11.090731999999999</v>
      </c>
      <c r="G42" s="40">
        <v>13.077199999999999</v>
      </c>
      <c r="H42" s="40">
        <v>9.8994020000000003</v>
      </c>
      <c r="I42" s="40">
        <v>22.582339999999999</v>
      </c>
      <c r="J42" s="40">
        <v>13.922404999999999</v>
      </c>
      <c r="K42" s="47">
        <v>23.501469</v>
      </c>
      <c r="L42" s="47">
        <v>26.312721</v>
      </c>
      <c r="M42" s="47">
        <v>19.425034</v>
      </c>
      <c r="N42" s="47">
        <v>35.031962999999998</v>
      </c>
    </row>
    <row r="43" spans="1:14" x14ac:dyDescent="0.35">
      <c r="A43" s="2">
        <v>42989</v>
      </c>
      <c r="B43" s="40">
        <v>4.3912649999999998</v>
      </c>
      <c r="C43" s="40">
        <v>22.128056999999998</v>
      </c>
      <c r="D43" s="40">
        <v>14.405512999999999</v>
      </c>
      <c r="E43" s="40">
        <v>24.945222999999999</v>
      </c>
      <c r="F43" s="40">
        <v>14.005602</v>
      </c>
      <c r="G43" s="40">
        <v>17.080366000000001</v>
      </c>
      <c r="H43" s="40">
        <v>12.969124000000001</v>
      </c>
      <c r="I43" s="40">
        <v>28.961658</v>
      </c>
      <c r="J43" s="40">
        <v>19.225895000000001</v>
      </c>
      <c r="K43" s="47">
        <v>28.558814999999999</v>
      </c>
      <c r="L43" s="47">
        <v>30.35643</v>
      </c>
      <c r="M43" s="47">
        <v>24.534511999999999</v>
      </c>
      <c r="N43" s="47">
        <v>39.639569999999999</v>
      </c>
    </row>
    <row r="44" spans="1:14" x14ac:dyDescent="0.35">
      <c r="A44" s="2">
        <v>43019</v>
      </c>
      <c r="B44" s="40">
        <v>13.387108</v>
      </c>
      <c r="C44" s="40">
        <v>14.512324</v>
      </c>
      <c r="D44" s="40">
        <v>18.225442999999999</v>
      </c>
      <c r="E44" s="40">
        <v>29.117667999999998</v>
      </c>
      <c r="F44" s="40">
        <v>16.691185000000001</v>
      </c>
      <c r="G44" s="40">
        <v>20.659673999999999</v>
      </c>
      <c r="H44" s="40">
        <v>19.88964</v>
      </c>
      <c r="I44" s="40">
        <v>27.232277</v>
      </c>
      <c r="J44" s="40">
        <v>21.905539999999998</v>
      </c>
      <c r="K44" s="47">
        <v>33.824885999999999</v>
      </c>
      <c r="L44" s="47">
        <v>32.875644999999999</v>
      </c>
      <c r="M44" s="47">
        <v>30.143187999999999</v>
      </c>
      <c r="N44" s="47">
        <v>47.675620000000002</v>
      </c>
    </row>
    <row r="45" spans="1:14" x14ac:dyDescent="0.35">
      <c r="A45" s="2">
        <v>43049</v>
      </c>
      <c r="B45" s="40">
        <v>13.542866999999999</v>
      </c>
      <c r="C45" s="40">
        <v>18.655968000000001</v>
      </c>
      <c r="D45" s="40">
        <v>18.012608</v>
      </c>
      <c r="E45" s="40">
        <v>30.579138</v>
      </c>
      <c r="F45" s="40">
        <v>21.703385999999998</v>
      </c>
      <c r="G45" s="40">
        <v>18.835280999999998</v>
      </c>
      <c r="H45" s="40">
        <v>18.155396</v>
      </c>
      <c r="I45" s="40">
        <v>34.099260000000001</v>
      </c>
      <c r="J45" s="40">
        <v>21.38815</v>
      </c>
      <c r="K45" s="47">
        <v>31.355953</v>
      </c>
      <c r="L45" s="47">
        <v>33.532859999999999</v>
      </c>
      <c r="M45" s="47">
        <v>28.246271</v>
      </c>
      <c r="N45" s="47">
        <v>42.667589999999997</v>
      </c>
    </row>
    <row r="46" spans="1:14" x14ac:dyDescent="0.35">
      <c r="A46" s="2">
        <v>43080</v>
      </c>
      <c r="B46" s="40">
        <v>15.320468</v>
      </c>
      <c r="C46" s="40">
        <v>12.671041499999999</v>
      </c>
      <c r="D46" s="40">
        <v>10.223663</v>
      </c>
      <c r="E46" s="40">
        <v>29.461897</v>
      </c>
      <c r="F46" s="40">
        <v>18.811952999999999</v>
      </c>
      <c r="G46" s="40">
        <v>22.235202999999998</v>
      </c>
      <c r="H46" s="40">
        <v>16.923714</v>
      </c>
      <c r="I46" s="40">
        <v>31.767475000000001</v>
      </c>
      <c r="J46" s="40">
        <v>19.951248</v>
      </c>
      <c r="K46" s="47">
        <v>30.584085000000002</v>
      </c>
      <c r="L46" s="47">
        <v>35.299087999999998</v>
      </c>
      <c r="M46" s="47">
        <v>20.841290000000001</v>
      </c>
      <c r="N46" s="47">
        <v>37.100279999999998</v>
      </c>
    </row>
    <row r="47" spans="1:14" x14ac:dyDescent="0.35">
      <c r="A47" s="2">
        <v>43111</v>
      </c>
      <c r="B47" s="40">
        <v>19.137383</v>
      </c>
      <c r="C47" s="40">
        <v>15.025413500000001</v>
      </c>
      <c r="D47" s="40">
        <v>13.542151</v>
      </c>
      <c r="E47" s="40">
        <v>28.624093999999999</v>
      </c>
      <c r="F47" s="40">
        <v>26.543151999999999</v>
      </c>
      <c r="G47" s="40">
        <v>22.153912999999999</v>
      </c>
      <c r="H47" s="40">
        <v>22.105038</v>
      </c>
      <c r="I47" s="40">
        <v>34.043469999999999</v>
      </c>
      <c r="J47" s="40">
        <v>23.943816999999999</v>
      </c>
      <c r="K47" s="47">
        <v>31.879090999999999</v>
      </c>
      <c r="L47" s="47">
        <v>35.204197000000001</v>
      </c>
      <c r="M47" s="47">
        <v>26.934695999999999</v>
      </c>
      <c r="N47" s="47">
        <v>35.565376000000001</v>
      </c>
    </row>
    <row r="48" spans="1:14" x14ac:dyDescent="0.35">
      <c r="A48" s="2">
        <v>43140</v>
      </c>
      <c r="B48" s="40">
        <v>12.236046999999999</v>
      </c>
      <c r="C48" s="40">
        <v>7.4350357000000002</v>
      </c>
      <c r="D48" s="40">
        <v>2.7895808</v>
      </c>
      <c r="E48" s="40">
        <v>20.144033</v>
      </c>
      <c r="F48" s="40">
        <v>17.304718000000001</v>
      </c>
      <c r="G48" s="40">
        <v>14.797651</v>
      </c>
      <c r="H48" s="40">
        <v>12.511563000000001</v>
      </c>
      <c r="I48" s="40">
        <v>24.073768999999999</v>
      </c>
      <c r="J48" s="40">
        <v>15.599644</v>
      </c>
      <c r="K48" s="47">
        <v>25.613748999999999</v>
      </c>
      <c r="L48" s="47">
        <v>26.326252</v>
      </c>
      <c r="M48" s="47">
        <v>13.227748999999999</v>
      </c>
      <c r="N48" s="47">
        <v>36.365734000000003</v>
      </c>
    </row>
    <row r="49" spans="1:14" x14ac:dyDescent="0.35">
      <c r="A49" s="2">
        <v>43168</v>
      </c>
      <c r="B49" s="40">
        <v>25.490283999999999</v>
      </c>
      <c r="C49" s="40">
        <v>11.661028999999999</v>
      </c>
      <c r="D49" s="40">
        <v>7.9732656000000004</v>
      </c>
      <c r="E49" s="40">
        <v>20.593606999999999</v>
      </c>
      <c r="F49" s="40">
        <v>20.500886999999999</v>
      </c>
      <c r="G49" s="40">
        <v>14.363372999999999</v>
      </c>
      <c r="H49" s="40">
        <v>15.981436</v>
      </c>
      <c r="I49" s="40">
        <v>33.552193000000003</v>
      </c>
      <c r="J49" s="40">
        <v>20.020163</v>
      </c>
      <c r="K49" s="47">
        <v>28.068280000000001</v>
      </c>
      <c r="L49" s="47">
        <v>26.626895999999999</v>
      </c>
      <c r="M49" s="47">
        <v>16.135131999999999</v>
      </c>
      <c r="N49" s="47">
        <v>36.285876999999999</v>
      </c>
    </row>
    <row r="50" spans="1:14" x14ac:dyDescent="0.35">
      <c r="A50" s="2">
        <v>43201</v>
      </c>
      <c r="B50" s="40">
        <v>23.643816000000001</v>
      </c>
      <c r="C50" s="40">
        <v>3.6006689999999999</v>
      </c>
      <c r="D50" s="40">
        <v>5.6619999999999999</v>
      </c>
      <c r="E50" s="40">
        <v>17.423748</v>
      </c>
      <c r="F50" s="40">
        <v>19.362401999999999</v>
      </c>
      <c r="G50" s="40">
        <v>9.0216639999999995</v>
      </c>
      <c r="H50" s="40">
        <v>14.547872999999999</v>
      </c>
      <c r="I50" s="40">
        <v>22.992229999999999</v>
      </c>
      <c r="J50" s="40">
        <v>14.345527000000001</v>
      </c>
      <c r="K50" s="47">
        <v>24.515211000000001</v>
      </c>
      <c r="L50" s="47">
        <v>23.328125</v>
      </c>
      <c r="M50" s="47">
        <v>9.1936699999999991</v>
      </c>
      <c r="N50" s="47">
        <v>34.033774999999999</v>
      </c>
    </row>
    <row r="51" spans="1:14" x14ac:dyDescent="0.35">
      <c r="A51" s="2">
        <v>43231</v>
      </c>
      <c r="B51" s="40">
        <v>16.628874</v>
      </c>
      <c r="C51" s="40">
        <v>9.5076079999999994</v>
      </c>
      <c r="D51" s="40">
        <v>13.323426</v>
      </c>
      <c r="E51" s="40">
        <v>11.965954</v>
      </c>
      <c r="F51" s="40">
        <v>18.851459999999999</v>
      </c>
      <c r="G51" s="40">
        <v>3.8845657999999998</v>
      </c>
      <c r="H51" s="40">
        <v>12.961149000000001</v>
      </c>
      <c r="I51" s="40">
        <v>23.604810000000001</v>
      </c>
      <c r="J51" s="40">
        <v>16.15156</v>
      </c>
      <c r="K51" s="47">
        <v>16.838657000000001</v>
      </c>
      <c r="L51" s="47">
        <v>13.57752</v>
      </c>
      <c r="M51" s="47">
        <v>5.0139069999999997</v>
      </c>
      <c r="N51" s="47">
        <v>24.101437000000001</v>
      </c>
    </row>
    <row r="52" spans="1:14" x14ac:dyDescent="0.35">
      <c r="A52" s="2">
        <v>43262</v>
      </c>
      <c r="B52" s="40">
        <v>16.583991999999999</v>
      </c>
      <c r="C52" s="40">
        <v>11.705875000000001</v>
      </c>
      <c r="D52" s="40">
        <v>11.861563</v>
      </c>
      <c r="E52" s="40">
        <v>6.0603740000000004</v>
      </c>
      <c r="F52" s="40">
        <v>14.318192</v>
      </c>
      <c r="G52" s="40">
        <v>0.65438750000000001</v>
      </c>
      <c r="H52" s="40">
        <v>11.609483000000001</v>
      </c>
      <c r="I52" s="40">
        <v>26.039767999999999</v>
      </c>
      <c r="J52" s="40">
        <v>16.619002999999999</v>
      </c>
      <c r="K52" s="47">
        <v>12.908780999999999</v>
      </c>
      <c r="L52" s="47">
        <v>11.692619000000001</v>
      </c>
      <c r="M52" s="47">
        <v>0.6146431</v>
      </c>
      <c r="N52" s="47">
        <v>11.339796</v>
      </c>
    </row>
    <row r="53" spans="1:14" x14ac:dyDescent="0.35">
      <c r="A53" s="2">
        <v>43292</v>
      </c>
      <c r="B53" s="40">
        <v>10.061465999999999</v>
      </c>
      <c r="C53" s="40">
        <v>8.8231680000000008</v>
      </c>
      <c r="D53" s="40">
        <v>9.0728170000000006</v>
      </c>
      <c r="E53" s="40">
        <v>1.5004991999999999</v>
      </c>
      <c r="F53" s="40">
        <v>8.6482639999999993</v>
      </c>
      <c r="G53" s="40">
        <v>-0.71834920000000002</v>
      </c>
      <c r="H53" s="40">
        <v>9.3013879999999993</v>
      </c>
      <c r="I53" s="40">
        <v>27.902114999999998</v>
      </c>
      <c r="J53" s="40">
        <v>16.446936000000001</v>
      </c>
      <c r="K53" s="47">
        <v>9.4454879999999992</v>
      </c>
      <c r="L53" s="47">
        <v>7.2993160000000001</v>
      </c>
      <c r="M53" s="47">
        <v>-6.0822544000000001</v>
      </c>
      <c r="N53" s="47">
        <v>5.1815749999999996</v>
      </c>
    </row>
    <row r="54" spans="1:14" x14ac:dyDescent="0.35">
      <c r="A54" s="2">
        <v>43322</v>
      </c>
      <c r="B54" s="40">
        <v>4.5278549999999997</v>
      </c>
      <c r="C54" s="40">
        <v>5.8793544999999998</v>
      </c>
      <c r="D54" s="40">
        <v>8.1340679999999992</v>
      </c>
      <c r="E54" s="40">
        <v>1.0410666</v>
      </c>
      <c r="F54" s="40">
        <v>7.7351929999999998</v>
      </c>
      <c r="G54" s="40">
        <v>2.3272037999999999</v>
      </c>
      <c r="H54" s="40">
        <v>5.3990125999999998</v>
      </c>
      <c r="I54" s="40">
        <v>29.037141999999999</v>
      </c>
      <c r="J54" s="40">
        <v>18.329657000000001</v>
      </c>
      <c r="K54" s="47">
        <v>6.2048435</v>
      </c>
      <c r="L54" s="47">
        <v>3.1421779999999999</v>
      </c>
      <c r="M54" s="47">
        <v>-2.9561579999999998</v>
      </c>
      <c r="N54" s="47">
        <v>-3.4802138999999999</v>
      </c>
    </row>
    <row r="55" spans="1:14" x14ac:dyDescent="0.35">
      <c r="A55" s="2">
        <v>43354</v>
      </c>
      <c r="B55" s="40">
        <v>4.7785640000000003</v>
      </c>
      <c r="C55" s="40">
        <v>-1.6172766999999999</v>
      </c>
      <c r="D55" s="40">
        <v>1.4755130000000001</v>
      </c>
      <c r="E55" s="40">
        <v>-5.6527557000000002</v>
      </c>
      <c r="F55" s="40">
        <v>4.5819283000000004</v>
      </c>
      <c r="G55" s="40">
        <v>1.213789</v>
      </c>
      <c r="H55" s="40">
        <v>-7.6204540000000001E-2</v>
      </c>
      <c r="I55" s="40">
        <v>26.552498</v>
      </c>
      <c r="J55" s="40">
        <v>18.149412000000002</v>
      </c>
      <c r="K55" s="47">
        <v>2.3993373</v>
      </c>
      <c r="L55" s="47">
        <v>-1.4345527</v>
      </c>
      <c r="M55" s="47">
        <v>-5.1645336000000004</v>
      </c>
      <c r="N55" s="47">
        <v>-6.9309234999999996</v>
      </c>
    </row>
    <row r="56" spans="1:14" x14ac:dyDescent="0.35">
      <c r="A56" s="2">
        <v>43384</v>
      </c>
      <c r="B56" s="40">
        <v>-0.92815756999999999</v>
      </c>
      <c r="C56" s="40">
        <v>-4.7854239999999999</v>
      </c>
      <c r="D56" s="40">
        <v>-5.411124</v>
      </c>
      <c r="E56" s="40">
        <v>-13.065237</v>
      </c>
      <c r="F56" s="40">
        <v>1.190269</v>
      </c>
      <c r="G56" s="40">
        <v>-5.9427079999999997</v>
      </c>
      <c r="H56" s="40">
        <v>-4.3203649999999998</v>
      </c>
      <c r="I56" s="40">
        <v>15.444672000000001</v>
      </c>
      <c r="J56" s="40">
        <v>8.6692094999999991</v>
      </c>
      <c r="K56" s="47">
        <v>-4.4579029999999999</v>
      </c>
      <c r="L56" s="47">
        <v>-9.5329099999999993</v>
      </c>
      <c r="M56" s="47">
        <v>-12.089867</v>
      </c>
      <c r="N56" s="47">
        <v>-14.662485999999999</v>
      </c>
    </row>
    <row r="57" spans="1:14" x14ac:dyDescent="0.35">
      <c r="A57" s="2">
        <v>43413</v>
      </c>
      <c r="B57" s="40">
        <v>8.7897540000000003</v>
      </c>
      <c r="C57" s="40">
        <v>-4.4157386000000001</v>
      </c>
      <c r="D57" s="40">
        <v>-7.0441064999999998</v>
      </c>
      <c r="E57" s="40">
        <v>-14.032518</v>
      </c>
      <c r="F57" s="40">
        <v>-6.0759486999999996</v>
      </c>
      <c r="G57" s="40">
        <v>-0.27011633000000002</v>
      </c>
      <c r="H57" s="40">
        <v>-2.6892304</v>
      </c>
      <c r="I57" s="40">
        <v>12.459528000000001</v>
      </c>
      <c r="J57" s="40">
        <v>9.5479965</v>
      </c>
      <c r="K57" s="47">
        <v>-4.5847119999999997</v>
      </c>
      <c r="L57" s="47">
        <v>-5.8034540000000003</v>
      </c>
      <c r="M57" s="47">
        <v>-10.334550999999999</v>
      </c>
      <c r="N57" s="47">
        <v>-14.641463999999999</v>
      </c>
    </row>
    <row r="58" spans="1:14" x14ac:dyDescent="0.35">
      <c r="A58" s="2">
        <v>43445</v>
      </c>
      <c r="B58" s="40">
        <v>5.8377980000000003</v>
      </c>
      <c r="C58" s="40">
        <v>-7.0796489999999999</v>
      </c>
      <c r="D58" s="40">
        <v>-10.938305</v>
      </c>
      <c r="E58" s="40">
        <v>-20.608252</v>
      </c>
      <c r="F58" s="40">
        <v>-9.9259380000000004</v>
      </c>
      <c r="G58" s="40">
        <v>-5.2598715</v>
      </c>
      <c r="H58" s="40">
        <v>-10.932005</v>
      </c>
      <c r="I58" s="40">
        <v>5.7525396000000004</v>
      </c>
      <c r="J58" s="40">
        <v>0.98823309999999998</v>
      </c>
      <c r="K58" s="47">
        <v>-11.719054</v>
      </c>
      <c r="L58" s="47">
        <v>-12.269831</v>
      </c>
      <c r="M58" s="47">
        <v>-11.920904999999999</v>
      </c>
      <c r="N58" s="47">
        <v>-18.630445000000002</v>
      </c>
    </row>
    <row r="59" spans="1:14" x14ac:dyDescent="0.35">
      <c r="A59" s="2">
        <v>43476</v>
      </c>
      <c r="B59" s="40">
        <v>3.4255146999999999</v>
      </c>
      <c r="C59" s="40">
        <v>-9.088654</v>
      </c>
      <c r="D59" s="40">
        <v>-12.168371</v>
      </c>
      <c r="E59" s="40">
        <v>-21.506298000000001</v>
      </c>
      <c r="F59" s="40">
        <v>-15.164638</v>
      </c>
      <c r="G59" s="40">
        <v>-7.009506</v>
      </c>
      <c r="H59" s="40">
        <v>-12.547672</v>
      </c>
      <c r="I59" s="40">
        <v>-0.75089335000000001</v>
      </c>
      <c r="J59" s="40">
        <v>-4.4139265999999999</v>
      </c>
      <c r="K59" s="47">
        <v>-14.339071000000001</v>
      </c>
      <c r="L59" s="47">
        <v>-14.714802000000001</v>
      </c>
      <c r="M59" s="47">
        <v>-14.310140000000001</v>
      </c>
      <c r="N59" s="47">
        <v>-18.651522</v>
      </c>
    </row>
    <row r="60" spans="1:14" x14ac:dyDescent="0.35">
      <c r="A60" s="2">
        <v>43507</v>
      </c>
      <c r="B60" s="40">
        <v>7.9009413999999998</v>
      </c>
      <c r="C60" s="40">
        <v>-0.81114770000000003</v>
      </c>
      <c r="D60" s="40">
        <v>-0.39099455</v>
      </c>
      <c r="E60" s="40">
        <v>-17.219245999999998</v>
      </c>
      <c r="F60" s="40">
        <v>-9.2501940000000005</v>
      </c>
      <c r="G60" s="40">
        <v>-2.0791770000000001</v>
      </c>
      <c r="H60" s="40">
        <v>-3.8674056999999999</v>
      </c>
      <c r="I60" s="40">
        <v>8.8018889999999992</v>
      </c>
      <c r="J60" s="40">
        <v>5.4664609999999998</v>
      </c>
      <c r="K60" s="47">
        <v>-7.2328450000000002</v>
      </c>
      <c r="L60" s="47">
        <v>-6.7653119999999998</v>
      </c>
      <c r="M60" s="47">
        <v>-7.7252745999999997</v>
      </c>
      <c r="N60" s="47">
        <v>-15.853394</v>
      </c>
    </row>
    <row r="61" spans="1:14" x14ac:dyDescent="0.35">
      <c r="A61" s="2">
        <v>43535</v>
      </c>
      <c r="B61" s="40">
        <v>4.7439814</v>
      </c>
      <c r="C61" s="40">
        <v>-2.5586486000000002</v>
      </c>
      <c r="D61" s="40">
        <v>0.79919099999999998</v>
      </c>
      <c r="E61" s="40">
        <v>-15.263676999999999</v>
      </c>
      <c r="F61" s="40">
        <v>-9.6438349999999993</v>
      </c>
      <c r="G61" s="40">
        <v>0.63747169999999997</v>
      </c>
      <c r="H61" s="40">
        <v>-2.8410256</v>
      </c>
      <c r="I61" s="40">
        <v>1.7693996000000001</v>
      </c>
      <c r="J61" s="40">
        <v>1.7550707000000001</v>
      </c>
      <c r="K61" s="47">
        <v>-6.4530430000000001</v>
      </c>
      <c r="L61" s="47">
        <v>-8.2869770000000003</v>
      </c>
      <c r="M61" s="47">
        <v>-9.4088740000000008</v>
      </c>
      <c r="N61" s="47">
        <v>-13.727129</v>
      </c>
    </row>
    <row r="62" spans="1:14" x14ac:dyDescent="0.35">
      <c r="A62" s="2">
        <v>43566</v>
      </c>
      <c r="B62" s="40">
        <v>5.8001040000000001</v>
      </c>
      <c r="C62" s="40">
        <v>2.7582287999999999</v>
      </c>
      <c r="D62" s="40">
        <v>3.3963203000000002</v>
      </c>
      <c r="E62" s="40">
        <v>-12.306058999999999</v>
      </c>
      <c r="F62" s="40">
        <v>-7.7785549999999999</v>
      </c>
      <c r="G62" s="40">
        <v>6.8524479999999999</v>
      </c>
      <c r="H62" s="40">
        <v>-1.9509196</v>
      </c>
      <c r="I62" s="40">
        <v>16.447544000000001</v>
      </c>
      <c r="J62" s="40">
        <v>11.401795999999999</v>
      </c>
      <c r="K62" s="47">
        <v>-3.3785880000000001</v>
      </c>
      <c r="L62" s="47">
        <v>-3.5748243</v>
      </c>
      <c r="M62" s="47">
        <v>1.4168978000000001</v>
      </c>
      <c r="N62" s="47">
        <v>-11.235189</v>
      </c>
    </row>
    <row r="63" spans="1:14" x14ac:dyDescent="0.35">
      <c r="A63" s="2">
        <v>43595</v>
      </c>
      <c r="B63" s="40">
        <v>11.012769</v>
      </c>
      <c r="C63" s="40">
        <v>0.47593117000000001</v>
      </c>
      <c r="D63" s="40">
        <v>-1.2591003999999999</v>
      </c>
      <c r="E63" s="40">
        <v>-12.577545000000001</v>
      </c>
      <c r="F63" s="40">
        <v>-9.7071830000000006</v>
      </c>
      <c r="G63" s="40">
        <v>6.6246390000000002</v>
      </c>
      <c r="H63" s="40">
        <v>-5.9817552999999997</v>
      </c>
      <c r="I63" s="40">
        <v>10.017609999999999</v>
      </c>
      <c r="J63" s="40">
        <v>7.9778314000000004</v>
      </c>
      <c r="K63" s="47">
        <v>-6.3528180000000001</v>
      </c>
      <c r="L63" s="47">
        <v>-1.9816041</v>
      </c>
      <c r="M63" s="47">
        <v>-6.7075253000000004</v>
      </c>
      <c r="N63" s="47">
        <v>-14.768988</v>
      </c>
    </row>
    <row r="64" spans="1:14" x14ac:dyDescent="0.35">
      <c r="A64" s="2">
        <v>43627</v>
      </c>
      <c r="B64" s="40">
        <v>5.0431369999999998</v>
      </c>
      <c r="C64" s="40">
        <v>3.911972</v>
      </c>
      <c r="D64" s="40">
        <v>-0.48272609999999999</v>
      </c>
      <c r="E64" s="40">
        <v>-11.341763</v>
      </c>
      <c r="F64" s="40">
        <v>-8.7863679999999995</v>
      </c>
      <c r="G64" s="40">
        <v>13.054562000000001</v>
      </c>
      <c r="H64" s="40">
        <v>-5.8364209999999996</v>
      </c>
      <c r="I64" s="40">
        <v>5.7674766000000002</v>
      </c>
      <c r="J64" s="40">
        <v>5.7355165000000001</v>
      </c>
      <c r="K64" s="47">
        <v>-3.5615503999999998</v>
      </c>
      <c r="L64" s="47">
        <v>-1.9184709</v>
      </c>
      <c r="M64" s="47">
        <v>-3.8034737000000001</v>
      </c>
      <c r="N64" s="47">
        <v>-6.8383750000000001</v>
      </c>
    </row>
    <row r="65" spans="1:14" x14ac:dyDescent="0.35">
      <c r="A65" s="2">
        <v>43657</v>
      </c>
      <c r="B65" s="40">
        <v>16.030956</v>
      </c>
      <c r="C65" s="40">
        <v>6.4053535000000004</v>
      </c>
      <c r="D65" s="40">
        <v>3.5627246000000001</v>
      </c>
      <c r="E65" s="40">
        <v>-6.3126745</v>
      </c>
      <c r="F65" s="40">
        <v>-1.7009080000000001</v>
      </c>
      <c r="G65" s="40">
        <v>14.792479</v>
      </c>
      <c r="H65" s="40">
        <v>-2.3059189999999998</v>
      </c>
      <c r="I65" s="40">
        <v>10.026693</v>
      </c>
      <c r="J65" s="40">
        <v>10.259306</v>
      </c>
      <c r="K65" s="47">
        <v>1.5186667</v>
      </c>
      <c r="L65" s="47">
        <v>3.2894135000000002</v>
      </c>
      <c r="M65" s="47">
        <v>3.094411</v>
      </c>
      <c r="N65" s="47">
        <v>3.1409859999999998</v>
      </c>
    </row>
    <row r="66" spans="1:14" x14ac:dyDescent="0.35">
      <c r="A66" s="2">
        <v>43686</v>
      </c>
      <c r="B66" s="40">
        <v>18.065548</v>
      </c>
      <c r="C66" s="40">
        <v>-0.32679439999999998</v>
      </c>
      <c r="D66" s="40">
        <v>-0.74894430000000001</v>
      </c>
      <c r="E66" s="40">
        <v>-11.941314</v>
      </c>
      <c r="F66" s="40">
        <v>-6.6238640000000002</v>
      </c>
      <c r="G66" s="40">
        <v>10.281897000000001</v>
      </c>
      <c r="H66" s="40">
        <v>-8.6152730000000002</v>
      </c>
      <c r="I66" s="40">
        <v>3.4176470000000001</v>
      </c>
      <c r="J66" s="40">
        <v>4.3325899999999997</v>
      </c>
      <c r="K66" s="47">
        <v>-3.6295771999999999</v>
      </c>
      <c r="L66" s="47">
        <v>-1.4509380000000001</v>
      </c>
      <c r="M66" s="47">
        <v>-8.0124855000000004</v>
      </c>
      <c r="N66" s="47">
        <v>-5.4775057</v>
      </c>
    </row>
    <row r="67" spans="1:14" x14ac:dyDescent="0.35">
      <c r="A67" s="2">
        <v>43719</v>
      </c>
      <c r="B67" s="40">
        <v>16.723262999999999</v>
      </c>
      <c r="C67" s="40">
        <v>9.5512499999999996</v>
      </c>
      <c r="D67" s="40">
        <v>4.4464706999999999</v>
      </c>
      <c r="E67" s="40">
        <v>-4.6454069999999996</v>
      </c>
      <c r="F67" s="40">
        <v>-0.23890734</v>
      </c>
      <c r="G67" s="40">
        <v>12.551045</v>
      </c>
      <c r="H67" s="40">
        <v>-0.55737495000000004</v>
      </c>
      <c r="I67" s="40">
        <v>6.0065390000000001</v>
      </c>
      <c r="J67" s="40">
        <v>5.9410452999999999</v>
      </c>
      <c r="K67" s="47">
        <v>2.1722077999999998</v>
      </c>
      <c r="L67" s="47">
        <v>8.2919959999999993</v>
      </c>
      <c r="M67" s="47">
        <v>-1.8851994999999999</v>
      </c>
      <c r="N67" s="47">
        <v>3.1881452000000001</v>
      </c>
    </row>
    <row r="68" spans="1:14" x14ac:dyDescent="0.35">
      <c r="A68" s="2">
        <v>43749</v>
      </c>
      <c r="B68" s="40">
        <v>21.851085999999999</v>
      </c>
      <c r="C68" s="40">
        <v>14.5713215</v>
      </c>
      <c r="D68" s="40">
        <v>7.968235</v>
      </c>
      <c r="E68" s="40">
        <v>0.71099997000000004</v>
      </c>
      <c r="F68" s="40">
        <v>2.6787399999999999</v>
      </c>
      <c r="G68" s="40">
        <v>17.872084000000001</v>
      </c>
      <c r="H68" s="40">
        <v>2.8260350000000001</v>
      </c>
      <c r="I68" s="40">
        <v>13.697253999999999</v>
      </c>
      <c r="J68" s="40">
        <v>11.035895</v>
      </c>
      <c r="K68" s="47">
        <v>7.2640419999999999</v>
      </c>
      <c r="L68" s="47">
        <v>15.723062000000001</v>
      </c>
      <c r="M68" s="47">
        <v>1.0428548</v>
      </c>
      <c r="N68" s="47">
        <v>12.832737</v>
      </c>
    </row>
    <row r="69" spans="1:14" x14ac:dyDescent="0.35">
      <c r="A69" s="2">
        <v>43780</v>
      </c>
      <c r="B69" s="40">
        <v>15.259563</v>
      </c>
      <c r="C69" s="40">
        <v>14.479518000000001</v>
      </c>
      <c r="D69" s="40">
        <v>12.789047</v>
      </c>
      <c r="E69" s="40">
        <v>8.1619150000000005</v>
      </c>
      <c r="F69" s="40">
        <v>10.327816</v>
      </c>
      <c r="G69" s="40">
        <v>18.009663</v>
      </c>
      <c r="H69" s="40">
        <v>5.5205583999999996</v>
      </c>
      <c r="I69" s="40">
        <v>18.218993999999999</v>
      </c>
      <c r="J69" s="40">
        <v>13.233673</v>
      </c>
      <c r="K69" s="47">
        <v>13.859546999999999</v>
      </c>
      <c r="L69" s="47">
        <v>16.667355000000001</v>
      </c>
      <c r="M69" s="47">
        <v>11.508941999999999</v>
      </c>
      <c r="N69" s="47">
        <v>21.274090000000001</v>
      </c>
    </row>
    <row r="70" spans="1:14" x14ac:dyDescent="0.35">
      <c r="A70" s="2">
        <v>43810</v>
      </c>
      <c r="B70" s="40">
        <v>23.375630000000001</v>
      </c>
      <c r="C70" s="40">
        <v>19.359838</v>
      </c>
      <c r="D70" s="40">
        <v>19.334911000000002</v>
      </c>
      <c r="E70" s="40">
        <v>16.661465</v>
      </c>
      <c r="F70" s="40">
        <v>15.730715</v>
      </c>
      <c r="G70" s="40">
        <v>24.145758000000001</v>
      </c>
      <c r="H70" s="40">
        <v>15.139222</v>
      </c>
      <c r="I70" s="40">
        <v>26.413679999999999</v>
      </c>
      <c r="J70" s="40">
        <v>21.420991999999998</v>
      </c>
      <c r="K70" s="47">
        <v>21.401775000000001</v>
      </c>
      <c r="L70" s="47">
        <v>25.345648000000001</v>
      </c>
      <c r="M70" s="47">
        <v>18.499351999999998</v>
      </c>
      <c r="N70" s="47">
        <v>23.111796999999999</v>
      </c>
    </row>
    <row r="71" spans="1:14" x14ac:dyDescent="0.35">
      <c r="A71" s="2">
        <v>43840</v>
      </c>
      <c r="B71" s="40">
        <v>25.2195</v>
      </c>
      <c r="C71" s="40">
        <v>17.679082999999999</v>
      </c>
      <c r="D71" s="40">
        <v>19.079934999999999</v>
      </c>
      <c r="E71" s="40">
        <v>15.860701000000001</v>
      </c>
      <c r="F71" s="40">
        <v>13.680649000000001</v>
      </c>
      <c r="G71" s="40">
        <v>25.441265000000001</v>
      </c>
      <c r="H71" s="40">
        <v>14.845991</v>
      </c>
      <c r="I71" s="40">
        <v>36.549602999999998</v>
      </c>
      <c r="J71" s="40">
        <v>28.195381000000001</v>
      </c>
      <c r="K71" s="47">
        <v>22.237814</v>
      </c>
      <c r="L71" s="47">
        <v>27.431560000000001</v>
      </c>
      <c r="M71" s="47">
        <v>15.675902000000001</v>
      </c>
      <c r="N71" s="47">
        <v>20.115936000000001</v>
      </c>
    </row>
    <row r="72" spans="1:14" x14ac:dyDescent="0.35">
      <c r="A72" s="2">
        <v>43872</v>
      </c>
      <c r="B72" s="40">
        <v>20.862103000000001</v>
      </c>
      <c r="C72" s="40">
        <v>14.682078000000001</v>
      </c>
      <c r="D72" s="40">
        <v>16.540717999999998</v>
      </c>
      <c r="E72" s="40">
        <v>16.806661999999999</v>
      </c>
      <c r="F72" s="40">
        <v>15.493487999999999</v>
      </c>
      <c r="G72" s="40">
        <v>29.442347000000002</v>
      </c>
      <c r="H72" s="40">
        <v>9.3978640000000002</v>
      </c>
      <c r="I72" s="40">
        <v>38.906742000000001</v>
      </c>
      <c r="J72" s="40">
        <v>26.229752000000001</v>
      </c>
      <c r="K72" s="47">
        <v>19.678450000000002</v>
      </c>
      <c r="L72" s="47">
        <v>24.326180999999998</v>
      </c>
      <c r="M72" s="47">
        <v>20.615089999999999</v>
      </c>
      <c r="N72" s="47">
        <v>22.177171999999999</v>
      </c>
    </row>
    <row r="73" spans="1:14" x14ac:dyDescent="0.35">
      <c r="A73" s="2">
        <v>43901</v>
      </c>
      <c r="B73" s="40">
        <v>5.4110290000000001</v>
      </c>
      <c r="C73" s="40">
        <v>-15.277982</v>
      </c>
      <c r="D73" s="40">
        <v>-13.105022</v>
      </c>
      <c r="E73" s="40">
        <v>-12.255711</v>
      </c>
      <c r="F73" s="40">
        <v>-5.9592130000000001</v>
      </c>
      <c r="G73" s="40">
        <v>5.670166</v>
      </c>
      <c r="H73" s="40">
        <v>-17.971539</v>
      </c>
      <c r="I73" s="40">
        <v>12.645936000000001</v>
      </c>
      <c r="J73" s="40">
        <v>0.39891005000000002</v>
      </c>
      <c r="K73" s="47">
        <v>-11.173617999999999</v>
      </c>
      <c r="L73" s="47">
        <v>-3.0934750000000002</v>
      </c>
      <c r="M73" s="47">
        <v>-4.9692990000000004</v>
      </c>
      <c r="N73" s="47">
        <v>-14.337873</v>
      </c>
    </row>
    <row r="74" spans="1:14" x14ac:dyDescent="0.35">
      <c r="A74" s="2">
        <v>43930</v>
      </c>
      <c r="B74" s="40">
        <v>-5.511469</v>
      </c>
      <c r="C74" s="40">
        <v>-19.717137999999998</v>
      </c>
      <c r="D74" s="40">
        <v>-16.062646999999998</v>
      </c>
      <c r="E74" s="40">
        <v>-14.388919</v>
      </c>
      <c r="F74" s="40">
        <v>-6.3684820000000002</v>
      </c>
      <c r="G74" s="40">
        <v>3.6839724</v>
      </c>
      <c r="H74" s="40">
        <v>-22.542137</v>
      </c>
      <c r="I74" s="40">
        <v>9.8089220000000008</v>
      </c>
      <c r="J74" s="40">
        <v>-1.1659801000000001</v>
      </c>
      <c r="K74" s="47">
        <v>-16.645605</v>
      </c>
      <c r="L74" s="47">
        <v>-7.4298023999999998</v>
      </c>
      <c r="M74" s="47">
        <v>-12.200265999999999</v>
      </c>
      <c r="N74" s="47">
        <v>-20.528275000000001</v>
      </c>
    </row>
    <row r="75" spans="1:14" x14ac:dyDescent="0.35">
      <c r="A75" s="2">
        <v>43962</v>
      </c>
      <c r="B75" s="40">
        <v>-0.83503722999999996</v>
      </c>
      <c r="C75" s="40">
        <v>-18.641794000000001</v>
      </c>
      <c r="D75" s="40">
        <v>-9.9507689999999993</v>
      </c>
      <c r="E75" s="40">
        <v>-15.095705000000001</v>
      </c>
      <c r="F75" s="40">
        <v>-0.21644235000000001</v>
      </c>
      <c r="G75" s="40">
        <v>6.7379712999999999</v>
      </c>
      <c r="H75" s="40">
        <v>-20.526772999999999</v>
      </c>
      <c r="I75" s="40">
        <v>23.679805999999999</v>
      </c>
      <c r="J75" s="40">
        <v>3.6293267999999999</v>
      </c>
      <c r="K75" s="47">
        <v>-17.190248</v>
      </c>
      <c r="L75" s="47">
        <v>-3.9857984000000002</v>
      </c>
      <c r="M75" s="47">
        <v>-6.7067920000000001</v>
      </c>
      <c r="N75" s="47">
        <v>-21.287769999999998</v>
      </c>
    </row>
    <row r="76" spans="1:14" x14ac:dyDescent="0.35">
      <c r="A76" s="2">
        <v>43993</v>
      </c>
      <c r="B76" s="40">
        <v>5.9719085999999999</v>
      </c>
      <c r="C76" s="40">
        <v>-13.110601000000001</v>
      </c>
      <c r="D76" s="40">
        <v>-8.4776340000000001</v>
      </c>
      <c r="E76" s="40">
        <v>-3.3652245999999999</v>
      </c>
      <c r="F76" s="40">
        <v>2.7396916999999998</v>
      </c>
      <c r="G76" s="40">
        <v>4.3465137</v>
      </c>
      <c r="H76" s="40">
        <v>-18.681854000000001</v>
      </c>
      <c r="I76" s="40">
        <v>28.690683</v>
      </c>
      <c r="J76" s="40">
        <v>6.2076925999999997</v>
      </c>
      <c r="K76" s="47">
        <v>-11.07586</v>
      </c>
      <c r="L76" s="47">
        <v>2.5512934</v>
      </c>
      <c r="M76" s="47">
        <v>0.47746896999999999</v>
      </c>
      <c r="N76" s="47">
        <v>-11.958843</v>
      </c>
    </row>
    <row r="77" spans="1:14" x14ac:dyDescent="0.35">
      <c r="A77" s="2">
        <v>44022</v>
      </c>
      <c r="B77" s="40">
        <v>8.9002850000000002</v>
      </c>
      <c r="C77" s="40">
        <v>-9.6920970000000004</v>
      </c>
      <c r="D77" s="40">
        <v>-7.5025854000000001</v>
      </c>
      <c r="E77" s="40">
        <v>2.2453189999999998</v>
      </c>
      <c r="F77" s="40">
        <v>3.5203695000000002</v>
      </c>
      <c r="G77" s="40">
        <v>9.8785640000000008</v>
      </c>
      <c r="H77" s="40">
        <v>-16.590617999999999</v>
      </c>
      <c r="I77" s="40">
        <v>38.187862000000003</v>
      </c>
      <c r="J77" s="40">
        <v>8.5103399999999993</v>
      </c>
      <c r="K77" s="47">
        <v>-7.9635619999999996</v>
      </c>
      <c r="L77" s="47">
        <v>11.679733000000001</v>
      </c>
      <c r="M77" s="47">
        <v>7.8163147000000004</v>
      </c>
      <c r="N77" s="47">
        <v>-10.991358999999999</v>
      </c>
    </row>
    <row r="78" spans="1:14" x14ac:dyDescent="0.35">
      <c r="A78" s="2">
        <v>44054</v>
      </c>
      <c r="B78" s="40">
        <v>11.406957999999999</v>
      </c>
      <c r="C78" s="40">
        <v>-0.63102840000000004</v>
      </c>
      <c r="D78" s="40">
        <v>2.2095083999999998</v>
      </c>
      <c r="E78" s="40">
        <v>12.774145000000001</v>
      </c>
      <c r="F78" s="40">
        <v>8.015549</v>
      </c>
      <c r="G78" s="40">
        <v>10.756074999999999</v>
      </c>
      <c r="H78" s="40">
        <v>-7.8978004000000004</v>
      </c>
      <c r="I78" s="40">
        <v>43.345165000000001</v>
      </c>
      <c r="J78" s="40">
        <v>16.432607999999998</v>
      </c>
      <c r="K78" s="47">
        <v>-9.6541639999999998E-2</v>
      </c>
      <c r="L78" s="47">
        <v>16.400086999999999</v>
      </c>
      <c r="M78" s="47">
        <v>26.222456000000001</v>
      </c>
      <c r="N78" s="47">
        <v>1.4357924</v>
      </c>
    </row>
    <row r="79" spans="1:14" x14ac:dyDescent="0.35">
      <c r="A79" s="2">
        <v>44085</v>
      </c>
      <c r="B79" s="40">
        <v>11.142932999999999</v>
      </c>
      <c r="C79" s="40">
        <v>-6.8860054000000002</v>
      </c>
      <c r="D79" s="40">
        <v>-0.98357797000000002</v>
      </c>
      <c r="E79" s="40">
        <v>12.430584</v>
      </c>
      <c r="F79" s="40">
        <v>6.9489717000000004</v>
      </c>
      <c r="G79" s="40">
        <v>13.111186</v>
      </c>
      <c r="H79" s="40">
        <v>-14.285147</v>
      </c>
      <c r="I79" s="40">
        <v>41.675792999999999</v>
      </c>
      <c r="J79" s="40">
        <v>13.514161</v>
      </c>
      <c r="K79" s="47">
        <v>-1.7392038999999999</v>
      </c>
      <c r="L79" s="47">
        <v>12.407864</v>
      </c>
      <c r="M79" s="47">
        <v>20.548701999999999</v>
      </c>
      <c r="N79" s="47">
        <v>-5.0237299999999996</v>
      </c>
    </row>
    <row r="80" spans="1:14" x14ac:dyDescent="0.35">
      <c r="A80" s="2">
        <v>44113</v>
      </c>
      <c r="B80" s="40">
        <v>20.517624000000001</v>
      </c>
      <c r="C80" s="40">
        <v>-0.68635345000000003</v>
      </c>
      <c r="D80" s="40">
        <v>4.0280339999999999</v>
      </c>
      <c r="E80" s="40">
        <v>15.543151</v>
      </c>
      <c r="F80" s="40">
        <v>7.3044896000000001</v>
      </c>
      <c r="G80" s="40">
        <v>16.144062000000002</v>
      </c>
      <c r="H80" s="40">
        <v>-10.074597000000001</v>
      </c>
      <c r="I80" s="40">
        <v>53.739834000000002</v>
      </c>
      <c r="J80" s="40">
        <v>21.422768000000001</v>
      </c>
      <c r="K80" s="47">
        <v>-0.43291449999999998</v>
      </c>
      <c r="L80" s="47">
        <v>20.052123999999999</v>
      </c>
      <c r="M80" s="47">
        <v>29.537845999999998</v>
      </c>
      <c r="N80" s="47">
        <v>-4.81236</v>
      </c>
    </row>
    <row r="81" spans="1:14" x14ac:dyDescent="0.35">
      <c r="A81" s="2">
        <v>44146</v>
      </c>
      <c r="B81" s="40">
        <v>26.618172000000001</v>
      </c>
      <c r="C81" s="40">
        <v>0.93486309999999995</v>
      </c>
      <c r="D81" s="40">
        <v>1.2423038</v>
      </c>
      <c r="E81" s="40">
        <v>4.5704602999999997</v>
      </c>
      <c r="F81" s="40">
        <v>8.2948450000000005</v>
      </c>
      <c r="G81" s="40">
        <v>12.022913000000001</v>
      </c>
      <c r="H81" s="40">
        <v>-9.8244489999999995</v>
      </c>
      <c r="I81" s="40">
        <v>45.266415000000002</v>
      </c>
      <c r="J81" s="40">
        <v>17.944251999999999</v>
      </c>
      <c r="K81" s="47">
        <v>0.99487305000000004</v>
      </c>
      <c r="L81" s="47">
        <v>17.617629999999998</v>
      </c>
      <c r="M81" s="47">
        <v>21.664417</v>
      </c>
      <c r="N81" s="47">
        <v>-6.6459299999999999</v>
      </c>
    </row>
    <row r="82" spans="1:14" x14ac:dyDescent="0.35">
      <c r="A82" s="2">
        <v>44176</v>
      </c>
      <c r="B82" s="40">
        <v>22.654093</v>
      </c>
      <c r="C82" s="40">
        <v>8.0612899999999996</v>
      </c>
      <c r="D82" s="40">
        <v>8.7195990000000005</v>
      </c>
      <c r="E82" s="40">
        <v>7.3667290000000003</v>
      </c>
      <c r="F82" s="40">
        <v>11.33436</v>
      </c>
      <c r="G82" s="40">
        <v>12.938010999999999</v>
      </c>
      <c r="H82" s="40">
        <v>-8.0412330000000001</v>
      </c>
      <c r="I82" s="40">
        <v>48.359740000000002</v>
      </c>
      <c r="J82" s="40">
        <v>18.790268000000001</v>
      </c>
      <c r="K82" s="47">
        <v>5.1525353999999997</v>
      </c>
      <c r="L82" s="47">
        <v>22.198141</v>
      </c>
      <c r="M82" s="47">
        <v>23.47343</v>
      </c>
      <c r="N82" s="47">
        <v>1.8901587</v>
      </c>
    </row>
    <row r="83" spans="1:14" x14ac:dyDescent="0.35">
      <c r="A83" s="2">
        <v>44207</v>
      </c>
      <c r="B83" s="40">
        <v>21.711123000000001</v>
      </c>
      <c r="C83" s="40">
        <v>9.3755959999999998</v>
      </c>
      <c r="D83" s="40">
        <v>8.3026409999999995</v>
      </c>
      <c r="E83" s="40">
        <v>11.289144</v>
      </c>
      <c r="F83" s="40">
        <v>16.702663000000001</v>
      </c>
      <c r="G83" s="40">
        <v>13.838362999999999</v>
      </c>
      <c r="H83" s="40">
        <v>-6.2669160000000002</v>
      </c>
      <c r="I83" s="40">
        <v>44.972397000000001</v>
      </c>
      <c r="J83" s="40">
        <v>18.478881999999999</v>
      </c>
      <c r="K83" s="47">
        <v>5.4115890000000002</v>
      </c>
      <c r="L83" s="47">
        <v>26.984477999999999</v>
      </c>
      <c r="M83" s="47">
        <v>27.734708999999999</v>
      </c>
      <c r="N83" s="47">
        <v>3.1517148000000001</v>
      </c>
    </row>
    <row r="84" spans="1:14" x14ac:dyDescent="0.35">
      <c r="A84" s="2">
        <v>44238</v>
      </c>
      <c r="B84" s="40">
        <v>19.059775999999999</v>
      </c>
      <c r="C84" s="40">
        <v>12.519765</v>
      </c>
      <c r="D84" s="40">
        <v>10.202301</v>
      </c>
      <c r="E84" s="40">
        <v>14.150917</v>
      </c>
      <c r="F84" s="40">
        <v>20.537673999999999</v>
      </c>
      <c r="G84" s="40">
        <v>9.9404219999999999</v>
      </c>
      <c r="H84" s="40">
        <v>-6.3699960000000004</v>
      </c>
      <c r="I84" s="40">
        <v>45.238148000000002</v>
      </c>
      <c r="J84" s="40">
        <v>18.757462</v>
      </c>
      <c r="K84" s="47">
        <v>6.279528</v>
      </c>
      <c r="L84" s="47">
        <v>33.398353999999998</v>
      </c>
      <c r="M84" s="47">
        <v>26.710785000000001</v>
      </c>
      <c r="N84" s="47">
        <v>4.2209149999999998</v>
      </c>
    </row>
    <row r="85" spans="1:14" x14ac:dyDescent="0.35">
      <c r="A85" s="2">
        <v>44266</v>
      </c>
      <c r="B85" s="40">
        <v>26.797152000000001</v>
      </c>
      <c r="C85" s="40">
        <v>47.653914999999998</v>
      </c>
      <c r="D85" s="40">
        <v>49.737907</v>
      </c>
      <c r="E85" s="40">
        <v>46.960402999999999</v>
      </c>
      <c r="F85" s="40">
        <v>38.623429999999999</v>
      </c>
      <c r="G85" s="40">
        <v>26.029669999999999</v>
      </c>
      <c r="H85" s="40">
        <v>26.944849999999999</v>
      </c>
      <c r="I85" s="40">
        <v>64.075935000000001</v>
      </c>
      <c r="J85" s="40">
        <v>46.165622999999997</v>
      </c>
      <c r="K85" s="47">
        <v>41.965041999999997</v>
      </c>
      <c r="L85" s="47">
        <v>65.87285</v>
      </c>
      <c r="M85" s="47">
        <v>68.168559999999999</v>
      </c>
      <c r="N85" s="47">
        <v>44.874656999999999</v>
      </c>
    </row>
    <row r="86" spans="1:14" x14ac:dyDescent="0.35">
      <c r="A86" s="2">
        <v>44295</v>
      </c>
      <c r="B86" s="40">
        <v>38.204967000000003</v>
      </c>
      <c r="C86" s="40">
        <v>57.05415</v>
      </c>
      <c r="D86" s="40">
        <v>54.997109999999999</v>
      </c>
      <c r="E86" s="40">
        <v>53.651429999999998</v>
      </c>
      <c r="F86" s="40">
        <v>39.943919999999999</v>
      </c>
      <c r="G86" s="40">
        <v>29.537223999999998</v>
      </c>
      <c r="H86" s="40">
        <v>31.933605</v>
      </c>
      <c r="I86" s="40">
        <v>68.880775</v>
      </c>
      <c r="J86" s="40">
        <v>50.297927999999999</v>
      </c>
      <c r="K86" s="47">
        <v>49.798920000000003</v>
      </c>
      <c r="L86" s="47">
        <v>75.711039999999997</v>
      </c>
      <c r="M86" s="47">
        <v>78.848519999999994</v>
      </c>
      <c r="N86" s="47">
        <v>50.167538</v>
      </c>
    </row>
    <row r="87" spans="1:14" x14ac:dyDescent="0.35">
      <c r="A87" s="2">
        <v>44327</v>
      </c>
      <c r="B87" s="40">
        <v>31.661642000000001</v>
      </c>
      <c r="C87" s="40">
        <v>60.420833999999999</v>
      </c>
      <c r="D87" s="40">
        <v>51.870322999999999</v>
      </c>
      <c r="E87" s="40">
        <v>51.507877000000001</v>
      </c>
      <c r="F87" s="40">
        <v>29.751646000000001</v>
      </c>
      <c r="G87" s="40">
        <v>26.731705000000002</v>
      </c>
      <c r="H87" s="40">
        <v>36.510277000000002</v>
      </c>
      <c r="I87" s="40">
        <v>44.285404</v>
      </c>
      <c r="J87" s="40">
        <v>43.894979999999997</v>
      </c>
      <c r="K87" s="47">
        <v>57.025826000000002</v>
      </c>
      <c r="L87" s="47">
        <v>67.059299999999993</v>
      </c>
      <c r="M87" s="47">
        <v>73.839484999999996</v>
      </c>
      <c r="N87" s="47">
        <v>59.429146000000003</v>
      </c>
    </row>
    <row r="88" spans="1:14" x14ac:dyDescent="0.35">
      <c r="A88" s="2">
        <v>44358</v>
      </c>
      <c r="B88" s="40">
        <v>21.244323999999999</v>
      </c>
      <c r="C88" s="40">
        <v>48.581195999999998</v>
      </c>
      <c r="D88" s="40">
        <v>54.187213999999997</v>
      </c>
      <c r="E88" s="40">
        <v>40.235183999999997</v>
      </c>
      <c r="F88" s="40">
        <v>27.318107999999999</v>
      </c>
      <c r="G88" s="40">
        <v>34.390841999999999</v>
      </c>
      <c r="H88" s="40">
        <v>37.132133000000003</v>
      </c>
      <c r="I88" s="40">
        <v>46.726643000000003</v>
      </c>
      <c r="J88" s="40">
        <v>43.426940000000002</v>
      </c>
      <c r="K88" s="47">
        <v>51.161754999999999</v>
      </c>
      <c r="L88" s="47">
        <v>62.910330000000002</v>
      </c>
      <c r="M88" s="47">
        <v>68.848274000000004</v>
      </c>
      <c r="N88" s="47">
        <v>49.774909999999998</v>
      </c>
    </row>
    <row r="89" spans="1:14" x14ac:dyDescent="0.35">
      <c r="A89" s="2">
        <v>44386</v>
      </c>
      <c r="B89" s="40">
        <v>10.754860000000001</v>
      </c>
      <c r="C89" s="40">
        <v>37.603316999999997</v>
      </c>
      <c r="D89" s="40">
        <v>46.558059999999998</v>
      </c>
      <c r="E89" s="40">
        <v>29.494976000000001</v>
      </c>
      <c r="F89" s="40">
        <v>25.662600999999999</v>
      </c>
      <c r="G89" s="40">
        <v>26.042128000000002</v>
      </c>
      <c r="H89" s="40">
        <v>32.492935000000003</v>
      </c>
      <c r="I89" s="40">
        <v>38.476405999999997</v>
      </c>
      <c r="J89" s="40">
        <v>40.612377000000002</v>
      </c>
      <c r="K89" s="47">
        <v>39.728749999999998</v>
      </c>
      <c r="L89" s="47">
        <v>44.115270000000002</v>
      </c>
      <c r="M89" s="47">
        <v>51.862845999999998</v>
      </c>
      <c r="N89" s="47">
        <v>34.666156999999998</v>
      </c>
    </row>
    <row r="90" spans="1:14" x14ac:dyDescent="0.35">
      <c r="A90" s="2">
        <v>44419</v>
      </c>
      <c r="B90" s="40">
        <v>8.5266590000000004</v>
      </c>
      <c r="C90" s="40">
        <v>31.398916</v>
      </c>
      <c r="D90" s="40">
        <v>36.931564000000002</v>
      </c>
      <c r="E90" s="40">
        <v>22.508752999999999</v>
      </c>
      <c r="F90" s="40">
        <v>22.395562999999999</v>
      </c>
      <c r="G90" s="40">
        <v>25.972152999999999</v>
      </c>
      <c r="H90" s="40">
        <v>29.153096999999999</v>
      </c>
      <c r="I90" s="40">
        <v>38.876617000000003</v>
      </c>
      <c r="J90" s="40">
        <v>35.348927000000003</v>
      </c>
      <c r="K90" s="47">
        <v>37.451659999999997</v>
      </c>
      <c r="L90" s="47">
        <v>48.091614</v>
      </c>
      <c r="M90" s="47">
        <v>42.134880000000003</v>
      </c>
      <c r="N90" s="47">
        <v>32.770583999999999</v>
      </c>
    </row>
    <row r="91" spans="1:14" x14ac:dyDescent="0.35">
      <c r="A91" s="2">
        <v>44449</v>
      </c>
      <c r="B91" s="40">
        <v>10.965764999999999</v>
      </c>
      <c r="C91" s="40">
        <v>32.238532999999997</v>
      </c>
      <c r="D91" s="40">
        <v>36.468220000000002</v>
      </c>
      <c r="E91" s="40">
        <v>17.926407000000001</v>
      </c>
      <c r="F91" s="40">
        <v>27.390718</v>
      </c>
      <c r="G91" s="40">
        <v>20.486640000000001</v>
      </c>
      <c r="H91" s="40">
        <v>30.877030000000001</v>
      </c>
      <c r="I91" s="40">
        <v>39.063583000000001</v>
      </c>
      <c r="J91" s="40">
        <v>35.41169</v>
      </c>
      <c r="K91" s="47">
        <v>34.803783000000003</v>
      </c>
      <c r="L91" s="47">
        <v>53.066372000000001</v>
      </c>
      <c r="M91" s="47">
        <v>38.947166000000003</v>
      </c>
      <c r="N91" s="47">
        <v>29.371489</v>
      </c>
    </row>
    <row r="92" spans="1:14" x14ac:dyDescent="0.35">
      <c r="A92" s="2">
        <v>44480</v>
      </c>
      <c r="B92" s="40">
        <v>2.2033572000000001</v>
      </c>
      <c r="C92" s="40">
        <v>25.190199</v>
      </c>
      <c r="D92" s="40">
        <v>33.968879999999999</v>
      </c>
      <c r="E92" s="40">
        <v>10.823274</v>
      </c>
      <c r="F92" s="40">
        <v>15.925598000000001</v>
      </c>
      <c r="G92" s="40">
        <v>14.128304</v>
      </c>
      <c r="H92" s="40">
        <v>27.856646999999999</v>
      </c>
      <c r="I92" s="40">
        <v>26.109539999999999</v>
      </c>
      <c r="J92" s="40">
        <v>27.102982999999998</v>
      </c>
      <c r="K92" s="47">
        <v>30.436575000000001</v>
      </c>
      <c r="L92" s="47">
        <v>34.811079999999997</v>
      </c>
      <c r="M92" s="47">
        <v>25.492882000000002</v>
      </c>
      <c r="N92" s="47">
        <v>29.024733000000001</v>
      </c>
    </row>
    <row r="93" spans="1:14" x14ac:dyDescent="0.35">
      <c r="A93" s="2">
        <v>44511</v>
      </c>
      <c r="B93" s="40">
        <v>-2.8266966</v>
      </c>
      <c r="C93" s="40">
        <v>18.327331999999998</v>
      </c>
      <c r="D93" s="40">
        <v>38.048682999999997</v>
      </c>
      <c r="E93" s="40">
        <v>17.220188</v>
      </c>
      <c r="F93" s="40">
        <v>10.067344</v>
      </c>
      <c r="G93" s="40">
        <v>21.506287</v>
      </c>
      <c r="H93" s="40">
        <v>21.213971999999998</v>
      </c>
      <c r="I93" s="40">
        <v>35.519005</v>
      </c>
      <c r="J93" s="40">
        <v>31.872389999999999</v>
      </c>
      <c r="K93" s="47">
        <v>27.589690999999998</v>
      </c>
      <c r="L93" s="47">
        <v>39.407350000000001</v>
      </c>
      <c r="M93" s="47">
        <v>30.110205000000001</v>
      </c>
      <c r="N93" s="47">
        <v>27.927911999999999</v>
      </c>
    </row>
    <row r="94" spans="1:14" x14ac:dyDescent="0.35">
      <c r="A94" s="2">
        <v>44540</v>
      </c>
      <c r="B94" s="40">
        <v>-10.822701</v>
      </c>
      <c r="C94" s="40">
        <v>8.1683400000000006</v>
      </c>
      <c r="D94" s="40">
        <v>22.643148</v>
      </c>
      <c r="E94" s="40">
        <v>7.7617526000000003</v>
      </c>
      <c r="F94" s="40">
        <v>5.1548360000000004</v>
      </c>
      <c r="G94" s="40">
        <v>20.056056999999999</v>
      </c>
      <c r="H94" s="40">
        <v>14.490890500000001</v>
      </c>
      <c r="I94" s="40">
        <v>32.268810000000002</v>
      </c>
      <c r="J94" s="40">
        <v>30.182456999999999</v>
      </c>
      <c r="K94" s="47">
        <v>19.113613000000001</v>
      </c>
      <c r="L94" s="47">
        <v>23.570309999999999</v>
      </c>
      <c r="M94" s="47">
        <v>20.441675</v>
      </c>
      <c r="N94" s="47">
        <v>13.712776</v>
      </c>
    </row>
    <row r="95" spans="1:14" x14ac:dyDescent="0.35">
      <c r="A95" s="2">
        <v>44572</v>
      </c>
      <c r="B95" s="40">
        <v>-13.511526</v>
      </c>
      <c r="C95" s="40">
        <v>6.4661384000000002</v>
      </c>
      <c r="D95" s="40">
        <v>24.623322000000002</v>
      </c>
      <c r="E95" s="40">
        <v>5.3993583000000003</v>
      </c>
      <c r="F95" s="40">
        <v>-0.32264589999999999</v>
      </c>
      <c r="G95" s="40">
        <v>15.785587</v>
      </c>
      <c r="H95" s="40">
        <v>16.435563999999999</v>
      </c>
      <c r="I95" s="40">
        <v>23.300229999999999</v>
      </c>
      <c r="J95" s="40">
        <v>25.71547</v>
      </c>
      <c r="K95" s="47">
        <v>20.773565000000001</v>
      </c>
      <c r="L95" s="47">
        <v>16.888736999999999</v>
      </c>
      <c r="M95" s="47">
        <v>16.923200000000001</v>
      </c>
      <c r="N95" s="47">
        <v>14.078640999999999</v>
      </c>
    </row>
    <row r="96" spans="1:14" x14ac:dyDescent="0.35">
      <c r="A96" s="2">
        <v>44603</v>
      </c>
      <c r="B96" s="40">
        <v>-17.338526000000002</v>
      </c>
      <c r="C96" s="40">
        <v>-0.93997120000000001</v>
      </c>
      <c r="D96" s="40">
        <v>20.722507</v>
      </c>
      <c r="E96" s="40">
        <v>-1.5378892</v>
      </c>
      <c r="F96" s="40">
        <v>-8.1916274999999992</v>
      </c>
      <c r="G96" s="40">
        <v>9.1832049999999992</v>
      </c>
      <c r="H96" s="40">
        <v>19.584667</v>
      </c>
      <c r="I96" s="40">
        <v>4.2302730000000004</v>
      </c>
      <c r="J96" s="40">
        <v>14.250398000000001</v>
      </c>
      <c r="K96" s="47">
        <v>14.217067</v>
      </c>
      <c r="L96" s="47">
        <v>8.0871579999999998E-2</v>
      </c>
      <c r="M96" s="47">
        <v>1.3579129999999999</v>
      </c>
      <c r="N96" s="47">
        <v>7.3375583000000004</v>
      </c>
    </row>
    <row r="97" spans="1:14" x14ac:dyDescent="0.35">
      <c r="A97" s="2">
        <v>44631</v>
      </c>
      <c r="B97" s="40">
        <v>-13.08403</v>
      </c>
      <c r="C97" s="40">
        <v>1.7098308</v>
      </c>
      <c r="D97" s="40">
        <v>14.490461</v>
      </c>
      <c r="E97" s="40">
        <v>-17.671728000000002</v>
      </c>
      <c r="F97" s="40">
        <v>-12.180096000000001</v>
      </c>
      <c r="G97" s="40">
        <v>4.0564774999999997</v>
      </c>
      <c r="H97" s="40">
        <v>3.9938807000000001</v>
      </c>
      <c r="I97" s="40">
        <v>2.491641</v>
      </c>
      <c r="J97" s="40">
        <v>8.1806549999999998</v>
      </c>
      <c r="K97" s="47">
        <v>-4.5960546000000004</v>
      </c>
      <c r="L97" s="47">
        <v>-14.104062000000001</v>
      </c>
      <c r="M97" s="47">
        <v>-15.792446999999999</v>
      </c>
      <c r="N97" s="47">
        <v>-12.605100999999999</v>
      </c>
    </row>
    <row r="98" spans="1:14" x14ac:dyDescent="0.35">
      <c r="A98" s="2">
        <v>44662</v>
      </c>
      <c r="B98" s="40">
        <v>-12.960106</v>
      </c>
      <c r="C98" s="40">
        <v>8.1363090000000007</v>
      </c>
      <c r="D98" s="40">
        <v>14.995480000000001</v>
      </c>
      <c r="E98" s="40">
        <v>-18.944804999999999</v>
      </c>
      <c r="F98" s="40">
        <v>-14.293336999999999</v>
      </c>
      <c r="G98" s="40">
        <v>9.9973200000000002</v>
      </c>
      <c r="H98" s="40">
        <v>10.118687</v>
      </c>
      <c r="I98" s="40">
        <v>1.6089559</v>
      </c>
      <c r="J98" s="40">
        <v>8.325386</v>
      </c>
      <c r="K98" s="47">
        <v>-1.6381562000000001</v>
      </c>
      <c r="L98" s="47">
        <v>-14.925069000000001</v>
      </c>
      <c r="M98" s="47">
        <v>-14.402132999999999</v>
      </c>
      <c r="N98" s="47">
        <v>-5.9242010000000001</v>
      </c>
    </row>
    <row r="99" spans="1:14" x14ac:dyDescent="0.35">
      <c r="A99" s="2">
        <v>44692</v>
      </c>
      <c r="B99" s="40">
        <v>-25.857341999999999</v>
      </c>
      <c r="C99" s="40">
        <v>-8.1853569999999998</v>
      </c>
      <c r="D99" s="40">
        <v>-1.9816697000000001</v>
      </c>
      <c r="E99" s="40">
        <v>-25.343316999999999</v>
      </c>
      <c r="F99" s="40">
        <v>-17.785357999999999</v>
      </c>
      <c r="G99" s="40">
        <v>-5.6534170000000001</v>
      </c>
      <c r="H99" s="40">
        <v>-3.9551020000000001</v>
      </c>
      <c r="I99" s="40">
        <v>-9.8560095000000008</v>
      </c>
      <c r="J99" s="40">
        <v>-3.9247692000000001</v>
      </c>
      <c r="K99" s="47">
        <v>-12.189781</v>
      </c>
      <c r="L99" s="47">
        <v>-24.227547000000001</v>
      </c>
      <c r="M99" s="47">
        <v>-25.134636</v>
      </c>
      <c r="N99" s="47">
        <v>-15.534490999999999</v>
      </c>
    </row>
    <row r="100" spans="1:14" x14ac:dyDescent="0.35">
      <c r="A100" s="2">
        <v>44722</v>
      </c>
      <c r="B100" s="40">
        <v>-24.374669999999998</v>
      </c>
      <c r="C100" s="40">
        <v>-11.347616</v>
      </c>
      <c r="D100" s="40">
        <v>-2.3698807</v>
      </c>
      <c r="E100" s="40">
        <v>-27.290289999999999</v>
      </c>
      <c r="F100" s="40">
        <v>-18.492858999999999</v>
      </c>
      <c r="G100" s="40">
        <v>-15.384740000000001</v>
      </c>
      <c r="H100" s="40">
        <v>-3.6018848000000001</v>
      </c>
      <c r="I100" s="40">
        <v>-14.725161</v>
      </c>
      <c r="J100" s="40">
        <v>-6.7623195999999997</v>
      </c>
      <c r="K100" s="47">
        <v>-14.872372</v>
      </c>
      <c r="L100" s="47">
        <v>-25.249928000000001</v>
      </c>
      <c r="M100" s="47">
        <v>-26.689630000000001</v>
      </c>
      <c r="N100" s="47">
        <v>-21.457280000000001</v>
      </c>
    </row>
    <row r="101" spans="1:14" x14ac:dyDescent="0.35">
      <c r="A101" s="2">
        <v>44753</v>
      </c>
      <c r="B101" s="40">
        <v>-26.098483999999999</v>
      </c>
      <c r="C101" s="40">
        <v>-15.003735000000001</v>
      </c>
      <c r="D101" s="40">
        <v>-8.8785229999999995</v>
      </c>
      <c r="E101" s="40">
        <v>-34.459133000000001</v>
      </c>
      <c r="F101" s="40">
        <v>-20.767396999999999</v>
      </c>
      <c r="G101" s="40">
        <v>-14.690346</v>
      </c>
      <c r="H101" s="40">
        <v>-8.0422399999999996</v>
      </c>
      <c r="I101" s="40">
        <v>-19.491440000000001</v>
      </c>
      <c r="J101" s="40">
        <v>-10.5193615</v>
      </c>
      <c r="K101" s="47">
        <v>-18.928509999999999</v>
      </c>
      <c r="L101" s="47">
        <v>-28.530508000000001</v>
      </c>
      <c r="M101" s="47">
        <v>-32.128197</v>
      </c>
      <c r="N101" s="47">
        <v>-24.542475</v>
      </c>
    </row>
    <row r="102" spans="1:14" x14ac:dyDescent="0.35">
      <c r="A102" s="2">
        <v>44784</v>
      </c>
      <c r="B102" s="40">
        <v>-17.142272999999999</v>
      </c>
      <c r="C102" s="40">
        <v>-7.0118245999999997</v>
      </c>
      <c r="D102" s="40">
        <v>-3.1326233999999999</v>
      </c>
      <c r="E102" s="40">
        <v>-28.481214999999999</v>
      </c>
      <c r="F102" s="40">
        <v>-16.115062999999999</v>
      </c>
      <c r="G102" s="40">
        <v>-11.324787000000001</v>
      </c>
      <c r="H102" s="40">
        <v>-3.4049928</v>
      </c>
      <c r="I102" s="40">
        <v>-11.013251</v>
      </c>
      <c r="J102" s="40">
        <v>-4.011965</v>
      </c>
      <c r="K102" s="47">
        <v>-12.590260000000001</v>
      </c>
      <c r="L102" s="47">
        <v>-24.079014000000001</v>
      </c>
      <c r="M102" s="47">
        <v>-26.010334</v>
      </c>
      <c r="N102" s="47">
        <v>-21.667141000000001</v>
      </c>
    </row>
    <row r="103" spans="1:14" x14ac:dyDescent="0.35">
      <c r="A103" s="2">
        <v>44813</v>
      </c>
      <c r="B103" s="40">
        <v>-22.733889999999999</v>
      </c>
      <c r="C103" s="40">
        <v>-7.9918680000000002</v>
      </c>
      <c r="D103" s="40">
        <v>-5.0531683000000003</v>
      </c>
      <c r="E103" s="40">
        <v>-32.484200000000001</v>
      </c>
      <c r="F103" s="40">
        <v>-25.503195000000002</v>
      </c>
      <c r="G103" s="40">
        <v>-14.36016</v>
      </c>
      <c r="H103" s="40">
        <v>-6.2338829999999996</v>
      </c>
      <c r="I103" s="40">
        <v>-18.6249</v>
      </c>
      <c r="J103" s="40">
        <v>-8.1485029999999998</v>
      </c>
      <c r="K103" s="47">
        <v>-17.543310000000002</v>
      </c>
      <c r="L103" s="47">
        <v>-32.938479999999998</v>
      </c>
      <c r="M103" s="47">
        <v>-31.514894000000002</v>
      </c>
      <c r="N103" s="47">
        <v>-23.757719999999999</v>
      </c>
    </row>
    <row r="104" spans="1:14" x14ac:dyDescent="0.35">
      <c r="A104" s="2">
        <v>44845</v>
      </c>
      <c r="B104" s="40">
        <v>-32.247996999999998</v>
      </c>
      <c r="C104" s="40">
        <v>-17.646104999999999</v>
      </c>
      <c r="D104" s="40">
        <v>-17.40532</v>
      </c>
      <c r="E104" s="40">
        <v>-36.777749999999997</v>
      </c>
      <c r="F104" s="40">
        <v>-26.293056</v>
      </c>
      <c r="G104" s="40">
        <v>-20.218342</v>
      </c>
      <c r="H104" s="40">
        <v>-17.163122000000001</v>
      </c>
      <c r="I104" s="40">
        <v>-26.231324999999998</v>
      </c>
      <c r="J104" s="40">
        <v>-16.454065</v>
      </c>
      <c r="K104" s="47">
        <v>-23.329317</v>
      </c>
      <c r="L104" s="47">
        <v>-37.688859999999998</v>
      </c>
      <c r="M104" s="47">
        <v>-36.030769999999997</v>
      </c>
      <c r="N104" s="47">
        <v>-29.566061000000001</v>
      </c>
    </row>
    <row r="105" spans="1:14" x14ac:dyDescent="0.35">
      <c r="A105" s="2">
        <v>44876</v>
      </c>
      <c r="B105" s="40">
        <v>-24.119658000000001</v>
      </c>
      <c r="C105" s="40">
        <v>-5.5944976999999998</v>
      </c>
      <c r="D105" s="40">
        <v>-9.3813060000000004</v>
      </c>
      <c r="E105" s="40">
        <v>-24.239391000000001</v>
      </c>
      <c r="F105" s="40">
        <v>-18.624656999999999</v>
      </c>
      <c r="G105" s="40">
        <v>-12.918925</v>
      </c>
      <c r="H105" s="40">
        <v>-6.810397</v>
      </c>
      <c r="I105" s="40">
        <v>-25.818407000000001</v>
      </c>
      <c r="J105" s="40">
        <v>-12.768345999999999</v>
      </c>
      <c r="K105" s="47">
        <v>-12.714994000000001</v>
      </c>
      <c r="L105" s="47">
        <v>-26.896626000000001</v>
      </c>
      <c r="M105" s="47">
        <v>-25.260179999999998</v>
      </c>
      <c r="N105" s="47">
        <v>-15.555531</v>
      </c>
    </row>
    <row r="106" spans="1:14" x14ac:dyDescent="0.35">
      <c r="A106" s="2">
        <v>44904</v>
      </c>
      <c r="B106" s="40">
        <v>-13.236737</v>
      </c>
      <c r="C106" s="40">
        <v>-1.6259729999999999</v>
      </c>
      <c r="D106" s="40">
        <v>-9.262556</v>
      </c>
      <c r="E106" s="40">
        <v>-19.230174999999999</v>
      </c>
      <c r="F106" s="40">
        <v>-17.252289999999999</v>
      </c>
      <c r="G106" s="40">
        <v>-14.3558445</v>
      </c>
      <c r="H106" s="40">
        <v>-0.14573336000000001</v>
      </c>
      <c r="I106" s="40">
        <v>-27.922893999999999</v>
      </c>
      <c r="J106" s="40">
        <v>-14.389431</v>
      </c>
      <c r="K106" s="47">
        <v>-8.5081939999999996</v>
      </c>
      <c r="L106" s="47">
        <v>-19.519901000000001</v>
      </c>
      <c r="M106" s="47">
        <v>-22.220504999999999</v>
      </c>
      <c r="N106" s="47">
        <v>-11.833095999999999</v>
      </c>
    </row>
    <row r="107" spans="1:14" x14ac:dyDescent="0.35">
      <c r="A107" s="2">
        <v>44937</v>
      </c>
      <c r="B107" s="40">
        <v>-12.364185000000001</v>
      </c>
      <c r="C107" s="40">
        <v>-0.71244240000000003</v>
      </c>
      <c r="D107" s="40">
        <v>-9.9122520000000005</v>
      </c>
      <c r="E107" s="40">
        <v>-15.322018</v>
      </c>
      <c r="F107" s="40">
        <v>-16.658342000000001</v>
      </c>
      <c r="G107" s="40">
        <v>-12.091726</v>
      </c>
      <c r="H107" s="40">
        <v>-3.3174275999999998</v>
      </c>
      <c r="I107" s="40">
        <v>-27.533829000000001</v>
      </c>
      <c r="J107" s="40">
        <v>-14.432202999999999</v>
      </c>
      <c r="K107" s="47">
        <v>-6.3555419999999998</v>
      </c>
      <c r="L107" s="47">
        <v>-14.48062</v>
      </c>
      <c r="M107" s="47">
        <v>-20.48856</v>
      </c>
      <c r="N107" s="47">
        <v>-8.579599</v>
      </c>
    </row>
    <row r="108" spans="1:14" x14ac:dyDescent="0.35">
      <c r="A108" s="2">
        <v>44967</v>
      </c>
      <c r="B108" s="40">
        <v>-4.3887080000000003</v>
      </c>
      <c r="C108" s="40">
        <v>6.3409209999999998</v>
      </c>
      <c r="D108" s="40">
        <v>-6.7945840000000004</v>
      </c>
      <c r="E108" s="40">
        <v>-11.199135</v>
      </c>
      <c r="F108" s="40">
        <v>-8.7794249999999998</v>
      </c>
      <c r="G108" s="40">
        <v>-7.6659439999999996</v>
      </c>
      <c r="H108" s="40">
        <v>-3.357774</v>
      </c>
      <c r="I108" s="40">
        <v>-15.771079</v>
      </c>
      <c r="J108" s="40">
        <v>-7.7097774000000001</v>
      </c>
      <c r="K108" s="47">
        <v>-2.3639559999999999</v>
      </c>
      <c r="L108" s="47">
        <v>-8.7666690000000003</v>
      </c>
      <c r="M108" s="47">
        <v>-13.809562</v>
      </c>
      <c r="N108" s="47">
        <v>-3.7998080000000001</v>
      </c>
    </row>
    <row r="109" spans="1:14" x14ac:dyDescent="0.35">
      <c r="A109" s="2">
        <v>44995</v>
      </c>
      <c r="B109" s="40">
        <v>-11.30147</v>
      </c>
      <c r="C109" s="40">
        <v>-5.0464989999999998</v>
      </c>
      <c r="D109" s="40">
        <v>-13.22946</v>
      </c>
      <c r="E109" s="40">
        <v>5.0114869999999998</v>
      </c>
      <c r="F109" s="40">
        <v>-3.4236789000000001</v>
      </c>
      <c r="G109" s="40">
        <v>-4.4069586000000003</v>
      </c>
      <c r="H109" s="40">
        <v>2.903378</v>
      </c>
      <c r="I109" s="40">
        <v>-12.2559185</v>
      </c>
      <c r="J109" s="40">
        <v>-7.8244866999999996</v>
      </c>
      <c r="K109" s="47">
        <v>13.574446</v>
      </c>
      <c r="L109" s="47">
        <v>3.4733295000000002</v>
      </c>
      <c r="M109" s="47">
        <v>-3.9682029999999999</v>
      </c>
      <c r="N109" s="47">
        <v>13.878655</v>
      </c>
    </row>
    <row r="110" spans="1:14" x14ac:dyDescent="0.35">
      <c r="A110" s="2">
        <v>45027</v>
      </c>
      <c r="B110" s="40">
        <v>-5.9229729999999998</v>
      </c>
      <c r="C110" s="40">
        <v>-6.899953</v>
      </c>
      <c r="D110" s="40">
        <v>-9.8755059999999997</v>
      </c>
      <c r="E110" s="40">
        <v>8.0680010000000006</v>
      </c>
      <c r="F110" s="40">
        <v>0.13016462000000001</v>
      </c>
      <c r="G110" s="40">
        <v>-5.1957490000000002</v>
      </c>
      <c r="H110" s="40">
        <v>1.2521982</v>
      </c>
      <c r="I110" s="40">
        <v>-6.6423297000000003</v>
      </c>
      <c r="J110" s="40">
        <v>-5.2752020000000002</v>
      </c>
      <c r="K110" s="47">
        <v>15.983008999999999</v>
      </c>
      <c r="L110" s="47">
        <v>6.5557720000000002</v>
      </c>
      <c r="M110" s="47">
        <v>-3.8875340999999999</v>
      </c>
      <c r="N110" s="47">
        <v>12.148714</v>
      </c>
    </row>
    <row r="111" spans="1:14" x14ac:dyDescent="0.35">
      <c r="A111" s="2">
        <v>45057</v>
      </c>
      <c r="B111" s="40">
        <v>10.498512</v>
      </c>
      <c r="C111" s="40">
        <v>3.9765953999999999</v>
      </c>
      <c r="D111" s="40">
        <v>1.4872789</v>
      </c>
      <c r="E111" s="40">
        <v>18.326008000000002</v>
      </c>
      <c r="F111" s="40">
        <v>11.106038</v>
      </c>
      <c r="G111" s="40">
        <v>14.476132</v>
      </c>
      <c r="H111" s="40">
        <v>12.076783000000001</v>
      </c>
      <c r="I111" s="40">
        <v>12.628961</v>
      </c>
      <c r="J111" s="40">
        <v>6.7255140000000004</v>
      </c>
      <c r="K111" s="47">
        <v>26.966094999999999</v>
      </c>
      <c r="L111" s="47">
        <v>19.645596000000001</v>
      </c>
      <c r="M111" s="47">
        <v>12.335944</v>
      </c>
      <c r="N111" s="47">
        <v>23.104668</v>
      </c>
    </row>
    <row r="112" spans="1:14" x14ac:dyDescent="0.35">
      <c r="A112" s="2">
        <v>45086</v>
      </c>
      <c r="B112" s="40">
        <v>3.7522196999999999</v>
      </c>
      <c r="C112" s="40">
        <v>0.85567236000000002</v>
      </c>
      <c r="D112" s="40">
        <v>-5.5985569999999996</v>
      </c>
      <c r="E112" s="40">
        <v>11.408984999999999</v>
      </c>
      <c r="F112" s="40">
        <v>12.542152</v>
      </c>
      <c r="G112" s="40">
        <v>11.12628</v>
      </c>
      <c r="H112" s="40">
        <v>5.2681922999999999</v>
      </c>
      <c r="I112" s="40">
        <v>19.309593</v>
      </c>
      <c r="J112" s="40">
        <v>8.917332</v>
      </c>
      <c r="K112" s="47">
        <v>17.667925</v>
      </c>
      <c r="L112" s="47">
        <v>13.539516000000001</v>
      </c>
      <c r="M112" s="47">
        <v>3.5046816000000001</v>
      </c>
      <c r="N112" s="47">
        <v>18.269575</v>
      </c>
    </row>
    <row r="113" spans="1:14" x14ac:dyDescent="0.35">
      <c r="A113" s="2">
        <v>45118</v>
      </c>
      <c r="B113" s="40">
        <v>11.596560500000001</v>
      </c>
      <c r="C113" s="40">
        <v>11.540305999999999</v>
      </c>
      <c r="D113" s="40">
        <v>6.1199783999999999</v>
      </c>
      <c r="E113" s="40">
        <v>31.639241999999999</v>
      </c>
      <c r="F113" s="40">
        <v>17.748259999999998</v>
      </c>
      <c r="G113" s="40">
        <v>13.635826</v>
      </c>
      <c r="H113" s="40">
        <v>12.732087999999999</v>
      </c>
      <c r="I113" s="40">
        <v>28.287196999999999</v>
      </c>
      <c r="J113" s="40">
        <v>17.05265</v>
      </c>
      <c r="K113" s="47">
        <v>34.251044999999998</v>
      </c>
      <c r="L113" s="47">
        <v>29.265726000000001</v>
      </c>
      <c r="M113" s="47">
        <v>16.607272999999999</v>
      </c>
      <c r="N113" s="47">
        <v>42.416297999999998</v>
      </c>
    </row>
    <row r="114" spans="1:14" x14ac:dyDescent="0.35">
      <c r="A114" s="2">
        <v>45149</v>
      </c>
      <c r="B114" s="40">
        <v>-3.9346158999999998</v>
      </c>
      <c r="C114" s="40">
        <v>0.22882222999999999</v>
      </c>
      <c r="D114" s="40">
        <v>-0.17054676999999999</v>
      </c>
      <c r="E114" s="40">
        <v>20.431746</v>
      </c>
      <c r="F114" s="40">
        <v>10.038399999999999</v>
      </c>
      <c r="G114" s="40">
        <v>8.5724944999999995</v>
      </c>
      <c r="H114" s="40">
        <v>8.1256029999999999</v>
      </c>
      <c r="I114" s="40">
        <v>13.81681</v>
      </c>
      <c r="J114" s="40">
        <v>7.8582882999999999</v>
      </c>
      <c r="K114" s="47">
        <v>20.992172</v>
      </c>
      <c r="L114" s="47">
        <v>14.380062000000001</v>
      </c>
      <c r="M114" s="47">
        <v>0.98692179999999996</v>
      </c>
      <c r="N114" s="47">
        <v>31.808674</v>
      </c>
    </row>
    <row r="115" spans="1:14" x14ac:dyDescent="0.35">
      <c r="A115" s="2">
        <v>45180</v>
      </c>
      <c r="B115" s="40">
        <v>-5.7162046000000002</v>
      </c>
      <c r="C115" s="40">
        <v>2.39439</v>
      </c>
      <c r="D115" s="40">
        <v>0.9576559</v>
      </c>
      <c r="E115" s="40">
        <v>25.793683999999999</v>
      </c>
      <c r="F115" s="40">
        <v>18.521667000000001</v>
      </c>
      <c r="G115" s="40">
        <v>11.176359</v>
      </c>
      <c r="H115" s="40">
        <v>12.925409999999999</v>
      </c>
      <c r="I115" s="40">
        <v>23.632885000000002</v>
      </c>
      <c r="J115" s="40">
        <v>12.110222</v>
      </c>
      <c r="K115" s="47">
        <v>26.083970000000001</v>
      </c>
      <c r="L115" s="47">
        <v>16.570830999999998</v>
      </c>
      <c r="M115" s="47">
        <v>8.3431610000000003</v>
      </c>
      <c r="N115" s="47">
        <v>37.960563999999998</v>
      </c>
    </row>
    <row r="116" spans="1:14" x14ac:dyDescent="0.35">
      <c r="A116" s="2">
        <v>45210</v>
      </c>
      <c r="B116" s="40">
        <v>12.784183499999999</v>
      </c>
      <c r="C116" s="40">
        <v>14.949154999999999</v>
      </c>
      <c r="D116" s="40">
        <v>13.326157</v>
      </c>
      <c r="E116" s="40">
        <v>37.473999999999997</v>
      </c>
      <c r="F116" s="40">
        <v>23.705805000000002</v>
      </c>
      <c r="G116" s="40">
        <v>23.362850000000002</v>
      </c>
      <c r="H116" s="40">
        <v>28.268277999999999</v>
      </c>
      <c r="I116" s="40">
        <v>42.244495000000001</v>
      </c>
      <c r="J116" s="40">
        <v>23.905241</v>
      </c>
      <c r="K116" s="47">
        <v>35.554589999999997</v>
      </c>
      <c r="L116" s="47">
        <v>30.964518000000002</v>
      </c>
      <c r="M116" s="47">
        <v>26.747381000000001</v>
      </c>
      <c r="N116" s="47">
        <v>48.445847000000001</v>
      </c>
    </row>
    <row r="117" spans="1:14" x14ac:dyDescent="0.35">
      <c r="A117" s="2">
        <v>45240</v>
      </c>
      <c r="B117" s="40">
        <v>-1.2876570000000001</v>
      </c>
      <c r="C117" s="40">
        <v>-0.62798259999999995</v>
      </c>
      <c r="D117" s="40">
        <v>-1.6509354000000001</v>
      </c>
      <c r="E117" s="40">
        <v>12.240290999999999</v>
      </c>
      <c r="F117" s="40">
        <v>13.295436</v>
      </c>
      <c r="G117" s="40">
        <v>4.7749160000000002</v>
      </c>
      <c r="H117" s="40">
        <v>7.8094599999999996</v>
      </c>
      <c r="I117" s="40">
        <v>34.736072999999998</v>
      </c>
      <c r="J117" s="40">
        <v>13.409720999999999</v>
      </c>
      <c r="K117" s="47">
        <v>13.845646</v>
      </c>
      <c r="L117" s="47">
        <v>11.475682000000001</v>
      </c>
      <c r="M117" s="47">
        <v>0.26730300000000001</v>
      </c>
      <c r="N117" s="47">
        <v>21.054659999999998</v>
      </c>
    </row>
    <row r="118" spans="1:14" x14ac:dyDescent="0.35">
      <c r="A118" s="2">
        <v>45271</v>
      </c>
      <c r="B118" s="40">
        <v>-4.6298209999999997</v>
      </c>
      <c r="C118" s="40">
        <v>2.1749258</v>
      </c>
      <c r="D118" s="40">
        <v>6.3604592999999996</v>
      </c>
      <c r="E118" s="40">
        <v>18.160855999999999</v>
      </c>
      <c r="F118" s="40">
        <v>15.322255999999999</v>
      </c>
      <c r="G118" s="40">
        <v>10.203707</v>
      </c>
      <c r="H118" s="40">
        <v>6.9157359999999999</v>
      </c>
      <c r="I118" s="40">
        <v>41.190193000000001</v>
      </c>
      <c r="J118" s="40">
        <v>19.339096000000001</v>
      </c>
      <c r="K118" s="47">
        <v>17.03124</v>
      </c>
      <c r="L118" s="47">
        <v>12.969386999999999</v>
      </c>
      <c r="M118" s="47">
        <v>11.871575999999999</v>
      </c>
      <c r="N118" s="47">
        <v>26.91412</v>
      </c>
    </row>
    <row r="119" spans="1:14" x14ac:dyDescent="0.35">
      <c r="A119" s="2">
        <v>45302</v>
      </c>
      <c r="B119" s="40">
        <v>-0.93510747000000005</v>
      </c>
      <c r="C119" s="40">
        <v>5.3249360000000001</v>
      </c>
      <c r="D119" s="40">
        <v>8.3983539999999994</v>
      </c>
      <c r="E119" s="40">
        <v>9.824586</v>
      </c>
      <c r="F119" s="40">
        <v>21.736467000000001</v>
      </c>
      <c r="G119" s="40">
        <v>10.093951000000001</v>
      </c>
      <c r="H119" s="40">
        <v>6.4078093000000003</v>
      </c>
      <c r="I119" s="40">
        <v>48.503135999999998</v>
      </c>
      <c r="J119" s="40">
        <v>22.280204999999999</v>
      </c>
      <c r="K119" s="47">
        <v>10.364819000000001</v>
      </c>
      <c r="L119" s="47">
        <v>7.7935100000000004</v>
      </c>
      <c r="M119" s="47">
        <v>10.302234</v>
      </c>
      <c r="N119" s="47">
        <v>20.041143000000002</v>
      </c>
    </row>
    <row r="120" spans="1:14" x14ac:dyDescent="0.35">
      <c r="A120" s="2">
        <v>45331</v>
      </c>
      <c r="B120" s="40">
        <v>-6.625718</v>
      </c>
      <c r="C120" s="40">
        <v>1.2912034999999999</v>
      </c>
      <c r="D120" s="40">
        <v>6.0671210000000002</v>
      </c>
      <c r="E120" s="40">
        <v>6.9153665999999996</v>
      </c>
      <c r="F120" s="40">
        <v>17.747295000000001</v>
      </c>
      <c r="G120" s="40">
        <v>6.5644980000000004</v>
      </c>
      <c r="H120" s="40">
        <v>3.5190462999999998</v>
      </c>
      <c r="I120" s="40">
        <v>45.870220000000003</v>
      </c>
      <c r="J120" s="40">
        <v>25.002611000000002</v>
      </c>
      <c r="K120" s="47">
        <v>8.9891799999999993</v>
      </c>
      <c r="L120" s="47">
        <v>14.585436</v>
      </c>
      <c r="M120" s="47">
        <v>8.2196829999999999</v>
      </c>
      <c r="N120" s="47">
        <v>15.485358</v>
      </c>
    </row>
    <row r="121" spans="1:14" x14ac:dyDescent="0.35">
      <c r="A121" s="2">
        <v>45362</v>
      </c>
      <c r="B121" s="40">
        <v>-0.81038474999999999</v>
      </c>
      <c r="C121" s="40">
        <v>14.084614</v>
      </c>
      <c r="D121" s="40">
        <v>17.497205999999998</v>
      </c>
      <c r="E121" s="40">
        <v>16.790175999999999</v>
      </c>
      <c r="F121" s="40">
        <v>25.183689999999999</v>
      </c>
      <c r="G121" s="40">
        <v>15.631031999999999</v>
      </c>
      <c r="H121" s="40">
        <v>10.301674</v>
      </c>
      <c r="I121" s="40">
        <v>52.626465000000003</v>
      </c>
      <c r="J121" s="40">
        <v>34.515155999999998</v>
      </c>
      <c r="K121" s="47">
        <v>16.893374999999999</v>
      </c>
      <c r="L121" s="47">
        <v>24.171054999999999</v>
      </c>
      <c r="M121" s="47">
        <v>24.119198000000001</v>
      </c>
      <c r="N121" s="47">
        <v>28.177773999999999</v>
      </c>
    </row>
    <row r="122" spans="1:14" x14ac:dyDescent="0.35">
      <c r="A122" s="2">
        <v>45393</v>
      </c>
      <c r="B122">
        <v>-5.7315589999999998</v>
      </c>
      <c r="C122">
        <v>8.9093920000000004</v>
      </c>
      <c r="D122">
        <v>10.811925</v>
      </c>
      <c r="E122">
        <v>10.641408</v>
      </c>
      <c r="F122">
        <v>23.492705999999998</v>
      </c>
      <c r="G122">
        <v>2.1126746999999999</v>
      </c>
      <c r="H122">
        <v>7.2466492999999996</v>
      </c>
      <c r="I122">
        <v>41.954376000000003</v>
      </c>
      <c r="J122">
        <v>28.269504999999999</v>
      </c>
      <c r="K122" s="47">
        <v>8.183325</v>
      </c>
      <c r="L122" s="47">
        <v>19.446860999999998</v>
      </c>
      <c r="M122" s="47">
        <v>14.28504</v>
      </c>
      <c r="N122" s="47">
        <v>21.576107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-32.247996999999998</v>
      </c>
      <c r="C126" s="40" cm="1">
        <f t="array" ref="C126">MIN(_xlfn._xlws.FILTER(C2:C122, ISNUMBER(C2:C122)))</f>
        <v>-25.985997999999999</v>
      </c>
      <c r="D126" s="40" cm="1">
        <f t="array" ref="D126">MIN(_xlfn._xlws.FILTER(D2:D122, ISNUMBER(D2:D122)))</f>
        <v>-26.906717</v>
      </c>
      <c r="E126" s="40" cm="1">
        <f t="array" ref="E126">MIN(_xlfn._xlws.FILTER(E2:E122, ISNUMBER(E2:E122)))</f>
        <v>-36.777749999999997</v>
      </c>
      <c r="F126" s="40" cm="1">
        <f t="array" ref="F126">MIN(_xlfn._xlws.FILTER(F2:F122, ISNUMBER(F2:F122)))</f>
        <v>-26.293056</v>
      </c>
      <c r="G126" s="40" cm="1">
        <f t="array" ref="G126">MIN(_xlfn._xlws.FILTER(G2:G122, ISNUMBER(G2:G122)))</f>
        <v>-20.218342</v>
      </c>
      <c r="H126" s="40" cm="1">
        <f t="array" ref="H126">MIN(_xlfn._xlws.FILTER(H2:H122, ISNUMBER(H2:H122)))</f>
        <v>-22.542137</v>
      </c>
      <c r="I126" s="40" cm="1">
        <f t="array" ref="I126">MIN(_xlfn._xlws.FILTER(I2:I122, ISNUMBER(I2:I122)))</f>
        <v>-27.922893999999999</v>
      </c>
      <c r="J126" s="40" cm="1">
        <f t="array" ref="J126">MIN(_xlfn._xlws.FILTER(J2:J122, ISNUMBER(J2:J122)))</f>
        <v>-16.454065</v>
      </c>
      <c r="K126" s="40" cm="1">
        <f t="array" ref="K126">MIN(_xlfn._xlws.FILTER(K2:K122, ISNUMBER(K2:K122)))</f>
        <v>-23.329317</v>
      </c>
      <c r="L126" s="40" cm="1">
        <f t="array" ref="L126">MIN(_xlfn._xlws.FILTER(L2:L122, ISNUMBER(L2:L122)))</f>
        <v>-37.688859999999998</v>
      </c>
      <c r="M126" s="40" cm="1">
        <f t="array" ref="M126">MIN(_xlfn._xlws.FILTER(M2:M122, ISNUMBER(M2:M122)))</f>
        <v>-36.030769999999997</v>
      </c>
      <c r="N126" s="40" cm="1">
        <f t="array" ref="N126">MIN(_xlfn._xlws.FILTER(N2:N122, ISNUMBER(N2:N122)))</f>
        <v>-29.566061000000001</v>
      </c>
    </row>
    <row r="127" spans="1:14" x14ac:dyDescent="0.35">
      <c r="A127" s="2" t="s">
        <v>393</v>
      </c>
      <c r="B127" s="42" cm="1">
        <f t="array" ref="B127">MAX(_xlfn._xlws.FILTER(B1:B122, ISNUMBER(B1:B122)))</f>
        <v>53.034652999999999</v>
      </c>
      <c r="C127" s="42" cm="1">
        <f t="array" ref="C127">MAX(_xlfn._xlws.FILTER(C1:C122, ISNUMBER(C1:C122)))</f>
        <v>60.420833999999999</v>
      </c>
      <c r="D127" s="42" cm="1">
        <f t="array" ref="D127">MAX(_xlfn._xlws.FILTER(D1:D122, ISNUMBER(D1:D122)))</f>
        <v>54.997109999999999</v>
      </c>
      <c r="E127" s="42" cm="1">
        <f t="array" ref="E127">MAX(_xlfn._xlws.FILTER(E1:E122, ISNUMBER(E1:E122)))</f>
        <v>53.651429999999998</v>
      </c>
      <c r="F127" s="42" cm="1">
        <f t="array" ref="F127">MAX(_xlfn._xlws.FILTER(F1:F122, ISNUMBER(F1:F122)))</f>
        <v>39.943919999999999</v>
      </c>
      <c r="G127" s="42" cm="1">
        <f t="array" ref="G127">MAX(_xlfn._xlws.FILTER(G1:G122, ISNUMBER(G1:G122)))</f>
        <v>34.390841999999999</v>
      </c>
      <c r="H127" s="42" cm="1">
        <f t="array" ref="H127">MAX(_xlfn._xlws.FILTER(H1:H122, ISNUMBER(H1:H122)))</f>
        <v>37.132133000000003</v>
      </c>
      <c r="I127" s="42" cm="1">
        <f t="array" ref="I127">MAX(_xlfn._xlws.FILTER(I1:I122, ISNUMBER(I1:I122)))</f>
        <v>68.880775</v>
      </c>
      <c r="J127" s="42" cm="1">
        <f t="array" ref="J127">MAX(_xlfn._xlws.FILTER(J1:J122, ISNUMBER(J1:J122)))</f>
        <v>50.297927999999999</v>
      </c>
      <c r="K127" s="42" cm="1">
        <f t="array" ref="K127">MAX(_xlfn._xlws.FILTER(K1:K122, ISNUMBER(K1:K122)))</f>
        <v>57.025826000000002</v>
      </c>
      <c r="L127" s="42" cm="1">
        <f t="array" ref="L127">MAX(_xlfn._xlws.FILTER(L1:L122, ISNUMBER(L1:L122)))</f>
        <v>75.711039999999997</v>
      </c>
      <c r="M127" s="42" cm="1">
        <f t="array" ref="M127">MAX(_xlfn._xlws.FILTER(M1:M122, ISNUMBER(M1:M122)))</f>
        <v>78.848519999999994</v>
      </c>
      <c r="N127" s="42" cm="1">
        <f t="array" ref="N127">MAX(_xlfn._xlws.FILTER(N1:N122, ISNUMBER(N1:N122)))</f>
        <v>59.429146000000003</v>
      </c>
    </row>
    <row r="128" spans="1:14" x14ac:dyDescent="0.35">
      <c r="A128" s="2" t="s">
        <v>394</v>
      </c>
      <c r="B128" s="40" cm="1">
        <f t="array" ref="B128">MEDIAN(_xlfn._xlws.FILTER(B1:B122, ISNUMBER(B1:B122)))</f>
        <v>7.8054309999999996</v>
      </c>
      <c r="C128" s="40" cm="1">
        <f t="array" ref="C128">MEDIAN(_xlfn._xlws.FILTER(C1:C122, ISNUMBER(C1:C122)))</f>
        <v>2.39439</v>
      </c>
      <c r="D128" s="40" cm="1">
        <f t="array" ref="D128">MEDIAN(_xlfn._xlws.FILTER(D1:D122, ISNUMBER(D1:D122)))</f>
        <v>4.0280339999999999</v>
      </c>
      <c r="E128" s="40" cm="1">
        <f t="array" ref="E128">MEDIAN(_xlfn._xlws.FILTER(E1:E122, ISNUMBER(E1:E122)))</f>
        <v>2.2453189999999998</v>
      </c>
      <c r="F128" s="40" cm="1">
        <f t="array" ref="F128">MEDIAN(_xlfn._xlws.FILTER(F1:F122, ISNUMBER(F1:F122)))</f>
        <v>7.3044896000000001</v>
      </c>
      <c r="G128" s="40" cm="1">
        <f t="array" ref="G128">MEDIAN(_xlfn._xlws.FILTER(G1:G122, ISNUMBER(G1:G122)))</f>
        <v>6.8524479999999999</v>
      </c>
      <c r="H128" s="40" cm="1">
        <f t="array" ref="H128">MEDIAN(_xlfn._xlws.FILTER(H1:H122, ISNUMBER(H1:H122)))</f>
        <v>0.48751830000000002</v>
      </c>
      <c r="I128" s="40" cm="1">
        <f t="array" ref="I128">MEDIAN(_xlfn._xlws.FILTER(I1:I122, ISNUMBER(I1:I122)))</f>
        <v>22.285544999999999</v>
      </c>
      <c r="J128" s="40" cm="1">
        <f t="array" ref="J128">MEDIAN(_xlfn._xlws.FILTER(J1:J122, ISNUMBER(J1:J122)))</f>
        <v>13.922404999999999</v>
      </c>
      <c r="K128" s="40" cm="1">
        <f t="array" ref="K128">MEDIAN(_xlfn._xlws.FILTER(K1:K122, ISNUMBER(K1:K122)))</f>
        <v>5.0943255000000001</v>
      </c>
      <c r="L128" s="40" cm="1">
        <f t="array" ref="L128">MEDIAN(_xlfn._xlws.FILTER(L1:L122, ISNUMBER(L1:L122)))</f>
        <v>7.2993160000000001</v>
      </c>
      <c r="M128" s="40" cm="1">
        <f t="array" ref="M128">MEDIAN(_xlfn._xlws.FILTER(M1:M122, ISNUMBER(M1:M122)))</f>
        <v>1.3579129999999999</v>
      </c>
      <c r="N128" s="40" cm="1">
        <f t="array" ref="N128">MEDIAN(_xlfn._xlws.FILTER(N1:N122, ISNUMBER(N1:N122)))</f>
        <v>3.1409859999999998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18</v>
      </c>
      <c r="C130">
        <f>COUNTIF(C2:C122, "&lt;"&amp;Assumption!$F$50)</f>
        <v>18</v>
      </c>
      <c r="D130">
        <f>COUNTIF(D2:D122, "&lt;"&amp;Assumption!$F$50)</f>
        <v>17</v>
      </c>
      <c r="E130">
        <f>COUNTIF(E2:E122, "&lt;"&amp;Assumption!$F$50)</f>
        <v>32</v>
      </c>
      <c r="F130">
        <f>COUNTIF(F2:F122, "&lt;"&amp;Assumption!$F$50)</f>
        <v>14</v>
      </c>
      <c r="G130">
        <f>COUNTIF(G2:G122, "&lt;"&amp;Assumption!$F$50)</f>
        <v>13</v>
      </c>
      <c r="H130">
        <f>COUNTIF(H2:H122, "&lt;"&amp;Assumption!$F$50)</f>
        <v>18</v>
      </c>
      <c r="I130">
        <f>COUNTIF(I2:I122, "&lt;"&amp;Assumption!$F$50)</f>
        <v>10</v>
      </c>
      <c r="J130">
        <f>COUNTIF(J2:J122, "&lt;"&amp;Assumption!$F$50)</f>
        <v>5</v>
      </c>
      <c r="K130">
        <f>COUNTIF(K2:K122, "&lt;"&amp;Assumption!$F$50)</f>
        <v>17</v>
      </c>
      <c r="L130">
        <f>COUNTIF(L2:L122, "&lt;"&amp;Assumption!$F$50)</f>
        <v>14</v>
      </c>
      <c r="M130">
        <f>COUNTIF(M2:M122, "&lt;"&amp;Assumption!$F$50)</f>
        <v>22</v>
      </c>
      <c r="N130">
        <f>COUNTIF(N2:N122, "&lt;"&amp;Assumption!$F$50)</f>
        <v>37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0.1487603305785124</v>
      </c>
      <c r="C133" s="9">
        <f t="shared" si="2"/>
        <v>0.1487603305785124</v>
      </c>
      <c r="D133" s="9">
        <f t="shared" si="2"/>
        <v>0.14049586776859505</v>
      </c>
      <c r="E133" s="9">
        <f t="shared" si="2"/>
        <v>0.26446280991735538</v>
      </c>
      <c r="F133" s="9">
        <f t="shared" si="2"/>
        <v>0.11570247933884298</v>
      </c>
      <c r="G133" s="9">
        <f t="shared" si="2"/>
        <v>0.10743801652892562</v>
      </c>
      <c r="H133" s="9">
        <f t="shared" si="2"/>
        <v>0.1487603305785124</v>
      </c>
      <c r="I133" s="9">
        <f t="shared" si="2"/>
        <v>8.2644628099173556E-2</v>
      </c>
      <c r="J133" s="9">
        <f t="shared" si="2"/>
        <v>4.1322314049586778E-2</v>
      </c>
      <c r="K133" s="9">
        <f t="shared" ref="K133:N133" si="3">K130/K131</f>
        <v>0.14049586776859505</v>
      </c>
      <c r="L133" s="9">
        <f t="shared" si="3"/>
        <v>0.11570247933884298</v>
      </c>
      <c r="M133" s="9">
        <f t="shared" si="3"/>
        <v>0.18181818181818182</v>
      </c>
      <c r="N133" s="9">
        <f t="shared" si="3"/>
        <v>0.30578512396694213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0.188</v>
      </c>
      <c r="C136" s="40" cm="1">
        <f t="array" ref="C136">_xlfn.PERCENTRANK.EXC(_xlfn._xlws.FILTER(C2:C122, ISNUMBER(C2:C122)),C120)</f>
        <v>0.46700000000000003</v>
      </c>
      <c r="D136" s="40" cm="1">
        <f t="array" ref="D136">_xlfn.PERCENTRANK.EXC(_xlfn._xlws.FILTER(D2:D122, ISNUMBER(D2:D122)),D120)</f>
        <v>0.54900000000000004</v>
      </c>
      <c r="E136" s="40" cm="1">
        <f t="array" ref="E136">_xlfn.PERCENTRANK.EXC(_xlfn._xlws.FILTER(E2:E122, ISNUMBER(E2:E122)),E120)</f>
        <v>0.54</v>
      </c>
      <c r="F136" s="40" cm="1">
        <f t="array" ref="F136">_xlfn.PERCENTRANK.EXC(_xlfn._xlws.FILTER(F2:F122, ISNUMBER(F2:F122)),F120)</f>
        <v>0.81100000000000005</v>
      </c>
      <c r="G136" s="40" cm="1">
        <f t="array" ref="G136">_xlfn.PERCENTRANK.EXC(_xlfn._xlws.FILTER(G2:G122, ISNUMBER(G2:G122)),G120)</f>
        <v>0.47499999999999998</v>
      </c>
      <c r="H136" s="40" cm="1">
        <f t="array" ref="H136">_xlfn.PERCENTRANK.EXC(_xlfn._xlws.FILTER(H2:H122, ISNUMBER(H2:H122)),H120)</f>
        <v>0.54</v>
      </c>
      <c r="I136" s="40" cm="1">
        <f t="array" ref="I136">_xlfn.PERCENTRANK.EXC(_xlfn._xlws.FILTER(I2:I122, ISNUMBER(I2:I122)),I120)</f>
        <v>0.93400000000000005</v>
      </c>
      <c r="J136" s="40" cm="1">
        <f t="array" ref="J136">_xlfn.PERCENTRANK.EXC(_xlfn._xlws.FILTER(J2:J122, ISNUMBER(J2:J122)),J120)</f>
        <v>0.86</v>
      </c>
      <c r="K136" s="40" cm="1">
        <f t="array" ref="K136">_xlfn.PERCENTRANK.EXC(_xlfn._xlws.FILTER(K2:K122, ISNUMBER(K2:K122)),K120)</f>
        <v>0.57299999999999995</v>
      </c>
      <c r="L136" s="40" cm="1">
        <f t="array" ref="L136">_xlfn.PERCENTRANK.EXC(_xlfn._xlws.FILTER(L2:L122, ISNUMBER(L2:L122)),L120)</f>
        <v>0.622</v>
      </c>
      <c r="M136" s="40" cm="1">
        <f t="array" ref="M136">_xlfn.PERCENTRANK.EXC(_xlfn._xlws.FILTER(M2:M122, ISNUMBER(M2:M122)),M120)</f>
        <v>0.58099999999999996</v>
      </c>
      <c r="N136" s="40" cm="1">
        <f t="array" ref="N136">_xlfn.PERCENTRANK.EXC(_xlfn._xlws.FILTER(N2:N122, ISNUMBER(N2:N122)),N120)</f>
        <v>0.64700000000000002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0.32700000000000001</v>
      </c>
      <c r="C137" s="40" cm="1">
        <f t="array" ref="C137">_xlfn.PERCENTRANK.EXC(_xlfn._xlws.FILTER(C2:C122, ISNUMBER(C2:C122)),C121)</f>
        <v>0.76200000000000001</v>
      </c>
      <c r="D137" s="40" cm="1">
        <f t="array" ref="D137">_xlfn.PERCENTRANK.EXC(_xlfn._xlws.FILTER(D2:D122, ISNUMBER(D2:D122)),D121)</f>
        <v>0.81100000000000005</v>
      </c>
      <c r="E137" s="40" cm="1">
        <f t="array" ref="E137">_xlfn.PERCENTRANK.EXC(_xlfn._xlws.FILTER(E2:E122, ISNUMBER(E2:E122)),E121)</f>
        <v>0.72099999999999997</v>
      </c>
      <c r="F137" s="40" cm="1">
        <f t="array" ref="F137">_xlfn.PERCENTRANK.EXC(_xlfn._xlws.FILTER(F2:F122, ISNUMBER(F2:F122)),F121)</f>
        <v>0.93400000000000005</v>
      </c>
      <c r="G137" s="40" cm="1">
        <f t="array" ref="G137">_xlfn.PERCENTRANK.EXC(_xlfn._xlws.FILTER(G2:G122, ISNUMBER(G2:G122)),G121)</f>
        <v>0.77</v>
      </c>
      <c r="H137" s="40" cm="1">
        <f t="array" ref="H137">_xlfn.PERCENTRANK.EXC(_xlfn._xlws.FILTER(H2:H122, ISNUMBER(H2:H122)),H121)</f>
        <v>0.69599999999999995</v>
      </c>
      <c r="I137" s="40" cm="1">
        <f t="array" ref="I137">_xlfn.PERCENTRANK.EXC(_xlfn._xlws.FILTER(I2:I122, ISNUMBER(I2:I122)),I121)</f>
        <v>0.96699999999999997</v>
      </c>
      <c r="J137" s="40" cm="1">
        <f t="array" ref="J137">_xlfn.PERCENTRANK.EXC(_xlfn._xlws.FILTER(J2:J122, ISNUMBER(J2:J122)),J121)</f>
        <v>0.93400000000000005</v>
      </c>
      <c r="K137" s="40" cm="1">
        <f t="array" ref="K137">_xlfn.PERCENTRANK.EXC(_xlfn._xlws.FILTER(K2:K122, ISNUMBER(K2:K122)),K121)</f>
        <v>0.68799999999999994</v>
      </c>
      <c r="L137" s="40" cm="1">
        <f t="array" ref="L137">_xlfn.PERCENTRANK.EXC(_xlfn._xlws.FILTER(L2:L122, ISNUMBER(L2:L122)),L121)</f>
        <v>0.78600000000000003</v>
      </c>
      <c r="M137" s="40" cm="1">
        <f t="array" ref="M137">_xlfn.PERCENTRANK.EXC(_xlfn._xlws.FILTER(M2:M122, ISNUMBER(M2:M122)),M121)</f>
        <v>0.83599999999999997</v>
      </c>
      <c r="N137" s="40" cm="1">
        <f t="array" ref="N137">_xlfn.PERCENTRANK.EXC(_xlfn._xlws.FILTER(N2:N122, ISNUMBER(N2:N122)),N121)</f>
        <v>0.77800000000000002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0.221</v>
      </c>
      <c r="C138" s="40" cm="1">
        <f t="array" ref="C138">_xlfn.PERCENTRANK.EXC(_xlfn._xlws.FILTER(C2:C122, ISNUMBER(C2:C122)),C122)</f>
        <v>0.63100000000000001</v>
      </c>
      <c r="D138" s="40" cm="1">
        <f t="array" ref="D138">_xlfn.PERCENTRANK.EXC(_xlfn._xlws.FILTER(D2:D122, ISNUMBER(D2:D122)),D122)</f>
        <v>0.69599999999999995</v>
      </c>
      <c r="E138" s="40" cm="1">
        <f t="array" ref="E138">_xlfn.PERCENTRANK.EXC(_xlfn._xlws.FILTER(E2:E122, ISNUMBER(E2:E122)),E122)</f>
        <v>0.60599999999999998</v>
      </c>
      <c r="F138" s="40" cm="1">
        <f t="array" ref="F138">_xlfn.PERCENTRANK.EXC(_xlfn._xlws.FILTER(F2:F122, ISNUMBER(F2:F122)),F122)</f>
        <v>0.90900000000000003</v>
      </c>
      <c r="G138" s="40" cm="1">
        <f t="array" ref="G138">_xlfn.PERCENTRANK.EXC(_xlfn._xlws.FILTER(G2:G122, ISNUMBER(G2:G122)),G122)</f>
        <v>0.33600000000000002</v>
      </c>
      <c r="H138" s="40" cm="1">
        <f t="array" ref="H138">_xlfn.PERCENTRANK.EXC(_xlfn._xlws.FILTER(H2:H122, ISNUMBER(H2:H122)),H122)</f>
        <v>0.60599999999999998</v>
      </c>
      <c r="I138" s="40" cm="1">
        <f t="array" ref="I138">_xlfn.PERCENTRANK.EXC(_xlfn._xlws.FILTER(I2:I122, ISNUMBER(I2:I122)),I122)</f>
        <v>0.877</v>
      </c>
      <c r="J138" s="40" cm="1">
        <f t="array" ref="J138">_xlfn.PERCENTRANK.EXC(_xlfn._xlws.FILTER(J2:J122, ISNUMBER(J2:J122)),J122)</f>
        <v>0.90900000000000003</v>
      </c>
      <c r="K138" s="40" cm="1">
        <f t="array" ref="K138">_xlfn.PERCENTRANK.EXC(_xlfn._xlws.FILTER(K2:K122, ISNUMBER(K2:K122)),K122)</f>
        <v>0.56499999999999995</v>
      </c>
      <c r="L138" s="40" cm="1">
        <f t="array" ref="L138">_xlfn.PERCENTRANK.EXC(_xlfn._xlws.FILTER(L2:L122, ISNUMBER(L2:L122)),L122)</f>
        <v>0.69599999999999995</v>
      </c>
      <c r="M138" s="40" cm="1">
        <f t="array" ref="M138">_xlfn.PERCENTRANK.EXC(_xlfn._xlws.FILTER(M2:M122, ISNUMBER(M2:M122)),M122)</f>
        <v>0.69599999999999995</v>
      </c>
      <c r="N138" s="40" cm="1">
        <f t="array" ref="N138">_xlfn.PERCENTRANK.EXC(_xlfn._xlws.FILTER(N2:N122, ISNUMBER(N2:N122)),N122)</f>
        <v>0.72099999999999997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0.24533333333333332</v>
      </c>
      <c r="C140" s="40">
        <f t="shared" si="4"/>
        <v>0.62</v>
      </c>
      <c r="D140" s="40">
        <f t="shared" si="4"/>
        <v>0.68533333333333335</v>
      </c>
      <c r="E140" s="40">
        <f t="shared" si="4"/>
        <v>0.62233333333333329</v>
      </c>
      <c r="F140" s="40">
        <f t="shared" si="4"/>
        <v>0.8846666666666666</v>
      </c>
      <c r="G140" s="40">
        <f t="shared" si="4"/>
        <v>0.52700000000000002</v>
      </c>
      <c r="H140" s="40">
        <f t="shared" si="4"/>
        <v>0.61399999999999999</v>
      </c>
      <c r="I140" s="40">
        <f t="shared" si="4"/>
        <v>0.92600000000000005</v>
      </c>
      <c r="J140" s="40">
        <f t="shared" si="4"/>
        <v>0.90100000000000013</v>
      </c>
      <c r="K140" s="40">
        <f t="shared" ref="K140:N140" si="5">AVERAGE(K136:K138)</f>
        <v>0.60866666666666658</v>
      </c>
      <c r="L140" s="40">
        <f t="shared" si="5"/>
        <v>0.70133333333333336</v>
      </c>
      <c r="M140" s="40">
        <f t="shared" si="5"/>
        <v>0.70433333333333314</v>
      </c>
      <c r="N140" s="40">
        <f t="shared" si="5"/>
        <v>0.71533333333333327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4.0763823095442904</v>
      </c>
      <c r="G17">
        <v>2.2808425238276202</v>
      </c>
      <c r="H17">
        <v>2.5348579496144801</v>
      </c>
      <c r="I17">
        <v>9.3523184569568905</v>
      </c>
      <c r="J17">
        <v>17.700856311779798</v>
      </c>
      <c r="K17">
        <v>2.1970597171427402</v>
      </c>
      <c r="L17">
        <v>1.99085797419876</v>
      </c>
      <c r="M17">
        <v>2.0450009050115598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1.9799060817604801</v>
      </c>
      <c r="F18">
        <v>3.67789541888801</v>
      </c>
      <c r="G18">
        <v>2.36864078670768</v>
      </c>
      <c r="H18">
        <v>2.0346384136804501</v>
      </c>
      <c r="I18">
        <v>10.4260783076313</v>
      </c>
      <c r="J18">
        <v>16.639789285107799</v>
      </c>
      <c r="K18">
        <v>1.8511361201588501</v>
      </c>
      <c r="L18">
        <v>2.00892945351409</v>
      </c>
      <c r="M18">
        <v>2.2138152779134601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2.4494951252375601</v>
      </c>
      <c r="F19">
        <v>4.6161385640635704</v>
      </c>
      <c r="G19">
        <v>2.66234515884581</v>
      </c>
      <c r="H19">
        <v>2.7142722466617202</v>
      </c>
      <c r="I19">
        <v>13.6402697494705</v>
      </c>
      <c r="J19">
        <v>22.2491594462169</v>
      </c>
      <c r="K19">
        <v>2.4608179863490802</v>
      </c>
      <c r="L19">
        <v>2.4360180766850199</v>
      </c>
      <c r="M19">
        <v>2.4898156522320498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2.3638879515072899</v>
      </c>
      <c r="F20">
        <v>4.4608954259927902</v>
      </c>
      <c r="G20">
        <v>2.5838872063229701</v>
      </c>
      <c r="H20">
        <v>3.1276012084365901</v>
      </c>
      <c r="I20">
        <v>12.7503134568906</v>
      </c>
      <c r="J20">
        <v>22.9378272462545</v>
      </c>
      <c r="K20">
        <v>2.8026547594435298</v>
      </c>
      <c r="L20">
        <v>2.4294142549840898</v>
      </c>
      <c r="M20">
        <v>2.5641957434624398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2.65680492825543</v>
      </c>
      <c r="F21">
        <v>4.5654755845121597</v>
      </c>
      <c r="G21">
        <v>2.86429657456778</v>
      </c>
      <c r="H21">
        <v>3.00279789751534</v>
      </c>
      <c r="I21">
        <v>16.3242202004236</v>
      </c>
      <c r="J21">
        <v>24.315375028433699</v>
      </c>
      <c r="K21">
        <v>2.9207261342803501</v>
      </c>
      <c r="L21">
        <v>2.9556075040921299</v>
      </c>
      <c r="M21">
        <v>2.51009258700133</v>
      </c>
      <c r="N21">
        <v>3.81180346997282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2.829167218053974E-2</v>
      </c>
      <c r="F25" s="48" cm="1">
        <f t="array" ref="F25">(F21/INDEX(F2:F21,MATCH(TRUE,INDEX(ISNUMBER(F2:F21),0),0)))^(1/F23)-1</f>
        <v>2.4097093275216253E-2</v>
      </c>
      <c r="G25" s="48" cm="1">
        <f t="array" ref="G25">(G21/INDEX(G2:G21,MATCH(TRUE,INDEX(ISNUMBER(G2:G21),0),0)))^(1/G23)-1</f>
        <v>4.6608631187242899E-2</v>
      </c>
      <c r="H25" s="48" cm="1">
        <f t="array" ref="H25">(H21/INDEX(H2:H21,MATCH(TRUE,INDEX(ISNUMBER(H2:H21),0),0)))^(1/H23)-1</f>
        <v>3.7126015866522089E-3</v>
      </c>
      <c r="I25" s="48" cm="1">
        <f t="array" ref="I25">(I21/INDEX(I2:I21,MATCH(TRUE,INDEX(ISNUMBER(I2:I21),0),0)))^(1/I23)-1</f>
        <v>0.1298893227578648</v>
      </c>
      <c r="J25" s="48" cm="1">
        <f t="array" ref="J25">(J21/INDEX(J2:J21,MATCH(TRUE,INDEX(ISNUMBER(J2:J21),0),0)))^(1/J23)-1</f>
        <v>5.9820135432536281E-2</v>
      </c>
      <c r="K25" s="48" cm="1">
        <f t="array" ref="K25">(K21/INDEX(K2:K21,MATCH(TRUE,INDEX(ISNUMBER(K2:K21),0),0)))^(1/K23)-1</f>
        <v>1.8533725345370788E-2</v>
      </c>
      <c r="L25" s="48" cm="1">
        <f t="array" ref="L25">(L21/INDEX(L2:L21,MATCH(TRUE,INDEX(ISNUMBER(L2:L21),0),0)))^(1/L23)-1</f>
        <v>3.4801405278536146E-2</v>
      </c>
      <c r="M25" s="48" cm="1">
        <f t="array" ref="M25">(M21/INDEX(M2:M21,MATCH(TRUE,INDEX(ISNUMBER(M2:M21),0),0)))^(1/M23)-1</f>
        <v>2.4305006380541672E-2</v>
      </c>
      <c r="N25" s="48" cm="1">
        <f t="array" ref="N25">(N21/INDEX(N2:N21,MATCH(TRUE,INDEX(ISNUMBER(N2:N21),0),0)))^(1/N23)-1</f>
        <v>9.2744046638129074E-3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1.6737801999999999</v>
      </c>
      <c r="E3" cm="1">
        <f t="array" ref="E3">_xll.FDSB(B3,"FG_PRICE_CHANGE(0,-1AY)")</f>
        <v>3.7827373</v>
      </c>
      <c r="F3" cm="1">
        <f t="array" ref="F3">_xll.FDSB(B3,"FG_PRICE_CHANGE(0,-1AM)")</f>
        <v>3.2303929999999998</v>
      </c>
      <c r="G3" cm="1">
        <f t="array" ref="G3">_xll.FDSB(B3,"FG_PRICE_CHANGE(0,-3AM)")</f>
        <v>4.0003419999999998</v>
      </c>
      <c r="H3" cm="1">
        <f t="array" ref="H3">_xll.FDSB(B3,"FG_PRICE_CHANGE(0,-6AM)")</f>
        <v>0.90384483000000004</v>
      </c>
      <c r="I3" cm="1">
        <f t="array" ref="I3">_xll.FDS(B3,"STD(FG_PRICE_CHANGE(0,-1AY,AM))")</f>
        <v>2.23716144863632</v>
      </c>
      <c r="J3" cm="1">
        <f t="array" ref="J3">_xll.FDS(B3,"STD(FG_PRICE_CHANGE(0,-3AY,M))")*SQRT(12)</f>
        <v>12.104759385949304</v>
      </c>
      <c r="L3">
        <f>(1-(_xlfn.PERCENTRANK.EXC($F$3:$F$15,F3)))*100</f>
        <v>35.799999999999997</v>
      </c>
      <c r="M3">
        <f>(1-(_xlfn.PERCENTRANK.EXC($G$3:$G$15,G3)))*100</f>
        <v>35.799999999999997</v>
      </c>
      <c r="N3">
        <f>(1-(_xlfn.PERCENTRANK.EXC($H$3:$H$15,H3)))*100</f>
        <v>35.799999999999997</v>
      </c>
      <c r="O3">
        <f>SUMPRODUCT($L$1:$N$1,L3:N3)</f>
        <v>35.799999999999997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21.479999999999997</v>
      </c>
      <c r="U3" cm="1">
        <f t="array" ref="U3">_xlfn.PERCENTRANK.EXC(_xlfn._xlws.FILTER(S$3:S$15, ISNUMBER(S$3:S$15)),S3)*100</f>
        <v>7.1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1.5343306000000001</v>
      </c>
      <c r="E4" cm="1">
        <f t="array" ref="E4">_xll.FDSB(B4,"FG_PRICE_CHANGE(0,-1AY)")</f>
        <v>2.0943641999999998</v>
      </c>
      <c r="F4" cm="1">
        <f t="array" ref="F4">_xll.FDSB(B4,"FG_PRICE_CHANGE(0,-1AM)")</f>
        <v>1.3885616999999999</v>
      </c>
      <c r="G4" cm="1">
        <f t="array" ref="G4">_xll.FDSB(B4,"FG_PRICE_CHANGE(0,-3AM)")</f>
        <v>2.1940947</v>
      </c>
      <c r="H4" cm="1">
        <f t="array" ref="H4">_xll.FDSB(B4,"FG_PRICE_CHANGE(0,-6AM)")</f>
        <v>-1.549679</v>
      </c>
      <c r="I4" cm="1">
        <f t="array" ref="I4">_xll.FDS(B4,"STD(FG_PRICE_CHANGE(0,-1AY,AM))")</f>
        <v>1.6051574313266499</v>
      </c>
      <c r="J4" cm="1">
        <f t="array" ref="J4">_xll.FDS(B4,"STD(FG_PRICE_CHANGE(0,-3AY,M))")*SQRT(12)</f>
        <v>10.643886249374736</v>
      </c>
      <c r="L4">
        <f t="shared" ref="L4:L15" si="1">(1-(_xlfn.PERCENTRANK.EXC($F$3:$F$15,F4)))*100</f>
        <v>71.500000000000014</v>
      </c>
      <c r="M4">
        <f t="shared" ref="M4:M15" si="2">(1-(_xlfn.PERCENTRANK.EXC($G$3:$G$15,G4)))*100</f>
        <v>57.2</v>
      </c>
      <c r="N4">
        <f t="shared" ref="N4:N15" si="3">(1-(_xlfn.PERCENTRANK.EXC($H$3:$H$15,H4)))*100</f>
        <v>85.8</v>
      </c>
      <c r="O4">
        <f t="shared" ref="O4:O11" si="4">SUMPRODUCT($L$1:$N$1,L4:N4)</f>
        <v>71.5</v>
      </c>
      <c r="P4">
        <f t="shared" ref="P4:P15" si="5">100- (_xlfn.PERCENTRANK.EXC($J$3:$J$15,J4)*100)</f>
        <v>14.299999999999997</v>
      </c>
      <c r="Q4">
        <f>VLOOKUP(A4,CAD!$A$3:$J$15, 10, FALSE)</f>
        <v>50</v>
      </c>
      <c r="S4">
        <f t="shared" si="0"/>
        <v>50.04</v>
      </c>
      <c r="U4" cm="1">
        <f t="array" ref="U4">_xlfn.PERCENTRANK.EXC(_xlfn._xlws.FILTER(S$3:S$15, ISNUMBER(S$3:S$15)),S4)*100</f>
        <v>42.8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1.37175</v>
      </c>
      <c r="E5" cm="1">
        <f t="array" ref="E5">_xll.FDSB(B5,"FG_PRICE_CHANGE(0,-1AY)")</f>
        <v>1.6977428999999999</v>
      </c>
      <c r="F5" cm="1">
        <f t="array" ref="F5">_xll.FDSB(B5,"FG_PRICE_CHANGE(0,-1AM)")</f>
        <v>1.7052769999999999</v>
      </c>
      <c r="G5" cm="1">
        <f t="array" ref="G5">_xll.FDSB(B5,"FG_PRICE_CHANGE(0,-3AM)")</f>
        <v>2.1445273999999999</v>
      </c>
      <c r="H5" cm="1">
        <f t="array" ref="H5">_xll.FDSB(B5,"FG_PRICE_CHANGE(0,-6AM)")</f>
        <v>0.94189643999999995</v>
      </c>
      <c r="I5" cm="1">
        <f t="array" ref="I5">_xll.FDS(B5,"STD(FG_PRICE_CHANGE(0,-1AY,AM))")</f>
        <v>1.2943285630618599</v>
      </c>
      <c r="J5" cm="1">
        <f t="array" ref="J5">_xll.FDS(B5,"STD(FG_PRICE_CHANGE(0,-3AY,M))")*SQRT(12)</f>
        <v>6.5081744955497411</v>
      </c>
      <c r="L5">
        <f t="shared" si="1"/>
        <v>64.3</v>
      </c>
      <c r="M5">
        <f t="shared" si="2"/>
        <v>64.3</v>
      </c>
      <c r="N5">
        <f t="shared" si="3"/>
        <v>28.6</v>
      </c>
      <c r="O5">
        <f t="shared" si="4"/>
        <v>50.019999999999996</v>
      </c>
      <c r="P5">
        <f t="shared" si="5"/>
        <v>71.5</v>
      </c>
      <c r="Q5">
        <f>VLOOKUP(A5,CAD!$A$3:$J$15, 10, FALSE)</f>
        <v>42.8</v>
      </c>
      <c r="S5">
        <f t="shared" si="0"/>
        <v>55.019999999999996</v>
      </c>
      <c r="U5" cm="1">
        <f t="array" ref="U5">_xlfn.PERCENTRANK.EXC(_xlfn._xlws.FILTER(S$3:S$15, ISNUMBER(S$3:S$15)),S5)*100</f>
        <v>50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0.93409929999999997</v>
      </c>
      <c r="E6" cm="1">
        <f t="array" ref="E6">_xll.FDSB(B6,"FG_PRICE_CHANGE(0,-1AY)")</f>
        <v>1.9335865999999999</v>
      </c>
      <c r="F6" cm="1">
        <f t="array" ref="F6">_xll.FDSB(B6,"FG_PRICE_CHANGE(0,-1AM)")</f>
        <v>2.0737052</v>
      </c>
      <c r="G6" cm="1">
        <f t="array" ref="G6">_xll.FDSB(B6,"FG_PRICE_CHANGE(0,-3AM)")</f>
        <v>2.2511839999999999</v>
      </c>
      <c r="H6" cm="1">
        <f t="array" ref="H6">_xll.FDSB(B6,"FG_PRICE_CHANGE(0,-6AM)")</f>
        <v>-0.76595544999999998</v>
      </c>
      <c r="I6" cm="1">
        <f t="array" ref="I6">_xll.FDS(B6,"STD(FG_PRICE_CHANGE(0,-1AY,AM))")</f>
        <v>1.55531215144208</v>
      </c>
      <c r="J6" cm="1">
        <f t="array" ref="J6">_xll.FDS(B6,"STD(FG_PRICE_CHANGE(0,-3AY,M))")*SQRT(12)</f>
        <v>7.6997282271489738</v>
      </c>
      <c r="L6">
        <f t="shared" si="1"/>
        <v>57.2</v>
      </c>
      <c r="M6">
        <f t="shared" si="2"/>
        <v>50</v>
      </c>
      <c r="N6">
        <f t="shared" si="3"/>
        <v>71.500000000000014</v>
      </c>
      <c r="O6">
        <f t="shared" si="4"/>
        <v>60.040000000000006</v>
      </c>
      <c r="P6">
        <f t="shared" si="5"/>
        <v>57.2</v>
      </c>
      <c r="Q6">
        <f>VLOOKUP(A6,CAD!$A$3:$J$15, 10, FALSE)</f>
        <v>78.5</v>
      </c>
      <c r="S6">
        <f t="shared" si="0"/>
        <v>62.88000000000001</v>
      </c>
      <c r="U6" cm="1">
        <f t="array" ref="U6">_xlfn.PERCENTRANK.EXC(_xlfn._xlws.FILTER(S$3:S$15, ISNUMBER(S$3:S$15)),S6)*100</f>
        <v>71.399999999999991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153.285</v>
      </c>
      <c r="E7" cm="1">
        <f t="array" ref="E7">_xll.FDSB(B7,"FG_PRICE_CHANGE(0,-1AY)")</f>
        <v>14.79013</v>
      </c>
      <c r="F7" cm="1">
        <f t="array" ref="F7">_xll.FDSB(B7,"FG_PRICE_CHANGE(0,-1AM)")</f>
        <v>4.3749212999999996</v>
      </c>
      <c r="G7" cm="1">
        <f t="array" ref="G7">_xll.FDSB(B7,"FG_PRICE_CHANGE(0,-3AM)")</f>
        <v>5.0184965000000004</v>
      </c>
      <c r="H7" cm="1">
        <f t="array" ref="H7">_xll.FDSB(B7,"FG_PRICE_CHANGE(0,-6AM)")</f>
        <v>2.7758240000000001</v>
      </c>
      <c r="I7" cm="1">
        <f t="array" ref="I7">_xll.FDS(B7,"STD(FG_PRICE_CHANGE(0,-1AY,AM))")</f>
        <v>2.1468574038664601</v>
      </c>
      <c r="J7" cm="1">
        <f t="array" ref="J7">_xll.FDS(B7,"STD(FG_PRICE_CHANGE(0,-3AY,M))")*SQRT(12)</f>
        <v>10.459790823943123</v>
      </c>
      <c r="L7">
        <f t="shared" si="1"/>
        <v>14.3</v>
      </c>
      <c r="M7">
        <f t="shared" si="2"/>
        <v>21.499999999999996</v>
      </c>
      <c r="N7">
        <f t="shared" si="3"/>
        <v>7.1999999999999957</v>
      </c>
      <c r="O7">
        <f t="shared" si="4"/>
        <v>14.34</v>
      </c>
      <c r="P7">
        <f t="shared" si="5"/>
        <v>21.5</v>
      </c>
      <c r="Q7">
        <f>VLOOKUP(A7,CAD!$A$3:$J$15, 10, FALSE)</f>
        <v>64.2</v>
      </c>
      <c r="S7">
        <f t="shared" si="0"/>
        <v>26.46</v>
      </c>
      <c r="U7" cm="1">
        <f t="array" ref="U7">_xlfn.PERCENTRANK.EXC(_xlfn._xlws.FILTER(S$3:S$15, ISNUMBER(S$3:S$15)),S7)*100</f>
        <v>14.2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0.9113</v>
      </c>
      <c r="E8" cm="1">
        <f t="array" ref="E8">_xll.FDSB(B8,"FG_PRICE_CHANGE(0,-1AY)")</f>
        <v>0.8242488</v>
      </c>
      <c r="F8" cm="1">
        <f t="array" ref="F8">_xll.FDSB(B8,"FG_PRICE_CHANGE(0,-1AM)")</f>
        <v>3.763163</v>
      </c>
      <c r="G8" cm="1">
        <f t="array" ref="G8">_xll.FDSB(B8,"FG_PRICE_CHANGE(0,-3AM)")</f>
        <v>6.5785646</v>
      </c>
      <c r="H8" cm="1">
        <f t="array" ref="H8">_xll.FDSB(B8,"FG_PRICE_CHANGE(0,-6AM)")</f>
        <v>0.99185705000000002</v>
      </c>
      <c r="I8" cm="1">
        <f t="array" ref="I8">_xll.FDS(B8,"STD(FG_PRICE_CHANGE(0,-1AY,AM))")</f>
        <v>2.0245152577879599</v>
      </c>
      <c r="J8" cm="1">
        <f t="array" ref="J8">_xll.FDS(B8,"STD(FG_PRICE_CHANGE(0,-3AY,M))")*SQRT(12)</f>
        <v>8.6260856080919428</v>
      </c>
      <c r="L8">
        <f t="shared" si="1"/>
        <v>28.6</v>
      </c>
      <c r="M8">
        <f t="shared" si="2"/>
        <v>14.3</v>
      </c>
      <c r="N8">
        <f t="shared" si="3"/>
        <v>21.499999999999996</v>
      </c>
      <c r="O8">
        <f t="shared" si="4"/>
        <v>20.04</v>
      </c>
      <c r="P8">
        <f t="shared" si="5"/>
        <v>42.900000000000006</v>
      </c>
      <c r="Q8">
        <f>VLOOKUP(A8,CAD!$A$3:$J$15, 10, FALSE)</f>
        <v>92.800000000000011</v>
      </c>
      <c r="S8">
        <f t="shared" si="0"/>
        <v>41.45</v>
      </c>
      <c r="U8" cm="1">
        <f t="array" ref="U8">_xlfn.PERCENTRANK.EXC(_xlfn._xlws.FILTER(S$3:S$15, ISNUMBER(S$3:S$15)),S8)*100</f>
        <v>28.499999999999996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0.79875390000000002</v>
      </c>
      <c r="E9" cm="1">
        <f t="array" ref="E9">_xll.FDSB(B9,"FG_PRICE_CHANGE(0,-1AY)")</f>
        <v>-0.68693760000000004</v>
      </c>
      <c r="F9" cm="1">
        <f t="array" ref="F9">_xll.FDSB(B9,"FG_PRICE_CHANGE(0,-1AM)")</f>
        <v>2.2924185000000001</v>
      </c>
      <c r="G9" cm="1">
        <f t="array" ref="G9">_xll.FDSB(B9,"FG_PRICE_CHANGE(0,-3AM)")</f>
        <v>1.5375972</v>
      </c>
      <c r="H9" cm="1">
        <f t="array" ref="H9">_xll.FDSB(B9,"FG_PRICE_CHANGE(0,-6AM)")</f>
        <v>-1.6614139000000001</v>
      </c>
      <c r="I9" cm="1">
        <f t="array" ref="I9">_xll.FDS(B9,"STD(FG_PRICE_CHANGE(0,-1AY,AM))")</f>
        <v>1.78816945693637</v>
      </c>
      <c r="J9" cm="1">
        <f t="array" ref="J9">_xll.FDS(B9,"STD(FG_PRICE_CHANGE(0,-3AY,M))")*SQRT(12)</f>
        <v>8.3351246076855396</v>
      </c>
      <c r="L9">
        <f t="shared" si="1"/>
        <v>42.900000000000006</v>
      </c>
      <c r="M9">
        <f t="shared" si="2"/>
        <v>71.500000000000014</v>
      </c>
      <c r="N9">
        <f t="shared" si="3"/>
        <v>92.9</v>
      </c>
      <c r="O9">
        <f>SUMPRODUCT($L$1:$N$1,L9:N9)</f>
        <v>74.34</v>
      </c>
      <c r="P9">
        <f t="shared" si="5"/>
        <v>50</v>
      </c>
      <c r="Q9">
        <f>VLOOKUP(A9,CAD!$A$3:$J$15, 10, FALSE)</f>
        <v>28.499999999999996</v>
      </c>
      <c r="S9">
        <f t="shared" si="0"/>
        <v>57.870000000000005</v>
      </c>
      <c r="U9" cm="1">
        <f t="array" ref="U9">_xlfn.PERCENTRANK.EXC(_xlfn._xlws.FILTER(S$3:S$15, ISNUMBER(S$3:S$15)),S9)*100</f>
        <v>57.099999999999994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92.9</v>
      </c>
      <c r="M10">
        <f t="shared" si="2"/>
        <v>92.9</v>
      </c>
      <c r="N10">
        <f t="shared" si="3"/>
        <v>57.2</v>
      </c>
      <c r="O10">
        <f t="shared" si="4"/>
        <v>78.62</v>
      </c>
      <c r="P10">
        <f t="shared" si="5"/>
        <v>92.9</v>
      </c>
      <c r="Q10">
        <f>VLOOKUP(A10,CAD!$A$3:$J$15, 10, FALSE)</f>
        <v>14.2</v>
      </c>
      <c r="S10">
        <f t="shared" si="0"/>
        <v>70.02000000000001</v>
      </c>
      <c r="U10" cm="1">
        <f t="array" ref="U10">_xlfn.PERCENTRANK.EXC(_xlfn._xlws.FILTER(S$3:S$15, ISNUMBER(S$3:S$15)),S10)*100</f>
        <v>78.5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92.9</v>
      </c>
      <c r="M11">
        <f t="shared" si="2"/>
        <v>92.9</v>
      </c>
      <c r="N11">
        <f t="shared" si="3"/>
        <v>57.2</v>
      </c>
      <c r="O11">
        <f t="shared" si="4"/>
        <v>78.62</v>
      </c>
      <c r="P11">
        <f t="shared" si="5"/>
        <v>92.9</v>
      </c>
      <c r="Q11">
        <f>VLOOKUP(A11,CAD!$A$3:$J$15, 10, FALSE)</f>
        <v>14.2</v>
      </c>
      <c r="S11">
        <f t="shared" si="0"/>
        <v>70.02000000000001</v>
      </c>
      <c r="U11" cm="1">
        <f t="array" ref="U11">_xlfn.PERCENTRANK.EXC(_xlfn._xlws.FILTER(S$3:S$15, ISNUMBER(S$3:S$15)),S11)*100</f>
        <v>78.5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0.9113</v>
      </c>
      <c r="E12" cm="1">
        <f t="array" ref="E12">_xll.FDSB(B12,"FG_PRICE_CHANGE(0,-1AY)")</f>
        <v>0.8242488</v>
      </c>
      <c r="F12" cm="1">
        <f t="array" ref="F12">_xll.FDSB(B12,"FG_PRICE_CHANGE(0,-1AM)")</f>
        <v>3.763163</v>
      </c>
      <c r="G12" cm="1">
        <f t="array" ref="G12">_xll.FDSB(B12,"FG_PRICE_CHANGE(0,-3AM)")</f>
        <v>6.5785646</v>
      </c>
      <c r="H12" cm="1">
        <f t="array" ref="H12">_xll.FDSB(B12,"FG_PRICE_CHANGE(0,-6AM)")</f>
        <v>0.99185705000000002</v>
      </c>
      <c r="I12" cm="1">
        <f t="array" ref="I12">_xll.FDS(B12,"STD(FG_PRICE_CHANGE(0,-1AY,AM))")</f>
        <v>2.0245152577879599</v>
      </c>
      <c r="J12" cm="1">
        <f t="array" ref="J12">_xll.FDS(B12,"STD(FG_PRICE_CHANGE(0,-3AY,M))")*SQRT(12)</f>
        <v>8.6260856080919428</v>
      </c>
      <c r="L12">
        <f t="shared" si="1"/>
        <v>28.6</v>
      </c>
      <c r="M12">
        <f t="shared" si="2"/>
        <v>14.3</v>
      </c>
      <c r="N12">
        <f t="shared" si="3"/>
        <v>21.499999999999996</v>
      </c>
      <c r="O12">
        <f t="shared" ref="O12:O15" si="6">SUMPRODUCT($L$1:$N$1,L12:N12)</f>
        <v>20.04</v>
      </c>
      <c r="P12">
        <f t="shared" si="5"/>
        <v>42.900000000000006</v>
      </c>
      <c r="Q12">
        <f>VLOOKUP(A12,CAD!$A$3:$J$15, 10, FALSE)</f>
        <v>35.699999999999996</v>
      </c>
      <c r="S12">
        <f t="shared" ref="S12:S15" si="7">SUMPRODUCT($O$1:$Q$1,O12:Q12)</f>
        <v>30.03</v>
      </c>
      <c r="U12" cm="1">
        <f t="array" ref="U12">_xlfn.PERCENTRANK.EXC(_xlfn._xlws.FILTER(S$3:S$15, ISNUMBER(S$3:S$15)),S12)*100</f>
        <v>21.4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0.1434289334437559</v>
      </c>
      <c r="L13" s="183">
        <f t="shared" si="1"/>
        <v>92.9</v>
      </c>
      <c r="M13" s="183">
        <f t="shared" si="2"/>
        <v>92.9</v>
      </c>
      <c r="N13" s="183">
        <f t="shared" si="3"/>
        <v>57.2</v>
      </c>
      <c r="O13" s="183">
        <f t="shared" si="6"/>
        <v>78.62</v>
      </c>
      <c r="P13" s="183">
        <f t="shared" si="5"/>
        <v>78.599999999999994</v>
      </c>
      <c r="Q13" s="183">
        <f>VLOOKUP(A13,CAD!$A$3:$J$15, 10, FALSE)</f>
        <v>85.7</v>
      </c>
      <c r="S13" s="183">
        <f t="shared" si="7"/>
        <v>80.03</v>
      </c>
      <c r="U13" s="183" cm="1">
        <f t="array" ref="U13">_xlfn.PERCENTRANK.EXC(_xlfn._xlws.FILTER(S$3:S$15, ISNUMBER(S$3:S$15)),S13)*100</f>
        <v>92.800000000000011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10.7804</v>
      </c>
      <c r="E14" cm="1">
        <f t="array" ref="E14">_xll.FDSB(B14,"FG_PRICE_CHANGE(0,-1AY)")</f>
        <v>3.1489015</v>
      </c>
      <c r="F14" cm="1">
        <f t="array" ref="F14">_xll.FDSB(B14,"FG_PRICE_CHANGE(0,-1AM)")</f>
        <v>5.2655219999999998</v>
      </c>
      <c r="G14" cm="1">
        <f t="array" ref="G14">_xll.FDSB(B14,"FG_PRICE_CHANGE(0,-3AM)")</f>
        <v>4.7281383999999997</v>
      </c>
      <c r="H14" cm="1">
        <f t="array" ref="H14">_xll.FDSB(B14,"FG_PRICE_CHANGE(0,-6AM)")</f>
        <v>-0.91634990000000005</v>
      </c>
      <c r="I14" cm="1">
        <f t="array" ref="I14">_xll.FDS(B14,"STD(FG_PRICE_CHANGE(0,-1AY,AM))")</f>
        <v>2.78028565973016</v>
      </c>
      <c r="J14" cm="1">
        <f t="array" ref="J14">_xll.FDS(B14,"STD(FG_PRICE_CHANGE(0,-3AY,M))")*SQRT(12)</f>
        <v>10.261364318906555</v>
      </c>
      <c r="L14">
        <f t="shared" si="1"/>
        <v>7.1999999999999957</v>
      </c>
      <c r="M14">
        <f t="shared" si="2"/>
        <v>28.6</v>
      </c>
      <c r="N14">
        <f t="shared" si="3"/>
        <v>78.600000000000009</v>
      </c>
      <c r="O14">
        <f t="shared" si="6"/>
        <v>44.320000000000007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45.02</v>
      </c>
      <c r="U14" cm="1">
        <f t="array" ref="U14">_xlfn.PERCENTRANK.EXC(_xlfn._xlws.FILTER(S$3:S$15, ISNUMBER(S$3:S$15)),S14)*100</f>
        <v>35.699999999999996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1808.6685</v>
      </c>
      <c r="E15" cm="1">
        <f t="array" ref="E15">_xll.FDSB(B15,"FG_PRICE_CHANGE(0,-1AY)")</f>
        <v>1.9335865999999999</v>
      </c>
      <c r="F15" cm="1">
        <f t="array" ref="F15">_xll.FDSB(B15,"FG_PRICE_CHANGE(0,-1AM)")</f>
        <v>2.0737052</v>
      </c>
      <c r="G15" cm="1">
        <f t="array" ref="G15">_xll.FDSB(B15,"FG_PRICE_CHANGE(0,-3AM)")</f>
        <v>2.2511839999999999</v>
      </c>
      <c r="H15" cm="1">
        <f t="array" ref="H15">_xll.FDSB(B15,"FG_PRICE_CHANGE(0,-6AM)")</f>
        <v>-0.76595544999999998</v>
      </c>
      <c r="I15" cm="1">
        <f t="array" ref="I15">_xll.FDS(B15,"STD(FG_PRICE_CHANGE(0,-1AY,AM))")</f>
        <v>1.5553091673572701</v>
      </c>
      <c r="J15" cm="1">
        <f t="array" ref="J15">_xll.FDS(B15,"STD(FG_PRICE_CHANGE(0,-3AY,M))")*SQRT(12)</f>
        <v>7.6997258816148104</v>
      </c>
      <c r="L15">
        <f t="shared" si="1"/>
        <v>57.2</v>
      </c>
      <c r="M15">
        <f t="shared" si="2"/>
        <v>50</v>
      </c>
      <c r="N15">
        <f t="shared" si="3"/>
        <v>71.500000000000014</v>
      </c>
      <c r="O15">
        <f t="shared" si="6"/>
        <v>60.040000000000006</v>
      </c>
      <c r="P15">
        <f t="shared" si="5"/>
        <v>64.300000000000011</v>
      </c>
      <c r="Q15">
        <f>VLOOKUP(A15,CAD!$A$3:$J$15, 10, FALSE)</f>
        <v>57.099999999999994</v>
      </c>
      <c r="S15">
        <f t="shared" si="7"/>
        <v>60.730000000000004</v>
      </c>
      <c r="U15" cm="1">
        <f t="array" ref="U15">_xlfn.PERCENTRANK.EXC(_xlfn._xlws.FILTER(S$3:S$15, ISNUMBER(S$3:S$15)),S15)*100</f>
        <v>64.2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-6.35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1.2187158046039499</v>
      </c>
      <c r="H4" cm="1">
        <f t="array" ref="H4">IFERROR(_xll.FDS($F4,"EE_ACTUAL_ANNUAL(MED,+1)"),0)</f>
        <v>0.5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-0.61472799523697397</v>
      </c>
      <c r="H5" cm="1">
        <f t="array" ref="H5">IFERROR(_xll.FDS($F5,"EE_ACTUAL_ANNUAL(MED,+1)"),0)</f>
        <v>-0.6</v>
      </c>
      <c r="J5" cm="1">
        <f t="array" ref="J5">_xlfn.PERCENTRANK.EXC(_xlfn._xlws.FILTER(H$3:H$15, ISNUMBER(H$3:H$15)),H5)*100</f>
        <v>42.8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6.10157214967637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3.6756471625245899</v>
      </c>
      <c r="H7" cm="1">
        <f t="array" ref="H7">IFERROR(_xll.FDS($F7,"EE_ACTUAL_ANNUAL(MED,+1)"),0)</f>
        <v>3.45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7.6415194131226398</v>
      </c>
      <c r="H8" cm="1">
        <f t="array" ref="H8">IFERROR(_xll.FDS($F8,"EE_ACTUAL_ANNUAL(MED,+1)"),0)</f>
        <v>8.6</v>
      </c>
      <c r="J8" cm="1">
        <f t="array" ref="J8">_xlfn.PERCENTRANK.EXC(_xlfn._xlws.FILTER(H$3:H$15, ISNUMBER(H$3:H$15)),H8)*100</f>
        <v>92.800000000000011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-3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-2.9956167375174898</v>
      </c>
      <c r="H10" cm="1">
        <f t="array" ref="H10">IFERROR(_xll.FDS($F10,"EE_ACTUAL_ANNUAL(MED,+1)"),0)</f>
        <v>-3.05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-2.9956167375174898</v>
      </c>
      <c r="H11" cm="1">
        <f t="array" ref="H11">IFERROR(_xll.FDS($F11,"EE_ACTUAL_ANNUAL(MED,+1)"),0)</f>
        <v>-3.05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-0.76796448257800598</v>
      </c>
      <c r="H12" cm="1">
        <f t="array" ref="H12">IFERROR(_xll.FDS($F12,"EE_ACTUAL_ANNUAL(MED,+1)"),0)</f>
        <v>-1.3</v>
      </c>
      <c r="J12" cm="1">
        <f t="array" ref="J12">_xlfn.PERCENTRANK.EXC(_xlfn._xlws.FILTER(H$3:H$15, ISNUMBER(H$3:H$15)),H12)*100</f>
        <v>35.699999999999996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10.089201955042499</v>
      </c>
      <c r="H13" cm="1">
        <f t="array" ref="H13">IFERROR(_xll.FDS($F13,"EE_ACTUAL_ANNUAL(MED,+1)"),0)</f>
        <v>7.6</v>
      </c>
      <c r="J13" cm="1">
        <f t="array" ref="J13">_xlfn.PERCENTRANK.EXC(_xlfn._xlws.FILTER(H$3:H$15, ISNUMBER(H$3:H$15)),H13)*100</f>
        <v>85.7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6.7690540119922504</v>
      </c>
      <c r="H14" cm="1">
        <f t="array" ref="H14">IFERROR(_xll.FDS($F14,"EE_ACTUAL_ANNUAL(MED,+1)"),0)</f>
        <v>5.4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0.50816790549232005</v>
      </c>
      <c r="H15" cm="1">
        <f t="array" ref="H15">IFERROR(_xll.FDS($F15,"EE_ACTUAL_ANNUAL(MED,+1)"),0)</f>
        <v>0.9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>
        <v>5.3314000000000004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>
        <f t="shared" si="2"/>
        <v>5.3314000000000004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8.3559627900124696</v>
      </c>
      <c r="G17">
        <v>14.538819869127099</v>
      </c>
      <c r="H17">
        <v>12.871054501249599</v>
      </c>
      <c r="I17">
        <v>25.011729152832</v>
      </c>
      <c r="J17">
        <v>18.2857096567651</v>
      </c>
      <c r="K17">
        <v>10.914009651363701</v>
      </c>
      <c r="L17">
        <v>13.091763606585999</v>
      </c>
      <c r="M17">
        <v>13.411796827237</v>
      </c>
      <c r="N17">
        <v>10.235305358457801</v>
      </c>
    </row>
    <row r="18" spans="1:17" ht="25.5" customHeight="1" x14ac:dyDescent="0.35">
      <c r="A18" s="2">
        <v>44196</v>
      </c>
      <c r="B18">
        <v>7.5322638919868998</v>
      </c>
      <c r="C18">
        <v>11.050859206460901</v>
      </c>
      <c r="D18">
        <v>11.192208682288101</v>
      </c>
      <c r="E18">
        <v>9.7140774239929009</v>
      </c>
      <c r="F18">
        <v>7.4385992905195399</v>
      </c>
      <c r="G18">
        <v>14.6677795152565</v>
      </c>
      <c r="H18">
        <v>11.205060980823401</v>
      </c>
      <c r="I18">
        <v>24.534442850508999</v>
      </c>
      <c r="J18">
        <v>17.227083507932999</v>
      </c>
      <c r="K18">
        <v>8.9424210123572205</v>
      </c>
      <c r="L18">
        <v>9.7785656554204401</v>
      </c>
      <c r="M18">
        <v>11.907032686615199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12.1999545354885</v>
      </c>
      <c r="F19">
        <v>9.2207656787536507</v>
      </c>
      <c r="G19">
        <v>16.3837417700753</v>
      </c>
      <c r="H19">
        <v>13.922769947021701</v>
      </c>
      <c r="I19">
        <v>26.637202164256799</v>
      </c>
      <c r="J19">
        <v>20.681864651177399</v>
      </c>
      <c r="K19">
        <v>12.253958119340901</v>
      </c>
      <c r="L19">
        <v>10.899145950205799</v>
      </c>
      <c r="M19">
        <v>15.3602779627681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14.0029403106189</v>
      </c>
      <c r="E20">
        <v>11.818809345525199</v>
      </c>
      <c r="F20">
        <v>9.2254455763568206</v>
      </c>
      <c r="G20">
        <v>16.690651733527702</v>
      </c>
      <c r="H20">
        <v>15.858744412332101</v>
      </c>
      <c r="I20">
        <v>24.048321572288899</v>
      </c>
      <c r="J20">
        <v>20.5967285961949</v>
      </c>
      <c r="K20">
        <v>13.1475852543623</v>
      </c>
      <c r="L20">
        <v>12.015889172957699</v>
      </c>
      <c r="M20">
        <v>14.691294548684301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13.147116166704</v>
      </c>
      <c r="E21">
        <v>11.9408562756701</v>
      </c>
      <c r="F21">
        <v>9.2990104677630008</v>
      </c>
      <c r="G21">
        <v>19.2996868123636</v>
      </c>
      <c r="H21">
        <v>14.720530939875699</v>
      </c>
      <c r="I21">
        <v>25.301111433536601</v>
      </c>
      <c r="J21">
        <v>20.335735203929701</v>
      </c>
      <c r="K21">
        <v>13.221059503291199</v>
      </c>
      <c r="L21">
        <v>12.7459856653599</v>
      </c>
      <c r="M21">
        <v>15.368050598212299</v>
      </c>
      <c r="N21">
        <v>13.3572177464321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9.7140774239929009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8.9424210123572205</v>
      </c>
      <c r="L23" s="8">
        <f t="shared" si="0"/>
        <v>9.7785656554204401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11.98466060872375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13.049660814670499</v>
      </c>
      <c r="M24" s="8">
        <f t="shared" si="1"/>
        <v>14.4428230567203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13.147116166704</v>
      </c>
      <c r="E25" s="8">
        <f t="shared" si="2"/>
        <v>11.9408562756701</v>
      </c>
      <c r="F25" s="8">
        <f t="shared" si="2"/>
        <v>9.2990104677630008</v>
      </c>
      <c r="G25" s="8">
        <f t="shared" si="2"/>
        <v>19.2996868123636</v>
      </c>
      <c r="H25" s="8">
        <f t="shared" si="2"/>
        <v>14.720530939875699</v>
      </c>
      <c r="I25" s="8">
        <f t="shared" si="2"/>
        <v>25.301111433536601</v>
      </c>
      <c r="J25" s="8">
        <f t="shared" si="2"/>
        <v>20.335735203929701</v>
      </c>
      <c r="K25" s="8">
        <f t="shared" si="2"/>
        <v>13.221059503291199</v>
      </c>
      <c r="L25" s="8">
        <f t="shared" si="2"/>
        <v>12.7459856653599</v>
      </c>
      <c r="M25" s="8">
        <f t="shared" si="2"/>
        <v>15.368050598212299</v>
      </c>
      <c r="N25" s="8">
        <f t="shared" si="2"/>
        <v>13.3572177464321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24" sqref="O24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45363</v>
      </c>
      <c r="M1" s="116"/>
    </row>
    <row r="2" spans="1:20" ht="15" thickBot="1" x14ac:dyDescent="0.4">
      <c r="K2" s="12" t="s">
        <v>772</v>
      </c>
      <c r="L2" s="187">
        <f ca="1">EDATE(TODAY(), -4)</f>
        <v>45272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03/2024</v>
      </c>
      <c r="O3" t="str" cm="1">
        <f t="array" aca="1" ref="O3" ca="1">_xll.FDSRC("-","DUMMY","ECON_DATE("&amp;$L$2&amp;",,, 'MM/YYYY')")</f>
        <v>12/2023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IF(_xll.FDSRC(,"DUMMY","ECON_EXPR_DATA('FDS_ECON["&amp;H4&amp;"]',,,M)")=0,$J$20,_xll.FDSRC(,"DUMMY","ECON_EXPR_DATA('FDS_ECON["&amp;H4&amp;"]',,,M)"))</f>
        <v>47.066513</v>
      </c>
      <c r="N4" cm="1">
        <f t="array" aca="1" ref="N4" ca="1">_xll.FDSRC("-","DUMMY","ECON_EXPR_DATA('FDS_ECON["&amp;H4&amp;"]',"&amp;$N$3&amp;",,Q)")</f>
        <v>47.884563</v>
      </c>
      <c r="O4" cm="1">
        <f t="array" aca="1" ref="O4" ca="1">_xll.FDSRC("-","DUMMY","ECON_EXPR_DATA('FDS_ECON["&amp;H4&amp;"]',"&amp;$O$3&amp;",,Q)")</f>
        <v>44.378197</v>
      </c>
      <c r="P4">
        <f t="shared" ref="P4:P12" ca="1" si="0">IFERROR(N4-O4,$M$20)</f>
        <v>3.5063659999999999</v>
      </c>
      <c r="Q4" cm="1">
        <f t="array" ref="Q4">_xlfn.PERCENTRANK.EXC(_xlfn._xlws.FILTER(M$4:M$16, ISNUMBER(M$4:M$16)),M4)*100</f>
        <v>28.499999999999996</v>
      </c>
      <c r="R4" cm="1">
        <f t="array" aca="1" ref="R4" ca="1">_xlfn.PERCENTRANK.EXC(_xlfn._xlws.FILTER(P$4:P$16, ISNUMBER(P$4:P$16)),P4)*100</f>
        <v>78.5</v>
      </c>
      <c r="S4">
        <f ca="1">Q4*Assumption!$E$27 + R4*Assumption!$F$27</f>
        <v>48.5</v>
      </c>
      <c r="T4" cm="1">
        <f t="array" aca="1" ref="T4" ca="1">_xlfn.PERCENTRANK.EXC(_xlfn._xlws.FILTER(S$4:S$16, ISNUMBER(S$4:S$16)),S4)*100</f>
        <v>42.8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IF(_xll.FDSRC(,"DUMMY","ECON_EXPR_DATA('FDS_ECON["&amp;H5&amp;"]',,,M)")=0,$J$20,_xll.FDSRC(,"DUMMY","ECON_EXPR_DATA('FDS_ECON["&amp;H5&amp;"]',,,M)"))</f>
        <v>47.254350000000002</v>
      </c>
      <c r="N5" cm="1">
        <f t="array" aca="1" ref="N5" ca="1">_xll.FDSRC("-","DUMMY","ECON_EXPR_DATA('FDS_ECON["&amp;H5&amp;"]',"&amp;$N$3&amp;",,Q)")</f>
        <v>48.395470000000003</v>
      </c>
      <c r="O5" cm="1">
        <f t="array" aca="1" ref="O5" ca="1">_xll.FDSRC("-","DUMMY","ECON_EXPR_DATA('FDS_ECON["&amp;H5&amp;"]',"&amp;$O$3&amp;",,Q)")</f>
        <v>47.862293000000001</v>
      </c>
      <c r="P5">
        <f t="shared" ca="1" si="0"/>
        <v>0.53317700000000201</v>
      </c>
      <c r="Q5" cm="1">
        <f t="array" ref="Q5">_xlfn.PERCENTRANK.EXC(_xlfn._xlws.FILTER(M$4:M$16, ISNUMBER(M$4:M$16)),M5)*100</f>
        <v>35.699999999999996</v>
      </c>
      <c r="R5" cm="1">
        <f t="array" aca="1" ref="R5" ca="1">_xlfn.PERCENTRANK.EXC(_xlfn._xlws.FILTER(P$4:P$16, ISNUMBER(P$4:P$16)),P5)*100</f>
        <v>14.2</v>
      </c>
      <c r="S5">
        <f ca="1">Q5*Assumption!$E$27 + R5*Assumption!$F$27</f>
        <v>27.099999999999998</v>
      </c>
      <c r="T5" cm="1">
        <f t="array" aca="1" ref="T5" ca="1">_xlfn.PERCENTRANK.EXC(_xlfn._xlws.FILTER(S$4:S$16, ISNUMBER(S$4:S$16)),S5)*100</f>
        <v>21.4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IF(_xll.FDSRC(,"DUMMY","ECON_EXPR_DATA('FDS_ECON["&amp;H6&amp;"]',,,M)")=0,$J$20,_xll.FDSRC(,"DUMMY","ECON_EXPR_DATA('FDS_ECON["&amp;H6&amp;"]',,,M)"))</f>
        <v>49.829639999999998</v>
      </c>
      <c r="N6" cm="1">
        <f t="array" aca="1" ref="N6" ca="1">_xll.FDSRC("-","DUMMY","ECON_EXPR_DATA('FDS_ECON["&amp;H6&amp;"]',"&amp;$N$3&amp;",,Q)")</f>
        <v>49.300910000000002</v>
      </c>
      <c r="O6" cm="1">
        <f t="array" aca="1" ref="O6" ca="1">_xll.FDSRC("-","DUMMY","ECON_EXPR_DATA('FDS_ECON["&amp;H6&amp;"]',"&amp;$O$3&amp;",,Q)")</f>
        <v>47.255585000000004</v>
      </c>
      <c r="P6">
        <f t="shared" ca="1" si="0"/>
        <v>2.0453249999999983</v>
      </c>
      <c r="Q6" cm="1">
        <f t="array" ref="Q6">_xlfn.PERCENTRANK.EXC(_xlfn._xlws.FILTER(M$4:M$16, ISNUMBER(M$4:M$16)),M6)*100</f>
        <v>57.099999999999994</v>
      </c>
      <c r="R6" cm="1">
        <f t="array" aca="1" ref="R6" ca="1">_xlfn.PERCENTRANK.EXC(_xlfn._xlws.FILTER(P$4:P$16, ISNUMBER(P$4:P$16)),P6)*100</f>
        <v>35.699999999999996</v>
      </c>
      <c r="S6">
        <f ca="1">Q6*Assumption!$E$27 + R6*Assumption!$F$27</f>
        <v>48.54</v>
      </c>
      <c r="T6" cm="1">
        <f t="array" aca="1" ref="T6" ca="1">_xlfn.PERCENTRANK.EXC(_xlfn._xlws.FILTER(S$4:S$16, ISNUMBER(S$4:S$16)),S6)*100</f>
        <v>50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IF(_xll.FDSRC(,"DUMMY","ECON_EXPR_DATA('FDS_ECON["&amp;H7&amp;"]',,,M)")=0,$J$20,_xll.FDSRC(,"DUMMY","ECON_EXPR_DATA('FDS_ECON["&amp;H7&amp;"]',,,M)"))</f>
        <v>41.885402999999997</v>
      </c>
      <c r="N7" cm="1">
        <f t="array" aca="1" ref="N7" ca="1">_xll.FDSRC("-","DUMMY","ECON_EXPR_DATA('FDS_ECON["&amp;H7&amp;"]',"&amp;$N$3&amp;",,Q)")</f>
        <v>43.319096000000002</v>
      </c>
      <c r="O7" cm="1">
        <f t="array" aca="1" ref="O7" ca="1">_xll.FDSRC("-","DUMMY","ECON_EXPR_DATA('FDS_ECON["&amp;H7&amp;"]',"&amp;$O$3&amp;",,Q)")</f>
        <v>42.238945000000001</v>
      </c>
      <c r="P7">
        <f t="shared" ca="1" si="0"/>
        <v>1.0801510000000007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28.499999999999996</v>
      </c>
      <c r="S7">
        <f ca="1">Q7*Assumption!$E$27 + R7*Assumption!$F$27</f>
        <v>15.659999999999998</v>
      </c>
      <c r="T7" cm="1">
        <f t="array" aca="1" ref="T7" ca="1">_xlfn.PERCENTRANK.EXC(_xlfn._xlws.FILTER(S$4:S$16, ISNUMBER(S$4:S$16)),S7)*100</f>
        <v>7.1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IF(_xll.FDSRC(,"DUMMY","ECON_EXPR_DATA('FDS_ECON["&amp;H8&amp;"]',,,M)")=0,$J$20,_xll.FDSRC(,"DUMMY","ECON_EXPR_DATA('FDS_ECON["&amp;H8&amp;"]',,,M)"))</f>
        <v>48.224021999999998</v>
      </c>
      <c r="N8" cm="1">
        <f t="array" aca="1" ref="N8" ca="1">_xll.FDSRC("-","DUMMY","ECON_EXPR_DATA('FDS_ECON["&amp;H8&amp;"]',"&amp;$N$3&amp;",,Q)")</f>
        <v>47.808857000000003</v>
      </c>
      <c r="O8" cm="1">
        <f t="array" aca="1" ref="O8" ca="1">_xll.FDSRC("-","DUMMY","ECON_EXPR_DATA('FDS_ECON["&amp;H8&amp;"]',"&amp;$O$3&amp;",,Q)")</f>
        <v>48.318770000000001</v>
      </c>
      <c r="P8">
        <f t="shared" ca="1" si="0"/>
        <v>-0.5099129999999974</v>
      </c>
      <c r="Q8" cm="1">
        <f t="array" ref="Q8">_xlfn.PERCENTRANK.EXC(_xlfn._xlws.FILTER(M$4:M$16, ISNUMBER(M$4:M$16)),M8)*100</f>
        <v>42.8</v>
      </c>
      <c r="R8" cm="1">
        <f t="array" aca="1" ref="R8" ca="1">_xlfn.PERCENTRANK.EXC(_xlfn._xlws.FILTER(P$4:P$16, ISNUMBER(P$4:P$16)),P8)*100</f>
        <v>7.1</v>
      </c>
      <c r="S8">
        <f ca="1">Q8*Assumption!$E$27 + R8*Assumption!$F$27</f>
        <v>28.519999999999996</v>
      </c>
      <c r="T8" cm="1">
        <f t="array" aca="1" ref="T8" ca="1">_xlfn.PERCENTRANK.EXC(_xlfn._xlws.FILTER(S$4:S$16, ISNUMBER(S$4:S$16)),S8)*100</f>
        <v>28.499999999999996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IF(_xll.FDSRC(,"DUMMY","ECON_EXPR_DATA('FDS_ECON["&amp;H9&amp;"]',,,M)")=0,$J$20,_xll.FDSRC(,"DUMMY","ECON_EXPR_DATA('FDS_ECON["&amp;H9&amp;"]',,,M)"))</f>
        <v>45.169020000000003</v>
      </c>
      <c r="N9" cm="1">
        <f t="array" aca="1" ref="N9" ca="1">_xll.FDSRC("-","DUMMY","ECON_EXPR_DATA('FDS_ECON["&amp;H9&amp;"]',"&amp;$N$3&amp;",,Q)")</f>
        <v>44.08605</v>
      </c>
      <c r="O9" cm="1">
        <f t="array" aca="1" ref="O9" ca="1">_xll.FDSRC("-","DUMMY","ECON_EXPR_DATA('FDS_ECON["&amp;H9&amp;"]',"&amp;$O$3&amp;",,Q)")</f>
        <v>41.921543</v>
      </c>
      <c r="P9">
        <f t="shared" ca="1" si="0"/>
        <v>2.1645070000000004</v>
      </c>
      <c r="Q9" cm="1">
        <f t="array" ref="Q9">_xlfn.PERCENTRANK.EXC(_xlfn._xlws.FILTER(M$4:M$16, ISNUMBER(M$4:M$16)),M9)*100</f>
        <v>14.2</v>
      </c>
      <c r="R9" cm="1">
        <f t="array" aca="1" ref="R9" ca="1">_xlfn.PERCENTRANK.EXC(_xlfn._xlws.FILTER(P$4:P$16, ISNUMBER(P$4:P$16)),P9)*100</f>
        <v>42.8</v>
      </c>
      <c r="S9">
        <f ca="1">Q9*Assumption!$E$27 + R9*Assumption!$F$27</f>
        <v>25.64</v>
      </c>
      <c r="T9" cm="1">
        <f t="array" aca="1" ref="T9" ca="1">_xlfn.PERCENTRANK.EXC(_xlfn._xlws.FILTER(S$4:S$16, ISNUMBER(S$4:S$16)),S9)*100</f>
        <v>14.2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IF(_xll.FDSRC(,"DUMMY","ECON_EXPR_DATA('FDS_ECON["&amp;H10&amp;"]',,,M)")=0,$J$20,_xll.FDSRC(,"DUMMY","ECON_EXPR_DATA('FDS_ECON["&amp;H10&amp;"]',,,M)"))</f>
        <v>50.269835999999998</v>
      </c>
      <c r="N10" cm="1">
        <f t="array" aca="1" ref="N10" ca="1">_xll.FDSRC("-","DUMMY","ECON_EXPR_DATA('FDS_ECON["&amp;H10&amp;"]',"&amp;$N$3&amp;",,Q)")</f>
        <v>48.247959999999999</v>
      </c>
      <c r="O10" cm="1">
        <f t="array" aca="1" ref="O10" ca="1">_xll.FDSRC("-","DUMMY","ECON_EXPR_DATA('FDS_ECON["&amp;H10&amp;"]',"&amp;$O$3&amp;",,Q)")</f>
        <v>46.058700000000002</v>
      </c>
      <c r="P10">
        <f t="shared" ca="1" si="0"/>
        <v>2.1892599999999973</v>
      </c>
      <c r="Q10" cm="1">
        <f t="array" ref="Q10">_xlfn.PERCENTRANK.EXC(_xlfn._xlws.FILTER(M$4:M$16, ISNUMBER(M$4:M$16)),M10)*100</f>
        <v>64.2</v>
      </c>
      <c r="R10" cm="1">
        <f t="array" aca="1" ref="R10" ca="1">_xlfn.PERCENTRANK.EXC(_xlfn._xlws.FILTER(P$4:P$16, ISNUMBER(P$4:P$16)),P10)*100</f>
        <v>50</v>
      </c>
      <c r="S10">
        <f ca="1">Q10*Assumption!$E$27 + R10*Assumption!$F$27</f>
        <v>58.52</v>
      </c>
      <c r="T10" cm="1">
        <f t="array" aca="1" ref="T10" ca="1">_xlfn.PERCENTRANK.EXC(_xlfn._xlws.FILTER(S$4:S$16, ISNUMBER(S$4:S$16)),S10)*100</f>
        <v>57.099999999999994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IF(_xll.FDSRC(,"DUMMY","ECON_EXPR_DATA('FDS_ECON["&amp;H11&amp;"]',,,M)")=0,$J$20,_xll.FDSRC(,"DUMMY","ECON_EXPR_DATA('FDS_ECON["&amp;H11&amp;"]',,,M)"))</f>
        <v>51.857661999999998</v>
      </c>
      <c r="N11" cm="1">
        <f t="array" aca="1" ref="N11" ca="1">_xll.FDSRC("-","DUMMY","ECON_EXPR_DATA('FDS_ECON["&amp;H11&amp;"]',"&amp;$N$3&amp;",,Q)")</f>
        <v>51.582687</v>
      </c>
      <c r="O11" cm="1">
        <f t="array" aca="1" ref="O11" ca="1">_xll.FDSRC("-","DUMMY","ECON_EXPR_DATA('FDS_ECON["&amp;H11&amp;"]',"&amp;$O$3&amp;",,Q)")</f>
        <v>49.098827</v>
      </c>
      <c r="P11">
        <f t="shared" ca="1" si="0"/>
        <v>2.48386</v>
      </c>
      <c r="Q11" cm="1">
        <f t="array" ref="Q11">_xlfn.PERCENTRANK.EXC(_xlfn._xlws.FILTER(M$4:M$16, ISNUMBER(M$4:M$16)),M11)*100</f>
        <v>78.5</v>
      </c>
      <c r="R11" cm="1">
        <f t="array" aca="1" ref="R11" ca="1">_xlfn.PERCENTRANK.EXC(_xlfn._xlws.FILTER(P$4:P$16, ISNUMBER(P$4:P$16)),P11)*100</f>
        <v>57.099999999999994</v>
      </c>
      <c r="S11">
        <f ca="1">Q11*Assumption!$E$27 + R11*Assumption!$F$27</f>
        <v>69.94</v>
      </c>
      <c r="T11" cm="1">
        <f t="array" aca="1" ref="T11" ca="1">_xlfn.PERCENTRANK.EXC(_xlfn._xlws.FILTER(S$4:S$16, ISNUMBER(S$4:S$16)),S11)*100</f>
        <v>78.5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IF(_xll.FDSRC(,"DUMMY","ECON_EXPR_DATA('FDS_ECON["&amp;H12&amp;"]',,,M)")=0,$J$20,_xll.FDSRC(,"DUMMY","ECON_EXPR_DATA('FDS_ECON["&amp;H12&amp;"]',,,M)"))</f>
        <v>51.857661999999998</v>
      </c>
      <c r="N12" cm="1">
        <f t="array" aca="1" ref="N12" ca="1">_xll.FDSRC("-","DUMMY","ECON_EXPR_DATA('FDS_ECON["&amp;H12&amp;"]',"&amp;$N$3&amp;",,Q)")</f>
        <v>51.582687</v>
      </c>
      <c r="O12" cm="1">
        <f t="array" aca="1" ref="O12" ca="1">_xll.FDSRC("-","DUMMY","ECON_EXPR_DATA('FDS_ECON["&amp;H12&amp;"]',"&amp;$O$3&amp;",,Q)")</f>
        <v>49.098827</v>
      </c>
      <c r="P12">
        <f t="shared" ca="1" si="0"/>
        <v>2.48386</v>
      </c>
      <c r="Q12" cm="1">
        <f t="array" ref="Q12">_xlfn.PERCENTRANK.EXC(_xlfn._xlws.FILTER(M$4:M$16, ISNUMBER(M$4:M$16)),M12)*100</f>
        <v>78.5</v>
      </c>
      <c r="R12" cm="1">
        <f t="array" aca="1" ref="R12" ca="1">_xlfn.PERCENTRANK.EXC(_xlfn._xlws.FILTER(P$4:P$16, ISNUMBER(P$4:P$16)),P12)*100</f>
        <v>57.099999999999994</v>
      </c>
      <c r="S12">
        <f ca="1">Q12*Assumption!$E$27 + R12*Assumption!$F$27</f>
        <v>69.94</v>
      </c>
      <c r="T12" cm="1">
        <f t="array" aca="1" ref="T12" ca="1">_xlfn.PERCENTRANK.EXC(_xlfn._xlws.FILTER(S$4:S$16, ISNUMBER(S$4:S$16)),S12)*100</f>
        <v>78.5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IF(_xll.FDSRC(,"DUMMY","ECON_EXPR_DATA('FDS_ECON["&amp;H13&amp;"]',,,M)")=0,$J$20,_xll.FDSRC(,"DUMMY","ECON_EXPR_DATA('FDS_ECON["&amp;H13&amp;"]',,,M)"))</f>
        <v>46.246628000000001</v>
      </c>
      <c r="N13" cm="1">
        <f t="array" aca="1" ref="N13" ca="1">_xll.FDSRC("-","DUMMY","ECON_EXPR_DATA('FDS_ECON["&amp;H13&amp;"]',"&amp;$N$3&amp;",,Q)")</f>
        <v>45.498753000000001</v>
      </c>
      <c r="O13" cm="1">
        <f t="array" aca="1" ref="O13" ca="1">_xll.FDSRC("-","DUMMY","ECON_EXPR_DATA('FDS_ECON["&amp;H13&amp;"]',"&amp;$O$3&amp;",,Q)")</f>
        <v>42.573967000000003</v>
      </c>
      <c r="P13">
        <f t="shared" ref="P13:P16" ca="1" si="1">IFERROR(N13-O13,$M$20)</f>
        <v>2.9247859999999974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71.399999999999991</v>
      </c>
      <c r="S13">
        <f ca="1">Q13*Assumption!$E$27 + R13*Assumption!$F$27</f>
        <v>41.4</v>
      </c>
      <c r="T13" cm="1">
        <f t="array" aca="1" ref="T13" ca="1">_xlfn.PERCENTRANK.EXC(_xlfn._xlws.FILTER(S$4:S$16, ISNUMBER(S$4:S$16)),S13)*100</f>
        <v>35.699999999999996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IF(_xll.FDSRC(,"DUMMY","ECON_EXPR_DATA('FDS_ECON["&amp;H14&amp;"]',,,M)")=0,$J$20,_xll.FDSRC(,"DUMMY","ECON_EXPR_DATA('FDS_ECON["&amp;H14&amp;"]',,,M)"))</f>
        <v>49.698321999999997</v>
      </c>
      <c r="N14" cm="1">
        <f t="array" aca="1" ref="N14" ca="1">_xll.FDSRC("-","DUMMY","ECON_EXPR_DATA('FDS_ECON["&amp;H14&amp;"]',"&amp;$N$3&amp;",,Q)")</f>
        <v>49.325873999999999</v>
      </c>
      <c r="O14" cm="1">
        <f t="array" aca="1" ref="O14" ca="1">_xll.FDSRC("-","DUMMY","ECON_EXPR_DATA('FDS_ECON["&amp;H14&amp;"]',"&amp;$O$3&amp;",,Q)")</f>
        <v>44.495136000000002</v>
      </c>
      <c r="P14">
        <f t="shared" ca="1" si="1"/>
        <v>4.8307379999999966</v>
      </c>
      <c r="Q14" cm="1">
        <f t="array" ref="Q14">_xlfn.PERCENTRANK.EXC(_xlfn._xlws.FILTER(M$4:M$16, ISNUMBER(M$4:M$16)),M14)*100</f>
        <v>50</v>
      </c>
      <c r="R14" cm="1">
        <f t="array" aca="1" ref="R14" ca="1">_xlfn.PERCENTRANK.EXC(_xlfn._xlws.FILTER(P$4:P$16, ISNUMBER(P$4:P$16)),P14)*100</f>
        <v>92.800000000000011</v>
      </c>
      <c r="S14">
        <f ca="1">Q14*Assumption!$E$27 + R14*Assumption!$F$27</f>
        <v>67.12</v>
      </c>
      <c r="T14" cm="1">
        <f t="array" aca="1" ref="T14" ca="1">_xlfn.PERCENTRANK.EXC(_xlfn._xlws.FILTER(S$4:S$16, ISNUMBER(S$4:S$16)),S14)*100</f>
        <v>71.399999999999991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IF(_xll.FDSRC(,"DUMMY","ECON_EXPR_DATA('FDS_ECON["&amp;H15&amp;"]',,,M)")=0,$J$20,_xll.FDSRC(,"DUMMY","ECON_EXPR_DATA('FDS_ECON["&amp;H15&amp;"]',,,M)"))</f>
        <v>51.963380000000001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0.88645700000000005</v>
      </c>
      <c r="Q15" cm="1">
        <f t="array" ref="Q15">_xlfn.PERCENTRANK.EXC(_xlfn._xlws.FILTER(M$4:M$16, ISNUMBER(M$4:M$16)),M15)*100</f>
        <v>92.800000000000011</v>
      </c>
      <c r="R15" cm="1">
        <f t="array" aca="1" ref="R15" ca="1">_xlfn.PERCENTRANK.EXC(_xlfn._xlws.FILTER(P$4:P$16, ISNUMBER(P$4:P$16)),P15)*100</f>
        <v>21.4</v>
      </c>
      <c r="S15">
        <f ca="1">Q15*Assumption!$E$27 + R15*Assumption!$F$27</f>
        <v>64.240000000000009</v>
      </c>
      <c r="T15" cm="1">
        <f t="array" aca="1" ref="T15" ca="1">_xlfn.PERCENTRANK.EXC(_xlfn._xlws.FILTER(S$4:S$16, ISNUMBER(S$4:S$16)),S15)*100</f>
        <v>64.2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IF(_xll.FDSRC(,"DUMMY","ECON_EXPR_DATA('FDS_ECON["&amp;H16&amp;"]',,,M)")=0,$J$20,_xll.FDSRC(,"DUMMY","ECON_EXPR_DATA('FDS_ECON["&amp;H16&amp;"]',,,M)"))</f>
        <v>50.388508000000002</v>
      </c>
      <c r="N16" cm="1">
        <f t="array" aca="1" ref="N16" ca="1">_xll.FDSRC("-","DUMMY","ECON_EXPR_DATA('FDS_ECON["&amp;H16&amp;"]',"&amp;$N$3&amp;",,Q)")</f>
        <v>49.208153000000003</v>
      </c>
      <c r="O16" cm="1">
        <f t="array" aca="1" ref="O16" ca="1">_xll.FDSRC("-","DUMMY","ECON_EXPR_DATA('FDS_ECON["&amp;H16&amp;"]',"&amp;$O$3&amp;",,Q)")</f>
        <v>44.859454999999997</v>
      </c>
      <c r="P16">
        <f t="shared" ca="1" si="1"/>
        <v>4.3486980000000059</v>
      </c>
      <c r="Q16" cm="1">
        <f t="array" ref="Q16">_xlfn.PERCENTRANK.EXC(_xlfn._xlws.FILTER(M$4:M$16, ISNUMBER(M$4:M$16)),M16)*100</f>
        <v>71.399999999999991</v>
      </c>
      <c r="R16" cm="1">
        <f t="array" aca="1" ref="R16" ca="1">_xlfn.PERCENTRANK.EXC(_xlfn._xlws.FILTER(P$4:P$16, ISNUMBER(P$4:P$16)),P16)*100</f>
        <v>85.7</v>
      </c>
      <c r="S16">
        <f ca="1">Q16*Assumption!$E$27 + R16*Assumption!$F$27</f>
        <v>77.12</v>
      </c>
      <c r="T16" cm="1">
        <f t="array" aca="1" ref="T16" ca="1">_xlfn.PERCENTRANK.EXC(_xlfn._xlws.FILTER(S$4:S$16, ISNUMBER(S$4:S$16)),S16)*100</f>
        <v>92.800000000000011</v>
      </c>
    </row>
    <row r="18" spans="8:13" x14ac:dyDescent="0.35">
      <c r="K18" t="str" cm="1">
        <f t="array" aca="1" ref="K18" ca="1">_xll.FDSRC("-","DUMMY","ECON_DATE("&amp;$L$1&amp;",,, 'MM/YYYY')")</f>
        <v>03/2024</v>
      </c>
      <c r="L18" t="str" cm="1">
        <f t="array" aca="1" ref="L18" ca="1">_xll.FDSRC("-","DUMMY","ECON_DATE("&amp;$L$2&amp;",,, 'MM/YYYY')")</f>
        <v>12/2023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_xll.FDSRC("-","DUMMY","ECON_EXPR_DATA('FDS_ECON["&amp;H19&amp;"]',,,M)")</f>
        <v>49.286430000000003</v>
      </c>
      <c r="K19" cm="1">
        <f t="array" aca="1" ref="K19" ca="1">_xll.FDSRC("-","DUMMY","ECON_EXPR_DATA('FDS_ECON["&amp;H19&amp;"]',"&amp;$K$18&amp;",,Q)")</f>
        <v>49.135330000000003</v>
      </c>
      <c r="L19" cm="1">
        <f t="array" aca="1" ref="L19" ca="1">_xll.FDSRC("-","DUMMY","ECON_EXPR_DATA('FDS_ECON["&amp;H19&amp;"]',"&amp;$L$18&amp;",,Q)")</f>
        <v>47.377974999999999</v>
      </c>
      <c r="M19">
        <f ca="1">K19-L19</f>
        <v>1.757355000000004</v>
      </c>
    </row>
    <row r="20" spans="8:13" x14ac:dyDescent="0.35">
      <c r="H20" s="111" t="s">
        <v>761</v>
      </c>
      <c r="I20" s="111" t="s">
        <v>762</v>
      </c>
      <c r="J20" cm="1">
        <f t="array" ref="J20">_xll.FDSRC("-","DUMMY","ECON_EXPR_DATA('FDS_ECON["&amp;H20&amp;"]',,,M)")</f>
        <v>51.963380000000001</v>
      </c>
      <c r="K20" cm="1">
        <f t="array" aca="1" ref="K20" ca="1">_xll.FDSRC("-","DUMMY","ECON_EXPR_DATA('FDS_ECON["&amp;H20&amp;"]',"&amp;$K$18&amp;",,Q)")</f>
        <v>51.510579999999997</v>
      </c>
      <c r="L20" cm="1">
        <f t="array" aca="1" ref="L20" ca="1">_xll.FDSRC("-","DUMMY","ECON_EXPR_DATA('FDS_ECON["&amp;H20&amp;"]',"&amp;$L$18&amp;",,Q)")</f>
        <v>50.624122999999997</v>
      </c>
      <c r="M20">
        <f ca="1">K20-L20</f>
        <v>0.88645700000000005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88.432500000000005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90758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1816.51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1671020.8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2809.3440000000001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2711118.8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981.03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2265023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17123.053500000002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6600453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1071.1500000000001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2065204.8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2655.6109999999999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3100224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259472.56200000001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54277430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526770.82779999997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54277430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661.74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3320739.3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279.73149999999998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1128791.6000000001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278.89800000000002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1011225.75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413.13600000000002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863494.6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301827.40000000002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2901470"><![CDATA[{"FC0000ZA^FG_MCAP_IDX(0,,,USD)":301827.4,"EWI^FREF_MARKET_VALUE_COMPANY(0,,,USD,,0,,\"LEGACY\")":413.136,"FC0000IT^FMA_MCAP(0,,,USD,\"PORTAGG\")":863494.6,"EWD^FREF_MARKET_VALUE_COMPANY(0,,,USD,,0,,\"LEGACY\")":278.898,"EWN^FREF_MARKET_VALUE_COMPANY(0,,,USD,,0,,\"LEGACY\")":279.7315,"FC0000NL^FMA_MCAP(0,,,USD,\"PORTAGG\")":1128791.6,"EWQ^FREF_MARKET_VALUE_COMPANY(0,,,USD,,0,,\"LEGACY\")":661.74,"FC0000FR^FMA_MCAP(0,,,USD,\"PORTAGG\")":3320739.3,"FC0000US^FMA_MCAP(0,,,USD,\"PORTAGG\")":54277430.0,"QQQ^FREF_MARKET_VALUE_COMPANY(0,,,USD,,0,,\"LEGACY\")":259472.562,"EWU^FREF_MARKET_VALUE_COMPANY(0,,,USD,,0,,\"LEGACY\")":2655.611,"FC0000GB^FMA_MCAP(0,,,USD,\"PORTAGG\")":3100224.0,"EWL^FREF_MARKET_VALUE_COMPANY(0,,,USD,,0,,\"LEGACY\")":1071.15,"FC0000CH^FMA_MCAP(0,,,USD,\"PORTAGG\")":2065204.8,"EWJ^FREF_MARKET_VALUE_COMPANY(0,,,USD,,0,,\"LEGACY\")":17123.0535,"FC0000JP^FMA_MCAP(0,,,USD,\"PORTAGG\")":6600453.0,"EWG^FREF_MARKET_VALUE_COMPANY(0,,,USD,,0,,\"LEGACY\")":981.03,"FC0000DE^FMA_MCAP(0,,,USD,\"PORTAGG\")":2265023.0,"EWC^FREF_MARKET_VALUE_COMPANY(0,,,USD,,0,,\"LEGACY\")":2809.344,"FC0000CA^FMA_MCAP(0,,,USD,\"PORTAGG\")":2711118.8,"EWA^FREF_MARKET_VALUE_COMPANY(0,,,USD,,0,,\"LEGACY\")":1816.51,"FC0000AU^FMA_MCAP(0,,,USD,\"PORTAGG\")":1671020.8,"ENZL^FREF_MARKET_VALUE_COMPANY(0,,,USD,,0,,\"LEGACY\")":88.4325,"NQG00809^FG_COMPANY_NAME":"Nasdaq South Africa","CC_ZA^FG_COMPANY_NAME":"South Africa","NQG00809^FMA_MCAP(0,,,USD,\"PORTAGG\")":null,"SPY^FREF_MARKET_VALUE_COMPANY(0,,,USD,,0,,\"LEGACY\")":526770.8278,"FC0000NZ^FMA_MCAP(0,,,USD,\"PORTAGG\")":90758.0,"FC0000SE^FMA_MCAP(0,,,USD,\"PORTAGG\")":1011225.75,"DUMMY^ECON_EXPR_DATA('FDS_ECON[NTCPMIMFGSA@IT]',,,M)":50.388508,"DUMMY^ECON_EXPR_DATA('FDS_ECON[NTCPMIMFGMESA@US]',,,M)":51.857662,"DUMMY^ECON_EXPR_DATA('FDS_ECON[]',,,M)":null,"DUMMY^ECON_EXPR_DATA('FDS_ECON[NTCPMIMFGSA@FR]',,,M)":46.246628,"DUMMY^ECON_EXPR_DATA('FDS_ECON[NTCPMIMFGSA@JP]',,,M)":48.224022,"DUMMY^ECON_EXPR_DATA('FDS_ECON[NTCPMIMFGSA@NZ]',,,M)":47.066513,"DUMMY^ECON_EXPR_DATA('FDS_ECON[NTCPMIMFGSA@NL]',,,M)":49.698322,"DUMMY^ECON_EXPR_DATA('FDS_ECON[NTCPMIMFGSA@GB]',,,M)":50.269836,"DUMMY^ECON_EXPR_DATA('FDS_ECON[NTCPMIMFGSA@DE]',,,M)":41.885403,"DUMMY^ECON_EXPR_DATA('FDS_ECON[NTCPMIMFGSA@CH]',,,M)":45.16902,"DUMMY^ECON_EXPR_DATA('FDS_ECON[NTCPMIMFGSA@CA]',,,M)":49.82964,"DUMMY^ECON_EXPR_DATA('FDS_ECON[NTCPMIMFGSA@AU]',,,M)":47.25435,"CAGDPY@FR^EE_ACTUAL_ANNUAL(MED,+1)":-1.3,"CAGDPY@AU^EE_ACTUAL_ANNUAL(MED,+1)":0.5,"USDITL^FG_PRICE_CHANGE(0,-3AM)":2.251184,"USDANG^FG_PRICE_CHANGE(0,-3AM)":0.0,"USDUSD^FG_PRICE_CHANGE(0,-3AM)":0.0,"USDGBP^FG_PRICE_CHANGE(0,-3AM)":1.5375972,"USDJPY^FG_PRICE_CHANGE(0,-3AM)":5.0184965,"USDCAD^FG_PRICE_CHANGE(0,-3AM)":2.1445274,"USDNZD^FG_PRICE_CHANGE(0,-3AM)":4.000342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ENZL^JULIAN(P_PRICE_RETURNS_PR('52W',2,-10AY,0,AM).DATES)":[41740,41768,41801,41831,41862,41893,41922,41954,41984,42013,42046,42074,42104,42135,42166,42195,42227,42258,42286,42319,42349,42380,42411,42440,42471,42501,42531,42562,42593,42622,42654,42685,42713,42746,42776,42804,42836,42866,42895,42927,42958,42989,43019,43049,43080,43111,43140,43168,43201,43231,43262,43292,43322,43354,43384,43413,43445,43476,43507,43535,43566,43595,43627,43657,43686,43719,43749,43780,43810,43840,43872,43901,43930,43962,43993,44022,44054,44085,44113,44146,44176,44207,44238,44266,44295,44327,44358,44386,44419,44449,44480,44511,44540,44572,44603,44631,44662,44692,44722,44753,44784,44813,44845,44876,44904,44937,44967,44995,45027,45057,45086,45118,45149,45180,45210,45240,45271,45302,45331,45362,45393],"EWD^FMA_DIV_YLD(NTMA,-10AY,0,AM,\"PORTAGG\",\"MEANR\")":[4.07886939333494,4.1243482592008,4.07378398788694,4.22063823734161,4.29636471501369,4.23585171681156,4.53040002480111,4.14145904389456,4.10434101915421,4.1537943816742,3.79542817607592,3.67254454233968,3.6075712904039,3.84169213914366,3.9041324576169,3.96182290230141,3.97529482099362,4.33107058101237,4.31015168727001,4.17303512871211,4.4659113915458,4.59350197399449,4.80644281212678,4.24082423501161,4.38461017202569,4.4343962082716,4.55788981641595,4.42365633023973,4.21088117688118,4.22129046246409,4.14728061980778,4.10678132346761,3.8795934791461,3.91475710691793,3.66795642893299,3.63027584186662,3.66357608593722,3.51774103840985,3.53038431692621,3.57477562858838,3.77350324160059,3.71929424545831,3.54991286882342,3.60234192890126,3.67158009275519,3.6342814038828,4.02556926118666,3.83733383035062,4.16213433620744,3.97680499455087,4.08316433790632,4.22063686313829,4.10030847819855,4.11379904192968,4.28836907685663,4.38320485486567,4.58734764140413,4.51309182651059,4.25963151800475,4.17905092054548,4.0588476620183,4.20659666126445,4.23101148329883,4.17517987636365,4.2744558551353,3.99868638926006,3.88490209219397,3.67627061081215,3.69476128094446,3.58402368058857,3.4133128316678,4.24990677486876,3.62115870518343,3.32454359974624,3.12524027103222,2.9891473966698,2.96375017816528,2.97562035514477,2.98396139017017,3.03144224600537,3.06612249884244,3.01791205061274,3.00334372641301,2.77860192144052,2.70183986695356,2.88088700681311,2.67990450227772,2.67209223700779,2.69772602191046,2.75894931424627,2.93144454151664,2.96711493017776,2.9259747455102,2.92211593709393,2.91111912954299,3.21602782526327,3.16483864964943,3.47614812847129,3.39344949627656,3.69995723428918,3.47245269231923,3.66067426980071,3.83116267620484,3.52731062556847,3.59821764389788,3.50057284066525,3.56749109698463,3.64985949196408,3.68473528047135,3.73573844056046,3.70548307316871,3.80374616066545,3.88856456471377,3.95459387897333,3.74480839679845,3.8732410923986,3.01584407128311,3.01690028906795,3.35821462217352,3.23270795387436,3.2320940716799],"EWQ^FMA_PE(NTMA,-10AY,0,AM,\"PORTAGG\",\"MEANR\")":[13.696116679634,14.0611974107165,14.3453089686976,13.5881141677996,13.2034701599297,13.7605765986515,12.6193460181865,13.2773254318945,13.5775812964051,13.5183553642329,15.5465980907725,16.4012653524154,17.1212684363433,16.2523628956523,15.939695531496,15.5027022901504,15.7060546366522,14.1123860445249,14.6264557862971,15.3558216511101,14.2868704415095,13.6063345345065,12.7578157920034,14.6751205161635,14.1454799319496,14.1592695070849,13.8916468252149,13.6675695651591,14.2262639764753,14.0818527749777,13.8509123610012,13.6999609196774,14.3963557909099,14.5879543865023,14.2086830911331,14.5204791092236,14.8031882976187,15.3663404721992,15.0857833266054,14.6040341489278,14.3750450674355,14.7563592044011,15.1907856279079,15.0117688428659,15.0449558953683,15.1754615893931,14.0302646214365,14.5561082665678,14.439874412685,14.8437202251711,14.4140285714724,13.9761408451209,13.8598306658398,13.4380188300971,12.7899614109453,12.8255122560701,12.0963683408196,12.2246420766778,12.8642103795756,13.4573991283777,13.9291600121577,13.4933522370889,13.6376120132946,13.9382808269109,13.5032006423679,14.09377095018,14.229437614492,14.7417130126539,14.6314610231062,14.9987341894689,15.0753556585556,12.1559399765045,14.4908623134977,16.5512753544335,18.2323289445087,19.1810581578033,20.0446106796402,19.271567153788,18.4474691531005,19.1714286778471,18.4818651248157,18.1052229641259,17.8465357435994,18.4374405581284,18.3351291293471,17.5852435638918,17.9958551420346,17.2495470106025,16.8733901886837,16.211765706019,15.5196468788436,15.9163575023917,15.5560162095132,15.6782467912998,14.6430222366706,13.0021870454752,13.206569887355,12.1127900918689,11.750463700128,11.1083870408876,11.8713763847384,11.21721617862,10.3522412519224,11.8859432908222,12.1441884038369,12.7090379540543,13.1137430238929,13.1455431683001,13.4359107080782,13.3365340304014,13.0084302380192,12.9514657199739,13.082538316832,12.8635108917257,12.4834706658141,12.435168352519,13.330406163261,13.1845312090569,13.7978627015545,14.4471292026333,14.5812154551984],"QQQ^FMA_PE(LTMA,-10AY,0,AM,\"PORTAGG\",\"MEANR\")":[18.7953793861653,18.6831798059621,18.9871302658962,19.1398682903092,18.9711688432669,19.4777752358246,18.6598352652074,19.8650901283137,20.1519724203827,19.9467153214544,20.0320867441236,20.593357100168,20.5165934784295,20.277630928227,20.1702038867671,19.8486398494081,20.2089572546867,19.5311811452464,19.5756943326247,20.296116740276,19.8636286828396,18.9341119507379,17.3600619954414,18.2664480602178,18.368179952457,18.3631886205753,18.5419207711197,18.9290788945446,19.5526428981443,19.3011734708972,19.8529266849893,19.5979289954878,20.2460574627044,21.0125178260205,21.5272966967445,21.7012824691961,21.5870886001693,21.8257019264769,21.8748013587034,21.7524161586236,21.9412261552739,22.2965353703203,22.6075718142814,22.9601709104262,23.2972725377325,24.6255464635472,22.7594555680994,24.1766392763791,23.4913536433679,23.3662295775586,23.3121395017545,23.2061739855578,23.1162351815135,23.0838337317168,21.6692590697214,21.1929705968218,19.9462373993139,19.5479829189366,20.3380034634141,20.9100570061276,21.2089360882425,21.2836194710615,21.2727683323106,21.9925756536615,21.684763677813,22.2731389079769,22.3590161294615,23.4254847067873,24.2628735356054,26.0678813503417,26.8991956589675,23.5223291289198,23.9586368620355,25.8036112204602,26.7239485385838,28.9351543944863,28.7263178110943,29.7589488952463,31.7159203918832,31.8691565982246,33.7056634565056,35.065970305526,35.4035011900781,32.8058153197538,32.8854909056106,31.5792958792983,31.558010404828,32.0521816636694,31.2320399950509,31.4491933418764,30.1373271574458,31.6414345811474,31.8912181056097,30.8708483247425,26.9185130660352,26.3272997594652,26.4000195298096,25.1063717808683,24.5884922738505,24.3110188934464,26.1119222555014,25.0694818397014,22.3183325237266,23.9368884060968,23.1611527570114,23.6283591178691,25.638827014183,25.1199688549742,25.589396854972,25.7731426533258,26.6473694971618,27.327221118386,26.3346528788372,26.8044689095796,26.7076709381839,26.9998366909986,28.1615664292555,29.0576165205849,30.4397476818719,30.1652103654763,29.8434642216226],"DDR3512M-FDS^FG_PRICE(0)":0.9717034,"PASP-FDS^FG_PRICE(0)":1068.0,"PLATI-FDS^FG_PRICE(0)":981.0,"W-FDS^FG_PRICE(0)":5.5175,"COPP-FDS^FG_PRICE(0)":4.252,"FC0000US^FG_PRICE(0)":390.67166,"FC0000GR^FG_PRICE(0)":9.555734,"EWI^FG_PRICE(0)":36.48,"SPY^FG_PRICE(0)":518.0,"EWJ^FG_PRICE(0)":69.99,"ENZL^FG_PRICE(0)":45.35,"EWA^FG_COMPANY_NAME":"iShares MSCI Australia ETF","USDCHF^FG_PRICE_CHANGE(0,-3AM)":6.5785646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1714274,1.85113612015885,2.46081798634908,2.80265475944353,2.92072613428035],"CPALM-FDS^FG_PRICE(0)":4517.0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0774239929,12.1999545354885,11.8188093455252,11.9408562756701],"USDCHF^FG_PRICE_CHANGE(0,-1AM)":3.763163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008563117798,16.6397892851078,22.2491594462169,22.9378272462545,24.3153750284337],"COPP-FDS^MAX(FG_PRICE(0,-5AY))":4.929,"USDSEK^FG_COMPANY_NAME":"Swedish Krona per U.S. Dollar","COPP-FDS^FG_PRICE_CHANGE(0,-6AM)":17.6535694521306,"EWL^FG_PRICE(0)":46.32,"TRYPH10Y-FDS^FG_YIELD(-10AY,0,Y,,\"YTM\")":[3.8633,4.1,4.6281,5.6986,7.1730304,4.847582,3.4208684,4.796723,6.9293385,6.0028777],"USDITL^STD(FG_PRICE_CHANGE(0,-3AY,M))":2.22271940521832,"ENZL^FG_COMPANY_NAME":"iShares MSCI New Zealand ETF","DUMMY^ECON_EXPR_DATA('FDS_ECON[NTCPMIMFGSA@EME]',,,M)":51.96338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827237,11.9070326866152,15.3602779627681,14.6912945486843,15.3680505982123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EWI^FG_TOTAL_RETURNC(-10AY,0,AM)":[2.053976,0.23002625,3.2702208,-5.1339746,-8.610451,5.458081,-11.275416,0.20834208,-2.4255037,-8.030004,7.776046,3.3910513,5.3035617,2.5182247,2.197802,-1.5208662,2.8758168,-5.463785,2.3521423,-5.581087,-4.520172,-5.980408,-16.394716,17.565048,-5.8498025,1.0075569,-3.158772,-6.0673532,5.639088,1.5124559,-4.5574007,1.4233232,6.3377023,5.648768,-3.7413597,4.267001,2.2285223,9.671032,2.0238519,2.8660536,3.5764337,4.9762964,0.93517303,-1.6613364,1.8193603,4.4659853,-2.6412785,2.7129412,1.4434814,1.5440583,-8.467502,-2.823478,-4.341835,0.576365,-7.4498596,-1.509285,-3.064835,4.438925,0.7075429,5.308342,4.37361,-2.8764188,0.4387498,7.5859547,-9.208679,6.016195,1.2004375,5.859101,-1.5959322,3.0590177,1.2811899,-26.165115,-3.0658245,-3.9069772,12.342691,8.273125,3.940487,-0.7350147,-1.6367912,7.0523024,7.4019194,4.3350577,2.3309946,2.6358604,0.47558546,2.0195723,5.539775,-4.4497194,4.408574,-3.95481,-1.2074292,6.1422706,-3.8086712,3.8832307,-3.7159085,-16.433239,8.156431,-8.4022045,-2.1227717,-7.957244,8.3871,-5.4761944,-9.739715,27.255821,0.0,8.181572,3.8408756,-2.1136105,5.026984,0.54609776,-1.0159552,5.291009,0.3140688,-1.0644972,-2.8797448,1.4988542,7.1910143,2.3230553,0.5927563,7.896292,-0.3823042],"EWN^FMA_DIV_YLD(NTMA,-10AY,0,AM,\"PORTAGG\",\"MEANR\")":[2.76931326807123,2.81516617120969,2.78327538924118,2.89347782002791,3.06149075772117,3.00104001790359,3.17750860434438,3.08913156082057,3.06095932154212,3.13375663660281,2.8814342100664,2.63863870754586,2.58310347872124,2.73791140690727,2.88431717602198,2.92066189862663,3.05314144297488,3.50502890783083,3.46208639246176,3.14261294474862,3.3703178124924,3.32616144060891,3.73085497356854,3.3070368016115,3.35983063304366,3.40019443182294,3.2714917012433,3.29383909175332,3.13177851941349,3.15535955984215,3.11936472266154,3.18868506839284,3.04139651137152,2.95090430830372,2.915858114188,2.77039631952978,2.76564994465788,2.70276686252854,2.70111645765119,2.81700957183875,2.81879214633753,2.84485154781321,2.77117276080204,2.80115736908361,2.8214146298831,2.79917723071026,2.99428155186221,2.90740052526616,2.94670838213444,2.90794126440471,2.85143148349815,2.9618853000586,2.90400840329892,3.04072632879953,3.21760442026084,3.1656999123636,3.37134496957496,3.38437527772502,3.19634355466189,3.1289980037481,3.01308524281793,3.05710668139762,3.06695328269311,2.98493021266243,3.03754782133028,2.85681179471099,2.74741719184377,2.65745502073171,2.64026990837336,2.57652895077533,2.49450194638882,3.18582780103611,2.88339649845138,2.6268882721412,2.48417485438161,2.32345436398723,2.35251965047286,2.3212251815979,2.27544631524992,2.18464859035019,2.07826910839627,1.94257884327048,1.89038165004407,2.00187876890923,1.90472063960407,2.00607252436918,1.97589729627651,2.02574283117987,1.94040020575279,1.8519866092316,1.98511007337883,1.85156713482416,1.97701977772046,2.01233724479047,2.21584446190305,2.45050247070475,2.32180013649998,2.61275627799026,2.64469718706252,3.39307494117678,3.07293923683336,3.67773050516798,3.12449272353893,2.70869262228274,2.64607513538925,2.58752180312007,2.58519448966909,2.72543759453342,2.66878926538137,2.71862324517373,2.68167495367711,2.7417934072183,2.77621022613596,2.95727144761977,2.98909048123335,2.91257420668469,2.703838104376,2.72564140443821,2.4722903440382,2.60280868411602,2.5171481467908],"SPY^FMA_PE(NTMA,-10AY,0,AM,\"PORTAGG\",\"MEANR\")":[14.6064899117494,14.9201442847908,15.2992008214526,15.3433437721194,14.911178096053,15.2700871372688,14.5264828399597,15.629654253249,15.6943080585517,16.0157856576161,16.6270587988844,16.3545738307633,16.7506179803448,16.6242589328258,16.5063970226408,16.1845842710819,16.2621647863037,15.2817631966567,15.7512636421626,16.2660717939002,15.7300489831403,15.0965716788976,15.5099438140132,15.5167363536305,16.5004635460184,16.5226770167304,16.5332547025517,16.7895077164128,17.0120438063636,16.443516067559,16.3782850308453,16.5261030604819,17.0817729331739,17.0133824231897,17.3573135161618,17.6868555093764,17.3885861861154,17.4609592662087,17.5892922074256,17.3950625401321,17.3716829759511,17.5650529762541,17.9352276023395,17.9158166017304,18.2513691551672,18.3133305053187,16.4319397139113,17.2975432074564,16.2514102222609,16.4505081458464,16.6011132635123,16.3985340136262,16.5026574691152,16.6667764569797,15.6512502728195,15.8933845224029,15.0545656237265,15.0726387797725,15.7828712290394,16.1649153021234,16.735658159891,16.536485846027,16.4405602294516,17.0834075101636,16.6255549083226,16.9740416681893,16.8135109168652,17.4495807351376,17.709008757589,18.3383818396565,18.8568789038377,15.4919525165798,17.9920986393165,20.856103858406,21.2048873554336,22.2065892553628,22.1639139367046,21.6762248309298,22.1027940354855,21.860496441156,21.8603315500082,22.5057499527585,22.1979802458882,21.9292117326258,22.5335517030286,21.2749451753569,21.3468994733368,21.637481115717,21.0708236546839,20.8823974235978,20.3027266116136,21.2543321398611,21.2124955940004,21.0100319754724,19.4379540316197,18.20852016684,18.8756467470762,16.6451575240257,16.317310833789,16.1056699220279,17.7800837789445,17.117750641554,15.2079025945182,17.3252631432345,17.0517820115442,17.2709511538334,18.0629893029598,16.9733880441296,18.0876976718498,17.9929896078119,18.5204571535837,19.0922440890907,18.9224944720957,18.7325021266488,18.1984566540509,18.2782617785539,18.9194260853808,19.5571901342055,20.4175825274645,20.4976514365295,20.6841655478305],"EWU^FMA_PE(LTMA,-10AY,0,AM,\"PORTAGG\",\"MEANR\")":[14.2620331353702,14.3859734416984,14.3838794026503,14.2744493993483,14.1302479473592,14.1573206623118,13.4268495849335,13.9403205851875,13.5947856219578,13.4770673405133,14.5096383025039,15.1059044391867,15.4653415263547,15.7176650214959,15.698358007868,15.5822147632225,15.7710393146924,15.018967059324,15.7553625559977,15.7677008457074,15.0845130535522,14.7544904257769,13.9936954392155,15.6255820413721,15.8086409901152,15.8689019711773,15.8931277075778,16.4170151633055,16.9626444370876,16.851203979754,17.0469822940956,16.3174182826211,16.8868474178802,17.2688579985609,17.3356477048108,17.2791303258414,17.0539715640928,16.858552691487,16.6940067692947,16.3471164254866,16.1329607142966,16.0235510303927,15.8670953374715,15.4004427733942,15.2274109877955,15.6516379168601,14.2238916401885,13.9813350069092,13.9868660919576,14.1292551417902,13.9953243508908,13.7849751675198,13.7790666178708,13.3168935775809,12.9458173875826,12.8853225820427,12.1150686655359,12.3033933231619,12.6693115046268,12.9142227518401,13.0119420610559,12.8687263753885,13.0018402050607,13.1055730336784,12.7797921585397,13.0517784669457,13.1207443706702,13.3683372851557,13.4590011683763,14.2041050893199,14.023052214976,12.1462530448053,12.7909100078683,13.8921932542636,14.8259335623917,15.2113026950939,16.3015028243556,16.773763409107,17.2133820641384,17.9536322868959,19.283586082266,20.3007251973722,19.338524515351,18.6792587426009,18.1176319585105,17.4488221695781,16.9539767018419,16.1862392157821,15.2996319643025,14.4050657476379,13.8978854168909,13.3652069556637,12.5182504065323,12.5635729700916,12.8897101247148,12.4077864190642,12.2647697826443,11.7619494565594,11.4787511232505,10.9431264586999,10.8428242927771,10.2646011355064,9.38273326075501,9.68732007198889,9.8868490280747,9.98337146263788,10.1168719940604,10.2321546277501,10.3495094300519,10.3455462123123,10.3122070744627,10.2315846969165,10.5401951139032,10.5309607261852,10.6589832794051,10.3999045735038,10.9105895289929,11.160059270614,11.181431173401,11.456236394332,11.5469960185284],"WL-FDS^MAX(FG_PRICE(0,-5AY))":763.4,"NI-FDS^MAX(FG_PRICE(0,-5AY))":48241.0,"CPALM-FDS^MAX(FG_PRICE(0,-5AY))":8163.0,"BRENT-FDS^MAX(FG_PRICE(0,-5AY))":140.85,"TIOS-FDS^MAX(FG_PRICE(0,-5AY))":219.77,"FC0000GB^FG_PRICE(0)":121.39696,"FC0000CA^FG_PRICE(0)":289.44934,"EWD^FG_PRICE_MAVG(0,,,,200)":36.0389,"QQQ^FG_PRICE_MAVG(0,,,,200)":394.32126,"EWG^FG_PRICE_MAVG(0,,,,200)":28.4889,"EWI^FG_COMPANY_NAME":"iShares MSCI Italy ETF","NI-FDS^FG_PRICE(0)/MAX(FG_PRICE(0,-1AY))":0.693617854346124,"USDUSD^FG_PRICE_CHANGE(0,-6AM)":0.0,"FC0000CH^FG_PRICE(0)":314.40735,"EWN^FG_PRICE_MAVG(0,,,,30)":49.029,"EWC^FG_PRICE_MAVG(0,,,,30)":37.822666,"TIOS-FDS^FG_PRICE(0)":104.71,"ENZL^FMA_PE(NTMA,-10AY,0,AM,\"PORTAGG\",\"MEANR\")":[17.1397951291696,17.4163911524998,17.1950775478416,17.1045994736078,16.8342090359573,17.3328204410014,17.079922742083,18.1917479173829,17.962098875325,18.4251532652318,19.1026384884161,19.0889007357545,18.4018745260032,18.2915216883725,18.2664856412637,17.8056121259202,18.0702673860077,17.3210124041124,17.0316120615796,18.004283830299,18.0727813724927,17.5835165878356,16.86631790205,18.153055509205,18.4070110583007,19.2613725662353,19.3258585251587,19.537175612481,20.3203013316543,20.985895910256,19.5240826877748,18.2548768664489,18.5969651239115,19.0155999385726,19.171644371051,18.9561938524949,19.1983999009394,19.7961543811645,19.3419452657852,19.4592623057958,19.8077907127297,19.9539511474096,20.0068510473666,20.02579298852,20.6372888703939,20.4212532890336,19.1829856079539,20.3239563604608,20.2202499204706,20.5529675364946,21.2378351186799,21.1937394185908,21.2686264981258,21.6435844772013,20.0559702452413,20.5368053214283,19.7955198262016,20.3463813494912,21.018048082461,21.6903501080976,22.0615042087961,22.8659273154711,22.8316133845702,24.2845775339852,24.6598040535111,25.9199593238243,25.265198976926,24.9222217908366,25.5790629415333,25.78077041741,26.7152955960411,24.8968760286439,26.4067438196473,30.2453716660557,30.2954188242753,31.4972709052866,32.1518549867078,32.1004820471733,33.1656204674979,32.9937032055781,33.229776290467,34.3189478681902,31.9616736988616,31.8353417216934,32.2570585697458,32.9021931809334,33.1492931193202,34.3236059715828,33.7869669550778,34.6885777250705,33.5896932161488,33.3869191790286,32.437050414225,31.5721355438606,30.002821874121,28.6664040408046,28.3278762567478,27.8435311726713,26.025025820899,25.8644183300611,26.571319540856,27.0220488287042,23.7020794871142,23.5166884132962,23.2466483788271,23.431725048814,24.4308318321944,23.1128691838479,23.3526095084452,23.3936523337765,20.6862263039356,20.911280705462,20.5081165159715,20.2174698346747,19.9174420064607,20.0927422706748,21.7202830387421,22.8980480806234,22.2274988672056,24.7513899692505,24.8934857349399],"FC0000NZ^FG_PRICE(0)":382.59552,"USDUSD^FG_PRICE(0)":1.0,"EWC^FG_TOTAL_RETURNC(-10AY,0,AM)":[1.0273933,3.0169487,2.76407,3.4514785,-0.49890876,1.2221813,-9.721363,2.9149532,-7.1642756,0.5803466,-0.4341483,-3.3430219,6.2030077,2.1592975,-3.4303546,-5.8469176,-2.611369,-7.5709763,6.3139915,-6.861961,-7.065916,-7.0531187,0.1011014,18.131315,1.4108539,2.6138306,2.9170036,-0.77513456,4.7039747,-1.8202901,-0.51282644,-1.4670849,8.410465,1.1866212,2.2230506,-3.8419724,2.035427,-3.3985972,1.3766766,2.2319555,1.2276769,4.6674013,2.808988,0.13661385,-0.54570436,4.2330265,-8.463848,2.0021915,-0.03569126,3.6058545,0.06891489,-0.3167212,0.20891428,-1.6330838,-4.168141,-1.290077,-5.0037327,2.7934194,3.8102746,3.2209635,2.5399208,-0.99080205,0.78628063,3.7354827,-2.8285623,2.307415,-0.9368539,3.1173468,0.5095124,2.7732015,1.399529,-23.03648,-1.1955619,6.4822793,2.4350643,4.7683,7.448435,-0.8887291,2.5825024,1.8181801,7.932687,2.3790598,3.1780958,4.574561,2.274716,4.3341875,3.9977908,-1.4807045,1.476121,-1.5075386,0.9935498,4.918897,-3.6239266,3.5051465,-0.05146861,-0.82389116,2.7258515,-11.068994,3.7228465,-8.170021,7.8749537,-2.7862906,-12.754369,15.111696,-3.3961236,2.6560307,3.6204457,-7.382369,6.1454177,0.14330149,-1.4152884,1.0264039,1.4804006,-1.6876459,-2.065754,-1.0992229,5.5271864,4.62296,0.22063255,3.7974715,0.10603666],"EWL^FG_PRICE_MAVG(0,,,,30)":47.387665,"EWA^FG_PRICE_MAVG(0,,,,30)":24.388334,"USDUSD^FG_COMPANY_NAME":"U.S. Dollar per U.S. Dollar","USDCHF^FG_COMPANY_NAME":"Swiss Franc per U.S. Dollar","USDAUD^FG_COMPANY_NAME":"Australian Dollar per U.S. Dollar","EWG^P_PRICE_RETURNS_PR('52W',2,-10AY,0,AM)":[24.152924,21.998035,23.078978,21.458626,9.004259,9.415865,-6.987423,-5.3343654,-3.4851432,-11.25325,-6.613165,-3.6300242,1.0252237,-2.2809088,-5.527705,-3.9497554,1.4860272,-7.2968063,1.7742157,-0.8107424,-7.126766,-6.897789,-17.92981,-11.941486,-16.380442,-12.333256,-13.44226,-14.801234,-4.586196,2.2338867,1.2987852,-1.43677,1.2271881,13.347912,21.455013,18.521559,15.645671,19.89931,23.226082,30.077589,16.8625,24.945223,29.117668,30.579138,29.461897,28.624094,20.144033,20.593607,17.423748,11.965954,6.060374,1.5004992,1.0410666,-5.6527557,-13.065237,-14.032518,-20.608252,-21.506298,-17.219246,-15.263677,-12.306059,-12.577545,-11.341763,-6.3126745,-11.941314,-4.645407,0.71099997,8.161915,16.661465,15.860701,16.806662,-12.255711,-14.388919,-15.095705,-3.3652246,2.245319,12.774145,12.430584,15.543151,4.5704603,7.366729,11.289144,14.150917,46.960403,53.65143,51.507877,40.235184,29.494976,22.508753,17.926407,10.823274,17.220188,7.7617526,5.3993583,-1.5378892,-17.671728,-18.944805,-25.343317,-27.29029,-34.459133,-28.481215,-32.4842,-36.77775,-24.239391,-19.230175,-15.322018,-11.199135,5.011487,8.068001,18.326008,11.408985,31.639242,20.431746,25.793684,37.474,12.240291,18.160856,9.824586,6.9153666,16.790176,10.641408],"DDR3512M-FDS^FG_PRICE_CHANGE(0,-6AM)":-3.27297928135767,"EWL^FG_COMPANY_NAME":"iShares MSCI Switzerland ETF","EWC^FG_COMPANY_NAME":"iShares MSCI Canada ETF","TRYBR10Y-FDS^FG_YIELD(-10AY,0,Y,,\"YTM\")":[12.319731,15.989595,11.062725,9.887577,8.936093,6.883678,6.961219,10.970291,12.900059,10.455909],"CAGDPY@FR^EE_ACTUAL_ANNUAL(MED,0)":-0.767964482578006,"CAGDPY@AU^EE_ACTUAL_ANNUAL(MED,0)":1.21871580460395,"USDITL^FG_PRICE_CHANGE(0,-1AM)":2.0737052,"USDANG^FG_PRICE_CHANGE(0,-1AM)":0.0,"USDUSD^FG_PRICE_CHANGE(0,-1AM)":0.0,"USDGBP^FG_PRICE_CHANGE(0,-1AM)":2.2924185,"USDJPY^FG_PRICE_CHANGE(0,-1AM)":4.3749213,"USDCAD^FG_PRICE_CHANGE(0,-1AM)":1.705277,"USDNZD^FG_PRICE_CHANGE(0,-1AM)":3.230393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QQQ^FG_PRICE_MAVG(0,,,,60)":434.71634,"EWD^FG_COMPANY_NAME":"iShares MSCI Sweden ETF","EWJ^FMA_DIV_YLD(NTMA,-10AY,0,AM,\"PORTAGG\",\"MEANR\")":[2.23404912043006,2.20636467399354,2.09891158989349,2.09376186010652,2.11225010624207,2.03669688381247,2.16223506059452,1.96294654736754,1.9852166314743,2.02456223817472,1.99431479589481,1.88823123922511,1.84121609437922,1.87581733308854,1.88277624727378,1.98190899374002,1.87726875301063,2.15276343281783,2.10330704758935,2.00897397631536,2.07737373551735,2.2535110357339,2.5789848815479,2.36690275269492,2.52664634675218,2.40070194602975,2.37928286589849,2.51113122590021,2.39500136738711,2.34644872613198,2.3499917181,2.32742917500156,2.10087054762229,2.08853325667516,2.12416716336401,2.11971840524454,2.24987170835159,2.14780052852705,2.17547450532924,2.15407779329145,2.18696468023619,2.22655419133541,2.13733509698183,2.03834834585761,2.05275898417894,1.98349058196702,2.19981080208256,2.2567325470921,2.26213862620461,2.19318180309022,2.22733058830833,2.33876751942641,2.32917541421516,2.36711755843302,2.3726625216991,2.43389557508879,2.59453140575316,2.69154535046905,2.68588209816238,2.60808579600587,2.5813761381383,2.67362095816542,2.67126127368744,2.64437910307619,2.77226270406132,2.62262977601384,2.61505757237891,2.46237546409756,2.45022510630201,2.42976300253603,2.4502951787906,2.99966821753269,2.91891278369387,2.76577508340046,2.48550599015555,2.54244667709916,2.44622231734358,2.36236672259948,2.36562250561293,2.25249698108426,2.1615740453274,2.08647035234425,2.03061548508509,2.08547565313539,2.06618037998104,2.16894803528531,2.16490573620688,2.23588962018431,2.21925472216604,2.12996394271217,2.24909641498563,2.24331216414864,2.31946218866455,2.32504076133142,2.41809457425993,2.70573520234391,2.59540328485331,2.67712151271273,2.58655464091217,2.64944662594839,2.62354214189202,2.59604908042765,2.76325524522194,2.59856581696737,2.64604134362408,2.72984650300142,2.60900325896391,2.57541878834053,2.63615824532388,2.53734491672615,2.3774055935627,2.39874253647451,2.36503990136443,2.33005656332254,2.39930422055745,2.40054628143042,2.422795896894,2.31126923998764,2.26996227392745,2.21236579769607,2.1899400286632],"EWU^FG_PRICE_MAVG(0,,,,30)":33.680332,"EWN^FG_COMPANY_NAME":"iShares MSCI Netherlands ETF","TRYCH10Y-FDS^FG_YIELD(-10AY,0,Y,,\"YTM\")":[0.314,null,-0.12,-0.09,-0.176,-0.434,-0.49,-0.111,1.617,0.703],"EWL^FG_TOTAL_RETURNC(-10AY,0,AM)":[-0.43657422,2.6750207,0.80251694,-1.5849292,-3.3840716,2.1107435,-8.298386,6.1091065,0.15393496,-2.8896391,3.0705929,-1.627773,7.4305415,1.9471169,0.2565503,-1.0177553,-1.8529415,-4.7947226,0.37771463,-2.1009743,-2.2741795,-4.1953506,-5.0975027,7.354009,0.33578873,1.0709524,0.06622076,0.55589676,3.8175702,-0.97624063,-1.7417073,-2.4080217,-0.17135143,3.9439678,1.8836737,2.238083,1.6814709,5.834627,1.4740586,0.8917928,0.0,2.5294185,1.262188,-3.2577813,2.0204902,3.8748503,-4.2829514,1.2702107,-2.480054,0.8477092,-1.6811669,-0.48418045,3.3404112,1.1460423,-5.897731,3.0873775,-3.5639346,1.9565225,0.791955,4.079783,3.5423994,0.22435188,4.6726346,1.0456204,0.97192526,1.4973164,-1.4488935,3.2076955,1.4503956,3.1146288,3.9118648,-15.034551,1.7386436,3.031981,2.3274422,6.8335533,1.3678193,3.6555529,-0.023663044,0.75757504,2.2791266,3.9366722,0.3538251,-2.6002645,4.5701385,0.8005142,8.511686,-0.72522163,2.2524357,-1.9845188,-4.2113724,7.2711825,0.9655237,0.33177137,-5.3686023,-7.173693,10.540295,-13.541662,-2.759111,0.1701951,6.2864065,-4.841292,-11.231094,17.085695,-1.223743,3.5296917,0.09031296,-3.3386052,8.238041,4.3984413,-3.5620213,0.26276112,1.5505552,-2.5591373,-1.5007734,-3.495407,7.0582747,3.4265876,-2.746904,4.484689,-4.416013],"EWN^FG_PRICE(0)":49.51,"EWQ^FG_PRICE_MAVG(0,,,,200)":38.040924,"TRYUS10Y-FDS^FG_YIELD(-10AY,0,Y,,\"YTM\")":[2.1881,2.2961,2.4752,2.4325,2.6836,1.9185,0.9174,1.5119,3.8776,3.8791],"EWJ^FG_COMPANY_NAME":"iShares MSCI Japan ETF","W-FDS^FG_PRICE_CHANGE(0,-6AM)":-0.764388489208623,"TRYTR7Y-FDS^FG_YIELD(-10AY,0,Y,,\"YTM\")":[7.979133,10.679033,11.110786,11.586128,15.896213,12.034795,12.534946,23.870693,7.323803,21.984322],"DUMMY^ECON_EXPR_DATA('FDS_ECON[PMIDMMANHE]',,,M)":49.28643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06586,9.77856565542044,10.8991459502058,12.0158891729577,12.7459856653599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EWQ^FMA_DIV_YLD(NTMA,-10AY,0,AM,\"PORTAGG\",\"MEANR\")":[3.53363419872878,3.44532772786709,3.37286870746001,3.53094993660286,3.6610390361292,3.50994848731331,3.84671942820626,3.68622192730001,3.67725727444498,3.71383695470491,3.30807106056322,3.20895470970954,3.08495761012866,3.2684495284643,3.31924384936927,3.37716442667806,3.30076312695952,3.69712942805825,3.56337293234251,3.40872749810117,3.66685130327929,3.86282784769069,4.22120026727507,3.69147797520485,3.82581506691345,3.80576317272572,3.8509698530239,3.88096654546108,3.68237171372159,3.68553962811231,3.74400311946995,3.73859146001,3.53873590391365,3.45108092739468,3.50448723331954,3.42744830382001,3.37090498418615,3.21350037846793,3.25906833707337,3.38689325811452,3.4446711197802,3.3646919146247,3.28487652313379,3.30597966187697,3.27441368012398,3.2296295718637,3.50067759329645,3.38318623993438,3.408042020533,3.28066449848566,3.36158267253387,3.43827938536606,3.44521810088229,3.53589713702942,3.70203906138154,3.70226286608094,3.94454343862236,3.95068378533836,3.79648520364643,3.64247350593343,3.51909061192802,3.63304435327109,3.5963201826878,3.53400543590194,3.68507378588641,3.51861552379551,3.50187540101182,3.37805142782359,3.40932828819351,3.32799839842302,3.30584179649492,4.24087954098704,3.95122387762285,3.54076394126469,3.23068483911922,3.12527476908265,3.08892175541521,3.11642157762664,3.18536736838412,2.93283950720755,2.94203406477673,2.9070542439895,2.91811939337047,2.73834450184256,2.71752990121362,2.73446503150488,2.64210820192169,2.70363036967573,2.680061840492,2.7769737138866,2.87358492108027,2.73631683708276,2.78959574111746,2.74771474639825,2.89453836652475,3.29283938252377,3.13299407387437,3.31477887195962,3.37054591619736,3.51258445399149,3.2525701627865,3.46829732376094,3.74047104520382,3.32138957513477,3.28494147301475,3.17231173426186,3.16607714132778,3.20146681156298,3.1528640415656,3.2005384823819,3.28914106247573,3.32161715284546,3.30005955093759,3.34171290860578,3.42715658239812,3.460605775967,3.23994834856159,3.29828111071763,3.20096492545862,3.10551178883483,3.08722839234175],"QQQ^FMA_PE(NTMA,-10AY,0,AM,\"PORTAGG\",\"MEANR\")":[16.3905449323644,16.487651728432,17.3765258593101,17.6110670683091,17.2326988383151,17.7904038639591,16.5901439608725,17.7946329147507,17.7956949581197,17.3055562398709,17.5276670269575,17.4826444052859,17.9983431695291,17.8295958999817,17.9004550922778,17.511051871763,18.295257726722,17.422084545231,17.5754550150943,18.5888177764273,18.1011851659073,17.2073713935488,16.0163125744445,17.4343936503334,17.727155705711,17.5267639781036,17.7249180260534,18.1516213644554,18.8327012653276,18.0902057284532,18.3884292940106,17.9364907802065,18.283669809778,18.684358083426,19.7525406103705,20.1288580166441,19.9390544478359,20.6711178527086,20.6409360776652,20.2103927074971,20.349037668167,20.5786310711785,20.627316087287,20.8736426741464,20.8804691358462,21.6251892773836,19.6565314103086,21.4751158155038,19.7075796937303,20.196240228418,20.5612714899533,20.6188716619341,20.58621890021,20.6175204794942,19.009146828458,19.046710566254,18.119461015514,18.1372047182048,19.0896822909987,19.8067663480177,20.8651806603826,20.7155399203375,20.3353852779834,21.3296604583942,20.4747554892039,20.8917234551968,20.6079454175599,21.5038623496081,21.9142140533918,23.2526547451347,24.1067674048024,20.24245997559,22.2789833675044,26.6691373875042,27.2320486940274,30.0704992928377,28.5579213303812,28.6459694217191,29.8249901906179,29.1315704201755,29.6192077554355,29.9074238277943,30.1503575780625,27.9949596640309,29.4433193845065,26.5539750863845,27.400508478962,28.7357354864316,27.8127556138416,28.2556537846574,26.8525758160796,29.1012371169009,29.1991789256011,28.2028649927346,25.076205103321,23.0478843996981,24.0734583847057,20.7735392000714,20.3747039104487,20.5467454967065,23.6993197307761,22.3198636751853,19.2327791914545,22.0148633063543,21.4621614400432,21.7200942890936,23.7898835252836,22.6207215584533,24.5587234532998,24.7121681800789,26.084287594661,26.5329616585773,24.4459266495466,24.4877322762796,23.8901591878773,23.9915629316727,24.5044712302245,24.9680016891074,26.3798377669531,25.9319436667366,25.7118384170649],"EWL^FMA_PE(LTMA,-10AY,0,AM,\"PORTAGG\",\"MEANR\")":[17.0199302378966,17.1475104236444,17.2328841911319,17.0572744019681,17.0201943865286,17.4383490665364,16.6282282876558,17.4659508185089,17.367672942273,17.2204408039944,17.0895644953238,17.9577365532647,18.2018605615944,18.0148205741411,18.0059261268862,17.9707290652863,18.073800099185,17.304875112429,17.4293642447104,17.586716598037,17.009780886121,16.21699574218,15.7553271668349,16.6658410291933,16.654973376306,16.867741129858,16.9699568280293,17.2562268892292,17.9366084140957,18.0029716744111,17.9517492132187,17.6093166174343,17.8654886768,18.581290538774,18.6964860850329,19.6418627422661,19.4235754471795,19.5193426661781,19.4440607452971,19.2546954714736,19.1066122872748,19.2584885629572,19.6818603774438,20.0782577995439,20.4135400265499,20.9909598295731,19.9728933721012,21.0915390608396,20.5115136336468,20.2243768769774,19.573803109059,19.2323214747624,19.0094286970982,18.5832341078204,17.6376097795367,17.9999144029141,17.0229272260667,16.970166277382,17.5633297962591,18.2801141625831,18.2988873417235,18.096693669386,18.2954897191905,18.3043027541262,18.1917427011976,18.5000476945669,18.4238054997665,18.855282770609,19.0747208015079,19.6126700682027,20.1813322520407,17.7865305864309,18.1273033007994,18.6941145583302,19.1599178522134,19.8789830894742,20.2565752827923,20.8774630508209,20.9920117831466,21.2111521857934,21.0825476154386,22.0515718233048,21.2022557455181,20.488170065452,20.6298686066957,20.375835607984,20.8677443160311,20.8944209100799,21.1068133805527,20.8101064935954,20.2151664231137,20.9452498628094,21.0987971423366,21.0652878498439,18.6843066457989,18.3477996915388,18.711264243116,18.1488779555304,17.7423271552821,17.7259797990964,18.4347254573438,17.9840443084286,16.7412266473744,19.7506849150101,20.3501562987224,21.1454829308094,21.1586703077434,20.5237710261808,20.3925097652976,20.2033334670339,19.4821536821873,19.049803697643,18.9493671637251,18.6192594219309,18.4981903464161,17.6202379268256,18.2628991269319,18.2854500950142,18.6906068635874,19.2134984263005,19.0377844569805],"WL-FDS^FG_PRICE(0)/MAX(FG_PRICE(0,-1AY))":0.822766570605187,"CPALM-FDS^FG_PRICE(0)/MAX(FG_PRICE(0,-1AY))":0.98645992574798,"BRENT-FDS^FG_PRICE(0)/MAX(FG_PRICE(0,-1AY))":0.870614479821537,"EWD^FG_PRICE_MAVG(0,,,,60)":39.024666,"EWG^FG_PRICE_MAVG(0,,,,60)":30.317333,"SPY^P_PRICE_RETURNS_PR('52W',2,-10AY,0,AM)":[16.319824,17.723715,21.92049,19.729614,16.711914,20.565426,14.820421,17.381895,16.470945,13.39469,15.93051,11.356556,16.917372,14.234961,10.692108,7.747948,9.789038,0.15053749,6.57146,3.80584,0.87023973,-3.9859772,-9.792625,1.2128592,-0.7740259,0.16263723,1.7276287,5.103612,7.0752144,11.88786,8.306146,6.4347386,12.698973,20.755745,27.64542,21.680677,17.60087,18.323921,17.150318,15.802264,13.922405,19.225895,21.90554,21.38815,19.951248,23.943817,15.599644,20.020163,14.345527,16.15156,16.619003,16.446936,18.329657,18.149412,8.6692095,9.5479965,0.9882331,-4.4139266,5.466461,1.7550707,11.401796,7.9778314,5.7355165,10.259306,4.33259,5.9410453,11.035895,13.233673,21.420992,28.195381,26.229752,0.39891005,-1.1659801,3.6293268,6.2076926,8.51034,16.432608,13.514161,21.422768,17.944252,18.790268,18.478882,18.757462,46.165623,50.297928,43.89498,43.42694,40.612377,35.348927,35.41169,27.102983,31.87239,30.182457,25.71547,14.250398,8.180655,8.325386,-3.9247692,-6.7623196,-10.5193615,-4.011965,-8.148503,-16.454065,-12.768346,-14.389431,-14.432203,-7.7097774,-7.8244867,-5.275202,6.725514,8.917332,17.05265,7.8582883,12.110222,23.905241,13.409721,19.339096,22.280205,25.002611,34.515156,28.269505],"CC_JP^FG_COMPANY_NAME":"Japan","EWU^FG_PRICE(0)":34.09,"USDAUD^FG_PRICE_CHANGE(0,-1AM)":1.3885617,"SPY^FG_COMPANY_NAME":"SPDR S&P 500 ETF Trust","TIPSCL10Y-FDS^FG_YIELD(-10AY,0,Y,,\"YTM\")":[null,null,null,null,null,null,null,null,null,5.3314],"CC_AU^FG_COMPANY_NAME":"Australia","DDR3512M-FDS^FG_PRICE_CHANGE(0,-1AY)":-12.6058179120661,"FC0000JP^FG_PRICE(0)":177.06544,"PASP-FDS^FG_PRICE_CHANGE(0,-3AM)":5.32544378698225,"EWI^FG_PRICE_MAVG(0,,,,60)":35.54767,"CAGDPY@US^EE_ACTUAL_ANNUAL(MED,+1)":-3.05,"CAGDPY@NZ^EE_ACTUAL_ANNUAL(MED,+1)":-6.35,"USDITL^FG_PRICE_CHANGE(0,-1AY)":1.9335866,"USDANG^FG_PRICE_CHANGE(0,-1AY)":0.0,"USDUSD^FG_PRICE_CHANGE(0,-1AY)":0.0,"USDGBP^FG_PRICE_CHANGE(0,-1AY)":-0.6869376,"USDJPY^FG_PRICE_CHANGE(0,-1AY)":14.79013,"USDCAD^FG_PRICE_CHANGE(0,-1AY)":1.6977429,"USDNZD^FG_PRICE_CHANGE(0,-1AY)":3.7827373,"EWA^JULIAN(FMA_EPS(NTMA,-20AY,0,CY,,\"PORTAGG\",\"MEANR\").DATES)":[38352,38716,39080,39447,39813,40178,40543,40907,41274,41639,42004,42369,42734,43098,43465,43830,44196,44561,44925,45289],"EWD^FG_TOTAL_RETURNC(-10AY,0,AM)":[-2.0525455,1.7602563,1.098299,-4.009211,-1.7171144,-1.6582787,-7.979524,8.049738,-0.60569644,-5.6805077,5.727315,1.4773726,1.8804908,1.6076207,1.6993761,-3.5796285,-1.3919055,-2.540779,0.096559525,-3.9871395,-5.257869,-3.4138322,-5.274719,13.805103,0.8154988,-1.6852021,-2.3311615,-0.8210659,6.512141,-0.41450858,-0.9018421,-3.7101865,4.616499,0.67733526,5.315852,0.8521795,1.2999654,7.9563737,1.9316435,2.6587963,-1.829803,3.8461566,3.5612583,-3.9064586,-2.662468,5.75397,-6.1797676,3.1736493,-4.3818893,3.8239717,-2.3384929,-4.1741667,1.7979741,1.1239529,-4.0012717,-1.8193841,-4.54852,2.885282,1.0298729,1.2911916,7.0446134,-3.8232505,0.0,2.697146,-7.0399523,5.3892255,-1.1363626,8.350229,1.435256,1.5026927,4.234433,-20.194292,-1.8443406,2.9688,7.7007294,10.342455,8.687615,0.65193176,2.7879477,5.178082,2.94348,5.005729,3.3988833,5.9168816,4.389274,0.08494854,4.608476,-1.888752,2.89824,-2.0764768,-6.7184567,9.047937,-4.4169245,1.629591,-10.365987,-12.004889,6.112802,-12.463993,2.648306,-9.355318,12.173343,-9.171337,-13.051945,27.408504,-0.6154716,3.9824247,-0.34227967,-4.092729,5.849004,2.3118138,-2.7555823,-0.68008304,-2.8530657,-2.5550604,1.7179012,-2.4000049,14.51124,2.523756,-0.2649784,7.8374147,-2.5375664],"TIOS-FDS^FG_PRICE(0)/MAX(FG_PRICE(0,-1AY))":0.726345726970033,"USDCHF^FG_PRICE_CHANGE(0,-6AM)":0.99185705,"CPALM-FDS^FG_PRICE_MAVG(0,,,,30)":4313.4,"CAGDPY@CH^EE_ACTUAL_ANNUAL(MED,+1)":8.6,"EWA^FMA_PE(NTMA,-10AY,0,AM,\"PORTAGG\",\"MEANR\")":[14.3665960513262,14.2700358497457,14.3287013080641,14.6345834112356,14.4824954408226,14.6519973626464,13.6405203794069,14.5153528099667,13.8229396404654,14.7910246106693,15.7533452056629,15.8074675603033,16.5830151988825,15.7693163286506,15.3122804398733,15.1095200696876,15.1347073694528,14.3028006920765,15.1554685743865,14.7288041770361,14.7746093515713,14.6514987708418,14.7578984991763,16.1166036707772,15.1590831350238,16.5732530353264,16.2466950378194,16.1366157028891,16.7145837992522,16.0677382127277,16.3355035757947,15.9164664958631,15.902515362013,16.0240467975403,15.8687074156165,15.8277049015119,15.9095792338548,15.7192324916987,15.1595002902089,15.4328559138326,15.5353954973803,15.5792195528617,15.5466707966009,16.131743422553,15.8507053868471,15.9728125145996,15.1562252732907,15.4056068152723,14.9567760029408,15.5073397881885,15.1267339329547,15.4558288670821,15.6011103556455,15.2022605041444,14.3832098140669,14.647037538523,13.830385769618,14.4239379752127,15.0143237482287,15.2420927258356,15.2184230729117,15.3891090344512,15.9353468461175,16.1393043559798,15.9716847105929,16.4340822707632,16.5104808010076,17.255301596916,17.2335091596144,17.6973313983956,18.0346297959722,14.8577018102295,15.7640645999622,17.4138326628337,19.3763788261573,18.8165039957777,19.5278741512129,18.4732198250566,18.7865480733202,19.2617954493314,19.2541317673783,19.273089005236,19.1890586627225,17.9817850404025,18.0821954365405,18.0681195699038,18.1272075763175,17.0199912304574,17.2217666174846,17.0164735671257,17.2542344656071,17.3405211669866,17.2270474645054,17.2963316084987,15.9710431809822,15.4753693266256,15.8531807318743,14.149024800812,13.4533685306735,12.7026748729092,14.1648664473334,13.6558920110344,12.8345208882583,14.26953039134,14.4531920800488,14.2521793611965,14.8224426982472,14.1321606836372,14.5799128653833,14.631264313976,14.5726792864749,14.7403507901797,15.4037629449184,15.3374949556746,14.872971194338,14.7527074569694,15.4009574521785,16.1577133434558,16.4366464538004,16.5982462964673,16.7046008353544],"CAGDPY@CH^EE_ACTUAL_ANNUAL(MED,0)":7.64151941312264,"USDEUR^FG_PRICE_CHANGE(0,-1AM)":2.0737052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513637,8.94242101235722,12.2539581193409,13.1475852543623,13.2210595032912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NI-FDS^FG_PRICE_CHANGE(0,-1AY)":-22.472647702407,"CPALM-FDS^FG_PRICE_CHANGE(0,-1AY)":5.53738317757009,"BRENT-FDS^FG_PRICE_CHANGE(0,-1AY)":-1.29899988504425,"TIOS-FDS^FG_PRICE_CHANGE(0,-1AY)":-13.4985543163982,"EWD^FG_PRICE_MAVG(0,,,,30)":40.30467,"QQQ^FG_PRICE_MAVG(0,,,,30)":441.39435,"EWG^FG_PRICE_MAVG(0,,,,30)":31.232666,"EWL^FMA_PE(NTMA,-10AY,0,AM,\"PORTAGG\",\"MEANR\")":[15.793394674902,16.2365664480007,16.3633411398503,15.8759194942779,15.6850965645641,16.1996202242473,15.1180215919904,16.0171699386595,15.8844671221898,15.7565158369341,16.7688405585768,17.4307842939274,18.2873658413189,17.58207468929,17.4507722124497,17.3141890608346,17.5329748261516,16.4383634756011,16.5148429239243,16.9195713641884,16.3629039781085,15.8714021057983,15.3438078232223,16.6850509645926,16.3693736019375,16.7218410765325,16.6654060352742,16.8909296158977,17.632974680332,17.3492168529548,16.9472844163371,16.4589581239384,16.6379478574713,17.1329667105597,17.3800024830095,17.6390374546385,17.3655432380124,17.9636342430407,17.85127543502,17.5884797474274,17.4298361216625,17.6244891823348,17.9228212917989,17.6132197782747,17.5684426919503,17.8194456158752,16.2648856057421,16.4759389556176,15.9882902806959,16.3319589528541,15.7177299246148,15.7493936931123,16.0272555606498,15.8603191003457,15.099561828975,15.7763992586422,15.0717087920287,15.2151961802266,15.642013385746,16.2407004674962,16.8214935924938,16.4548542669117,17.0332851121985,17.0478071474615,16.8454919914567,17.2416350055733,17.0625929798254,17.39759123594,17.4475663713257,17.7647889301834,18.4564089491856,15.5532674730645,17.201386624659,18.4684854374838,18.9415663556914,19.6272246483842,19.4476162019499,19.5541471928664,19.1489146403025,19.0489408517571,18.4091986057186,19.033005451417,18.9427240000447,18.6366898982463,19.4318662139275,18.7563549514869,19.8934381599974,19.7674143902215,19.912565258323,19.291137408155,18.440787499336,19.3351641493919,19.3398855458018,19.1540521443617,18.345573487205,17.2783782289093,18.6817404478294,16.8409878148009,15.9733284461668,16.1077690013462,17.0128718640024,16.2017353089666,14.796269903738,16.9796219447775,16.7810872886181,17.1235785879537,17.0338052116019,16.6508081989402,17.3460177269749,17.5288419446636,16.4810585102415,16.2413186963177,16.5933964675985,16.3982269841135,16.3139172590364,15.7217153709538,16.6082242344296,16.8871335373211,17.0400848535204,17.74633509864,17.3202837007851],"WL-FDS^FG_PRICE_CHANGE(0,-6AM)":-11.4479063865783,"CPALM-FDS^FG_PRICE_CHANGE(0,-6AM)":27.9603399433428,"BRENT-FDS^FG_PRICE_CHANGE(0,-6AM)":-5.47176043157547,"EWD^FG_PRICE(0)":39.56,"EWG^FG_PRICE(0)":30.85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7419876,2.00892945351409,2.43601807668502,2.42941425498409,2.95560750409213],"EWC^FMA_PE(NTMA,-10AY,0,AM,\"PORTAGG\",\"MEANR\")":[14.7023026838393,14.7275150967361,14.8339196572435,14.9990897095961,14.9275366338774,15.1253873944008,13.7566973440183,14.5445853863277,14.3577632428945,15.3149830697429,17.242852979671,16.89470694095,17.3889493103798,16.933720739617,16.3277979571452,15.6507552079045,15.5731427351293,14.6495285211832,15.2171116414363,14.5905254796864,13.9753990109654,13.4299471660693,13.8540433656348,15.764855796024,15.8029088203313,16.2961891778304,16.5638660182303,16.4951442550702,16.5977833046823,16.10554107775,15.942254304831,15.6758626920737,15.9969482324079,15.9306054538742,16.2379249672495,15.9114596927576,15.9734362876492,15.6186457774618,15.5265470273275,15.2544340936924,15.4348748627939,15.1808900406953,15.8415611904095,15.9309487680888,15.9856566269587,15.8600884984492,14.2710920811937,14.4567043259723,13.9631541236636,14.3439645129227,14.3856922031861,14.2384652717835,14.0206898622599,13.5875683893646,12.8070533140333,12.6934806330384,12.3666107161248,12.9128227284111,13.714506295609,14.185150615117,14.2463381785534,13.600233920858,13.5230760525806,13.7223338957749,13.5866796270719,13.8810436342627,13.769537392674,14.295945242106,14.2739681310682,14.4543699521625,14.8830097279104,12.3609884938578,14.6933365726659,17.6747450695753,17.5365475514038,17.5855953729004,17.5708133361772,16.747630176199,16.4952905881851,16.1457604429991,16.1704747839626,16.1667006994007,16.1822307636254,15.5852539170192,15.6017763757538,15.4382275574268,15.5821467785511,15.5256302553181,15.1078359664142,14.8635048274522,14.5578412872593,14.9812373941129,14.2121602392571,14.3944731564101,14.3682561642342,13.5264539735141,13.3920569808281,11.92074747716,12.0595160011186,11.0921535577953,11.7380472650546,11.6262405811149,10.633483834628,11.9564720952585,12.1594861715241,12.3983011990643,12.8805298087573,12.4714298943157,12.8849376191797,13.0102907485771,12.8537991193252,12.8591963209082,13.2612575674658,13.0550904452868,12.6471443519169,12.4872963005758,13.1611396916657,13.5955195424149,13.8926919256997,14.4640422521099,14.6644513364516],"USDSEK^FG_PRICE_CHANGE(0,-3AM)":4.7281384,"EWG^FMA_DIV_YLD(NTMA,-10AY,0,AM,\"PORTAGG\",\"MEANR\")":[3.05735964159449,3.02201102096729,2.96629070079728,3.10477820995579,3.26265531550129,3.10944423168624,3.44366313081434,3.29287443282985,3.16942774955146,3.23809334138701,2.9443839503697,2.69424565226019,2.60633719784107,2.83807176161337,2.97359917900191,2.99985936476937,3.02486378795582,3.37282846320245,3.30474400999604,2.97937048237063,3.14603142088753,3.32623645068152,3.74879912317149,3.33529131160523,3.3892853609743,3.33830006876263,3.4186106729556,3.43008711549204,3.1339545408625,3.18462599176139,3.14207783878134,3.17717326560003,3.0388274934947,2.9379228836923,2.97462062373004,2.95471489324386,2.93630368038807,2.87830573476721,2.9050955420522,3.01509007875563,3.13089452200739,3.05871418380932,2.95669364923216,2.92047883043325,2.90490776996785,2.89580749699441,3.19950504726284,3.14791412114316,3.21786092780106,3.09773286075758,3.13359018347147,3.24627203932159,3.25195249270802,3.37012152957509,3.5414034675482,3.58925817903421,3.85813964465166,3.82866141842785,3.76866409502181,3.61164561687488,3.49919011853287,3.50930678667879,3.55330028185207,3.4817423335076,3.6003553181979,3.39568905264812,3.37765149597833,3.14311337538505,3.12017552860434,3.05129721228659,3.03520810114927,3.915838489406,3.58605127018635,3.34377891944796,2.97822866691369,2.85308277595171,2.8163593046431,2.79505898533113,2.81431585644167,2.84406706402069,2.82466590761592,2.71400710394261,2.73023764266485,2.73573731358226,2.68523363488801,2.849861260354,2.77463956726167,2.79882999570092,2.84118021151196,2.87352855639462,2.99773697678603,2.93856521463692,3.05878748173642,3.05504897669262,3.20275345369466,3.69004429689762,3.59784656787531,3.85980291895976,3.91628965229692,4.19605006934319,3.9421593245201,4.113209353651,4.44802771135323,3.8063664522364,3.74377167481525,3.57006076233301,3.48209913954179,3.53782530576025,3.53716426202476,3.58063593967219,3.64755064448519,3.72237435478828,3.72068146938854,3.7434961066809,3.84616943875515,3.88351064577612,3.53954840113507,3.62483080140524,3.53884266251168,3.34132114098394,3.28722235223823],"BRENT-FDS^FG_PRICE(0)":85.86,"CAGDPY@US^EE_ACTUAL_ANNUAL(MED,0)":-2.99561673751749,"CAGDPY@NZ^EE_ACTUAL_ANNUAL(MED,0)":-6.9,"USDITL^FG_PRICE(0)":1808.6685,"USDANG^FG_PRICE(0)":1.79,"USDGBP^FG_PRICE(0)":0.7987539,"USDJPY^FG_PRICE(0)":153.285,"USDCAD^FG_PRICE(0)":1.37175,"USDNZD^FG_PRICE(0)":1.6737802,"EWI^P_PRICE_RETURNS_PR('52W',2,-10AY,0,AM)":[43.81328,35.626484,41.88912,39.275753,14.815653,19.080317,-3.4401894,-3.1117022,-2.0462334,-16.682983,-12.481033,-14.133138,-11.398989,-9.376287,-10.317362,-6.457293,4.799354,-6.054282,7.553613,2.1139503,-0.07815957,2.1486402,-20.760065,-9.896982,-19.44036,-20.627457,-24.54905,-28.259998,-26.33304,-19.545109,-26.236898,-20.764833,-13.947892,-0.83925724,10.771108,6.208098,9.9424,19.372225,20.288288,37.721027,35.031963,39.63957,47.67562,42.66759,37.10028,35.565376,36.365734,36.285877,34.033775,24.101437,11.339796,5.181575,-3.4802139,-6.9309235,-14.662486,-14.641464,-18.630445,-18.651522,-15.853394,-13.727129,-11.235189,-14.768988,-6.838375,3.140986,-5.4775057,3.1881452,12.832737,21.27409,23.111797,20.115936,22.177172,-14.337873,-20.528275,-21.28777,-11.958843,-10.991359,1.4357924,-5.02373,-4.81236,-6.64593,1.8901587,3.1517148,4.220915,44.874657,50.167538,59.429146,49.77491,34.666157,32.770584,29.371489,29.024733,27.927912,13.712776,14.078641,7.3375583,-12.605101,-5.924201,-15.534491,-21.45728,-24.542475,-21.667141,-23.75772,-29.566061,-15.555531,-11.833096,-8.579599,-3.799808,13.878655,12.148714,23.104668,18.269575,42.416298,31.808674,37.960564,48.445847,21.05466,26.91412,20.041143,15.485358,28.177774,21.576107],"EWN^FG_TOTAL_RETURNC(-10AY,0,AM)":[-0.23446679,0.39168596,1.9118309,-3.3866107,-3.6924958,2.9960155,-7.2823405,5.397105,1.4154911,-5.053985,5.683303,2.3398995,4.412353,1.8056035,0.9056568,-0.60043335,1.0658503,-9.039545,1.325047,2.0433187,-5.5666804,-3.7799776,-4.3902454,12.755108,0.08227825,0.65761805,-1.5108168,-2.9702961,6.892073,-0.48661232,-0.040751696,-3.0574799,1.0513067,3.016746,2.373159,6.5547585,0.562644,7.348013,2.6059747,0.33472776,3.792274,2.6991487,1.8910289,-1.6357362,1.4070988,2.9445052,-4.0049257,4.589224,-0.33752918,-1.139158,0.9031534,-3.6118388,-0.09762049,-1.9869745,-6.4805627,2.4520278,-5.5844603,0.075519085,4.9428225,2.8822541,4.783058,0.6194949,0.84251165,1.5061378,-2.0434618,4.801321,-0.063192844,3.2880187,1.4386296,2.2287846,1.8968582,-19.80803,-0.036269426,4.4992685,7.708335,10.3622675,2.2627115,1.2068987,4.2021513,3.6512256,5.3890586,6.232941,7.0435762,-0.2860844,5.8927298,-0.6461084,5.033362,-3.1162083,5.8933377,3.5077453,-7.251036,7.1851373,-6.0940742,-0.034826994,-8.348608,-14.419013,4.8805833,-11.509907,3.491187,-7.256299,12.488926,-8.2939625,-14.081276,25.749493,3.0463576,6.5703154,0.9466052,-4.376054,6.1855674,-0.6393552,1.0601163,2.6111722,-0.4647851,-6.5374794,-3.4723938,3.80435,7.6788783,1.6875982,8.648777,2.34375,2.145648],"SPY^FMA_DIV_YLD(NTMA,-10AY,0,AM,\"PORTAGG\",\"MEANR\")":[2.2377633820496,2.16447193329157,2.10694597288078,2.09999318935238,2.14905674284075,2.09601848491903,2.21104821185827,2.08943500819661,2.11450657020264,2.12001625623554,2.13107715552629,2.20428114645751,2.14719230192098,2.15710987745838,2.16264997671443,2.19483531868702,2.21782471067056,2.3678583434001,2.30970880384733,2.27434156761827,2.34103294675335,2.46484935821878,2.45182025901469,2.47519773454617,2.29179874134034,2.29270141173246,2.27710953304458,2.24414840435916,2.20100067632346,2.26317548959492,2.25490875326439,2.23891481056996,2.16289050591605,2.15944661425271,2.14117898857405,2.10103240225839,2.1270782557172,2.10601337622223,2.08510706554299,2.1164381560793,2.11521825969821,2.08499289871638,2.03621042040131,2.03271670486126,1.96681663098966,1.90167278905507,2.0390592771745,1.94003063748878,2.0650293118626,2.02027602670771,1.99166721083648,2.02136875391547,1.99644665563204,1.96927984988813,2.09642588240479,2.06010003386089,2.19258008146937,2.24375147571903,2.16493448629511,2.11355914333017,2.05472550576892,2.06853723100161,2.08019442167009,2.0126347190307,2.0763283764553,2.03057786637583,2.06222022390803,1.99766919749838,1.97442205458748,1.91553767791581,1.87837648037086,2.31303839369285,2.22091959953362,2.07214044204913,2.00554867570137,1.86872958196418,1.78405411306599,1.78440200093759,1.71714817510006,1.67620420598014,1.63847504157568,1.56102517174522,1.53112648945175,1.53069403000381,1.4672829559412,1.46960083346098,1.44916551126818,1.42534876475446,1.41464751370966,1.42084747442791,1.46036447268824,1.38018938746268,1.36841887243866,1.37120842134008,1.48589212247229,1.56939307361354,1.48971085911437,1.6812355798081,1.71017178436021,1.74252746765732,1.61147966512459,1.68024943720507,1.90838921330728,1.72972864021681,1.76063096863434,1.75016138650996,1.70964206828533,1.82008805087509,1.71556082005749,1.70555090291697,1.64940523281427,1.60051212625247,1.60424391274015,1.60243694232239,1.65550858038689,1.64559336083481,1.57973262142596,1.54069259495976,1.48648694132239,1.46684704493385,1.44397114569048],"EWU^FMA_PE(NTMA,-10AY,0,AM,\"PORTAGG\",\"MEANR\")":[13.0762560623144,13.6092472610369,13.6648989825643,13.4705476197054,13.2889465838814,13.3706986723975,12.5069967406504,13.3917479464262,13.5282266126228,13.6574947514962,15.336208644109,15.1335206255697,16.0803042769955,16.2479356209188,15.7159697690335,15.2118083680274,15.3723210295655,14.325634596936,15.3093024904814,15.2086428510713,14.5504639555129,14.4149357757584,14.3459433544902,16.020247807802,16.1041398702929,15.8049922131335,15.456618916032,16.0387945197243,16.3529542493336,15.7862466416168,15.5253735063551,14.3743852810301,14.4597164461922,14.4127411852019,14.5121104342617,14.3415333034341,14.4925347863581,14.5895890380697,14.7216397543999,14.3969144131089,14.4243020492942,14.6419703772834,14.6262773573593,14.3707702445482,14.3561488322185,14.7589401057589,13.3277442334801,13.5669654160062,13.6229763994972,13.9891439125936,13.618191830355,13.1591292439607,13.0323955034441,12.3539425229695,11.8834158727692,11.9317973522365,11.3641677993985,11.8642334111706,12.2991729578137,12.3446009391539,12.7521685424105,12.2672687034365,12.5373441899382,12.6340554096781,11.9960559987459,12.3402014013513,12.4399017020382,12.7847128518943,12.8665603196985,13.4547045043235,13.4326657965616,10.9508504682805,13.2268588411147,15.127820986487,15.9053278761599,15.611971592685,15.7583813548374,15.0329870958657,14.5779776535393,14.858434212399,14.7996997800261,14.7103256562065,13.9494768346473,14.0823871173839,13.5394060118599,13.1801255662324,13.2186602462703,12.6549612460289,12.4487261259886,11.9763149903769,12.1561525044762,12.1852295371646,11.937358230028,12.3552529551934,12.4026246652188,11.3002413503728,11.240085705904,10.1903512516835,9.98848077975791,9.46837324083893,9.83352248817194,9.3115187694151,8.57115513446453,9.39165872909164,9.94151921735834,10.209156475051,10.5515497273308,10.32587977174,10.6396540402666,10.4763236281283,10.2968231814355,10.0874773322366,10.5021592194265,10.3838492151111,10.4707329281691,10.0711363812022,10.6217836602048,10.9008523725563,11.0054962533022,11.2650526144613,11.522912625928],"EWJ^FMA_PE(LTMA,-10AY,0,AM,\"PORTAGG\",\"MEANR\")":[15.2797395733791,15.1688181548055,15.3136442885065,15.1876667938493,14.9660388038514,15.2328550519898,14.6983497259631,15.7437846241602,15.6419922454167,15.5625901440065,15.775651640085,16.8778533600497,16.9086024667639,16.9595808291801,17.0082793018715,16.4777221502367,16.9513512083092,15.4554872071275,15.6083422029541,16.1923365552196,15.7344265555179,14.6395682307881,13.0545657044529,13.8980621957561,13.6258164058338,13.8376359310508,14.0301570735055,13.7526772907481,14.0870045472117,14.4021382193022,14.4541319662101,14.726368354767,16.4007547075462,16.7136866081716,16.3935407048128,15.9556360058039,15.6079172909583,15.7228038425008,15.6504208498473,15.5345717234751,15.1952121941301,14.7850834332444,15.05692787685,15.8660551661815,16.2671424816563,17.0347338282773,15.18742475902,14.3828924480937,14.2361664154318,14.3065771505919,14.1753839717359,13.7674428918904,13.6898952277831,13.4049735973249,13.2581926299185,12.9243749325811,12.1755550802937,11.7916340124008,12.054706773505,12.6577263890739,12.7281548725462,12.6222250151243,12.8288345007114,12.9937824423541,12.7371439303625,13.3407384211866,13.5026267430712,14.4452322673432,15.0425609801813,15.4591426689193,15.3569143906531,13.7683132731338,13.8930910281329,14.5102030047708,16.3212898776875,17.1175849699691,18.2981507693505,19.524945383709,20.4710416830593,21.9176193200833,22.7323813936746,23.9895117546849,23.7397587763756,21.5502240432215,21.2109846671376,20.5639759056877,20.1178244086418,19.4675773440235,19.0300191081041,18.8208439901965,17.7358889988985,17.4165365263864,16.4080912461322,16.0102303662014,15.4117522028643,14.5151455940302,14.4562682396466,14.1452240997895,14.2245688527152,13.9318940257478,13.8745139084395,13.7644468516386,13.0475058846797,13.5397537565322,13.3748551246887,12.8774995289419,13.5554161059805,13.6807168734812,13.6354495721319,13.8294651158514,14.3039727170093,14.42345649215,14.6602932244956,14.9221474652885,14.7689873529261,14.9993346125903,15.1332591105222,16.1154407562067,16.4728499440848,16.9758998785812,16.925507371433],"WL-FDS^FG_PRICE_CHANGE(0,-1AY)":-10.5907473309608,"CAGDPY@IT^EE_ACTUAL_ANNUAL(MED,0)":0.50816790549232,"ENZL^JULIAN(FMA_DIV_YLD(NTMA,-10AY,0,AM,\"PORTAGG\",\"MEANR\").DATES)":[41740,41768,41801,41831,41862,41893,41922,41954,41984,42013,42046,42074,42104,42135,42166,42195,42227,42258,42286,42319,42349,42380,42411,42440,42471,42501,42531,42562,42593,42622,42654,42685,42713,42746,42776,42804,42836,42866,42895,42927,42958,42989,43019,43049,43080,43111,43140,43168,43201,43231,43262,43292,43322,43354,43384,43413,43445,43476,43507,43535,43566,43595,43627,43657,43686,43719,43749,43780,43810,43840,43872,43901,43930,43962,43993,44022,44054,44085,44113,44146,44176,44207,44238,44266,44295,44327,44358,44386,44419,44449,44480,44511,44540,44572,44603,44631,44662,44692,44722,44753,44784,44813,44845,44876,44904,44937,44967,44995,45027,45057,45086,45118,45149,45180,45210,45240,45271,45302,45331,45362,45390],"USDUSD^STD(FG_PRICE_CHANGE(0,-3AY,M))":0.0,"COPP-FDS^FG_PRICE_CHANGE(0,-1AM)":8.40025493945187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857096567651,17.227083507933,20.6818646511774,20.5967285961949,20.3357352039297],"TRYAE10Y-FDS^FG_YIELD(-10AY,0,Y,,\"YTM\")":[null,null,null,null,null,null,null,null,null,null],"TRYJP10Y-FDS^FG_YIELD(-10AY,0,Y,,\"YTM\")":[0.3138,0.2604,0.0315,0.0465,-0.0051,-0.0208,0.0201,0.0672,0.4224,0.6127],"TRYZA10Y-FDS^FG_YIELD(-10AY,0,Y,,\"YTM\")":[7.9537,9.7513,8.9047,8.58389,9.37766,9.011772,9.179499,9.791837,10.764477,11.358896],"USDJPY^FG_COMPANY_NAME":"Japanese Yen per U.S. Dollar","EWD^P_PRICE_RETURNS_PR('52W',2,-10AY,0,AM)":[11.659706,13.59117,17.949163,11.52178,3.4761071,0.2763629,-6.553382,0.7011652,1.7089844,-8.944845,-6.0142937,-6.505066,-2.75082,-2.8966963,-2.3193657,-1.910758,-1.5575528,-2.4409533,4.783976,-5.700821,-10.114515,-7.9544067,-17.532707,-7.5143695,-8.481169,-11.447042,-14.314735,-12.523502,-5.5117188,-1.2248933,-4.413295,-4.1375694,2.0305753,10.337281,20.621014,12.297869,9.233463,19.945812,20.242893,29.573095,19.425034,24.534512,30.143188,28.246271,20.84129,26.934696,13.227749,16.135132,9.19367,5.013907,0.6146431,-6.0822544,-2.956158,-5.1645336,-12.089867,-10.334551,-11.920905,-14.31014,-7.7252746,-9.408874,1.4168978,-6.7075253,-3.8034737,3.094411,-8.0124855,-1.8851995,1.0428548,11.508942,18.499352,15.675902,20.61509,-4.969299,-12.200266,-6.706792,0.47746897,7.8163147,26.222456,20.548702,29.537846,21.664417,23.47343,27.734709,26.710785,68.16856,78.84852,73.839485,68.848274,51.862846,42.13488,38.947166,25.492882,30.110205,20.441675,16.9232,1.357913,-15.792447,-14.402133,-25.134636,-26.68963,-32.128197,-26.010334,-31.514894,-36.03077,-25.26018,-22.220505,-20.48856,-13.809562,-3.968203,-3.8875341,12.335944,3.5046816,16.607273,0.9869218,8.343161,26.747381,0.267303,11.871576,10.302234,8.219683,24.119198,14.28504],"QQQ^FMA_DIV_YLD(NTMA,-10AY,0,AM,\"PORTAGG\",\"MEANR\")":[1.46178169650173,1.37117478268192,1.29460864199521,1.25295638039516,1.26295065214243,1.21037360522292,1.29897661037713,1.22047053970116,1.22027857920861,1.21236066567382,1.2436272525478,1.27979377167136,1.25309261202606,1.25269521352604,1.24669843572773,1.26815330981798,1.28562219136825,1.34946956388827,1.3388914690956,1.27700322288312,1.31058183502697,1.35368442426508,1.49207259848398,1.36792810606793,1.34383186670129,1.38816296263704,1.3621594770997,1.32770628270816,1.27622703615651,1.31642251813892,1.27561808966151,1.30955856276947,1.28681401466482,1.25559775260767,1.24020759724841,1.21495280909675,1.22006068218115,1.17539598622722,1.17124959059601,1.20431437770814,1.18881283492331,1.1626814868071,1.14460574160504,1.11365373427376,1.10733130112958,1.05297296948924,1.12646340323705,1.03102296146111,1.12574886013076,1.08179633413312,1.05629860663771,1.05016478041227,1.07776980813142,1.07474190503042,1.16626803583183,1.16992239306012,1.24660870765988,1.26893623605216,1.22449541408074,1.16998260637745,1.10932959748614,1.11979029855516,1.14121765196273,1.08387909780964,1.12608320903163,1.09195066444251,1.10539224339597,1.06610027904409,1.07417133964886,1.02233114916317,0.969856869598628,1.1591517291436,1.12674411209563,0.981781387885753,0.947659310603252,0.840603771849073,0.839923271574923,0.825129872969276,0.783905568013503,0.778660186001606,0.753044145720861,0.763640477501972,0.726005958339398,0.768281549410437,0.726699127876129,0.757421363560065,0.729243330776988,0.692488935134041,0.703536748122934,0.687638193514619,0.728397395045765,0.672146254659848,0.66581930587248,0.690494994135971,0.778889564216713,0.845466163150408,0.806591904161703,0.947300134702887,0.965087862736124,0.971829907439586,0.870800602246975,0.926391445855466,1.08975420927691,1.00380449202661,1.02385475103314,0.999043265456376,0.937085394521043,0.98080137943102,0.899375327561633,0.856350924456733,0.795864518651362,0.768226700328006,0.898339450719161,0.876482202309667,0.915436873826448,0.904436827656993,0.879350798821902,0.916161058631477,0.880350328128442,0.889194759008573,0.897804582183328],"NI-FDS^FG_PRICE_CHANGE(0,-6AM)":-2.98466593647316,"QQQ^FG_PRICE(0)":445.37,"EWQ^FG_COMPANY_NAME":"iShares MSCI France ETF","ENZL^FMA_PE(LTMA,-10AY,0,AM,\"PORTAGG\",\"MEANR\")":[17.9104541076293,18.0124463996806,17.9524610538234,17.9096378356181,17.8016636002514,17.9639098580911,17.8689048706871,18.8239085083771,18.8689903282454,19.2938661591459,20.0034143543103,20.4637628496401,20.2042178295739,20.0563270299678,19.9695865019611,19.6258591634084,19.6481427717267,19.0525039041733,18.6646324256699,19.483926495824,19.4732059544712,19.0946037167696,18.5619111999904,19.3356460295648,19.3132665623906,19.6296974870895,19.7688926499115,19.9830873776566,20.6710264481811,21.2835286217647,20.4324388585761,19.5124372077911,19.9085519685142,20.5088174860674,20.5522290996097,19.7930368561237,19.8350746247794,20.0628590216386,19.946115112116,20.1029674192931,20.4946706374448,20.7065653846174,20.8477100587071,21.0391634695554,21.9340642152076,21.8608735172736,20.4918446230976,22.5603705497098,22.4100821352874,22.4615906030511,22.7598230887273,22.8883966048082,23.0521914419907,23.5313911524807,22.4501599788018,23.1008487815122,22.5910878441937,23.2702327107766,23.8402876518877,24.1315269646477,24.0631204979166,24.2429538514557,24.222283608966,25.0057681900134,25.4422551338654,28.4457124878746,28.7125919732495,29.2626714460513,31.3785509880758,32.3702856866614,33.1478754011266,30.753201507957,30.7890893984906,32.0496445007059,32.239198207276,33.2079643467989,33.9819268078474,33.7593155996043,35.0361357978003,35.8197687092209,37.1212536720626,38.2691661213967,35.3654147144884,34.3722005356456,34.4754655488868,34.918058506712,35.3670873351657,36.4228497855203,36.8320275028811,38.3842548037291,38.4143205438745,39.1918092372763,39.3060316456823,38.5275557468118,36.833960226324,35.072985904635,34.5511119156688,34.2760667391997,33.2953246492655,32.9917737261157,33.45529873339,34.3223276342766,31.4193896038389,31.2948009576031,29.5336256195382,29.430977385565,30.1105232049034,29.2819773512989,28.7393326297613,28.2334359884153,26.4766955421626,25.7994019098141,24.8749917649049,24.119067250312,23.5003573867012,22.6825770307956,23.4579588618341,24.0021673982946,23.29424360869,23.7831691565117,24.0445572294489],"DDR3512M-FDS^MAX(FG_PRICE(0,-5AY))":3.3053632,"TRYFR10Y-FDS^FG_YIELD(-10AY,0,Y,,\"YTM\")":[0.837,0.9989,0.682,0.785,0.71,0.118,-0.344,0.201,3.07,2.534]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70768,2.66234515884581,2.58388720632297,2.86429657456778],"USDGBP^STD(FG_PRICE_CHANGE(0,-3AY,M))":2.40614321798816,"ENZL^FG_TOTAL_RETURNC(-10AY,0,AM)":[2.7591228,0.2539158,-0.7502377,1.5358686,-5.2969933,1.2317777,-5.3886294,6.5879345,-0.19699931,2.1203876,-1.8380463,-1.5938818,4.482889,-3.921634,-2.9457033,-6.6452026,-1.7691433,-5.8458805,5.926621,4.381287,2.4673939,-1.5007198,0.34335852,10.502279,5.0103307,2.5823832,3.620243,4.7432303,4.116559,2.363336,-8.753145,-5.590063,3.7889838,1.1108637,3.0987144,-3.4715712,1.7861366,2.8693438,4.103267,2.6796222,2.5043964,1.1358738,-0.89001656,-3.709644,3.4972787,4.45745,-2.2399008,6.1670303,1.2908459,-2.9669464,4.063201,-3.06499,-2.9622257,1.7053962,-6.287992,6.240213,0.2105236,2.0766497,1.990366,3.0608058,2.3121476,1.2078643,-0.94321966,7.07469,-1.3448775,0.6349206,-2.1710873,0.49316883,7.266903,2.8859138,-0.873363,-10.114538,-8.860999,6.883192,5.8563113,9.77,1.168263,0.39641857,5.3562164,6.3060164,3.908646,2.0949244,-3.032732,-4.273123,-0.6613076,1.8227935,-2.519226,-0.12891293,-0.46789646,2.7232885,-3.0298233,1.0740399,-5.0635996,-0.54324865,-7.323408,0.6538391,-0.519681,-13.264918,-0.56984425,-2.4053931,11.594522,-3.7781298,-15.350884,13.200104,8.06452,0.91047287,3.5147667,-7.217699,3.7222862,1.8749952,-4.840165,2.9875398,-3.9363682,-5.5626335,1.2589931,-2.975136,6.6132665,4.8198223,-2.6964903,-1.1707783,-1.4237642],"EWJ^FG_PRICE_MAVG(0,,,,200)":63.76155,"CC_US^FG_COMPANY_NAME":"United States","USDITL^FG_COMPANY_NAME":"Italian Lira per U.S. Dollar","USDANG^FG_COMPANY_NAME":"Netherlands Antilles Guilder per U.S. Dollar","USDGBP^FG_COMPANY_NAME":"British Pounds per U.S. Dollar","USDCAD^FG_COMPANY_NAME":"Canadian Dollar per U.S. Dollar","USDNZD^FG_COMPANY_NAME":"New Zealand Dollar per U.S. Dollar","EWQ^FG_TOTAL_RETURNC(-10AY,0,AM)":[0.37995577,2.7873397,1.07131,-4.297966,-5.1590085,2.4590135,-10.763634,3.76935,-1.3940692,-4.1741967,6.9601655,-0.6272018,5.5226803,1.4953256,0.8103132,-1.8750012,2.4990559,-7.831544,3.0460835,-0.9334862,-5.496663,-5.098981,-4.701227,12.079298,-2.2624433,2.3989916,-1.644057,-2.737081,6.566763,-0.12407303,-1.4078677,-0.797981,3.4716368,2.782166,-0.39952397,3.4897685,2.0542622,8.925188,2.4407268,0.13616085,1.1410832,3.965807,2.6307106,-1.4738858,1.658535,3.801453,-5.1313696,4.2033195,0.4690528,2.2097707,-1.0048747,-2.93535,-1.5852451,-0.03287196,-4.2420206,-1.4766514,-6.064832,0.7208228,2.7387142,5.0792456,3.7709951,-1.0571539,2.070117,2.1778703,-3.9041936,3.0385733,0.53014755,4.5814037,0.15758276,2.5779486,-0.55333376,-22.009272,-3.3293724,-0.9840071,9.606624,6.205082,3.8668036,1.3443589,-1.0544181,9.212791,4.28077,2.8306723,0.265491,4.1776896,2.0050764,3.7929177,5.5134177,-3.093046,3.5083175,-1.5545368,-3.339374,6.8291306,-2.2060692,3.793776,-5.1776648,-12.981802,5.1676393,-7.3413253,1.714766,-7.188499,11.600685,-6.7242384,-10.515875,21.61863,2.218175,6.536269,1.9602418,-0.8239448,6.286347,1.4330387,-3.1742096,3.0919433,0.57879686,-2.7988493,-3.794402,0.0,7.3286653,0.46768188,1.4360309,5.585587,-1.633352],"EWG^FMA_PE(LTMA,-10AY,0,AM,\"PORTAGG\",\"MEANR\")":[14.6076543167395,14.5998367957307,14.6954217446802,14.4068300416694,13.9833000182288,14.312660230648,13.2688778334265,13.7880940237434,14.4001799283093,14.0789368329184,15.5248918928687,16.5350042881932,16.646122667963,16.1861943982277,15.7748816427991,15.5554574828692,15.3046880678917,14.1879545370979,13.9774515135673,14.5318741865672,13.7111668565447,12.7825812102268,11.6041301356356,12.7194321345345,12.6975217488305,12.8120559615309,12.7200029920131,12.7627140905597,13.4647172270557,13.5332344123155,13.6641639492056,13.7021570143689,14.3636267024595,14.9751977455918,14.9245788584118,14.9697675917959,14.8968341920428,14.9000141783268,14.8163297120057,14.5331920416681,14.1397285354081,14.3288921007457,14.7460738287816,15.2540062124712,15.4644535213951,15.5103619492625,14.0776883634533,14.229153280713,14.1103480587839,14.2223580899837,14.1546323562172,13.9647728014047,13.9825843129578,13.7394458573839,13.2568977944979,13.1517536795005,12.4158188470605,12.4286019601991,12.7450540775733,13.2064083879524,13.267070821425,13.2771545266368,13.23640124351,13.507235528024,13.3144695032251,14.0033915092222,14.2074658759574,15.1185855759996,15.2248307994576,15.7657294752993,16.1609318047122,13.7200051442524,14.2755371533434,15.2613336102803,16.8789059387715,18.4257868504757,19.4343607932138,20.4417047100276,20.6699534249895,20.5122673809125,20.7392792838602,22.1237587362216,21.5518813437333,20.2466172232739,19.9979916286525,19.0633898519378,18.7483339270202,18.1967074892241,17.3165862233338,16.6199071702865,15.8193439347996,15.3977272358646,14.3821253049469,14.113509730134,13.3543917634539,12.3681416136074,12.3700472878685,12.050525374025,11.8684788100465,11.3417251564392,11.290206351321,10.8861467137065,10.0238345674324,11.0079789720346,10.830270371817,11.2835437002261,11.5527919164621,11.3525866726257,11.3897603419525,11.3313374772192,11.2321638829083,11.1532968548896,11.196223614725,11.2328511137835,11.0843362801285,10.977045870205,11.9396654997217,11.7883226133863,12.0265550190178,12.5180251583105,12.5852273078983],"TIOS-FDS^FG_PRICE_CHANGE(0,-6AM)":-11.4952244104471,"USDAUD^FG_PRICE_CHANGE(0,-6AM)":-1.549679,"BRENT-FDS^FG_PRICE_MAVG(0,,,,30)":85.86,"USDAUD^FG_PRICE_CHANGE(0,-3AM)":2.1940947,"WL-FDS^FG_PRICE(0)":628.1,"EWC^FG_PRICE(0)":37.76,"EWU^FG_COMPANY_NAME":"iShares MSCI United Kingdom ETF","USDSEK^FG_PRICE_CHANGE(0,-1AM)":5.265522,"USDCHF^FG_PRICE(0)":0.9113,"W-FDS^FG_PRICE_CHANGE(0,-1AY)":-18.1379821958457,"TRYCN10Y-FDS^FG_YIELD(-10AY,0,Y,,\"YTM\")":[3.653331,2.901145,3.070911,3.93859,3.259862,3.197311,3.1948,2.7893,2.855,2.574],"EWD^FMA_PE(LTMA,-10AY,0,AM,\"PORTAGG\",\"MEANR\")":[15.3247926683813,15.4769459623595,15.7747867184975,15.6998568725583,15.8614090532526,15.8420872144438,15.2323805172852,16.788239641363,17.39262218474,17.3501845842365,19.2334706712006,20.1522880921658,19.9010533588037,18.9608186036432,18.97696578605,18.6423040518817,18.5388523569438,17.2793039634111,17.0746739120283,16.9312876515718,15.838998612314,14.8548473970952,13.8840395946582,15.6817963226905,15.5940403374424,15.5143507452138,15.3255573180106,15.5117631170618,16.0646344496113,16.0850630095338,16.6385516139404,17.0412387106005,18.0715369323263,18.1149711269785,18.4676890876899,17.5196757699805,17.5530144690677,17.6691881454157,17.6468614598417,17.5951654627824,16.846638162441,17.0670498444975,17.6646964773352,18.2248621997234,18.1457671171149,18.5284232113559,16.1654813673167,16.9807111730829,16.6973055615486,16.8282702397389,16.5776606338127,16.3588714364117,16.597937316627,16.5650137302279,15.7771925439781,15.2068225607652,14.3146014657702,14.4829776621313,16.9245489508814,18.040518627933,17.8345378939706,17.5561521936487,17.1723570503806,17.0402195928995,15.9687518736928,16.2513926399279,16.4483794455132,16.9913535772325,15.8850444701058,16.3535537703105,14.3781738320339,12.6751105381141,13.61637114756,15.2590377731084,16.0857396206183,17.6662683042069,17.6987781258264,17.6379333037766,18.3045686411082,16.4285959066428,17.0428359756698,18.5235757237425,17.4995223471472,17.9039940068079,18.349470590264,17.4218575383309,17.905099909468,18.1301508808067,17.6450362833372,17.4591399521456,16.8529653400174,16.7816381572586,16.5759958982964,16.0794374865712,12.3356387498622,11.7190134410172,12.1529264561173,13.1326528226029,13.4530566023918,13.7578411960893,14.8190290449742,14.7530283441959,14.4156958514378,14.2776205837731,15.72715305939,16.6189987077012,25.9040753980523,25.2215859813523,23.9795071224603,22.8097053994659,21.7578853135366,20.3232702787286,18.9411603345931,17.5503544071554,16.4523219313797,15.5902894726472,17.8959191796539,17.2291450521567,15.2265477810007,15.9960728162863,16.0641433336114],"PLATI-FDS^FG_PRICE_CHANGE(0,-6AM)":10.8474576271187,"EWQ^FG_PRICE(0)":40.35,"EWI^FMA_PE(NTMA,-10AY,0,AM,\"PORTAGG\",\"MEANR\")":[13.521791076058,13.8207677527988,14.6109338166838,13.8617157517757,13.0501676734161,14.0759931612825,12.5150407256355,12.6794841454221,12.5771436691365,11.756665961576,14.097001353957,15.6873068172108,16.2389306829032,15.8496837048314,15.3980335528021,14.9774261091662,15.5943213328869,14.3746031426826,14.5971735812116,14.8171529052627,13.8996972130561,13.3208685643442,11.3227524659391,13.7408450918804,12.9057308005515,13.1381134694341,12.4906733518375,11.8298291647199,12.7968485458617,12.4798024463263,11.7280821786706,11.8434378398969,12.8113917756079,13.4855074143449,13.0473965591938,13.2863042680179,13.2047796175225,13.8339827809243,13.3966175320939,13.2858010619716,13.1548267937409,13.4101121970334,13.6343544877723,13.4460005963658,13.5620771047574,13.5891917985774,12.426312143247,12.717101374817,12.7153872586357,12.9419183625077,11.6542418697284,11.3582594777778,11.0899770874372,10.7425846934127,9.92915550276532,9.83250022460173,9.26225425279815,9.69421551586197,10.0729848571755,10.475005669469,10.8716695057461,10.3914402393696,10.1395791921148,10.9367895923365,10.0179679863687,10.7296148385626,10.8571929792904,11.3806577159949,11.2242476099526,11.6285504676505,11.8042046385782,8.75598712261855,10.5489472602225,14.9128710219147,17.1167848320886,17.324407478027,16.7733821331543,15.7376439361044,14.8153885346636,14.8602130540076,14.7921811915182,14.9427126998914,14.3289421919993,13.9840670202808,13.8515871782921,13.1546707212197,13.7436947531938,13.1343794703468,12.4119748862931,11.7191175863183,11.615399947347,11.7512456845556,10.8563034542595,11.1790075066485,10.6758535162701,9.18218897849224,9.69396941234049,9.12605508934808,8.16454429223532,7.78397799196989,7.76968849083534,7.64621193624032,7.25121608554498,8.29033705698233,7.79105088578293,8.15830342037662,8.40013224155108,8.55951059201857,8.64584881132127,8.31729821182228,8.5631520822216,8.70754513252644,8.28216617494314,8.43335784886033,8.23671507588336,8.08981891637547,8.84518040558309,8.88638262696507,9.00876216550793,9.42572794464604,9.68793366955095],"PLATI-FDS^FG_PRICE_CHANGE(0,-3AM)":5.48387096774194,"EWI^FG_PRICE_MAVG(0,,,,200)":33.01195,"ENZL^FG_PRICE_MAVG(0,,,,60)":45.738297,"EWG^FG_COMPANY_NAME":"iShares MSCI Germany ETF"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52832,24.534442850509,26.6372021642568,24.0483215722889,25.3011114335366],"TRYMY10Y-FDS^FG_YIELD(-10AY,0,Y,,\"YTM\")":[4.131911,4.345605,4.195897,3.902544,4.235642,3.300551,2.804181,3.573893,4.131847,3.727505],"TRYAU10Y-FDS^FG_YIELD(-10AY,0,Y,,\"YTM\")":[2.81,2.88,2.76,2.63,2.315,1.375,0.972,1.671,4.051,3.955],"TRYGR10Y-FDS^FG_YIELD(-10AY,0,Y,,\"YTM\")":[9.61,8.24,7.15,4.14,4.37,1.45,0.618,1.315,4.585,3.099],"WL-FDS^FG_PRICE_MAVG(0,,,,30)":627.54,"QQQ^P_PRICE_RETURNS_PR('52W',2,-10AY,0,AM)":[22.081936,21.446228,29.817736,29.031647,26.719772,30.063557,21.90807,25.940395,23.655678,19.731676,19.801308,17.801071,28.021503,26.119888,19.353426,14.942705,16.615845,6.71314,11.173237,11.814523,7.8887105,2.7056098,-6.912607,2.348566,1.8876433,-0.6931484,0.58237314,4.2096853,7.5373173,11.274349,11.565315,3.5098672,7.053733,19.144356,33.212326,26.94229,22.285545,31.358088,28.341818,26.644648,22.58234,28.961658,27.232277,34.09926,31.767475,34.04347,24.073769,33.552193,22.99223,23.60481,26.039768,27.902115,29.037142,26.552498,15.444672,12.459528,5.7525396,-0.75089335,8.801889,1.7693996,16.447544,10.01761,5.7674766,10.026693,3.417647,6.006539,13.697254,18.218994,26.41368,36.549603,38.906742,12.645936,9.808922,23.679806,28.690683,38.187862,43.345165,41.675793,53.739834,45.266415,48.35974,44.972397,45.238148,64.075935,68.880775,44.285404,46.726643,38.476406,38.876617,39.063583,26.10954,35.519005,32.26881,23.30023,4.230273,2.491641,1.6089559,-9.8560095,-14.725161,-19.49144,-11.013251,-18.6249,-26.231324999999998,-25.818407,-27.922894,-27.533829,-15.771079,-12.2559185,-6.6423297,12.628961,19.309593,28.287197,13.81681,23.632885,42.244495,34.736073,41.190193,48.503136,45.87022,52.626465,41.954376],"ENZL^JULIAN(FMA_DIV_YLD(LTMA,-10AY,0,AM,\"PORTAGG\",\"MEANR\").DATES)":[41740,41768,41801,41831,41862,41893,41922,41954,41984,42013,42046,42074,42104,42135,42166,42195,42227,42258,42286,42319,42349,42380,42411,42440,42471,42501,42531,42562,42593,42622,42654,42685,42713,42746,42776,42804,42836,42866,42895,42927,42958,42989,43019,43049,43080,43111,43140,43168,43201,43231,43262,43292,43322,43354,43384,43413,43445,43476,43507,43535,43566,43595,43627,43657,43686,43719,43749,43780,43810,43840,43872,43901,43930,43962,43993,44022,44054,44085,44113,44146,44176,44207,44238,44266,44295,44327,44358,44386,44419,44449,44480,44511,44540,44572,44603,44631,44662,44692,44722,44753,44784,44813,44845,44876,44904,44937,44967,44995,45027,45057,45086,45118,45149,45180,45210,45240,45271,45302,45331,45362,45390],"PASP-FDS^MAX(FG_PRICE(0,-5AY))":3158.12,"USDAUD^FG_PRICE(0)":1.5343306,"EWJ^P_PRICE_RETURNS_PR('52W',2,-10AY,0,AM)":[-3.6507547,-4.166913,8.670818,1.9407988,4.697585,3.26159,-6.229651,1.6886115,-1.8240154,-6.065649,2.6798844,7.722616,20.896996,17.550325,12.501144,7.3720574,10.053825,0.32684803,9.415138,7.990825,5.855489,4.783559,-10.78074,-4.3235006,-11.907297,-9.177124,-9.066952,-4.968536,-2.4865806,6.629598,3.8766623,0.2713561,7.5945616,12.089157,24.394835,16.550123,15.945255,14.810551,16.27034,14.284182,11.090732,14.005602,16.691185,21.703386,18.811953,26.543152,17.304718,20.500887,19.362402,18.85146,14.318192,8.648264,7.735193,4.5819283,1.190269,-6.0759487,-9.925938,-15.164638,-9.250194,-9.643835,-7.778555,-9.707183,-8.786368,-1.700908,-6.623864,-0.23890734,2.67874,10.327816,15.730715,13.680649,15.493488,-5.959213,-6.368482,-0.21644235,2.7396917,3.5203695,8.015549,6.9489717,7.3044896,8.294845,11.33436,16.702663,20.537674,38.62343,39.94392,29.751646,27.318108,25.662601,22.395563,27.390718,15.925598,10.067344,5.154836,-0.3226459,-8.1916275,-12.180096,-14.293337,-17.785358,-18.492859,-20.767397,-16.115063,-25.503195,-26.293056,-18.624657,-17.25229,-16.658342,-8.779425,-3.4236789,0.13016462,11.106038,12.542152,17.74826,10.0384,18.521667,23.705805,13.295436,15.322256,21.736467,17.747295,25.18369,23.492706],"PLATI-FDS^FG_PRICE_CHANGE(0,-1AY)":-2.38805970149254,"CAGDPY@DE^EE_ACTUAL_ANNUAL(MED,+1)":6.5,"CAGDPY@DE^EE_ACTUAL_ANNUAL(MED,0)":6.10157214967637,"USDCAD^STD(FG_PRICE_CHANGE(0,-3AY,M))":1.87874814846935,"W-FDS^FG_PRICE_CHANGE(0,-3AM)":-8.61283643892339,"USDSEK^STD(FG_PRICE_CHANGE(0,-3AY,M))":2.96220072588676,"USDCHF^STD(FG_PRICE_CHANGE(0,-3AY,M))":2.49013642394232,"USDEUR^STD(FG_PRICE_CHANGE(0,-3AY,M))":2.22272008231571,"USDAUD^STD(FG_PRICE_CHANGE(0,-3AY,M))":3.07262529565013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346997282],"EWN^P_PRICE_RETURNS_PR('52W',2,-10AY,0,AM)":[22.486664,20.803106,22.48888,14.053869,3.2388687,6.6027284,-2.4849296,-1.3528883,1.0178924,-8.207637,-1.5715301,-0.44930577,3.0173182,5.6548834,4.6117544,7.196021,12.946296,-0.25199652,7.2202563,5.5393577,-1.7267227,-0.40807128,-9.900999,-0.7315695,-4.8483253,-5.921274,-7.898712,-10.363555,-5.196208,3.6751628,2.3200512,-2.7945817,1.5625954,11.3652115,17.984486,15.488922,13.226879,20.752716,21.517765,30.085098,26.312721,30.35643,32.875645,33.53286,35.299088,35.204197,26.326252,26.626896,23.328125,13.57752,11.692619,7.299316,3.142178,-1.4345527,-9.53291,-5.803454,-12.269831,-14.714802,-6.765312,-8.286977,-3.5748243,-1.9816041,-1.9184709,3.2894135,-1.450938,8.291996,15.723062,16.667355,25.345648,27.43156,24.326181,-3.093475,-7.4298024,-3.9857984,2.5512934,11.679733,16.400087,12.407864,20.052124,17.61763,22.198141,26.984478,33.398354,65.87285,75.71104,67.0593,62.91033,44.11527,48.091614,53.066372,34.81108,39.40735,23.57031,16.888737,0.08087158,-14.104062,-14.925069,-24.227547,-25.249928,-28.530508,-24.079014,-32.93848,-37.68886,-26.896626,-19.519901,-14.48062,-8.766669,3.4733295,6.555772,19.645596,13.539516,29.265726,14.380062,16.570831,30.964518,11.475682,12.969387,7.79351,14.585436,24.171055,19.446861],"SPY^FG_TOTAL_RETURNC(-10AY,0,AM)":[-2.6257336,3.5535336,3.7029147,1.3492107,-1.4317691,3.3566475,-4.427534,7.1559787,0.0073432922,0.5790949,1.3121128,-1.1743069,3.1634092,0.26899576,0.48669577,-1.4819324,0.57355165,-5.7171583,2.8741121,3.1838298,-2.8208315,-4.263115,-4.814953,10.88264,1.1382222,1.2155175,1.7288208,2.115643,2.4601698,-2.4559796,0.57781935,1.4009356,4.6622276,0.85253716,1.9418716,2.6694298,-0.67545176,1.8378377,1.6835093,-0.016057491,0.79689026,2.085042,2.8383493,1.2038231,3.1849384,4.209399,-5.2948,6.642449,-5.039978,3.4463167,2.092719,-0.16357899,2.2755265,2.0800948,-5.413294,2.0538568,-4.907113,-1.3650656,4.494548,2.889669,3.9625525,-0.038158894,0.2776742,4.107821,-2.5692463,2.9593349,-0.8644998,4.0738463,1.9685388,4.0978074,2.9320598,-18.16501,2.0225525,5.1401854,2.7726412,6.1161876,4.7891855,0.3786087,4.2491913,2.8311968,2.6999712,3.8249373,3.1741023,0.72176456,4.906857,0.6610155,2.4383783,2.9822946,1.896584,0.3740549,-2.0976067,6.6898227,1.5028954,0.1447916,-6.235236,-4.6292486,5.047226,-10.7224045,-0.75111985,-1.0040879,9.306919,-3.188169,-11.652433,11.396551,-1.312393,1.0370016,3.1654596,-5.423486,6.579888,0.5882025,4.3117404,3.305316,0.72096586,0.6283045,-2.357453,0.9832144,4.8523664,3.5270452,5.2167535,2.011168,1.6312957],"EWU^FMA_DIV_YLD(NTMA,-10AY,0,AM,\"PORTAGG\",\"MEANR\")":[3.96734914945865,3.8271595470988,3.84351075580577,3.9071045523781,3.98068742082602,3.93156341240818,4.24200475035231,4.06204798552656,4.18276157261068,4.22313167959041,4.01662749865851,4.05278046445944,3.89618276633237,3.85448538187116,3.98066573366638,4.1361340750538,4.0927454563587,4.48866255992631,4.21592468068719,4.27104550176788,4.47156315389068,4.58995960511796,4.84996341487956,4.37186829960877,4.34767089422538,4.35279928818214,4.38729510758901,4.1813138025016,4.05422628037877,4.16058799419207,4.21732784346167,4.44036754672159,4.32940806620778,4.24712450575692,4.2569869973864,4.3278016601037,4.3230777522226,4.28697725820012,4.25510615883469,4.36363991368454,4.36570533902133,4.30978587991614,4.2641743516809,4.34450700548192,4.33375451359651,4.16874661460578,4.52648762818742,4.46575346016303,4.42528558298073,4.2620540999122,4.3157173372341,4.43409875550564,4.45522852636632,4.66603497267666,4.83695684430861,4.82620639031375,5.15900682752731,5.17625245358321,5.01327270209293,4.99838406746535,4.82906729127487,4.98737567884278,4.78597450450685,4.78796712296227,5.07589190174678,4.94750416043706,4.9166669050809,4.8017390107787,4.79001267888819,4.57526406447468,4.65730431236441,5.95882153702442,5.76939994975924,4.60125669181764,4.15630942596638,4.14671353553204,3.93161256806395,4.11042162512259,4.18217388100027,4.00305085066738,3.91345420694263,3.82095283163931,4.02501919207441,3.95753992914819,3.9544635323765,3.94122755102703,3.88337557696583,4.00699698976576,4.10183737302918,4.2252150058451,4.109454660723,3.99891281037108,4.0212291956511,3.86128317630042,3.76214169200272,4.16608307059813,3.94317722716236,4.19990501353891,4.21876782828213,4.32411747370563,4.17931902143912,4.39674697435557,4.71137604153023,4.38093657159932,4.21930978835151,4.13305995082097,4.09529417022344,4.21483974352352,4.13765152494374,4.27612501103037,4.34194971879375,4.49885931410495,4.42760116146881,4.49568306335211,4.4240253239906,4.61606011724026,4.39934669266053,4.34952681892392,4.31492724879488,4.14974974359139,4.0162294100053],"EWJ^FMA_PE(NTMA,-10AY,0,AM,\"PORTAGG\",\"MEANR\")":[12.5227386026173,12.8494573044499,13.6312305042908,13.6263013982414,13.4362957669993,13.9109548893139,13.1596564540028,14.4133810712487,14.222929110903,13.9224536986246,14.1709914550793,15.0933031416665,15.6172877626872,15.8649527554514,15.8944301363612,14.9094105664143,15.6907434557002,13.6481190642019,14.0086136298185,14.7293037420449,14.1751031803682,13.0969597168254,11.6158565025075,12.9482155711046,12.1774226877574,12.9782613040338,13.3577855484663,12.7816112765091,13.3559872883805,13.6231945826808,13.5587549899267,13.6887554780824,14.9883334209233,14.9310463794758,14.4869528859572,14.403819184986,13.5847484796143,14.3665066117731,14.354416422436,14.3388340762752,13.9592770856528,13.577881022662,14.0988393887013,14.8770236369231,14.7463238676892,15.3895464285226,13.7244013862978,12.8410379803821,12.8396618595364,13.3479615239113,13.2141139861734,12.5869207000207,12.6502865565222,12.4188164443487,12.4206107536519,12.1830320458456,11.628603927807,11.4645766704021,11.7866121654903,12.3342802695027,12.6101607693382,12.2375211216242,12.7114930168087,12.9477205180098,12.3916944407999,13.2140153726926,13.267493953767,14.1576825144828,14.4741879041393,14.6490004959646,14.4689547347021,12.0433411624242,12.8765985722734,14.4032324505189,17.3356001705278,17.4938281233366,17.9964213850254,18.3689634651812,18.2031711554791,18.5160882290347,18.4829222402098,18.7209638282424,18.9175726612183,17.702728937508,17.4869297669471,16.6088308315788,16.4803932947942,15.8682688870286,15.813586303757,16.1230625929502,15.1710522281862,15.2131549163465,14.5322842795054,14.4476577894256,13.9109997085341,12.3255869714372,12.843639920229,12.4213160872843,12.9388351531092,12.6038858667839,12.6949211420307,12.8495892686772,12.0974592352945,12.8816886222128,12.7500404392751,12.3444861113031,13.0466678335385,13.2772812427326,13.0943028146334,13.6364388280124,14.5589794681128,14.4456472201569,14.5337530952953,14.6714812835437,14.2572138372403,14.2248180221874,14.076700896177,14.7123314791895,15.0214209585715,15.3842353533253,15.5870373517673],"EWC^FMA_PE(LTMA,-10AY,0,AM,\"PORTAGG\",\"MEANR\")":[16.3257349648222,16.2422588582579,16.2068584641955,16.266517579643,16.2700962887037,16.4244225978026,15.3566460622082,15.7507413223875,14.9726777445497,15.3376035407089,16.4307216539304,16.9650181534598,17.2093417824561,17.2682335288017,17.1717689642083,16.9457934484426,17.0083883732719,16.4451589072329,17.0482870791567,16.6265385556302,15.8825064152861,14.8969450566934,14.5682041829125,15.9050554668237,16.012509596499,16.359402000722,16.7352595149435,17.0329366876007,17.4971179708227,17.5260598080156,17.8699314323103,18.267031202304,19.1512962673975,19.5581475063379,19.8096750901768,19.3120615915666,19.0472557788551,18.6623098230171,18.3731674506928,17.9826092605643,17.7475737700226,17.3164040740252,17.6240111484143,17.4332531234355,17.2951613104617,17.2527918257056,15.7055638038075,15.8189162920825,15.5896569607014,15.6290746823206,15.6030696953749,15.4950769221326,15.3916115569486,15.0719847970612,14.4487395701509,14.1939020728361,13.549670844126,13.7305129754452,14.5642052870875,14.7304697559195,14.7543549919735,14.510113844369,14.4339989298598,14.503509889299,14.3899521995027,14.5826610520479,14.5619943785231,15.0408233666358,15.078669702455,15.3662787589315,15.7695244040694,14.0722947041718,14.7024224119322,16.2978530649869,16.9168735551322,17.5496388626449,18.1808048808457,18.2152915262953,18.8406299275922,19.2253867114048,20.21175959142,21.2013691438187,21.0372551214973,19.8889177035317,19.5288423412236,19.081108814594,18.6776812581821,18.3030045215367,17.6125468068159,17.0214922372313,16.4453428042504,16.5333932866362,15.5465493038929,15.4631108271139,15.7028059969481,15.1225456270506,14.9425682472274,14.2535439969773,14.0463034229785,13.2564741733888,13.2974674045777,12.9163798040129,11.9318695614759,12.704139651641,12.5373941196975,12.3898363856949,12.8473374265316,12.5488465375658,12.7023042914702,12.8266696231676,12.876394451056,13.0206568124738,13.4838949897522,13.536503156109,13.3542118824737,13.3804074128938,14.0219159588536,14.5526046461283,14.6300149637712,14.9128883691807,14.9886359881478],"WL-FDS^FG_PRICE_CHANGE(0,-3AM)":0.834804944613921,"NI-FDS^FG_PRICE_CHANGE(0,-3AM)":9.01538461538463,"CPALM-FDS^FG_PRICE_CHANGE(0,-3AM)":20.7754010695187,"BRENT-FDS^FG_PRICE_CHANGE(0,-3AM)":0.0,"TIOS-FDS^FG_PRICE_CHANGE(0,-3AM)":-24.5876845516745,"FC0000AU^FG_PRICE(0)":356.84073,"EWN^FG_PRICE_MAVG(0,,,,200)":43.24363,"EWU^FG_PRICE_MAVG(0,,,,200)":32.38955,"EWC^FG_PRICE_MAVG(0,,,,200)":35.2865,"EWU^FG_PRICE_MAVG(0,,,,60)":33.048,"CC_DE^FG_COMPANY_NAME":"Germany","EWJ^FG_TOTAL_RETURNC(-10AY,0,AM)":[-5.8413267,3.1481504,5.2962184,2.4869561,-0.75376034,-0.16878247,-6.8469944,6.442821,-2.2165298,-2.3932278,5.2111387,4.1844606,6.0655713,-0.07727146,0.7733941,-2.3494065,1.8957376,-8.992249,3.0664444,3.5537124,-4.1500387,-3.3816338,-10.416675,11.724806,-2.3417115,3.0195355,0.43102503,2.5238752,4.556966,-0.4842639,0.40551424,-0.040388107,3.5353541,-0.011593103,1.4412642,-0.07785559,-0.2532184,2.011335,3.5413504,-1.0118008,1.6353369,2.1268725,2.7707338,4.105735,1.2186766,6.4947605,-6.623459,2.623999,-0.47838688,1.5746713,-0.407964,-5.921406,0.9303093,-1.0087013,-0.562191,-2.6501775,-3.6479115,0.3010273,-0.11355281,2.1788597,1.5761137,-1.2960911,1.3685942,1.3866186,-2.723807,4.237449,2.3459911,4.6019197,1.0705948,-0.31968355,0.30242205,-16.800673,1.4294386,4.882884,4.3716908,1.9715071,1.6848922,3.2081842,1.5542269,6.744039,3.9073467,4.486692,3.5984874,-4.317254,2.3956418,-2.7558446,2.414143,-0.65330863,0.3361106,6.0442686,-6.3864765,1.3497591,-0.94094276,-0.74530244,-4.580039,-8.474046,-0.068330765,-6.71795,1.3854146,-3.285271,6.2275887,-5.720377,-7.480687,11.894094,0.5824566,0.11343956,5.2898526,-2.3055732,1.9373059,3.5072565,4.5889735,-0.6428838,-0.7279217,1.5479922,-3.4338892,0.48189163,4.415405,5.681741,1.2613893,4.45745,0.56034327],"EWL^FG_PRICE_MAVG(0,,,,200)":45.9637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89,13.147116166704]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5794961448,2.03463841368045,2.71427224666172,3.12760120843659,3.00279789751534],"ENZL^FMA_DIV_YLD(NTMA,-10AY,0,AM,\"PORTAGG\",\"MEANR\")":[4.12356292469888,4.10001185353113,4.2180422965904,4.47065595228737,4.56935885103544,4.53336692397436,4.60804294886135,4.43877701401957,4.49176577624116,4.42916115987728,4.27009228755625,4.30397228088674,4.43109586472914,4.46684507537055,4.45734684347586,4.71045703063957,4.63740267303238,5.14860233606005,5.25610306562709,4.89148516645734,4.80690185897919,4.91500710396966,5.00506587776045,4.69045024862221,4.57466759997125,4.48680314332507,4.36495976201959,4.28318419588048,4.13908222769064,4.15035892748783,4.47062267261873,4.75551146868518,4.6078893654269,4.49879391793521,4.50667709990805,4.56289658551886,4.54782765244196,4.4120669030521,4.45983933935568,4.39765769190603,4.37462018184818,4.37674925124824,4.37975500058567,4.46071557559729,4.27337967167598,4.30326745832043,4.56959119117219,4.21231062148988,4.24857329402348,4.16891396826759,4.02003836130956,4.04318509565326,4.06509938421979,3.96420940690043,4.29790467077548,4.16232154472356,4.2072097561295,4.10424526837896,4.02082362069456,3.90516139854378,3.79539484576937,3.69133867957838,3.69958217184623,3.45335730951031,3.39516552295264,3.32380257398423,3.33908241893286,3.32829318074809,3.26119680712192,3.16115836461661,3.0614920573976,3.29041534704995,2.99315351601391,2.59458847527481,2.56753949060891,2.48601791303435,2.40710005761217,2.42285264645463,2.35745165006595,2.35548026964501,2.37329087515197,2.40389451621252,2.55864349769717,2.61252028697769,2.58053083612425,2.61479268133808,2.68127948986522,2.61377342419419,2.67839015468842,2.60295707600186,2.679694214382,2.68312794802182,2.78182117206002,2.82053354848459,2.97607356038104,3.08455783962233,3.12183613769547,3.22166169109288,3.27040182027887,3.32596237858118,3.19764550067021,3.18309613799441,3.45344474023046,3.38689405810595,3.42404910768495,3.41812520577267,3.27312822269979,3.43694008882196,3.40674019677182,3.49807181510528,3.49598244824903,3.4314390240269,3.44218672125393,3.40116311875821,3.4247252194625,3.46446847410753,3.11220345253468,2.98100143901958,2.9897573073423,2.75651229745694,2.78524724385285],"EWA^FG_TOTAL_RETURNC(-10AY,0,AM)":[5.4975986,0.9509325,0.11303425,1.4294624,-1.9962311,0.65333843,-11.492938,8.110439,-9.936153,2.9292226,0.48888922,-0.6634295,4.85307,-4.3736696,-1.7761946,-4.1517076,-3.671497,-8.074224,7.146752,-6.6191435,-1.3631403,-3.2874346,-1.7626405,18.241632,-5.8674755,6.018269,-1.5205204,3.923285,5.9769034,-6.303316,4.1476965,-0.7770777,3.52422,4.033184,1.9598722,0.9153247,2.2675753,-3.10421,-1.2814701,2.2460938,3.0583858,3.4622312,-2.3468077,3.1152725,-1.9853294,6.207061,-6.032288,5.3797364,-4.290003,2.4204493,0.70022345,-0.39247274,0.0,-3.603202,-5.4914656,3.515637,-4.7169805,3.9107919,2.5235057,3.523171,0.93239546,0.27713776,4.0073752,1.9976258,-4.7851143,4.2345285,-1.160717,3.432703,-0.6550193,2.4475813,-0.08752942,-23.521687,-4.7537208,2.044499,11.078382,5.681753,5.094242,-2.326709,3.325057,7.2526455,6.35916,3.6936045,2.7846098,0.35856962,1.3100386,4.2319775,2.8803945,-3.2234132,1.4931083,-2.6782393,-1.2015462,1.3730884,-2.3219824,1.591289,-4.365402,3.0431032,7.7112436,-11.500382,-0.5893767,-7.2832823,11.036146,-2.9947937,-12.214762,16.207945,1.622808,2.697444,3.4674644,-7.9437313,4.494381,-1.1612952,-0.8588135,-0.2683401,-0.22421479,-0.89887977,-1.4512479,-1.6106784,6.6884995,5.8635473,-0.042265654,3.2135367,-0.24579763],"CAGDPY@SE^EE_ACTUAL_ANNUAL(MED,0)":6.76905401199225,"SPY^FG_PRICE_MAVG(0,,,,200)":464.34937,"EWJ^FG_PRICE_MAVG(0,,,,60)":68.674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10545012496,11.2050609808234,13.9227699470217,15.8587444123321,14.7205309398757],"TRYMX10Y-FDS^FG_YIELD(-10AY,0,Y,,\"YTM\")":[5.8237,6.2537,7.5651,7.6401,8.7069,6.8373,5.552,7.558,9.0223,8.95],"TRYPE10Y-FDS^FG_YIELD(-10AY,0,Y,,\"YTM\")":[5.681629,7.426917,6.415413,5.167133,5.645114,4.243226,3.535983,5.889906,7.923381,6.6087],"USDAUD^STD(FG_PRICE_CHANGE(0,-1AY,AM))":1.60515743132665,"QQQ^FG_TOTAL_RETURNC(-10AY,0,AM)":[-6.556487,3.1981945,7.0161223,2.8375626,0.19943714,4.7454476,-5.3259077,8.301568,1.4861226,-0.7702172,2.1048546,0.31495094,2.7459621,0.48259497,1.2745976,-1.5969157,2.3130536,-4.1492643,1.1584044,6.2048197,-2.0770729,-5.537331,-7.4571075,10.2951765,2.2832513,-2.0626128,2.4257302,2.1007895,5.5801034,-2.424866,3.0927896,-1.4635742,3.1951666,3.1755924,3.619945,3.148067,0.25393963,5.2034974,1.222074,-0.392282,2.1934628,2.6530504,1.7103195,3.8097858,1.4445662,4.9577117,-4.403204,10.928893,-7.285017,5.727482,3.2160997,1.0795236,2.324009,1.4402747,-7.2170553,1.132071,-4.6117067,-1.4968574,4.7980547,3.7589073,6.087196,-0.016212463,-0.86486936,5.1499367,-3.0817986,3.185153,-0.48568845,5.154097,2.0003915,6.791854,6.217098,-15.857071,3.107965,12.949312,3.1515837,12.992001,0.46217442,1.9834876,5.795765,1.4175296,4.1724205,4.353595,6.411803,-4.943502,6.1273932,-3.5003364,4.8968673,5.915487,1.4403939,2.8344393,-4.725128,8.984625,1.8996954,-2.937609,-10.046137,-6.5291286,5.2134156,-14.388811,-1.0279596,0.25701523,12.122881,-5.2425327,-14.286322,9.594667,-2.0558357,-1.3528764,7.9805493,-3.7203968,9.62311,3.2834172,8.675659,3.9987922,-0.52422285,2.929771,-1.3830304,1.9314766,4.527068,3.756559,6.76682,0.07779598,1.9579291],"EWL^FMA_DIV_YLD(NTMA,-10AY,0,AM,\"PORTAGG\",\"MEANR\")":[3.25645073776186,3.20573738718015,3.20913940325759,3.36141895138386,3.42942384293439,3.28275675405744,3.50999395957838,3.29022813388774,3.27159136329315,3.29647717954121,3.3064586882823,3.18457671174765,3.02364388819327,3.11570799188276,3.15147902423242,3.18474821005041,3.1260975559978,3.35073926683314,3.34018456735464,3.26423234883833,3.38242276260618,3.51614648807459,3.7203992450258,3.46838611723425,3.56164380480201,3.53346536452848,3.54851094591252,3.52193031585186,3.41090464243024,3.4483318970418,3.52375364136037,3.63136955205799,3.59783374026028,3.48744955070643,3.41928802360108,3.34952494544337,3.42974005679905,3.31167510815375,3.35235274576484,3.32015340102662,3.33824926094887,3.28792797326389,3.23649001737837,3.28859251217393,3.24339272891985,3.17887785291999,3.46585499246936,3.41710619370605,3.50509980822064,3.42151360552011,3.54243139952615,3.52230253861212,3.42229033877822,3.44245796067306,3.63628464490984,3.49377293801998,3.64687563804013,3.53945959907157,3.44863266613664,3.37677642794637,3.26342900743091,3.34472369712065,3.24276941433371,3.24227311944791,3.26597630324671,3.17832935577873,3.21834761065463,3.13606648744439,3.11555240706046,3.03730209591307,2.93691965278268,3.51126070240072,3.40426873881295,3.25497586813558,3.14927955498111,3.01515028164076,2.96320764269307,2.89918818250058,2.92820217511433,2.88595452103352,2.91314693158768,2.81253769076978,2.81197636330235,2.83673878756903,2.73982619625331,2.79811476974512,2.62238803454712,2.62181296983851,2.56536114017582,2.63048266176908,2.74099051944376,2.58642559360421,2.58037771107837,2.59566494364373,2.74675653096951,2.9374052576004,2.73078246108816,3.00440997016962,3.12948282029368,3.1457206823454,3.0482406692266,3.17956822260662,3.46304179851524,3.09084637929833,3.12580928768783,3.08543201342941,3.09347390411903,3.2472078659382,3.12322919726034,3.06576245123308,3.17702424271992,3.23668859594048,3.21438808986146,3.29367558488424,3.32168327634649,3.49294969427173,3.31921359630495,3.30241877387652,3.39972313805923,3.240879334807,3.31166867094435],"EWG^FMA_PE(NTMA,-10AY,0,AM,\"PORTAGG\",\"MEANR\")":[12.7080869894138,12.9818036726908,13.3291179827119,12.842789239977,12.2608350206265,12.8097101702167,11.6096709554332,12.3510125423259,12.949184231844,12.6855910791261,14.0071864268729,15.3035799927152,15.90603691566,14.5938137322233,13.9054443079359,13.7483321944471,13.6326400157879,12.2720804956214,12.4114362948476,13.5167808945896,12.9023751221756,12.1618266601024,11.100026615974,12.5412986546212,12.3505982643843,12.5265451761279,12.1514418532897,12.1485847516313,13.2010690973247,12.9826707681633,12.9232060016651,12.8149234703325,13.3932021891696,13.7984669251419,13.6297623685621,13.8574938465021,13.8427464364956,14.011767657901,13.8798517892156,13.4055200915825,12.9152603873323,13.3220218438137,13.7964138199584,13.9711759856291,13.980524004807,13.9948531093446,12.8299170612557,13.0889529675841,12.9342811795088,13.4341788607517,13.2933333278259,12.8634241458736,12.8581373553285,12.4324186081555,11.8814087807551,11.8044807401602,11.1793499057058,11.3205128750578,11.6236316067155,12.1782239728969,12.5848991666603,12.5783091446634,12.4397800289799,12.8250601798765,12.3727481152197,13.0750316134367,13.1175008100439,13.8728768692879,13.9866212019194,14.3552463604081,14.4494952997756,11.2420323231631,13.5012910233363,15.2945283110361,17.3699323788362,18.3088966874919,18.0863135379725,17.7495474140123,16.9524946131353,16.1626974935709,15.7103252375938,16.1759947742144,15.873965354587,15.9797532998646,16.2407683184531,14.7275098968174,15.0181175056891,14.7021255947833,14.3061093032758,14.0267827001612,13.4696918437782,13.7916031509668,13.2988018746995,13.3637051163303,12.8247843396248,11.0768216830063,11.3944410273126,10.6817189736856,10.4899894503914,9.80143684537155,10.2843869331814,9.81140267603935,9.04783161802704,10.7045186634338,10.7050565738744,11.3023587548117,11.6376743965391,11.4716974481646,11.3588256307445,11.0549086577935,10.7652139496237,10.5586118855319,10.6332864898923,10.5947165556053,10.3373563969331,10.2506047215065,11.2574249399136,11.0098027773176,11.5187082279242,12.0583449631651,12.2531156877155],"WL-FDS^FG_PRICE_CHANGE(0,-1AM)":1.7825311942959,"NI-FDS^FG_PRICE_CHANGE(0,-1AM)":-1.08877721943048,"BRENT-FDS^FG_PRICE_CHANGE(0,-1AM)":0.0,"EWC^FG_PRICE_MAVG(0,,,,60)":37.077168,"PLATI-FDS^MAX(FG_PRICE(0,-5AY))":1272.59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1,13.2261379950135],"SPY^FG_PRICE_MAVG(0,,,,60)":505.0265,"CAGDPY@GB^EE_ACTUAL_ANNUAL(MED,+1)":-3.0,"CC_GB^FG_COMPANY_NAME":"United Kingdom","USDSEK^STD(FG_PRICE_CHANGE(0,-1AY,AM))":2.78028565973016,"USDCHF^STD(FG_PRICE_CHANGE(0,-1AY,AM))":2.02451525778796,"USDUSD^STD(FG_PRICE_CHANGE(0,-1AY,AM))":0.0,"USDEUR^STD(FG_PRICE_CHANGE(0,-1AY,AM))":1.55531215144208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0501156,2.21381527791346,2.48981565223205,2.56419574346244,2.51009258700133],"EWQ^P_PRICE_RETURNS_PR('52W',2,-10AY,0,AM)":[25.193607,23.2633,25.08558,18.745577,5.0943255,7.0653915,-8.188361,-5.2805543,-4.805541,-11.251509,-6.459981,-9.807986,-5.641806,-6.37899,-6.620753,-4.019189,3.474331,-6.918204,6.060374,2.6153088,-1.6541004,-2.603215,-13.221961,-2.125913,-9.346747,-8.539618,-10.406274,-11.550313,-8.04016,0.49573183,-4.6572866,-4.5268774,2.5731921,13.214552,16.234982,12.591446,14.082241,21.353043,22.35366,30.126667,23.501469,28.558815,33.824886,31.355953,30.584085,31.879091,25.613749,28.06828,24.515211,16.838657,12.908781,9.445488,6.2048435,2.3993373,-4.457903,-4.584712,-11.719054,-14.339071,-7.232845,-6.453043,-3.378588,-6.352818,-3.5615504,1.5186667,-3.6295772,2.1722078,7.264042,13.859547,21.401775,22.237814,19.67845,-11.173618,-16.645605,-17.190248,-11.07586,-7.963562,-0.09654164,-1.7392039,-0.4329145,0.99487305,5.1525354,5.411589,6.279528,41.965042,49.79892,57.025826,51.161755,39.72875,37.45166,34.803783,30.436575,27.589691,19.113613,20.773565,14.217067,-4.5960546,-1.6381562,-12.189781,-14.872372,-18.92851,-12.59026,-17.54331,-23.329317,-12.714994,-8.508194,-6.355542,-2.363956,13.574446,15.983009,26.966095,17.667925,34.251045,20.992172,26.08397,35.55459,13.845646,17.03124,10.364819,8.98918,16.893375,8.183325],"EWA^FMA_PE(LTMA,-10AY,0,AM,\"PORTAGG\",\"MEANR\")":[15.2986413278699,15.2140957094035,15.1811394463597,15.2998893822455,15.1949198025421,15.3017169657748,14.5620837773082,15.24846172731,14.1742908967176,14.9696334262436,15.6754765824677,16.1345332579748,16.3754703964034,16.1650131630608,15.9907021984802,15.8603446039008,15.8792735670211,15.2345937139231,15.7686341041972,15.2774215107408,15.1460539267285,14.8500195356016,14.7391598693672,15.1551611205159,15.0466853873834,15.669861508333,15.7523770220437,15.940670403655,16.5571943871816,16.3410469681811,16.9065211986465,16.9991673123515,17.4724396473507,18.0301362147398,17.7663985794786,17.486200019872,17.3513524062745,17.1620120437372,16.7711077057384,16.7429675272664,16.6679885377975,16.5487662926911,16.4303225697227,16.8909540358367,16.5907472768174,16.767378506704,16.1209237484529,16.502246099838,16.2881816121046,16.3708513830814,16.1602221608266,16.2547014388167,16.3409066884196,16.0171793677876,15.4013940276661,15.4997242575337,14.5697614113422,14.9955251256875,15.6424433502083,15.8749665663695,15.828333712241,15.8579948762101,16.1061937728592,16.2691059096899,16.2636799741993,16.6135642277557,16.8178855295161,17.5868738522244,17.6941479577353,18.3003286936778,18.575611366524,16.6201124533699,16.7400853802088,17.4191243146542,18.5059018452608,18.5377572839866,19.509748123914,19.2094278903286,19.9101742863037,21.3483145505741,22.528460991956,23.3412426842149,23.1005575326384,21.6503772072194,21.3121881870479,20.9293647412989,20.5733404174323,19.6245206930597,19.3209657799166,18.7883007718241,18.5564526313149,18.2466947039735,17.8301644683925,17.6378527331635,16.1147456180129,15.6568677021589,15.7076326352541,15.0978516046875,14.6351382944227,13.9968562838986,14.6563458012222,14.1354768250674,13.2906286691942,14.1967677109023,14.2912873799392,14.2042943159637,14.6603986014135,14.2048637400215,14.3203353452154,14.3647269390013,14.3828880541592,14.5334551886801,15.0102017999146,15.0363833781349,14.8181841687786,14.8443256761663,15.3932230374865,16.2482643190071,16.5067742369716,16.617612693337,16.6633293415034],"CPALM-FDS^FG_PRICE_CHANGE(0,-1AM)":7.34315589353611,"TIOS-FDS^FG_PRICE_CHANGE(0,-1AM)":-7.33628318584071,"EWN^FG_PRICE_MAVG(0,,,,60)":47.57975,"TIOS-FDS^FG_PRICE_MAVG(0,,,,30)":109.89867,"QQQ^FG_COMPANY_NAME":"Invesco QQQ Trust Series I","NI-FDS^FG_PRICE(0)":17715.0,"EWC^FMA_DIV_YLD(NTMA,-10AY,0,AM,\"PORTAGG\",\"MEANR\")":[2.94678755433533,2.8961472519003,2.84906435936215,2.80717271384625,2.80653905569787,2.76066052060937,3.03806498908146,2.93925382097613,3.09324637642975,2.99801577403161,2.86750868149039,2.94967590743087,2.82223793524456,2.86134963540995,2.93508337505854,3.04958986768268,3.07734746774373,3.25702790268895,3.15505015639616,3.31215830557563,3.4645427904955,3.567185841731,3.55264490961262,3.13247927740252,3.18071353395438,3.10042399759906,3.06615960829041,3.0261737322198,2.93621492598905,2.98454648841571,2.96567856493312,2.96792492493677,2.83367271891927,2.81356442475077,2.79808431904578,2.90463250433504,2.89756081141542,2.9496373738213,2.97693865529526,3.05024282723742,3.07048197542642,3.10469505389206,2.95275537175236,2.91112632064467,2.91009506508518,2.89893677001768,3.17889950624327,3.13244549703684,3.21961858273646,3.08208078040371,3.05898310784388,3.04997337169144,3.08437433543814,3.16484600225701,3.35222287185315,3.36301143524639,3.51745120489153,3.4558842174348,3.33836753101993,3.27113108113238,3.21745552901106,3.27174218037938,3.34125324973601,3.2969730841125,3.39060779978917,3.33926226332514,3.36744233887423,3.26669211278742,3.27338458375229,3.23733811628138,3.20516708364281,4.0797483726464,4.06022600286676,3.6974358517574,3.6553825423074,3.51201113872066,3.34428428336885,3.40981523896615,3.3603886836118,3.3063557193261,3.11411761245382,3.03220310685111,2.9435265984731,2.8430957626242,2.76472298616105,2.75146242279438,2.57534671046452,2.70442158023575,2.66980746913632,2.74572303630223,2.78703140537808,2.68097822114948,2.83914609760133,2.77185081815018,2.76645078205049,2.85013774417484,2.85394697884767,3.23161166324824,3.18696515705101,3.44512370067601,3.27275221431902,3.37802835544338,3.68529778351823,3.3239846603069,3.36797165354136,3.35629113046076,3.26675191029398,3.4178558997889,3.28491810282271,3.26237718044014,3.32182106116738,3.28971596489538,3.42131480981552,3.51128457536624,3.62002753388629,3.59801980680816,3.46729348036537,3.3583458460838,3.32557957702615,3.17314009039434,3.08338304124513],"EWA^FG_PRICE_MAVG(0,,,,200)":22.82045,"USDSEK^FG_PRICE(0)":10.7804,"PASP-FDS^FG_PRICE_CHANGE(0,-1AY)":-26.0899653979239,"COPP-FDS^FG_PRICE_CHANGE(0,-1AY)":5.6528761336812,"EWQ^FG_PRICE_MAVG(0,,,,30)":41.018665,"ENZL^FMA_ROE(NTMA,-20AY,NOW,FY,\"PORTAGG\",\"MEANR\")":[null,null,null,null,null,null,10.8532267295878,10.9048734413645,11.45876758647,11.0832589152415,9.94517431688139,9.90242652659034,9.79986582903071,9.84792896856594,9.52177142619013,9.00388708752031,7.5322638919869,6.44400181202057,7.7689690341127,6.57910753918315],"CC_NZ^FG_COMPANY_NAME":"New Zealand","PASP-FDS^FG_PRICE_CHANGE(0,-6AM)":-9.1063829787234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0954429,3.67789541888801,4.61613856406357,4.46089542599279,4.56547558451216],"EWN^FMA_PE(LTMA,-10AY,0,AM,\"PORTAGG\",\"MEANR\")":[17.0392779419427,16.8531231483305,16.8838329487052,16.4947158935547,16.2153160854291,16.7601673258715,16.0456651431926,17.2339546988042,17.5278663939523,17.3169343985986,18.9427181268828,20.122531875868,20.0273441554243,19.5903588391333,19.2072746018086,18.9438543334915,18.80912887024,17.0888624814137,16.9663780479726,18.1862371013516,16.9058584507065,15.7327441666595,14.4969750345718,16.4239900373995,16.2808235893838,16.1713008237182,16.0153692848959,15.8841124285896,16.2430494838141,16.0420037505566,15.8577447224648,15.4974932696237,15.9210527944989,16.3842219226745,16.2040904439717,16.5042094847727,16.5588569356214,16.7229143922337,16.7603890824502,16.5451756953989,16.5481185923892,16.7249641423055,17.1808549962693,17.3375302328991,17.2870925779027,17.4813962463805,16.3813455423913,16.6808924860941,16.5914762865138,16.5893750068721,16.7345414788188,16.547377720712,16.6306357218737,16.2421255061107,15.517511500415,15.7089007227689,14.7844577910523,14.670371538714,15.5413373952729,16.1117373577366,16.2308030972538,16.1789465118486,16.2893950049025,16.4109119577671,16.1992289832813,16.9971883026791,17.2091381051932,17.8679689386259,18.3064450263523,18.7244527006548,19.8968857997093,17.0160415475133,17.2963780218408,18.0142139388991,18.9473201744028,20.06513744244,20.7399592380725,21.5243174134735,22.6340516801465,24.557785948184,25.980191260842,27.7458481428287,30.0091917088386,28.8179797267562,28.5639939177266,27.3893769552512,27.0731494389313,26.3643705945127,26.2181763049572,25.6665756710634,23.9119517404433,24.4672729144707,22.6955153680946,21.8745422549555,20.0096138729189,18.1623270327618,18.3953214995417,17.8609513131438,18.2945889483713,18.1747254257721,19.6501358353197,18.7326434357365,16.8200755508785,18.4667032164155,18.6015610131616,19.3057994940517,20.7077626003744,20.492173787794,20.1908834049241,19.6407566168724,19.3305978205485,19.0021997221519,18.3333591104983,17.3978245787433,16.6341125345478,16.1277450026703,16.6793913873641,16.3184271611693,17.9709955763608,18.4916241859817,18.438150114009],"COPP-FDS^FG_PRICE_CHANGE(0,-3AM)":12.5910234343969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2565,16.3837417700753,16.6906517335277,19.2996868123636],"TRYIN10Y-FDS^FG_YIELD(-10AY,0,Y,,\"YTM\")":[7.86,7.89,6.63,7.35,7.35,6.55,5.9,6.45,7.33,7.19],"CAGDPY@JP^EE_ACTUAL_ANNUAL(MED,0)":3.67564716252459,"CAGDPY@GB^EE_ACTUAL_ANNUAL(MED,0)":-3.3,"CC_CH^FG_COMPANY_NAME":"Switzerland","USDSEK^FG_PRICE_CHANGE(0,-6AM)":-0.9163499,"USDEUR^FG_PRICE_CHANGE(0,-6AM)":-0.76595545,"EWU^FG_TOTAL_RETURNC(-10AY,0,AM)":[-1.0643423,5.9657693,0.46147108,-0.19018054,-2.9937208,-0.34843087,-8.241755,4.300487,-4.279751,-2.1963775,5.116546,-2.7582467,3.615129,6.092322,-2.6562095,-2.51711,0.21715164,-8.179837,3.7168145,-2.7303755,-5.380118,-5.0635576,-5.7104945,10.492956,-0.509876,1.3452888,-1.2010098,-0.4824996,3.9525628,0.19011497,-3.858322,-0.98683834,3.5880446,1.4497995,2.0192266,-0.5340874,3.4112453,3.5736084,0.82571507,-1.1959672,1.2711763,2.9886484,2.0313382,-1.4789522,1.5300155,5.9454083,-6.2619686,2.304554,2.6518345,2.1388888,-0.38074255,-3.2392502,-1.8775225,-2.826029,-2.3023248,0.4031062,-7.257569,4.0235996,3.0421972,3.396821,3.5922647,-2.1932483,-0.090903044,0.3886342,-6.755501,4.087734,1.021707,3.0341268,1.1963248,3.724742,-1.8138587,-22.471231,-2.382815,0.56022406,2.228415,2.9383779,2.9942393,-3.1308234,1.4621019,7.9256654,3.1974792,5.726075,-1.9218266,5.114579,1.4533997,4.048586,2.694106,-1.6893983,1.5676856,-2.8198183,0.12216568,2.3184896,-1.4311254,6.327176,0.7307768,-8.589667,7.4285746,-9.249413,2.399683,-5.60233,6.6895366,-5.7234764,-11.493855,15.105974,5.490458,3.0746102,1.1562467,-2.4714231,5.0047517,0.4524827,-1.5473723,-1.243782,2.3299694,-1.5384614,0.5312443,-3.5125792,4.896903,2.5849342,-1.2251198,3.5348772999999998,2.0964384],"NI-FDS^FG_PRICE_MAVG(0,,,,30)":17432.5,"USDEUR^FG_PRICE_CHANGE(0,-3AM)":2.251184,"TRYEU10Y-FDS^FG_YIELD(-10AY,0,Y,,\"YTM\")":[0.5475,0.636,0.2082,0.4294,0.239,-0.189,-0.575,-0.181,2.533,2.004],"EWU^P_PRICE_RETURNS_PR('52W',2,-10AY,0,AM)":[13.930035,16.00603,20.175457,18.136002,11.484265,8.266079,0.6505251,0.4875183,-2.8967917,-8.599299,-3.4538388,-6.9343925,-3.382969,-2.4161458,-5.4445267,-7.693529,-4.5921803,-12.090075,-1.8617809,-7.3313417,-8.3966255,-11.082047,-20.240616,-9.371752,-12.979728,-16.873407,-15.454971,-13.869822,-10.65948,-1.9370139,-9.635496,-8.015739,-1.4296293,7.611561,14.896059,6.9957137,8.944452,11.339855,9.490776,12.809229,9.899402,12.969124,19.88964,18.155396,16.923714,22.105038,12.511563,15.981436,14.547873,12.961149,11.609483,9.301388,5.3990126,-0.07620454,-4.320365,-2.6892304,-10.932005,-12.547672,-3.8674057,-2.8410256,-1.9509196,-5.9817553,-5.836421,-2.305919,-8.615273,-0.55737495,2.826035,5.5205584,15.139222,14.845991,9.397864,-17.971539,-22.542137,-20.526773,-18.681854,-16.590618,-7.8978004,-14.285147,-10.074597,-9.824449,-8.041233,-6.266916,-6.369996,26.94485,31.933605,36.510277,37.132133,32.492935,29.153097,30.87703,27.856647,21.213972,14.4908905,16.435564,19.584667,3.9938807,10.118687,-3.955102,-3.6018848,-8.04224,-3.4049928,-6.233883,-17.163122,-6.810397,-0.14573336,-3.3174276,-3.357774,2.903378,1.2521982,12.076783,5.2681923,12.732088,8.125603,12.92541,28.268278,7.80946,6.915736,6.4078093,3.5190463,10.301674,7.2466493],"W-FDS^MAX(FG_PRICE(0,-5AY))":14.2525,"EWI^FMA_PE(LTMA,-10AY,0,AM,\"PORTAGG\",\"MEANR\")":[17.1575080944983,17.0669320017407,17.37275731574,17.0932738479799,16.7033651826421,17.9830045738979,16.6057970202461,17.2294615351006,18.2529943238869,17.9847340611129,32.0534942857612,44.2671378927617,41.630709008208,38.7064316763568,35.6603115385191,32.8268562504785,30.485346399749,26.8197849684988,24.7980715969217,22.5530256906716,19.3443437809919,16.8249210502295,13.9975632101423,15.491198863705,15.1872468823823,15.2188763923141,14.7941789169836,14.3551876580649,15.1500544707604,15.0932806233599,14.6147285756586,14.4928546227796,15.600308867887,28.0705914329345,20.2113008032908,83.6936885776985,76.1445083543372,69.3685409616605,62.4456491444949,54.9651922057747,47.6640328840124,40.6551742872961,33.9245521525938,27.0356986220154,20.2598566345016,15.8715529519577,14.2880606067901,14.213166354276,14.105870203086,14.1342325651946,13.5013598616347,13.221974672977,12.9147783640993,12.5224998590438,11.7041343931501,11.4554618129675,10.7283946613168,10.9245469207095,10.8969590323238,11.2747853136852,11.3344615174932,11.1527200179335,10.9842201088956,11.3540032008515,10.8206329945518,11.2737088570381,11.4178771454536,11.9643130468678,11.8678634970201,12.3495105864705,12.7138930251127,10.9819137612749,11.3594125527211,13.5039917164123,15.5136867638008,16.8457097275075,17.8451354807535,18.2445832226643,18.7647342688994,20.5573324271127,22.2710727259828,23.6152581957571,20.6554767037076,20.1495513516651,19.5983226751671,18.768233333425,18.4783752081425,17.703134076901,16.4175237255488,15.2641800257466,14.4441755308437,13.91922246715,12.3618843121288,12.2069172441674,11.7749939214889,10.4997690057126,10.5228216394677,10.2563673925551,9.67727762348045,9.26417747472071,8.89248816099702,8.47891126965454,7.9287247942919,8.46508007121735,7.71614793984135,7.93485220472972,8.26053351230494,8.29206594207187,8.36101445676483,8.27646216511997,8.44372267252691,8.56615293413867,8.24483947741719,8.37125967596516,8.24298651710843,8.10454041841566,8.80600755181348,8.88427027451915,9.0843759536886,9.37942399341125,9.46828484809891],"USDEUR^FG_COMPANY_NAME":"Euro per U.S. Dollar","EWA^FG_PRICE(0)":24.35,"EWA^JULIAN(FMA_ROE(NTMA,-20AY,NOW,FY,\"PORTAGG\",\"MEANR\").DATES)":[38352,38716,39080,39447,39813,40178,40543,40907,41274,41639,42004,42369,42734,43098,43465,43830,44196,44561,44925,45289],"USDANG^STD(FG_PRICE_CHANGE(0,-3AY,M))":0.0414043666666667,"EWC^P_PRICE_RETURNS_PR('52W',2,-10AY,0,AM)":[7.8125,9.929026,16.926968,19.659496,17.686546,16.146778,4.855728,4.668963,0.11059046,-1.0877728,-1.7581522,-6.9610596,-3.016603,-3.0089676,-8.855396,-17.612808,-18.808758,-25.861835,-14.33844,-20.987488,-20.903772,-26.906717,-26.513784,-10.187304,-14.239872,-13.858307,-8.393568,-3.2511353,4.016149,9.925008,3.3929348,9.381807,24.650024,38.908733,40.505028,17.835342,16.178703,9.371471,5.9164166,10.9995365,7.314205,14.405513,18.225443,18.012608,10.223663,13.542151,2.7895808,7.9732656,5.662,13.323426,11.861563,9.072817,8.134068,1.475513,-5.411124,-7.0441065,-10.938305,-12.168371,-0.39099455,0.799191,3.3963203,-1.2591004,-0.4827261,3.5627246,-0.7489443,4.4464707,7.968235,12.789047,19.334911,19.079935,16.540718,-13.105022,-16.062647,-9.950769,-8.477634,-7.5025854,2.2095084,-0.98357797,4.028034,1.2423038,8.719599,8.302641,10.202301,49.737907,54.99711,51.870323,54.187214,46.55806,36.931564,36.46822,33.96888,38.048683,22.643148,24.623322,20.722507,14.490461,14.99548,-1.9816697,-2.3698807,-8.878523,-3.1326234,-5.0531683,-17.40532,-9.381306,-9.262556,-9.912252,-6.794584,-13.22946,-9.875506,1.4872789,-5.598557,6.1199784,-0.17054677,0.9576559,13.326157,-1.6509354,6.3604593,8.398354,6.067121,17.497206,10.811925]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9001247,7.43859929051954,9.22076567875365,9.22544557635682,9.299010467763],"TRYQA10Y-FDS^FG_YIELD(-10AY,0,Y,,\"YTM\")":[null,null,null,null,null,null,null,null,null,null],"TRYZA10Y-FDS^JULIAN(FG_YIELD(-10AY,0,CY,,\"YTM\").DATES)":[42004,42369,42734,43098,43465,43830,44196,44561,44925,45289],"USDEUR^FG_PRICE(0)":0.9340993,"CAGDPY@SE^EE_ACTUAL_ANNUAL(MED,+1)":5.4,"USDJPY^STD(FG_PRICE_CHANGE(0,-3AY,M))":3.01948152393537,"USDNZD^STD(FG_PRICE_CHANGE(0,-3AY,M))":3.49434304497674,"DDR3512M-FDS^FG_PRICE_CHANGE(0,-3AM)":-2.1369461596968,"ENZL^FG_PRICE_MAVG(0,,,,200)":45.993614,"W-FDS^FG_PRICE_CHANGE(0,-1AM)":2.65116279069768,"CAGDPY@IT^EE_ACTUAL_ANNUAL(MED,+1)":0.9,"CAGDPY@JP^EE_ACTUAL_ANNUAL(MED,+1)":3.45,"CC_CA^FG_COMPANY_NAME":"Canada","USDSEK^FG_PRICE_CHANGE(0,-1AY)":3.1489015,"USDCHF^FG_PRICE_CHANGE(0,-1AY)":0.8242488,"USDEUR^FG_PRICE_CHANGE(0,-1AY)":1.9335866,"USDAUD^FG_PRICE_CHANGE(0,-1AY)":2.0943642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9,10.4260783076313,13.6402697494705,12.7503134568906,16.3242202004236],"EWL^P_PRICE_RETURNS_PR('52W',2,-10AY,0,AM)":[16.01075,15.822554,20.553637,15.799856,8.89374,11.428034,1.9650459,3.9951086,4.613602,-1.1441171,0.2355814,-3.9962113,2.5365233,2.8552532,2.2981524,2.6904225,4.518211,-2.5500536,5.1244617,-1.5835702,-3.969562,-5.2607536,-12.768626,-4.804039,-11.090815,-11.854929,-11.972207,-10.623556,-5.4597797,-0.85659623,-3.744197,-4.046088,-3.3436477,6.346023,12.506151,10.660601,10.186553,15.379858,14.132822,17.393982,13.0772,17.080366,20.659674,18.835281,22.235203,22.153913,14.797651,14.363373,9.021664,3.8845658,0.6543875,-0.7183492,2.3272038,1.213789,-5.942708,-0.27011633,-5.2598715,-7.009506,-2.079177,0.6374717,6.852448,6.624639,13.054562,14.792479,10.281897,12.551045,17.872084,18.009663,24.145758,25.441265,29.442347,5.670166,3.6839724,6.7379713,4.3465137,9.878564,10.756075,13.111186,16.144062,12.022913,12.938011,13.838363,9.940422,26.02967,29.537224,26.731705,34.390842,26.042128,25.972153,20.48664,14.128304,21.506287,20.056057,15.785587,9.183205,4.0564775,9.99732,-5.653417,-15.38474,-14.690346,-11.324787,-14.36016,-20.218342,-12.918925,-14.3558445,-12.091726,-7.665944,-4.4069586,-5.195749,14.476132,11.12628,13.635826,8.5724945,11.176359,23.36285,4.774916,10.203707,10.093951,6.564498,15.631032,2.1126747],"EWG^FG_TOTAL_RETURNC(-10AY,0,AM)":[-0.39075017,2.4190903,1.8512607,-2.3306668,-6.546646,1.7863393,-11.493463,5.637634,3.9381623,-5.276203,5.981314,2.3280382,5.308509,-1.7675936,-1.5328228,-0.5368054,-1.4191747,-7.0224705,-0.83081126,0.8758545,-2.680254,-5.042672,-6.5767946,9.794485,0.0,2.9868603,-2.7455568,-2.1315157,10.4003315,-1.7309248,-0.3835857,-1.8482864,2.3538709,3.8302183,0.8493304,2.7096272,1.0338664,6.7748785,3.3707857,-0.105792284,-0.81565976,5.065787,2.943015,-0.42579174,1.1606455,3.1582832,-5.868542,2.2132158,-0.7014334,1.8120408,-2.0814538,-4.4005513,-1.9141912,-1.2449503,-5.144805,-1.2931049,-6.804943,1.991415,-0.7274151,4.6278358,2.7644634,1.6499281,-0.84685683,1.0222793,-4.922181,3.6924243,0.18355846,6.009519,0.5184889,2.3383737,-0.9408653,-21.404339,-0.5610645,1.6492963,12.852263,7.274413,4.4903755,3.3765316,-0.3629148,-0.8609295,3.206408,6.077087,1.6064286,1.1857748,3.9663434,0.23121834,4.455662,-1.965189,-0.114536285,-1.1467934,-5.7424603,4.8615456,-4.107988,2.6553154,-5.0811768,-15.394365,2.358675,-7.681054,1.4173985,-11.35723,8.995914,-6.5443935,-11.864406,25.657892,1.7317772,8.151924,1.6843677,-1.6924798,4.9450517,1.082027,-1.511538,1.5489936,-0.28378963,-2.3834944,-3.6807597,-0.34052134,10.250568,0.521791,0.27406216,6.012988,-0.5800843],"EWA^FMA_DIV_YLD(NTMA,-10AY,0,AM,\"PORTAGG\",\"MEANR\")":[4.77716591856974,4.76981077376249,4.79420108670414,4.74636694716592,4.81023778721306,4.78393920230964,5.16716047928794,4.8570303764697,5.13106889031295,4.92127442003952,4.71378638369082,4.69792045491148,4.54105170690197,4.77671826492259,4.89937508530051,4.96635628879482,5.02349051502812,5.44583403731053,5.15528970427274,5.36187935007953,5.40701911427671,5.52458343305277,5.24910746642355,4.7275102218109,4.99510608473946,4.55362705095193,4.60917488292773,4.61161008700289,4.46995326970521,4.62050310787135,4.51042073142704,4.59867088536719,4.52908905740887,4.44806797739786,4.5227661126483,4.53558253191133,4.48252615377069,4.53909731751365,4.69411972917047,4.62393965906062,4.63807191236003,4.58904010727016,4.57672340987479,4.41404577305548,4.50260182161589,4.45685477449393,4.69933442738275,4.64656496734572,4.77738721147023,4.6041341656191,4.73069079443331,4.59918665742528,4.59308548319681,4.76674650553987,5.03906189083379,5.04993086166187,5.40846404558034,5.19983738357043,4.97323047227149,4.96420855196339,4.94890425670875,4.84504176839794,4.68414031758931,4.61424231982604,4.66313952740549,4.50584066024935,4.48307177315998,4.31375028759361,4.29487699853497,4.18574384545519,4.13220794811035,5.01478390117166,4.62239158745415,3.8292020740375,3.38900696948186,3.48245516335955,3.32794580852528,3.61444189221331,3.55089826648606,3.49270498207296,3.53310169428925,3.52813078623354,3.58779597924577,3.9128882420033,3.87995382583436,3.87916549123229,3.88196959154853,4.12660363312406,4.02153557632288,4.08612980080773,4.06089465900215,4.00712592130471,3.96358462703229,3.90160546835952,4.26377505883025,4.37534610690502,4.33220264263915,4.7527076468554,4.93217703429246,5.20492692498333,4.70950624377569,4.84058991028999,5.13446996661561,4.62663861339013,4.46801868135344,4.5117653580227,4.33437063625187,4.5871971192561,4.44747952784217,4.42701886445057,4.42272102375968,4.35553343813767,4.17803667592156,4.19681219976734,4.32053769564974,4.40617627294354,4.23641263830747,4.05729971344813,3.98663989765335,3.97103287146887,3.92771703358335],"DDR3512M-FDS^FG_PRICE(0)/MAX(FG_PRICE(0,-1AY))":0.873941820879339,"PASP-FDS^FG_PRICE(0)/MAX(FG_PRICE(0,-1AY))":0.651219512195122,"PLATI-FDS^FG_PRICE(0)/MAX(FG_PRICE(0,-1AY))":0.86431718061674,"W-FDS^FG_PRICE(0)/MAX(FG_PRICE(0,-1AY))":0.725748109174614,"COPP-FDS^FG_PRICE(0)/MAX(FG_PRICE(0,-1AY))":0.992067195520299,"EWQ^FG_PRICE_MAVG(0,,,,60)":39.956,"EWL^FG_PRICE_MAVG(0,,,,60)":47.213165,"EWA^FG_PRICE_MAVG(0,,,,60)":23.981667,"CAGDPY@NL^EE_ACTUAL_ANNUAL(MED,+1)":7.6,"CAGDPY@CA^EE_ACTUAL_ANNUAL(MED,+1)":-0.6,"USDITL^STD(FG_PRICE_CHANGE(0,-1AY,AM))":1.55530916735727,"USDANG^STD(FG_PRICE_CHANGE(0,-1AY,AM))":0.0,"USDGBP^STD(FG_PRICE_CHANGE(0,-1AY,AM))":1.78816945693637,"USDJPY^STD(FG_PRICE_CHANGE(0,-1AY,AM))":2.14685740386646,"USDCAD^STD(FG_PRICE_CHANGE(0,-1AY,AM))":1.29432856306186,"USDNZD^STD(FG_PRICE_CHANGE(0,-1AY,AM))":2.23716144863632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7990608176048,2.44949512523756,2.36388795150729,2.65680492825543],"EWA^P_PRICE_RETURNS_PR('52W',2,-10AY,0,AM)":[0.15112162,1.9170642,19.826544,17.63792,13.693047,7.489419,-5.645293,-1.5341043,-2.5672615,-2.1942973,-2.7247965,-5.541599,-6.5098467,-11.0704,-12.748587,-16.6708,-18.959003,-25.985998,-12.988639,-22.606373,-15.239411,-20.358742,-22.143162,-7.325971,-16.801292,-7.759893,-6.8883896,0.27142763,10.314751,12.747455,9.292698,16.130245,18.542385,31.11036,35.59195,19.151974,26.175367,15.318453,12.69828,13.732791,10.600698,22.128057,14.512324,18.655968,12.6710415,15.0254135,7.4350357,11.661029,3.600669,9.507608,11.705875,8.823168,5.8793545,-1.6172767,-4.785424,-4.4157386,-7.079649,-9.088654,-0.8111477,-2.5586486,2.7582288,0.47593117,3.911972,6.4053535,-0.3267944,9.55125,14.5713215,14.479518,19.359838,17.679083,14.682078,-15.277982,-19.717138,-18.641794,-13.110601,-9.692097,-0.6310284,-6.8860054,-0.68635345,0.9348631,8.06129,9.375596,12.519765,47.653915,57.05415,60.420834,48.581196,37.603317,31.398916,32.238533,25.190199,18.327332,8.16834,6.4661384,-0.9399712,1.7098308,8.136309,-8.185357,-11.347616,-15.003735,-7.0118246,-7.991868,-17.646105,-5.5944977,-1.625973,-0.7124424,6.340921,-5.046499,-6.899953,3.9765954,0.85567236,11.540306,0.22882223,2.39439,14.949155,-0.6279826,2.1749258,5.324936,1.2912035,14.084614,8.909392],"ENZL^JULIAN(FG_TOTAL_RETURNC(-10AY,0,AM).DATES)":[41740,41768,41801,41831,41862,41893,41922,41954,41984,42013,42046,42074,42104,42135,42166,42195,42227,42258,42286,42319,42349,42380,42411,42440,42471,42501,42531,42562,42593,42622,42654,42685,42713,42746,42776,42804,42836,42866,42895,42927,42958,42989,43019,43049,43080,43111,43140,43168,43201,43231,43262,43292,43322,43354,43384,43413,43445,43476,43507,43535,43566,43595,43627,43657,43686,43719,43749,43780,43810,43840,43872,43901,43930,43962,43993,44022,44054,44085,44113,44146,44176,44207,44238,44266,44295,44327,44358,44386,44419,44449,44480,44511,44540,44572,44603,44631,44662,44692,44722,44753,44784,44813,44845,44876,44904,44937,44967,44995,45027,45057,45086,45118,45149,45180,45210,45240,45271,45302,45331,45362,45393],"EWD^FMA_PE(NTMA,-10AY,0,AM,\"PORTAGG\",\"MEANR\")":[15.5658038164023,15.6068609554671,15.8207176062864,15.2762404082585,15.1200427613996,14.6136591927724,13.5743584972697,15.4067685165563,15.5779463083836,15.4187242794354,16.2988734378509,17.0957167471031,17.1031650844149,15.4598936020367,15.9964864332882,15.9021586170153,16.142034083653,14.8109783630453,15.0764009710019,15.5271813130198,14.4552181498819,14.0184570305259,13.764219185379,15.6747655272162,15.1315496732091,14.8737740233594,14.415651769368,14.8307833686945,15.5708713496777,15.4947158805012,15.9130016960997,15.9534793962779,16.6507371174598,16.3918109863325,16.0535738459264,16.8527444954059,16.9113182155193,17.105246351462,16.9129138384542,16.573929261824,15.7500476247099,16.0972210170825,16.7057657375322,16.8997188487636,16.5182405886505,16.6587682546577,15.5817227402787,16.3812019920089,15.4164827083674,16.0129220680866,15.5197271687816,15.1730816867006,15.5691015985699,15.489517546686,14.6686032437439,14.3961772472307,13.710364692444,13.9631171629353,14.5966803943034,14.7599378286887,15.1414181357009,14.9813018503785,14.7684706626125,14.9889145726322,13.6686927960819,14.5292705554928,15.0667745220517,15.9028424033512,15.7709771107635,16.26520039507,16.9995791634309,13.5133720539388,15.6659802455603,18.0469239044059,18.4383958401492,19.5183379021331,18.9233006916378,18.2625242158232,18.3315300423344,17.1433051827298,17.1705697655128,18.638234351235,18.7232978226884,20.0929393550776,20.6082986765868,17.745147048646,18.6957574952047,18.8861156467799,18.7052740996941,18.4744851288652,17.6308297371889,18.7555549968734,18.9960499882376,17.7119673528988,16.4303174139123,14.7317379487327,14.9717300381636,15.6339949636196,15.1911907353676,14.5484426304508,15.0684263547257,14.0987324932938,12.9401290765759,13.2401360851908,13.276182285261,13.6234290761236,13.9506559932525,13.6977549415334,13.6474612597885,13.4646344189516,13.7103783019087,13.2801497005054,13.0920975768471,13.0245249250898,13.1373924304804,12.7984855886097,15.2494607714009,15.2362730753801,15.6974883796243,16.4581442392995,16.386712583917],"EWQ^FMA_PE(LTMA,-10AY,0,AM,\"PORTAGG\",\"MEANR\")":[15.8067203263592,15.8082287657263,15.8821554350856,15.4514760346479,15.1330105158836,15.5159009265747,14.5261243865285,14.9742342718932,14.9872964885129,14.7245678776234,16.4329592574129,17.5418240954451,17.7251653235171,17.4498741259813,17.3187269773629,17.0925287416513,17.1244216746713,15.8479709675718,16.0780701715542,16.5108847763979,15.2843130643889,14.3891069867754,13.6404128596657,15.2184878228901,15.0776518722822,15.0629603303781,14.9770349644531,14.8191965720716,15.1077149950153,15.0337553651864,14.8985534941708,14.7815856200756,15.4907924628096,15.8582063995181,15.447801357946,15.6137152627227,15.6397135602209,15.8354416668715,15.7555517255321,15.5563081379224,15.3988447690825,15.653298168875,16.0638360008686,15.992135723025,16.1804111481899,16.4497768912918,15.3835866010904,15.5902164776156,15.5034994149709,15.612696251901,15.380133954723,15.2006382883166,15.0933105345294,14.7746452896738,14.2431302010058,14.1703250775406,13.2370960996699,13.1270548197616,13.8282054704152,14.5448016591283,14.6201328160308,14.4692526783722,14.5313092826097,14.741440195185,14.5334875072987,15.0166746648552,15.2320561803319,15.9625644818169,16.0801336828261,16.6367851138734,16.5969583057692,14.3654198905203,14.9613602640288,16.1007186056221,17.5768477259394,19.3073467481435,22.06958545855,23.2315444036001,23.9537962733344,26.8929029760197,27.8722009419203,29.0832523021432,27.3507534109813,26.8528021384945,26.1102498416752,25.0180472223245,24.4090888568476,23.2890689043141,22.0168513969839,20.6914437259467,19.2114175013443,18.6696324138164,17.5085436102424,17.1510847978366,16.1183624060622,15.2607374139873,15.0992546172268,14.4888256791489,14.0424657057897,13.3517844967486,13.2760881456446,12.5201862487638,11.4027123345581,12.2315514673363,12.0529206772783,12.3708240964532,12.6108655419037,12.9104189633583,13.069496736973,13.1331812668909,13.0898704392758,13.1539783347842,13.3328973846059,13.2429731120189,12.9830527842669,12.8844608268988,13.9161178881762,13.9102211422056,14.6912316938565,15.4928782427401,15.4881017835175],"DDR3512M-FDS^FG_PRICE_CHANGE(0,-1AM)":0.903696030159051,"PASP-FDS^FG_PRICE_CHANGE(0,-1AM)":1.71428571428571,"PLATI-FDS^FG_PRICE_CHANGE(0,-1AM)":4.9197860962567,"TRYVN10Y-FDS^FG_YIELD(-10AY,0,Y,,\"YTM\")":[7.3,6.277413,7.1117578,5.6717234,4.738006,3.5404546,2.4877946,2.059403,4.687226,2.9473283],"EWI^FMA_DIV_YLD(NTMA,-10AY,0,AM,\"PORTAGG\",\"MEANR\")":[3.46195219844704,3.48484039049091,3.38364223734382,3.50256229449532,3.76100974459839,3.50867566499921,3.97519122118323,3.96500096243937,3.99531393602561,4.27218270378016,3.73714986584717,3.39361964990979,3.08211052344215,3.17529418561015,3.25948103308547,3.27861299320685,3.10047477499865,3.41146122623376,3.55995799370087,3.59009917998346,3.86957175168544,4.16618055213125,5.08168473647802,4.17694949415063,4.53000704125564,4.54673457015378,4.78788731735719,4.95816910205306,4.69444623522132,4.71948698640769,4.96865928423915,4.78241754393465,4.53550667294587,4.30591893685429,4.44599975976405,4.06750207002043,3.98330615193518,3.77460950413415,3.75897859432636,3.81447013713593,3.83046937246452,3.73479012407187,3.78124180585251,3.82206993493439,3.83021663243235,3.77688907453437,4.0296985547953,4.00243749414389,4.0058427649528,3.89538532686457,4.3751583803581,4.49157151742712,4.5769263603456,4.64571448812626,5.01240557759704,5.07712974022427,5.36064786589972,5.17574795645191,5.05567952268158,4.80552436506738,4.63862358887392,4.86556204899233,4.97485594177417,4.62791958293277,5.09412920189894,4.76957636127331,4.7333996357681,4.5375116113783,4.57583085406024,4.42752191483507,4.44898149167586,6.07553002107541,5.87672825081317,5.02906068230253,4.39776882412816,4.31542851825517,3.89400499923041,4.02482703489546,4.11721819137055,3.9837175960642,3.9945362949049,3.89127337530589,3.92170587177807,4.0701118391927,4.06191685254827,4.22257974919112,4.03764201616479,4.19602155604014,4.25863124992048,4.50177636052082,4.48191805079678,4.31844762971948,4.6461787413316,4.59632376301831,4.79913352155837,5.46323114399036,5.05428039019065,5.22122821831669,5.64574914330444,5.87745185781511,5.71324678684767,5.64700883993288,6.20209425822692,5.40669456173364,5.78300982870231,5.47233589346091,5.43309386819878,5.36210540883119,5.3563814853148,5.55641636431235,5.44352507918498,5.34419973749123,5.53065548535623,5.41277414681384,5.53241411791793,5.65643669854102,5.37287706150491,5.48262286890946,5.51298909926196,5.23237733281111,5.18309239944631],"CAGDPY@NL^EE_ACTUAL_ANNUAL(MED,0)":10.0892019550425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77464321]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ENZL^P_PRICE_RETURNS_PR('52W',2,-10AY,0,AM)":[15.5653715,13.666117,26.935303,25.300968,17.058409,15.349663,2.547872,6.076777,12.242329,10.722601,7.0911765,-1.1847258,0.3360629,-3.7117898,-5.841744,-13.872492,-10.203433,-16.481596,-7.4837565,-8.42886,-5.984229,-9.317965,-7.302785,4.0916443,4.617095,11.699152,16.518938,33.803986,41.82111,53.034653,32.81857,20.130657,20.644928,24.906254,28.007317,14.201117,8.664953,8.968914,7.805431,7.3199987,5.658245,4.391265,13.387108,13.542867,15.320468,19.137383,12.236047,25.490284,23.643816,16.628874,16.583992,10.061466,4.527855,4.778564,-0.92815757,8.789754,5.837798,3.4255147,7.9009414,4.7439814,5.800104,11.012769,5.043137,16.030956,18.065548,16.723263,21.851086,15.259563,23.37563,25.2195,20.862103,5.411029,-5.511469,-0.83503723,5.9719086,8.900285,11.406958,11.142933,20.517624,26.618172,22.654093,21.711123,19.059776,26.797152,38.204967,31.661642,21.244324,10.75486,8.526659,10.965765,2.2033572,-2.8266966,-10.822701,-13.511526,-17.338526,-13.08403,-12.960106,-25.857342,-24.37467,-26.098484,-17.142273,-22.73389,-32.247997,-24.119658,-13.236737,-12.364185,-4.388708,-11.30147,-5.922973,10.498512,3.7522197,11.5965605,-3.9346159,-5.7162046,12.7841835,-1.287657,-4.629821,-0.93510747,-6.625718,-0.81038475,-5.731559],"TRYTW10Y-FDS^FG_YIELD(-10AY,0,Y,,\"YTM\")":[1.6015,1.015,1.2037,0.9478,0.8648,0.672,0.315,0.7413,1.2812,1.211],"USDITL^FG_PRICE_CHANGE(0,-6AM)":-0.76595545,"EWI^FG_PRICE_MAVG(0,,,,30)":37.04767,"EWJ^FG_PRICE_MAVG(0,,,,30)":70.443,"USDANG^FG_PRICE_CHANGE(0,-6AM)":0.0,"DDR3512M-FDS^FG_PRICE_MAVG(0,,,,30)":0.96390307,"ENZL^FG_PRICE_MAVG(0,,,,30)":45.440926,"CAGDPY@CA^EE_ACTUAL_ANNUAL(MED,0)":-0.614727995236974,"EWN^FMA_PE(NTMA,-10AY,0,AM,\"PORTAGG\",\"MEANR\")":[14.0088382201861,14.0882596556167,14.58460750439,14.0701072000707,13.8123919566065,14.6303597529757,13.8188359071062,14.7337717604417,14.8608766344374,14.594353983902,15.8929376378321,17.451439233474,17.7990555385529,16.9943713502452,16.606450956847,16.4491634238409,16.6293813476083,14.559729005272,14.8640677897835,16.3260533006591,15.2061614074946,14.4109493562195,13.3741320426759,15.303880693061,14.9787486349474,14.8056168158084,14.5259455610511,14.3420045489848,15.0544011370519,14.8742964634283,14.7992529254784,14.4101590514397,14.7895848907391,15.008732219788,15.2732373653177,16.0658307955633,16.1836035031578,16.4634258965304,16.3278039027341,15.7466602926556,15.70057747508,15.788375649841,16.136728738471,16.1161194546651,16.049551834763,16.1948503328805,15.1646814553608,15.7741675501155,15.5797520988146,15.7079210668555,16.0251839708322,15.5216592746206,15.640740861733,14.9369146363776,14.0371414103715,14.3697220663431,13.5306330965405,13.4132960063511,14.4961052650769,14.8414978724862,15.467297042716,15.2539616935744,15.373177048038,15.4887705573481,15.0337846425899,15.9743150607535,16.2028146754409,16.666884114175,16.8139386319092,17.162064365413,18.0183318273075,14.2445133943651,15.8300239798781,17.534548504571,18.82755537987,20.1078837400162,19.9348590344421,19.5586880296773,19.8932719844796,20.6195401665,20.201165814405,21.0269090254183,22.4660991111799,21.9352286901822,22.8845723949405,21.0642742453996,21.6370786330331,21.0945242080681,21.799261229106,21.7374728854113,20.1715551336622,21.4237227329462,20.2110600110374,19.8679149972653,18.4049098023489,16.6233333865882,17.6100592804848,15.9935375002484,16.6065289036108,16.0860377768088,17.8139713612225,16.2211275314436,14.0476674222637,16.2938652813396,16.3428476031047,16.8283508435208,16.8701209528937,16.1868115056901,16.3313313359673,15.6083389361486,15.6427384838048,15.6326495240105,15.2821924075992,14.2719125343793,13.7148069562917,14.0587137574942,14.956333301324,14.6911366573905,16.2838412785539,16.0419850282135,16.3270051243778],"SPY^FG_PRICE_MAVG(0,,,,30)":516.1617,"SPY^FMA_PE(LTMA,-10AY,0,AM,\"PORTAGG\",\"MEANR\")":[16.1727794295926,16.2035090824088,16.343954694482,16.4061713621471,16.1807746576799,16.5236381699875,15.9764469536286,16.8888765564313,16.9290794505669,17.1803597250845,17.3109513399542,17.4823461897328,17.5603626447011,17.531065808012,17.5135167855186,17.3775374761632,17.4340284254423,16.7380542891142,17.0854389424927,17.3914755813826,16.8741555215366,16.1465991548736,16.2966838906097,16.18819342752,16.4452153070474,16.565182572191,16.7903390909585,17.1258275828842,17.5262633419947,17.3883673167525,17.6135263679888,17.9034217539695,18.7907440942411,19.0646140969249,19.1890335371885,19.4612423775783,19.2714227972503,19.1986653927497,19.1942620012913,19.0599517066698,18.996217932583,19.1373269003786,19.5692697307587,19.5975181931334,20.1302296888281,20.8654453988026,19.2822126347187,19.8054180333876,19.3070416948025,19.1192241658292,18.9711617715758,18.6844319844708,18.5812645833458,18.5639016032075,17.6375108501461,17.5514468335417,16.4556637048479,16.0581802784709,16.6736315159351,17.0877504521642,17.2276721585691,17.2016816321988,17.2169221662895,17.6495708552483,17.4840374581791,17.8870852617056,17.9461249575146,18.6695571741902,19.1984548631282,20.0999020237715,20.4319526127823,17.6860624555286,18.3116544995475,19.748146899061,20.5303673771272,21.8130951835429,22.5549814014031,23.0923839359232,24.371161205587,24.7908331212253,25.8258469480777,27.5628806289509,27.3361221294422,26.2525728026415,26.1129764430459,25.3365661850013,25.023548408849,24.9021452294617,24.1055644411158,23.6900634966802,22.955650389657,23.3115567931384,23.1802019597879,22.9245456952582,21.0826183158321,20.5214742007733,20.5424551735943,19.6272623893336,19.2123501261129,18.7899257335129,19.5329921542895,18.9356519714546,17.1917956371974,18.4770823687168,18.0145144002438,18.0300198316623,18.6044523246192,17.9728956256079,18.2690411243435,18.3237497528764,18.6843392573971,19.2299592026609,19.3824664664103,19.5808962061933,19.441548543614,19.7588035117041,20.797579348046,21.7749254795506,22.6193465106014,22.7454012299142,22.6804732607922],"PASP-FDS^FG_PRICE_MAVG(0,,,,30)":1029.8334,"USDGBP^FG_PRICE_CHANGE(0,-6AM)":-1.6614139,"PLATI-FDS^FG_PRICE_MAVG(0,,,,30)":924.9,"FXI^FG_TOTAL_RETURNC(0,-12AM)":-12.710589,"USDJPY^FG_PRICE_CHANGE(0,-6AM)":2.775824,"W-FDS^FG_PRICE_MAVG(0,,,,30)":5.4774165,"USDCAD^FG_PRICE_CHANGE(0,-6AM)":0.94189644,"COPP-FDS^FG_PRICE_MAVG(0,,,,30)":4.0418334,"USDNZD^FG_PRICE_CHANGE(0,-6AM)":0.90384483,"FXI^P_PRICE(0)/P_PRICE_LOW_PR(0,,,,,,\"PRICE\",\"INTRA\",\"52W\")-1":0.18408442,"FXI^P_PRICE(0)/P_PRICE_HIGH_PR(0,,,,,,\"PRICE\",\"INTRA\",\"52W\")":0.80877537,"FXI^FG_TOTAL_RETURNC(0,-3AM)":8.190977,"FXI^PERCENT_CHANGE(FMA_EPS(+1,0,,,,\"PORTAGG\",\"MEAN\"),FMA_EPS(+1,-3AM,,,,\"PORTAGG\",\"MEAN\"))":-1.75480169122212,"FXI^FMA_PCT_ABOVE_MAVG(200,0,,,,\"PORTAGG\")":50.9803921568627,"FXI^FG_TOTAL_RETURNC(0,-6AM)":-6.6117706,"FXI^PERCENT_CHANGE(FMA_EPS(+1,0,,,,\"PORTAGG\",\"MEAN\"),FMA_EPS(+1,-1AM,,,,\"PORTAGG\",\"MEAN\"))":-1.59514281102572,"FXI^FG_TOTAL_RETURNC(0,-1AM)":2.7454257,"SPY^FG_TOTAL_RETURNC(0,-12AM)":28.269505,"SPY^P_PRICE(0)/P_PRICE_LOW_PR(0,,,,,,\"PRICE\",\"INTRA\",\"52W\")-1":0.28300393,"SPY^P_PRICE(0)/P_PRICE_HIGH_PR(0,,,,,,\"PRICE\",\"INTRA\",\"52W\")":0.9874002,"SPY^FG_TOTAL_RETURNC(0,-6AM)":19.575262,"SPY^FG_TOTAL_RETURNC(0,-3AM)":9.083748,"SPY^PERCENT_CHANGE(FMA_EPS(+1,0,,,,\"PORTAGG\",\"MEAN\"),FMA_EPS(+1,-1AM,,,,\"PORTAGG\",\"MEAN\"))":-0.325097488744788,"SPY^FMA_PCT_ABOVE_MAVG(200,0,,,,\"PORTAGG\")":79.4411177644711,"SPY^FG_TOTAL_RETURNC(0,-1AM)":1.6312957,"EWJ^FG_TOTAL_RETURNC(0,-12AM)":23.492706,"SPY^PERCENT_CHANGE(FMA_EPS(+1,0,,,,\"PORTAGG\",\"MEAN\"),FMA_EPS(+1,-3AM,,,,\"PORTAGG\",\"MEAN\"))":0.0936639645252715,"EWJ^P_PRICE(0)/P_PRICE_LOW_PR(0,,,,,,\"PRICE\",\"INTRA\",\"52W\")-1":0.22360134,"EWJ^P_PRICE(0)/P_PRICE_HIGH_PR(0,,,,,,\"PRICE\",\"INTRA\",\"52W\")":0.9712065,"EWJ^FG_TOTAL_RETURNC(0,-6AM)":17.940353,"EWJ^FG_TOTAL_RETURNC(0,-1AM)":0.56034327,"EWJ^PERCENT_CHANGE(FMA_EPS(+1,0,,,,\"PORTAGG\",\"MEAN\"),FMA_EPS(+1,-3AM,,,,\"PORTAGG\",\"MEAN\"))":-1.08767646282891,"EWJ^PERCENT_CHANGE(FMA_EPS(+1,0,,,,\"PORTAGG\",\"MEAN\"),FMA_EPS(+1,-1AM,,,,\"PORTAGG\",\"MEAN\"))":-0.947198750452977,"EWJ^FG_TOTAL_RETURNC(0,-3AM)":6.367779,"EWJ^FMA_PCT_ABOVE_MAVG(200,0,,,,\"PORTAGG\")":70.3196347031963,"URTH^FG_TOTAL_RETURNC(0,-12AM)":23.639286,"URTH^P_PRICE(0)/P_PRICE_LOW_PR(0,,,,,,\"PRICE\",\"INTRA\",\"52W\")-1":0.24864864,"URTH^P_PRICE(0)/P_PRICE_HIGH_PR(0,,,,,,\"PRICE\",\"INTRA\",\"52W\")":0.98643154,"URTH^FG_TOTAL_RETURNC(0,-6AM)":18.06276,"URTH^PERCENT_CHANGE(FMA_EPS(+1,0,,,,\"PORTAGG\",\"MEAN\"),FMA_EPS(+1,-3AM,,,,\"PORTAGG\",\"MEAN\"))":-0.937781972032755,"URTH^PERCENT_CHANGE(FMA_EPS(+1,0,,,,\"PORTAGG\",\"MEAN\"),FMA_EPS(+1,-1AM,,,,\"PORTAGG\",\"MEAN\"))":-0.260757208529545,"VWO^FG_TOTAL_RETURNC(0,-12AM)":8.030712,"URTH^FG_TOTAL_RETURNC(0,-3AM)":7.830143,"URTH^FG_TOTAL_RETURNC(0,-1AM)":1.0940909,"URTH^FMA_PCT_ABOVE_MAVG(200,0,,,,\"PORTAGG\")":72.1311475409836,"VWO^P_PRICE(0)/P_PRICE_LOW_PR(0,,,,,,\"PRICE\",\"INTRA\",\"52W\")-1":0.13255894,"VWO^P_PRICE(0)/P_PRICE_HIGH_PR(0,,,,,,\"PRICE\",\"INTRA\",\"52W\")":0.9842227,"VWO^FG_TOTAL_RETURNC(0,-1AM)":1.4073491,"VWO^FG_TOTAL_RETURNC(0,-6AM)":9.527183,"VWO^FMA_PCT_ABOVE_MAVG(200,0,,,,\"PORTAGG\")":40.492804186655,"VWO^FG_TOTAL_RETURNC(0,-3AM)":5.567515,"VWO^PERCENT_CHANGE(FMA_EPS(+1,0,,,,\"PORTAGG\",\"MEAN\"),FMA_EPS(+1,-1AM,,,,\"PORTAGG\",\"MEAN\"))":-13.3546419634439,"VGK^FG_TOTAL_RETURNC(0,-12AM)":10.9211445,"VWO^PERCENT_CHANGE(FMA_EPS(+1,0,,,,\"PORTAGG\",\"MEAN\"),FMA_EPS(+1,-3AM,,,,\"PORTAGG\",\"MEAN\"))":-16.6687869576306,"VGK^P_PRICE(0)/P_PRICE_LOW_PR(0,,,,,,\"PRICE\",\"INTRA\",\"52W\")-1":0.2025063,"VGK^P_PRICE(0)/P_PRICE_HIGH_PR(0,,,,,,\"PRICE\",\"INTRA\",\"52W\")":0.9768368,"VGK^FG_TOTAL_RETURNC(0,-6AM)":14.065636,"VGK^FG_TOTAL_RETURNC(0,-3AM)":4.9459815,"VGK^PERCENT_CHANGE(FMA_EPS(+1,0,,,,\"PORTAGG\",\"MEAN\"),FMA_EPS(+1,-1AM,,,,\"PORTAGG\",\"MEAN\"))":-4.99956575890268,"EWI^FG_TOTAL_RETURNC(0,-12AM)":21.576107,"VGK^PERCENT_CHANGE(FMA_EPS(+1,0,,,,\"PORTAGG\",\"MEAN\"),FMA_EPS(+1,-3AM,,,,\"PORTAGG\",\"MEAN\"))":-8.71991333419369,"VGK^FG_TOTAL_RETURNC(0,-1AM)":-0.40727854,"VGK^FMA_PCT_ABOVE_MAVG(200,0,,,,\"PORTAGG\")":58.4313725490196,"EWI^P_PRICE(0)/P_PRICE_LOW_PR(0,,,,,,\"PRICE\",\"INTRA\",\"52W\")-1":0.2572807,"EWI^P_PRICE(0)/P_PRICE_HIGH_PR(0,,,,,,\"PRICE\",\"INTRA\",\"52W\")":0.9610116,"EWI^PERCENT_CHANGE(FMA_EPS(+1,0,,,,\"PORTAGG\",\"MEAN\"),FMA_EPS(+1,-3AM,,,,\"PORTAGG\",\"MEAN\"))":0.627739201699844,"EWI^FG_TOTAL_RETURNC(0,-6AM)":20.365692,"EWI^FMA_PCT_ABOVE_MAVG(200,0,,,,\"PORTAGG\")":68.0,"EWI^FG_TOTAL_RETURNC(0,-1AM)":-0.3823042,"EWD^FG_TOTAL_RETURNC(0,-12AM)":14.28504,"EWI^FG_TOTAL_RETURNC(0,-3AM)":8.120918,"EWI^PERCENT_CHANGE(FMA_EPS(+1,0,,,,\"PORTAGG\",\"MEAN\"),FMA_EPS(+1,-1AM,,,,\"PORTAGG\",\"MEAN\"))":-0.954523017914648,"EWD^P_PRICE(0)/P_PRICE_LOW_PR(0,,,,,,\"PRICE\",\"INTRA\",\"52W\")-1":0.28922927,"EWD^P_PRICE(0)/P_PRICE_HIGH_PR(0,,,,,,\"PRICE\",\"INTRA\",\"52W\")":0.9518768,"EWD^FG_TOTAL_RETURNC(0,-3AM)":4.8224688,"EWD^FG_TOTAL_RETURNC(0,-1AM)":-2.5375664,"EWD^PERCENT_CHANGE(FMA_EPS(+1,0,,,,\"PORTAGG\",\"MEAN\"),FMA_EPS(+1,-3AM,,,,\"PORTAGG\",\"MEAN\"))":-2.16001717903764,"EWD^PERCENT_CHANGE(FMA_EPS(+1,0,,,,\"PORTAGG\",\"MEAN\"),FMA_EPS(+1,-1AM,,,,\"PORTAGG\",\"MEAN\"))":-0.168242374134381,"EWD^FMA_PCT_ABOVE_MAVG(200,0,,,,\"PORTAGG\")":93.0232558139535,"EWN^FG_TOTAL_RETURNC(0,-12AM)":19.446861,"EWD^FG_TOTAL_RETURNC(0,-6AM)":20.109356,"EWN^P_PRICE(0)/P_PRICE_LOW_PR(0,,,,,,\"PRICE\",\"INTRA\",\"52W\")-1":0.3642876,"EWN^P_PRICE(0)/P_PRICE_HIGH_PR(0,,,,,,\"PRICE\",\"INTRA\",\"52W\")":0.98429424,"EWN^FG_TOTAL_RETURNC(0,-6AM)":29.098166,"EWN^PERCENT_CHANGE(FMA_EPS(+1,0,,,,\"PORTAGG\",\"MEAN\"),FMA_EPS(+1,-3AM,,,,\"PORTAGG\",\"MEAN\"))":-0.828032863949818,"EWN^FG_TOTAL_RETURNC(0,-3AM)":13.581097,"EWN^FG_TOTAL_RETURNC(0,-1AM)":2.145648,"EWN^FMA_PCT_ABOVE_MAVG(200,0,,,,\"PORTAGG\")":66.6666666666667,"EWN^PERCENT_CHANGE(FMA_EPS(+1,0,,,,\"PORTAGG\",\"MEAN\"),FMA_EPS(+1,-1AM,,,,\"PORTAGG\",\"MEAN\"))":-0.0158664821344338,"EWQ^FG_TOTAL_RETURNC(0,-12AM)":8.183325,"EWQ^P_PRICE(0)/P_PRICE_LOW_PR(0,,,,,,\"PRICE\",\"INTRA\",\"52W\")-1":0.19875216,"EWQ^P_PRICE(0)/P_PRICE_HIGH_PR(0,,,,,,\"PRICE\",\"INTRA\",\"52W\")":0.96358204,"EWQ^FG_TOTAL_RETURNC(0,-6AM)":13.602233,"EWQ^FG_TOTAL_RETURNC(0,-3AM)":5.3524733,"EWQ^PERCENT_CHANGE(FMA_EPS(+1,0,,,,\"PORTAGG\",\"MEAN\"),FMA_EPS(+1,-1AM,,,,\"PORTAGG\",\"MEAN\"))":-1.51076521853484,"EWQ^PERCENT_CHANGE(FMA_EPS(+1,0,,,,\"PORTAGG\",\"MEAN\"),FMA_EPS(+1,-3AM,,,,\"PORTAGG\",\"MEAN\"))":-5.20062620746165,"EWQ^FG_TOTAL_RETURNC(0,-1AM)":-1.633352,"EWQ^FMA_PCT_ABOVE_MAVG(200,0,,,,\"PORTAGG\")":71.4285714285714,"QQQ^FG_TOTAL_RETURNC(0,-12AM)":41.954376,"QQQ^P_PRICE(0)/P_PRICE_LOW_PR(0,,,,,,\"PRICE\",\"INTRA\",\"52W\")-1":0.4371873,"QQQ^P_PRICE(0)/P_PRICE_HIGH_PR(0,,,,,,\"PRICE\",\"INTRA\",\"52W\")":0.9911648,"QQQ^FG_TOTAL_RETURNC(0,-6AM)":20.433605,"QQQ^PERCENT_CHANGE(FMA_EPS(+1,0,,,,\"PORTAGG\",\"MEAN\"),FMA_EPS(+1,-3AM,,,,\"PORTAGG\",\"MEAN\"))":0.147287241886962,"QQQ^FG_TOTAL_RETURNC(0,-3AM)":8.941925,"QQQ^FG_TOTAL_RETURNC(0,-1AM)":1.9579291,"EWU^FG_TOTAL_RETURNC(0,-12AM)":7.2466493,"QQQ^PERCENT_CHANGE(FMA_EPS(+1,0,,,,\"PORTAGG\",\"MEAN\"),FMA_EPS(+1,-1AM,,,,\"PORTAGG\",\"MEAN\"))":-0.184278646972279,"QQQ^FMA_PCT_ABOVE_MAVG(200,0,,,,\"PORTAGG\")":68.6274509803922,"EWU^P_PRICE(0)/P_PRICE_LOW_PR(0,,,,,,\"PRICE\",\"INTRA\",\"52W\")-1":0.13105512,"EWU^P_PRICE(0)/P_PRICE_HIGH_PR(0,,,,,,\"PRICE\",\"INTRA\",\"52W\")":0.98738045,"EWU^FG_TOTAL_RETURNC(0,-6AM)":8.407855,"EWU^FG_TOTAL_RETURNC(0,-1AM)":2.0964384,"EWU^PERCENT_CHANGE(FMA_EPS(+1,0,,,,\"PORTAGG\",\"MEAN\"),FMA_EPS(+1,-3AM,,,,\"PORTAGG\",\"MEAN\"))":-2.57322950582551,"EWU^PERCENT_CHANGE(FMA_EPS(+1,0,,,,\"PORTAGG\",\"MEAN\"),FMA_EPS(+1,-1AM,,,,\"PORTAGG\",\"MEAN\"))":-0.344785726730581,"EWL^FG_TOTAL_RETURNC(0,-12AM)":2.1126747,"EWU^FG_TOTAL_RETURNC(0,-3AM)":4.41041,"EWU^FMA_PCT_ABOVE_MAVG(200,0,,,,\"PORTAGG\")":59.5238095238095,"EWL^P_PRICE(0)/P_PRICE_LOW_PR(0,,,,,,\"PRICE\",\"INTRA\",\"52W\")-1":0.11480141,"EWL^P_PRICE(0)/P_PRICE_HIGH_PR(0,,,,,,\"PRICE\",\"INTRA\",\"52W\")":0.94656175,"EWL^FG_TOTAL_RETURNC(0,-6AM)":3.786683,"EWL^PERCENT_CHANGE(FMA_EPS(+1,0,,,,\"PORTAGG\",\"MEAN\"),FMA_EPS(+1,-1AM,,,,\"PORTAGG\",\"MEAN\"))":-2.37438240619764,"EWL^FMA_PCT_ABOVE_MAVG(200,0,,,,\"PORTAGG\")":60.0,"EWL^FG_TOTAL_RETURNC(0,-3AM)":-2.8727174,"EWL^FG_TOTAL_RETURNC(0,-1AM)":-4.416013,"EWL^PERCENT_CHANGE(FMA_EPS(+1,0,,,,\"PORTAGG\",\"MEAN\"),FMA_EPS(+1,-3AM,,,,\"PORTAGG\",\"MEAN\"))":-7.28561374276059,"EWG^FG_TOTAL_RETURNC(0,-12AM)":10.641408,"EWG^P_PRICE(0)/P_PRICE_LOW_PR(0,,,,,,\"PRICE\",\"INTRA\",\"52W\")-1":0.24873507,"EWG^P_PRICE(0)/P_PRICE_HIGH_PR(0,,,,,,\"PRICE\",\"INTRA\",\"52W\")":0.9649672,"EWG^FG_TOTAL_RETURNC(0,-6AM)":16.729523,"EWC^FG_TOTAL_RETURNC(0,-12AM)":10.811925,"EWG^FG_TOTAL_RETURNC(0,-3AM)":5.686879,"EWG^FG_TOTAL_RETURNC(0,-1AM)":-0.5800843,"EWG^PERCENT_CHANGE(FMA_EPS(+1,0,,,,\"PORTAGG\",\"MEAN\"),FMA_EPS(+1,-1AM,,,,\"PORTAGG\",\"MEAN\"))":-0.775641207553587,"EWG^FMA_PCT_ABOVE_MAVG(200,0,,,,\"PORTAGG\")":77.1929824561403,"EWG^PERCENT_CHANGE(FMA_EPS(+1,0,,,,\"PORTAGG\",\"MEAN\"),FMA_EPS(+1,-3AM,,,,\"PORTAGG\",\"MEAN\"))":-5.50294788434813,"EWC^P_PRICE(0)/P_PRICE_LOW_PR(0,,,,,,\"PRICE\",\"INTRA\",\"52W\")-1":0.20216489,"EWC^P_PRICE(0)/P_PRICE_HIGH_PR(0,,,,,,\"PRICE\",\"INTRA\",\"52W\")":0.9777317,"EWC^FG_TOTAL_RETURNC(0,-6AM)":13.709116,"EWC^FG_TOTAL_RETURNC(0,-3AM)":4.136789,"EWC^FG_TOTAL_RETURNC(0,-1AM)":0.10603666,"EWC^PERCENT_CHANGE(FMA_EPS(+1,0,,,,\"PORTAGG\",\"MEAN\"),FMA_EPS(+1,-1AM,,,,\"PORTAGG\",\"MEAN\"))":-0.599504310790107,"EWC^FMA_PCT_ABOVE_MAVG(200,0,,,,\"PORTAGG\")":71.5909090909091,"EWC^PERCENT_CHANGE(FMA_EPS(+1,0,,,,\"PORTAGG\",\"MEAN\"),FMA_EPS(+1,-3AM,,,,\"PORTAGG\",\"MEAN\"))":-4.51069415269957,"EWA^FG_TOTAL_RETURNC(0,-12AM)":8.909392,"EWA^P_PRICE(0)/P_PRICE_LOW_PR(0,,,,,,\"PRICE\",\"INTRA\",\"52W\")-1":0.19012713,"EWA^P_PRICE(0)/P_PRICE_HIGH_PR(0,,,,,,\"PRICE\",\"INTRA\",\"52W\")":0.97244406,"EWA^FG_TOTAL_RETURNC(0,-6AM)":14.365828,"EWA^FG_TOTAL_RETURNC(0,-3AM)":2.9163122,"EWA^PERCENT_CHANGE(FMA_EPS(+1,0,,,,\"PORTAGG\",\"MEAN\"),FMA_EPS(+1,-3AM,,,,\"PORTAGG\",\"MEAN\"))":0.419455780801446,"EWA^FG_TOTAL_RETURNC(0,-1AM)":-0.24579763,"EWA^PERCENT_CHANGE(FMA_EPS(+1,0,,,,\"PORTAGG\",\"MEAN\"),FMA_EPS(+1,-1AM,,,,\"PORTAGG\",\"MEAN\"))":0.2245738994731,"ENZL^FG_TOTAL_RETURNC(0,-12AM)":-5.731559,"EWA^FMA_PCT_ABOVE_MAVG(200,0,,,,\"PORTAGG\")":79.6610169491525,"ENZL^P_PRICE(0)/P_PRICE_LOW_PR(0,,,,,,\"PRICE\",\"INTRA\",\"52W\")-1":0.105286,"ENZL^P_PRICE(0)/P_PRICE_HIGH_PR(0,,,,,,\"PRICE\",\"INTRA\",\"52W\")":0.88401556,"URTH^SIZE(FG_CONSTITUENTS)":1469,"EWN^FMA_COS_DOWN(\"EPS\",\"1M\",+1,0,,,\"PORTAGG\",\"MEANR\")":22.0,"EWL^FMA_COS_UP(\"EPS\",\"1M\",+1,0,,,\"PORTAGG\",\"MEANR\")":23.0,"EWQ^FMA_RBICS_REV_CURRENT(30, LOC, \"PORTAGG\")":10.7938787406678,"EWU^FG_ROE(0)":17.0820852069596,"TRYDE10Y-FDS^FG_YIELD_NAME":"Germany Benchmark Bond - 10 Year","REFFFUND-FDS^(SUBARRAY(NOT_NA(NO_REPEAT_F(FG_YIELD(NOW,-10AY,D))),0,1)-SUBARRAY(NOT_NA(NO_REPEAT_F(FG_YIELD(NOW,-10AY,D))),1,1))*100":25.0,"REFCATARG-FDS^FG_YIELD(NOW,,,0)":5.0,"TRYUS10Y-FDS^PCTCHG(FG_YIELD(0,,,,\"YTM\"),FG_YIELD(-3AM,,,,\"YTM\"))":14.883131,"TRYNZ10Y-FDS^PCTCHG(FG_YIELD(0,,,,\"YTM\"),FG_YIELD(-3AM,,,,\"YTM\"))":2.3022413,"TRYGB10Y-FDS^FG_YIELD(0,,,,\"YTM\")":4.228,"CC_SE^IMF_IFS_RCPI_Q(0)":null,"VWO^FG_PE(0)":13.8554143646629,"EWD^FMA_EVAL_EBIT(LTMA,NOW,NOW,M,\"PORTAGG\",\"MEANR\")":15.9521965032378,"EWQ^FG_FCF_YIELD_NTM(0)":5.55652700386764,"QQQ^FMA_PE(NTMA,0,,,\"PORTAGG\",\"MEANR\")":25.7118384170649,"EWL^JULIAN(FMA_DIV_YLD(NTMA,NOW,NOW,M,\"PORTAGG\",\"MEANR\").DATES)":45379,"EWC^FMA_EVAL_EBITDA(NTMA,0,,,\"PORTAGG\",\"MEANR\")":10.0102525361387,"ENZL^FMA_DIV_YLD(NTMA,NOW,NOW,M,\"PORTAGG\",\"MEANR\")":2.74326885778498,"TRYUS10Y-FDS^FG_YIELD_NAME":"US Benchmark Bond - 10 Year","EWL^FG_ROE(0)":24.1775001424279,"REFEUREFI-FDS^(SUBARRAY(NOT_NA(NO_REPEAT_F(FG_YIELD(NOW,-10AY,D))),0,1)-SUBARRAY(NOT_NA(NO_REPEAT_F(FG_YIELD(NOW,-10AY,D))),1,1))*100":25.0,"REFFFUND-FDS^FG_YIELD(NOW,,,0)":5.5,"TRYUS10Y-FDS^PCTCHG(FG_YIELD(0,,,,\"YTM\"),FG_YIELD(-1AM,,,,\"YTM\"))":11.555257,"EWD^FMA_EVAL_EBITDA(NTMA,0,,,\"PORTAGG\",\"MEANR\")":11.228502708926,"QQQ^FMA_PE(LTM,0,,,\"PORTAGG\",\"MEANR\")":34.0453916066228,"EWJ^FMA_EVAL_EBIT(LTMA,NOW,NOW,M,\"PORTAGG\",\"MEANR\")":18.1571800711343,"EWC^FG_FCF_YIELD_NTM(0)":5.02523114724307,"ENZL^FMA_PE(NTMA,0,,,\"PORTAGG\",\"MEANR\")":24.8934857349399,"TLT^P_PRICE(0)/P_PRICE_HIGH_PR(0,,,USD,,,\"PRICE\",\"INTRA\",\"52W\")":0.8362976,"UUP^P_PRICE(0)/P_PRICE_HIGH_PR(0,,,USD,,,\"PRICE\",\"INTRA\",\"52W\")":0.9484502,"TRYCA10Y-FDS^PCTCHG(FG_YIELD(0,,,,\"YTM\"),FG_YIELD(-1AM,,,,\"YTM\"))":10.684588,"ENZL^FG_TOTAL_RETURNC(0,-6AM)":2.7835965,"URTH^FMA_COS_DOWN(\"EPS\",\"1M\",+1,0,,,\"PORTAGG\",\"MEANR\")":551.0,"EWN^FMA_COS_UP(\"EPS\",\"1M\",+1,0,,,\"PORTAGG\",\"MEANR\")":17.0,"EWJ^SIZE(FG_CONSTITUENTS)":219,"SPY^FMA_RBICS_REV_CURRENT(30, LOC, \"PORTAGG\")":12.5169610337793,"TRYCA10Y-FDS^FG_YIELD_NAME":"Canada Benchmark Bond - 10 Year","REFCATARG-FDS^PROPER_NAME(0,,,\"SECURITY\",\"NAME\")":"Canada Target Rate","TRYNZ10Y-FDS^PCTCHG(FG_YIELD(0,,,,\"YTM\"),FG_YIELD(-1AM,,,,\"YTM\"))":4.7129974,"TRYGB10Y-FDS^FG_YIELD_NAME":"United Kingdom Benchmark Bond - 10 Year","CC_SE^IMF_IFS_RCPI_Q(-1AM)":5.550837,"VWO^JULIAN(FMA_DIV_YLD(NTMA,NOW,NOW,M,\"PORTAGG\",\"MEANR\").DATES)":45351,"EWQ^FMA_DIV_YLD(NTMA,NOW,NOW,M,\"PORTAGG\",\"MEANR\")":3.05390122394535,"TRYAU10Y-FDS^FG_YIELD_NAME":"Australia Benchmark Bond - 10 Year","REFEUREFI-FDS^FG_YIELD(NOW,,,0)":4.5,"EWC^FMA_PE(NTMA,0,,,\"PORTAGG\",\"MEANR\")":14.6644513364516,"UUP^FG_TOTAL_RETURNC(0,-3AM)":4.3398976,"EWI^SIZE(FG_CONSTITUENTS)":26,"REFEUREFI-FDS^PROPER_NAME(0,,,\"SECURITY\",\"NAME\")":"Eurozone Main Refinancing Operations Minimum Bid Rate","ENZL^FG_TOTAL_RETURNC(0,-3AM)":-5.20485,"URTH^FMA_COS_UP(\"EPS\",\"1M\",+1,0,,,\"PORTAGG\",\"MEANR\")":556.0,"EWQ^SIZE(FG_CONSTITUENTS)":63,"EWJ^FMA_COS_DOWN(\"EPS\",\"1M\",+1,0,,,\"PORTAGG\",\"MEANR\")":88.0,"QQQ^FMA_RBICS_REV_CURRENT(30, LOC, \"PORTAGG\")":0.861039068445166,"EWJ^FG_ROE(0)":9.81556235400031,"REFFFUND-FDS^PROPER_NAME(0,,,\"SECURITY\",\"NAME\")":"US Federal Funds Target Rate","REFAUCASH-FDS^(SUBARRAY(NOT_NA(NO_REPEAT_F(FG_YIELD(NOW,-10AY,D))),0,1)-SUBARRAY(NOT_NA(NO_REPEAT_F(FG_YIELD(NOW,-10AY,D))),1,1))*100":25.0,"TRYUS10Y-FDS^FG_YIELD(0,,,,\"YTM\")":4.5712,"TRYCH10Y-FDS^FG_YIELD(0,,,,\"YTM\")":0.751,"CC_NL^IMF_IFS_RCPI_Q(-1AM)":0.80520856,"VGK^FMA_EVAL_EBIT(LTMA,NOW,NOW,M,\"PORTAGG\",\"MEANR\")":13.2144435144776,"EWD^FG_FCF_YIELD_NTM(0)":5.08591897190867,"EWQ^FMA_PE(NTMA,0,,,\"PORTAGG\",\"MEANR\")":14.5812154551984,"QQQ^JULIAN(FMA_DIV_YLD(NTMA,NOW,NOW,M,\"PORTAGG\",\"MEANR\").DATES)":45379,"EWJ^FMA_EVAL_EBITDA(NTMA,0,,,\"PORTAGG\",\"MEANR\")":10.7213459490883,"EWC^FMA_DIV_YLD(NTMA,NOW,NOW,M,\"PORTAGG\",\"MEANR\")":3.10692325273598,"ENZL^FMA_PE(LTM,0,,,\"PORTAGG\",\"MEANR\")":29.459081999698,"TLT^FG_TOTAL_RETURNC(0,-6AM)":3.4860015,"UUP^FG_TOTAL_RETURNC(0,-6AM)":2.6183844,"REFJPTON-FDS^PROPER_NAME(0,,,\"SECURITY\",\"NAME\")":"Japan Policy Rate","TRYDE10Y-FDS^PCTCHG(FG_YIELD(0,,,,\"YTM\"),FG_YIELD(-1AM,,,,\"YTM\"))":7.418655,"EWN^FMA_PE(NTMA,0,,,\"PORTAGG\",\"MEANR\")":16.3270051243778,"VGK^FMA_EVAL_EBITDA(NTMA,0,,,\"PORTAGG\",\"MEANR\")":9.07872241341598,"EWD^FMA_DIV_YLD(NTMA,NOW,NOW,M,\"PORTAGG\",\"MEANR\")":3.22683009064656,"EWQ^FMA_PE(LTM,0,,,\"PORTAGG\",\"MEANR\")":16.5599682362678,"EWU^FMA_EVAL_EBIT(LTMA,NOW,NOW,M,\"PORTAGG\",\"MEANR\")":10.4872538454478,"EWJ^FG_FCF_YIELD_NTM(0)":4.0649598732757,"ENZL^JULIAN(FMA_DIV_YLD(NTMA,NOW,NOW,M,\"PORTAGG\",\"MEANR\").DATES)":45379,"ENZL^FG_TOTAL_RETURNC(0,-1AM)":-1.4237642,"VWO^SIZE(FG_CONSTITUENTS)":4715,"EWQ^FMA_COS_DOWN(\"EPS\",\"1M\",+1,0,,,\"PORTAGG\",\"MEANR\")":40.0,"EWJ^FMA_COS_UP(\"EPS\",\"1M\",+1,0,,,\"PORTAGG\",\"MEANR\")":97.0,"EWU^FMA_RBICS_REV_CURRENT(30, LOC, \"PORTAGG\")":17.7139371648032,"EWG^FG_ROE(0)":12.5008036282918,"TRYNZ10Y-FDS^FG_YIELD_NAME":"New Zealand Benchmark Bond - 10 Year","REFGBBANK-FDS^(SUBARRAY(NOT_NA(NO_REPEAT_F(FG_YIELD(NOW,-10AY,D))),0,1)-SUBARRAY(NOT_NA(NO_REPEAT_F(FG_YIELD(NOW,-10AY,D))),1,1))*100":25.0,"REFAUCASH-FDS^FG_YIELD(NOW,,,0)":4.35,"TRYCH10Y-FDS^FG_YIELD_NAME":"Treasury - Switzerland Benchmark Bond 10Y","TLT^FG_TOTAL_RETURNC(0,-3AM)":-6.2349796,"USO^FG_TOTAL_RETURNC(0,-1AM)":10.771524,"FXI^FMA_COS_UP(\"EPS\",\"1M\",+1,0,,,\"PORTAGG\",\"MEANR\")":12.0,"TRYJP10Y-FDS^PCTCHG(FG_YIELD(0,,,,\"YTM\"),FG_YIELD(-1AM,,,,\"YTM\"))":13.1808605,"EWI^FMA_EVAL_EBIT(LTMA,NOW,NOW,M,\"PORTAGG\",\"MEANR\")":11.1913165051424,"SPY^FMA_PE(NTMA,0,,,\"PORTAGG\",\"MEANR\")":20.6841655478305,"TRYJP10Y-FDS^FG_YIELD_NAME":"Japan Benchmark Bond - 10 Year","CC_IT^IMF_IFS_RCPI_Q(-1AM)":0.98369783,"EWL^FMA_PE(LTM,0,,,\"PORTAGG\",\"MEANR\")":15.0893767850437,"ENZL^PERCENT_CHANGE(FMA_EPS(+1,0,,,,\"PORTAGG\",\"MEAN\"),FMA_EPS(+1,-3AM,,,,\"PORTAGG\",\"MEAN\"))":-15.3610499928545,"VWO^FMA_COS_DOWN(\"EPS\",\"1M\",+1,0,,,\"PORTAGG\",\"MEANR\")":1042.0,"EWQ^FMA_COS_UP(\"EPS\",\"1M\",+1,0,,,\"PORTAGG\",\"MEANR\")":15.0,"EWG^SIZE(FG_CONSTITUENTS)":57,"EWL^FMA_RBICS_REV_CURRENT(30, LOC, \"PORTAGG\")":18.5381872854438,"REFSEREPO-FDS^(SUBARRAY(NOT_NA(NO_REPEAT_F(FG_YIELD(NOW,-10AY,D))),0,1)-SUBARRAY(NOT_NA(NO_REPEAT_F(FG_YIELD(NOW,-10AY,D))),1,1))*100":25.0,"REFGBBANK-FDS^FG_YIELD(NOW,,,0)":5.25,"REFAUCASH-FDS^PROPER_NAME(0,,,\"SECURITY\",\"NAME\")":"Australia Target Cash Rate","TRYGB10Y-FDS^PCTCHG(FG_YIELD(0,,,,\"YTM\"),FG_YIELD(-3AM,,,,\"YTM\"))":10.883823,"TRYIT10Y-FDS^FG_YIELD(0,,,,\"YTM\")":3.838,"TRYJP10Y-FDS^FG_YIELD(0,,,,\"YTM\")":0.8561,"CC_FR^IMF_IFS_RCPI_Q(0)":null,"VGK^FG_FCF_YIELD_NTM(0)":5.02417491676842,"EWD^FMA_PE(NTMA,0,,,\"PORTAGG\",\"MEANR\")":16.386712583917,"EWQ^JULIAN(FMA_DIV_YLD(NTMA,NOW,NOW,M,\"PORTAGG\",\"MEANR\").DATES)":45379,"EWU^FMA_EVAL_EBITDA(NTMA,0,,,\"PORTAGG\",\"MEANR\")":7.48118118824463,"EWJ^FMA_DIV_YLD(NTMA,NOW,NOW,M,\"PORTAGG\",\"MEANR\")":2.15743515502353,"EWC^FMA_PE(LTM,0,,,\"PORTAGG\",\"MEANR\")":16.9824055139388,"TLT^FG_TOTAL_RETURNC(0,-1AM)":-5.8181705,"USO^FG_TOTAL_RETURNC(0,-6AM)":7.770586,"GLD^FG_TOTAL_RETURNC(0,-6AM)":26.474487,"REFCHMPR-FDS^FG_YIELD(NOW,,,0)":1.5,"TRYCH10Y-FDS^PCTCHG(FG_YIELD(0,,,,\"YTM\"),FG_YIELD(-1AM,,,,\"YTM\"))":4.0166183,"EWU^FMA_PE(NTMA,0,,,\"PORTAGG\",\"MEANR\")":11.522912625928,"EWJ^JULIAN(FMA_DIV_YLD(NTMA,NOW,NOW,M,\"PORTAGG\",\"MEANR\").DATES)":45379,"EWA^FMA_EVAL_EBITDA(NTMA,0,,,\"PORTAGG\",\"MEANR\")":8.65296902969722,"EWL^FMA_DIV_YLD(NTMA,NOW,NOW,M,\"PORTAGG\",\"MEANR\")":3.26225183141211,"VGK^P_PRICE(0)/P_PRICE_HIGH_PR(0,,,USD,,,\"PRICE\",\"INTRA\",\"52W\")":0.9768368,"QQQ^FG_ROE(0)":21.5962758796928,"REFCATARG-FDS^(SUBARRAY(NOT_NA(NO_REPEAT_F(FG_YIELD(NOW,-10AY,D))),0,1)-SUBARRAY(NOT_NA(NO_REPEAT_F(FG_YIELD(NOW,-10AY,D))),1,1))*100":25.0,"EWC^FG_ROE(0)":11.253852862905,"UUP^FG_TOTAL_RETURNC(0,-1AM)":2.8766632,"TRYSE10Y-FDS^FG_YIELD_NAME":"Sweden Benchmark Bond - 10 Year","CC_US^IMF_IFS_RCPI_Q(-1AM)":3.2433991,"EWN^FMA_EVAL_EBIT(LTMA,NOW,NOW,M,\"PORTAGG\",\"MEANR\")":22.3295542269844,"ENZL^PERCENT_CHANGE(FMA_EPS(+1,0,,,,\"PORTAGG\",\"MEAN\"),FMA_EPS(+1,-1AM,,,,\"PORTAGG\",\"MEAN\"))":-2.88087003896869,"SPY^SIZE(FG_CONSTITUENTS)":504,"EWG^FMA_COS_DOWN(\"EPS\",\"1M\",+1,0,,,\"PORTAGG\",\"MEANR\")":26.0,"EWA^FG_ROE(0)":12.8748438940218,"REFGBBANK-FDS^PROPER_NAME(0,,,\"SECURITY\",\"NAME\")":"UK Bank Rate","REFNZOCR-FDS^(SUBARRAY(NOT_NA(NO_REPEAT_F(FG_YIELD(NOW,-10AY,D))),0,1)-SUBARRAY(NOT_NA(NO_REPEAT_F(FG_YIELD(NOW,-10AY,D))),1,1))*100":25.0,"TRYGB10Y-FDS^PCTCHG(FG_YIELD(0,,,,\"YTM\"),FG_YIELD(-1AM,,,,\"YTM\"))":3.805554,"VGK^FMA_DIV_YLD(NTMA,NOW,NOW,M,\"PORTAGG\",\"MEANR\")":3.58611800939403,"EWD^FMA_PE(LTM,0,,,\"PORTAGG\",\"MEANR\")":14.8117346132708,"USO^P_PRICE(0)/P_PRICE_HIGH_PR(0,,,USD,,,\"PRICE\",\"INTRA\",\"52W\")":0.97910917,"SPY^FMA_EVAL_EBITDA(NTMA,0,,,\"PORTAGG\",\"MEANR\")":14.1495352392776,"REFNZOCR-FDS^PROPER_NAME(0,,,\"SECURITY\",\"NAME\")":"New Zealand Official Cash Rate","TRYNL10Y-FDS^FG_YIELD_NAME":"Netherlands Benchmark Bond - 10 Year","TRYIT10Y-FDS^PCTCHG(FG_YIELD(0,,,,\"YTM\"),FG_YIELD(-1AM,,,,\"YTM\"))":5.817479,"TRYSE10Y-FDS^PCTCHG(FG_YIELD(0,,,,\"YTM\"),FG_YIELD(-1AM,,,,\"YTM\"))":11.164832,"EWI^FG_FCF_YIELD_NTM(0)":6.32992733111224,"EWL^FMA_EVAL_EBITDA(NTMA,0,,,\"PORTAGG\",\"MEANR\")":12.789781394016,"EWA^FMA_PE(LTM,0,,,\"PORTAGG\",\"MEANR\")":18.3757907846888,"DBA^FG_TOTAL_RETURNC(0,-3AM)":21.621632,"TRYNL10Y-FDS^PCTCHG(FG_YIELD(0,,,,\"YTM\"),FG_YIELD(-1AM,,,,\"YTM\"))":6.2548003,"EWN^JULIAN(FMA_DIV_YLD(NTMA,NOW,NOW,M,\"PORTAGG\",\"MEANR\").DATES)":45379,"VWO^FMA_COS_UP(\"EPS\",\"1M\",+1,0,,,\"PORTAGG\",\"MEANR\")":716.0,"EWJ^FMA_RBICS_REV_CURRENT(30, LOC, \"PORTAGG\")":17.7091909618778,"REFSEREPO-FDS^FG_YIELD(NOW,,,0)":4.0,"TRYIT10Y-FDS^FG_YIELD_NAME":"Italy Benchmark Bond - 10 Year","CC_FR^IMF_IFS_RCPI_Q(-1AM)":3.7187452,"SPY^FMA_EVAL_EBIT(LTMA,NOW,NOW,M,\"PORTAGG\",\"MEANR\")":20.7430035264664,"EWU^FG_FCF_YIELD_NTM(0)":6.1835956183195,"EWJ^FMA_PE(NTMA,0,,,\"PORTAGG\",\"MEANR\")":15.5870373517673,"EWC^JULIAN(FMA_DIV_YLD(NTMA,NOW,NOW,M,\"PORTAGG\",\"MEANR\").DATES)":45379,"GLD^P_PRICE(0)/P_PRICE_HIGH_PR(0,,,USD,,,\"PRICE\",\"INTRA\",\"52W\")":0.9998181,"SPY^FG_FCF_YIELD_NTM(0)":4.14070875129409,"GLD^FG_TOTAL_RETURNC(0,-3AM)":16.9958,"GLD^FG_TOTAL_RETURNC(0,-1AM)":8.811879,"ENZL^FMA_RBICS_REV_CURRENT(30, LOC, \"PORTAGG\")":13.7517044499309,"EWN^FG_FCF_YIELD_NTM(0)":3.88385879580957,"ENZL^FG_ROE(0)":5.59792719698184,"EWG^FMA_EVAL_EBITDA(NTMA,0,,,\"PORTAGG\",\"MEANR\")":8.45118266086962,"ENZL^FMA_PCT_ABOVE_MAVG(200,0,,,,\"PORTAGG\")":42.8571428571429,"VGK^SIZE(FG_CONSTITUENTS)":1296,"SPY^FMA_COS_DOWN(\"EPS\",\"1M\",+1,0,,,\"PORTAGG\",\"MEANR\")":169.0,"EWG^FMA_COS_UP(\"EPS\",\"1M\",+1,0,,,\"PORTAGG\",\"MEANR\")":26.0,"EWG^FMA_RBICS_REV_CURRENT(30, LOC, \"PORTAGG\")":22.665656730962,"REFSEREPO-FDS^PROPER_NAME(0,,,\"SECURITY\",\"NAME\")":"Sweden Repo Rate","REFCHMPR-FDS^(SUBARRAY(NOT_NA(NO_REPEAT_F(FG_YIELD(NOW,-10AY,D))),0,1)-SUBARRAY(NOT_NA(NO_REPEAT_F(FG_YIELD(NOW,-10AY,D))),1,1))*100":-25.0,"REFNZOCR-FDS^FG_YIELD(NOW,,,0)":5.5,"TRYCH10Y-FDS^PCTCHG(FG_YIELD(0,,,,\"YTM\"),FG_YIELD(-3AM,,,,\"YTM\"))":-13.876145,"TRYSE10Y-FDS^FG_YIELD(0,,,,\"YTM\")":2.529,"TRYDE10Y-FDS^FG_YIELD(0,,,,\"YTM\")":2.476,"CC_US^IMF_IFS_RCPI_Q(0)":null,"VGK^FG_PE_NTM(0,,,90,0)":14.0006113777981,"EWD^JULIAN(FMA_DIV_YLD(NTMA,NOW,NOW,M,\"PORTAGG\",\"MEANR\").DATES)":45379,"EWU^FMA_DIV_YLD(NTMA,NOW,NOW,M,\"PORTAGG\",\"MEANR\")":4.02267445589315,"EWJ^FMA_PE(LTM,0,,,\"PORTAGG\",\"MEANR\")":16.1393539039534,"EWA^FMA_EVAL_EBIT(LTMA,NOW,NOW,M,\"PORTAGG\",\"MEANR\")":12.4430506058536,"VGK^FG_PE(0)":12.7836580214099,"USO^FG_TOTAL_RETURNC(0,-3AM)":20.546936,"DBA^P_PRICE(0)/P_PRICE_HIGH_PR(0,,,USD,,,\"PRICE\",\"INTRA\",\"52W\")":0.9932992,"TRYFR10Y-FDS^FG_YIELD_NAME":"France Benchmark Bond - 10 Year","FXI^SIZE(FG_CONSTITUENTS)":51,"VGK^FMA_COS_DOWN(\"EPS\",\"1M\",+1,0,,,\"PORTAGG\",\"MEANR\")":452.0,"SPY^FMA_COS_UP(\"EPS\",\"1M\",+1,0,,,\"PORTAGG\",\"MEANR\")":182.0,"EWC^SIZE(FG_CONSTITUENTS)":88,"EWC^FMA_RBICS_REV_CURRENT(30, LOC, \"PORTAGG\")":40.9198307473676,"TRYAU10Y-FDS^PCTCHG(FG_YIELD(0,,,,\"YTM\"),FG_YIELD(-1AM,,,,\"YTM\"))":7.66701,"VWO^FG_PE_NTM(0,,,90,0)":14.2110017321838,"SPY^FMA_DIV_YLD(NTMA,NOW,NOW,M,\"PORTAGG\",\"MEANR\")":1.42735403440696,"QQQ^FMA_COS_DOWN(\"EPS\",\"1M\",+1,0,,,\"PORTAGG\",\"MEANR\")":32.0,"REFJPTON-FDS^(SUBARRAY(NOT_NA(NO_REPEAT_F(FG_YIELD(NOW,-10AY,D))),0,1)-SUBARRAY(NOT_NA(NO_REPEAT_F(FG_YIELD(NOW,-10AY,D))),1,1))*100":20.0,"CC_GB^IMF_IFS_RCPI_Q(-1AM)":4.3536315,"EWA^FMA_DIV_YLD(NTMA,NOW,NOW,M,\"PORTAGG\",\"MEANR\")":3.89931195372357,"EWJ^P_PRICE(0)/P_PRICE_HIGH_PR(0,,,USD,,,\"PRICE\",\"INTRA\",\"52W\")":0.9712065,"SPY^JULIAN(FMA_DIV_YLD(NTMA,NOW,NOW,M,\"PORTAGG\",\"MEANR\").DATES)":45379,"ENZL^FMA_EVAL_EBIT(LTMA,NOW,NOW,M,\"PORTAGG\",\"MEANR\")":20.5144981216943,"EWQ^FMA_EVAL_EBITDA(NTMA,0,,,\"PORTAGG\",\"MEANR\")":9.33365945472415,"FXI^FMA_COS_DOWN(\"EPS\",\"1M\",+1,0,,,\"PORTAGG\",\"MEANR\")":35.0,"VGK^FMA_COS_UP(\"EPS\",\"1M\",+1,0,,,\"PORTAGG\",\"MEANR\")":473.0,"QQQ^SIZE(FG_CONSTITUENTS)":102,"EWC^FMA_COS_DOWN(\"EPS\",\"1M\",+1,0,,,\"PORTAGG\",\"MEANR\")":27.0,"EWA^FMA_RBICS_REV_CURRENT(30, LOC, \"PORTAGG\")":40.715109646395,"REFCHMPR-FDS^PROPER_NAME(0,,,\"SECURITY\",\"NAME\")":"Swiss Policy Rate - Sight Deposit Rate","TRYIT10Y-FDS^PCTCHG(FG_YIELD(0,,,,\"YTM\"),FG_YIELD(-3AM,,,,\"YTM\"))":1.2664933,"TRYJP10Y-FDS^PCTCHG(FG_YIELD(0,,,,\"YTM\"),FG_YIELD(-3AM,,,,\"YTM\"))":40.852257,"TRYNL10Y-FDS^FG_YIELD(0,,,,\"YTM\")":2.769,"TRYCA10Y-FDS^FG_YIELD(0,,,,\"YTM\")":3.7138,"CC_GB^IMF_IFS_RCPI_Q(0)":null,"VGK^JULIAN(FMA_DIV_YLD(NTMA,NOW,NOW,M,\"PORTAGG\",\"MEANR\").DATES)":45351,"EWN^FMA_EVAL_EBITDA(NTMA,0,,,\"PORTAGG\",\"MEANR\")":12.6716010909774,"EWU^FMA_PE(LTM,0,,,\"PORTAGG\",\"MEANR\")":10.6989492088747,"EWG^FMA_EVAL_EBIT(LTMA,NOW,NOW,M,\"PORTAGG\",\"MEANR\")":13.3191447868824,"EWA^FG_FCF_YIELD_NTM(0)":4.86175249352671,"EWC^FMA_COS_UP(\"EPS\",\"1M\",+1,0,,,\"PORTAGG\",\"MEANR\")":27.0,"EWU^JULIAN(FMA_DIV_YLD(NTMA,NOW,NOW,M,\"PORTAGG\",\"MEANR\").DATES)":45379,"SPY^P_PRICE(0)/P_PRICE_HIGH_PR(0,,,USD,,,\"PRICE\",\"INTRA\",\"52W\")":0.9874002,"EWG^FMA_DIV_YLD(NTMA,NOW,NOW,M,\"PORTAGG\",\"MEANR\")":3.24833813009107,"EWG^FMA_PE(LTM,0,,,\"PORTAGG\",\"MEANR\")":12.7854238086315,"QQQ^P_PRICE(0)/P_PRICE_HIGH_PR(0,,,USD,,,\"PRICE\",\"INTRA\",\"52W\")":0.9911648,"EWN^SIZE(FG_CONSTITUENTS)":54,"ENZL^FG_FCF_YIELD_NTM(0)":0.0296005544804451,"EWI^FMA_PE(NTMA,0,,,\"PORTAGG\",\"MEANR\")":9.68793366955095,"EWI^JULIAN(FMA_DIV_YLD(NTMA,NOW,NOW,M,\"PORTAGG\",\"MEANR\").DATES)":45379,"EWI^FMA_COS_UP(\"EPS\",\"1M\",+1,0,,,\"PORTAGG\",\"MEANR\")":12.0,"EWU^SIZE(FG_CONSTITUENTS)":85,"EWA^FMA_COS_DOWN(\"EPS\",\"1M\",+1,0,,,\"PORTAGG\",\"MEANR\")":21.0,"EWD^FG_ROE(0)":16.1624094817968,"VWO^FMA_EVAL_EBIT(LTMA,NOW,NOW,M,\"PORTAGG\",\"MEANR\")":14.3857817367811,"EWI^FMA_COS_DOWN(\"EPS\",\"1M\",+1,0,,,\"PORTAGG\",\"MEANR\")":10.0,"QQQ^FMA_COS_UP(\"EPS\",\"1M\",+1,0,,,\"PORTAGG\",\"MEANR\")":33.0,"EWA^SIZE(FG_CONSTITUENTS)":59,"EWI^FG_ROE(0)":13.1824464286887,"REFJPTON-FDS^FG_YIELD(NOW,,,0)":0.1,"TRYSE10Y-FDS^PCTCHG(FG_YIELD(0,,,,\"YTM\"),FG_YIELD(-3AM,,,,\"YTM\"))":13.002687,"TRYDE10Y-FDS^PCTCHG(FG_YIELD(0,,,,\"YTM\"),FG_YIELD(-3AM,,,,\"YTM\"))":13.525909,"TRYFR10Y-FDS^FG_YIELD(0,,,,\"YTM\")":2.974,"TRYAU10Y-FDS^FG_YIELD(0,,,,\"YTM\")":4.255,"CC_CH^IMF_IFS_RCPI_Q(0)":null,"EWI^FMA_EVAL_EBITDA(NTMA,0,,,\"PORTAGG\",\"MEANR\")":7.25630703692296,"EWN^FMA_DIV_YLD(NTMA,NOW,NOW,M,\"PORTAGG\",\"MEANR\")":2.51696007875019,"SPY^FMA_PE(LTM,0,,,\"PORTAGG\",\"MEANR\")":25.7886250069034,"EWL^FMA_EVAL_EBIT(LTMA,NOW,NOW,M,\"PORTAGG\",\"MEANR\")":16.6905634669713,"EWG^FG_FCF_YIELD_NTM(0)":5.98520697132315,"EWA^FMA_PE(NTMA,0,,,\"PORTAGG\",\"MEANR\")":16.7046008353544,"DBA^FG_TOTAL_RETURNC(0,-6AM)":23.080074,"EWD^SIZE(FG_CONSTITUENTS)":44,"EWU^FMA_COS_DOWN(\"EPS\",\"1M\",+1,0,,,\"PORTAGG\",\"MEANR\")":43.0,"EWA^FMA_COS_UP(\"EPS\",\"1M\",+1,0,,,\"PORTAGG\",\"MEANR\")":21.0,"EWN^FG_ROE(0)":11.3917660539284,"TRYNL10Y-FDS^PCTCHG(FG_YIELD(0,,,,\"YTM\"),FG_YIELD(-3AM,,,,\"YTM\"))":11.428578,"TRYCA10Y-FDS^PCTCHG(FG_YIELD(0,,,,\"YTM\"),FG_YIELD(-3AM,,,,\"YTM\"))":14.871634,"TRYNZ10Y-FDS^FG_YIELD(0,,,,\"YTM\")":4.8124,"VWO^FMA_EVAL_EBITDA(NTMA,0,,,\"PORTAGG\",\"MEANR\")":9.61439869839351,"EWI^FMA_DIV_YLD(NTMA,NOW,NOW,M,\"PORTAGG\",\"MEANR\")":5.07522241707554,"EWD^FMA_COS_DOWN(\"EPS\",\"1M\",+1,0,,,\"PORTAGG\",\"MEANR\")":11.0,"EWU^FMA_COS_UP(\"EPS\",\"1M\",+1,0,,,\"PORTAGG\",\"MEANR\")":33.0,"ENZL^SIZE(FG_CONSTITUENTS)":14,"EWI^FMA_RBICS_REV_CURRENT(30, LOC, \"PORTAGG\")":34.5462492743982,"VWO^P_PRICE(0)/P_PRICE_HIGH_PR(0,,,USD,,,\"PRICE\",\"INTRA\",\"52W\")":0.9842227,"EWN^FMA_PE(LTM,0,,,\"PORTAGG\",\"MEANR\")":20.3934622833142,"QQQ^FMA_EVAL_EBIT(LTMA,NOW,NOW,M,\"PORTAGG\",\"MEANR\")":24.8022578120684,"EWL^FG_FCF_YIELD_NTM(0)":5.01776478231112,"EWG^FMA_PE(NTMA,0,,,\"PORTAGG\",\"MEANR\")":12.2531156877155,"EWA^JULIAN(FMA_DIV_YLD(NTMA,NOW,NOW,M,\"PORTAGG\",\"MEANR\").DATES)":45379,"DBA^FG_TOTAL_RETURNC(0,-1AM)":10.8179455,"ENZL^FMA_COS_UP(\"EPS\",\"1M\",+1,0,,,\"PORTAGG\",\"MEANR\")":3.0,"EWQ^FG_ROE(0)":12.8459188747412,"QQQ^FMA_EVAL_EBITDA(NTMA,0,,,\"PORTAGG\",\"MEANR\")":16.0701041161866,"EWC^FMA_EVAL_EBIT(LTMA,NOW,NOW,M,\"PORTAGG\",\"MEANR\")":16.3847008333601,"VWO^FG_FCF_YIELD_NTM(0)":4.90641837424225,"EWN^FMA_RBICS_REV_CURRENT(30, LOC, \"PORTAGG\")":24.7200394051191,"TRYFR10Y-FDS^PCTCHG(FG_YIELD(0,,,,\"YTM\"),FG_YIELD(-1AM,,,,\"YTM\"))":7.7926755,"QQQ^FMA_DIV_YLD(NTMA,NOW,NOW,M,\"PORTAGG\",\"MEANR\")":0.882975847453205,"EWD^FMA_COS_UP(\"EPS\",\"1M\",+1,0,,,\"PORTAGG\",\"MEANR\")":16.0,"EWL^SIZE(FG_CONSTITUENTS)":46,"ENZL^FMA_COS_DOWN(\"EPS\",\"1M\",+1,0,,,\"PORTAGG\",\"MEANR\")":3.0,"EWD^FMA_RBICS_REV_CURRENT(30, LOC, \"PORTAGG\")":27.1998242779551,"SPY^FG_ROE(0)":18.0336042004601,"TRYFR10Y-FDS^PCTCHG(FG_YIELD(0,,,,\"YTM\"),FG_YIELD(-3AM,,,,\"YTM\"))":9.620343,"TRYAU10Y-FDS^PCTCHG(FG_YIELD(0,,,,\"YTM\"),FG_YIELD(-3AM,,,,\"YTM\"))":3.52798,"CC_IT^IMF_IFS_RCPI_Q(0)":null,"VWO^FMA_DIV_YLD(NTMA,NOW,NOW,M,\"PORTAGG\",\"MEANR\")":3.06860088787676,"EWI^FMA_PE(LTM,0,,,\"PORTAGG\",\"MEANR\")":10.8070992044353,"EWQ^FMA_EVAL_EBIT(LTMA,NOW,NOW,M,\"PORTAGG\",\"MEANR\")":13.2971060535753,"QQQ^FG_FCF_YIELD_NTM(0)":3.71088582524757,"EWL^FMA_PE(NTMA,0,,,\"PORTAGG\",\"MEANR\")":17.3202837007851,"EWG^JULIAN(FMA_DIV_YLD(NTMA,NOW,NOW,M,\"PORTAGG\",\"MEANR\").DATES)":45379,"ENZL^FMA_EVAL_EBITDA(NTMA,0,,,\"PORTAGG\",\"MEANR\")":12.2062412254161,"EWL^FMA_COS_DOWN(\"EPS\",\"1M\",+1,0,,,\"PORTAGG\",\"MEANR\")":18.0,"DUMMY^ECON_DATE(45272,,, 'MM/YYYY')":"12/2023","DUMMY^ECON_DATE(45363,,, 'MM/YYYY')":"03/2024","DUMMY^ECON_EXPR_DATA('FDS_ECON[NTCPMIMFGSA@NZ]',03/2024,,Q)":47.884563,"DUMMY^ECON_EXPR_DATA('FDS_ECON[NTCPMIMFGSA@NZ]',12/2023,,Q)":44.378197,"DUMMY^ECON_EXPR_DATA('FDS_ECON[NTCPMIMFGSA@AU]',03/2024,,Q)":48.39547,"DUMMY^ECON_EXPR_DATA('FDS_ECON[NTCPMIMFGSA@AU]',12/2023,,Q)":47.862293,"DUMMY^ECON_EXPR_DATA('FDS_ECON[NTCPMIMFGSA@CA]',03/2024,,Q)":49.30091,"DUMMY^ECON_EXPR_DATA('FDS_ECON[NTCPMIMFGSA@CA]',12/2023,,Q)":47.255585,"DUMMY^ECON_EXPR_DATA('FDS_ECON[NTCPMIMFGSA@DE]',03/2024,,Q)":43.319096,"DUMMY^ECON_EXPR_DATA('FDS_ECON[NTCPMIMFGSA@DE]',12/2023,,Q)":42.238945,"DUMMY^ECON_EXPR_DATA('FDS_ECON[NTCPMIMFGSA@JP]',03/2024,,Q)":47.808857,"DUMMY^ECON_EXPR_DATA('FDS_ECON[NTCPMIMFGSA@JP]',12/2023,,Q)":48.31877,"DUMMY^ECON_EXPR_DATA('FDS_ECON[NTCPMIMFGSA@CH]',03/2024,,Q)":44.08605,"DUMMY^ECON_EXPR_DATA('FDS_ECON[NTCPMIMFGSA@CH]',12/2023,,Q)":41.921543,"DUMMY^ECON_EXPR_DATA('FDS_ECON[NTCPMIMFGSA@GB]',03/2024,,Q)":48.24796,"DUMMY^ECON_EXPR_DATA('FDS_ECON[NTCPMIMFGSA@GB]',12/2023,,Q)":46.0587,"DUMMY^ECON_EXPR_DATA('FDS_ECON[NTCPMIMFGMESA@US]',03/2024,,Q)":51.582687,"DUMMY^ECON_EXPR_DATA('FDS_ECON[NTCPMIMFGMESA@US]',12/2023,,Q)":49.098827,"DUMMY^ECON_EXPR_DATA('FDS_ECON[NTCPMIMFGSA@FR]',03/2024,,Q)":45.498753,"DUMMY^ECON_EXPR_DATA('FDS_ECON[NTCPMIMFGSA@FR]',12/2023,,Q)":42.573967,"DUMMY^ECON_EXPR_DATA('FDS_ECON[NTCPMIMFGSA@NL]',03/2024,,Q)":49.325874,"DUMMY^ECON_EXPR_DATA('FDS_ECON[NTCPMIMFGSA@NL]',12/2023,,Q)":44.495136,"DUMMY^ECON_EXPR_DATA('FDS_ECON[]',03/2024,,Q)":null,"DUMMY^ECON_EXPR_DATA('FDS_ECON[]',12/2023,,Q)":null,"DUMMY^ECON_EXPR_DATA('FDS_ECON[NTCPMIMFGSA@IT]',03/2024,,Q)":49.208153,"DUMMY^ECON_EXPR_DATA('FDS_ECON[NTCPMIMFGSA@IT]',12/2023,,Q)":44.859455,"DUMMY^ECON_EXPR_DATA('FDS_ECON[PMIDMMANHE]',03/2024,,Q)":49.13533,"DUMMY^ECON_EXPR_DATA('FDS_ECON[PMIDMMANHE]',12/2023,,Q)":47.377975,"DUMMY^ECON_EXPR_DATA('FDS_ECON[NTCPMIMFGSA@EME]',03/2024,,Q)":51.51058,"DUMMY^ECON_EXPR_DATA('FDS_ECON[NTCPMIMFGSA@EME]',12/2023,,Q)":50.624123,"CC_NL^IMF_IFS_RCPI_Q(0)":null,"CC_CH^IMF_IFS_RCPI_Q(-1AM)":1.6172575,"CC_JP^IMF_IFS_RCPI_Q(0)":null,"CC_JP^IMF_IFS_RCPI_Q(-1AM)":2.9194753,"CC_DE^IMF_IFS_RCPI_Q(0)":null,"CC_DE^IMF_IFS_RCPI_Q(-1AM)":3.5546436,"CC_CA^IMF_IFS_RCPI_Q(0)":null,"CC_CA^IMF_IFS_RCPI_Q(-1AM)":3.2111022,"CC_AU^IMF_IFS_RCPI_Q(0)":null,"CC_AU^IMF_IFS_RCPI_Q(-1AM)":4.051988,"CC_NZ^IMF_IFS_RCPI_Q(0)":null,"CC_NZ^IMF_IFS_RCPI_Q(-1AM)":4.655029}]]></FdsFormulaCache>
</file>

<file path=customXml/itemProps1.xml><?xml version="1.0" encoding="utf-8"?>
<ds:datastoreItem xmlns:ds="http://schemas.openxmlformats.org/officeDocument/2006/customXml" ds:itemID="{3FEA49B8-9608-4BDC-8B5E-3199EAF74B7E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2024-04-12T05:57:50Z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